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\0Design Work\Barrier Dynamic Model\Pre Impact Braking\"/>
    </mc:Choice>
  </mc:AlternateContent>
  <xr:revisionPtr revIDLastSave="0" documentId="13_ncr:1_{55448C6B-295E-4763-BA21-4973DE66B2D9}" xr6:coauthVersionLast="45" xr6:coauthVersionMax="45" xr10:uidLastSave="{00000000-0000-0000-0000-000000000000}"/>
  <bookViews>
    <workbookView xWindow="-120" yWindow="-120" windowWidth="29040" windowHeight="15840" xr2:uid="{0A739903-B2A2-4A86-81AB-35DB471DA5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C10" i="1" l="1"/>
  <c r="E2" i="1" l="1"/>
  <c r="F2" i="1"/>
  <c r="G2" i="1"/>
  <c r="D2" i="1"/>
  <c r="C17" i="1"/>
  <c r="G3" i="1"/>
  <c r="G10" i="1" s="1"/>
  <c r="E3" i="1"/>
  <c r="E10" i="1" s="1"/>
  <c r="F3" i="1"/>
  <c r="F10" i="1" s="1"/>
  <c r="D3" i="1"/>
  <c r="N17" i="1"/>
  <c r="G23" i="1" s="1"/>
  <c r="L17" i="1"/>
  <c r="E23" i="1" s="1"/>
  <c r="M17" i="1"/>
  <c r="F23" i="1" s="1"/>
  <c r="F24" i="1" s="1"/>
  <c r="K17" i="1"/>
  <c r="D23" i="1" s="1"/>
  <c r="D24" i="1" s="1"/>
  <c r="F20" i="1" l="1"/>
  <c r="G26" i="1"/>
  <c r="D26" i="1"/>
  <c r="E26" i="1"/>
  <c r="F26" i="1"/>
  <c r="C26" i="1"/>
  <c r="G24" i="1"/>
  <c r="E24" i="1"/>
  <c r="F19" i="1"/>
  <c r="E20" i="1"/>
  <c r="D19" i="1"/>
  <c r="D10" i="1"/>
  <c r="C21" i="1"/>
  <c r="D21" i="1"/>
  <c r="G19" i="1"/>
  <c r="G21" i="1"/>
  <c r="D20" i="1"/>
  <c r="F21" i="1"/>
  <c r="E19" i="1"/>
  <c r="G20" i="1"/>
  <c r="E21" i="1"/>
  <c r="C8" i="1" l="1"/>
  <c r="C9" i="1"/>
  <c r="C20" i="1"/>
  <c r="C6" i="1"/>
  <c r="G13" i="1" l="1"/>
  <c r="G14" i="1" s="1"/>
  <c r="C13" i="1"/>
  <c r="C14" i="1" s="1"/>
  <c r="D13" i="1"/>
  <c r="D14" i="1" s="1"/>
  <c r="G11" i="1"/>
  <c r="G12" i="1" s="1"/>
  <c r="F13" i="1"/>
  <c r="F14" i="1" s="1"/>
  <c r="D11" i="1"/>
  <c r="D12" i="1" s="1"/>
  <c r="E11" i="1"/>
  <c r="E12" i="1" s="1"/>
  <c r="F11" i="1"/>
  <c r="F12" i="1" s="1"/>
  <c r="C11" i="1"/>
  <c r="C12" i="1" s="1"/>
  <c r="E13" i="1"/>
  <c r="E14" i="1" s="1"/>
  <c r="D31" i="1"/>
  <c r="E31" i="1"/>
  <c r="G31" i="1"/>
  <c r="F31" i="1"/>
  <c r="C31" i="1"/>
  <c r="C30" i="1"/>
  <c r="C33" i="1" s="1"/>
  <c r="C35" i="1" s="1"/>
  <c r="E30" i="1"/>
  <c r="E33" i="1" s="1"/>
  <c r="E35" i="1" s="1"/>
  <c r="F30" i="1"/>
  <c r="G30" i="1"/>
  <c r="D30" i="1"/>
  <c r="D33" i="1" s="1"/>
  <c r="D35" i="1" s="1"/>
  <c r="C19" i="1"/>
  <c r="F33" i="1" l="1"/>
  <c r="F35" i="1" s="1"/>
  <c r="G33" i="1"/>
  <c r="G35" i="1" s="1"/>
</calcChain>
</file>

<file path=xl/sharedStrings.xml><?xml version="1.0" encoding="utf-8"?>
<sst xmlns="http://schemas.openxmlformats.org/spreadsheetml/2006/main" count="60" uniqueCount="48">
  <si>
    <t>Vehicle Mass</t>
  </si>
  <si>
    <t>kg</t>
  </si>
  <si>
    <t>m</t>
  </si>
  <si>
    <t>Rope K</t>
  </si>
  <si>
    <t>N/M</t>
  </si>
  <si>
    <t>Motor Mass (linear Equiv)</t>
  </si>
  <si>
    <t>Mass Ratio</t>
  </si>
  <si>
    <t>[]</t>
  </si>
  <si>
    <t>Resonant Frequency</t>
  </si>
  <si>
    <t>rad/s</t>
  </si>
  <si>
    <t>Hz</t>
  </si>
  <si>
    <t>AntiResonant Frequency</t>
  </si>
  <si>
    <t xml:space="preserve">Vehicle Deceleration </t>
  </si>
  <si>
    <t>g</t>
  </si>
  <si>
    <t>m/s^2</t>
  </si>
  <si>
    <t>Force to decelerate Drive</t>
  </si>
  <si>
    <t>Force to decelerate Vehicle</t>
  </si>
  <si>
    <t>N</t>
  </si>
  <si>
    <t>Rope Length</t>
  </si>
  <si>
    <t xml:space="preserve">Wire </t>
  </si>
  <si>
    <t>Polymer</t>
  </si>
  <si>
    <t>PseudoStiffness [A*E] [N/m * m]</t>
  </si>
  <si>
    <t>Maximum Regen Force (linearized)</t>
  </si>
  <si>
    <t>N? Check W James</t>
  </si>
  <si>
    <t>Impulse Momentum</t>
  </si>
  <si>
    <t>Initial Momentum</t>
  </si>
  <si>
    <t>m/s</t>
  </si>
  <si>
    <t>Initial Velocity</t>
  </si>
  <si>
    <t>Final Velocity</t>
  </si>
  <si>
    <t>Final Momentum</t>
  </si>
  <si>
    <t>Change in Momentum</t>
  </si>
  <si>
    <t>J</t>
  </si>
  <si>
    <t>Time at Max force to change momentum</t>
  </si>
  <si>
    <t>s</t>
  </si>
  <si>
    <t>CATARC</t>
  </si>
  <si>
    <t>CAERI</t>
  </si>
  <si>
    <t>Millbrook</t>
  </si>
  <si>
    <t>Porsche</t>
  </si>
  <si>
    <t>ft*lb</t>
  </si>
  <si>
    <t>hp</t>
  </si>
  <si>
    <t>mass (kg)</t>
  </si>
  <si>
    <t>Number of VFD units</t>
  </si>
  <si>
    <t>Linearized Braking Force</t>
  </si>
  <si>
    <t>Force to decelerate Both</t>
  </si>
  <si>
    <t xml:space="preserve">N </t>
  </si>
  <si>
    <t>Max Possible Deceleration (rigid approximation)</t>
  </si>
  <si>
    <t>Fake 4VFD, Light Motor</t>
  </si>
  <si>
    <t>Heaviest Vehicle for Desired deceleration (Rigid Approx)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</si>
</sst>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2" fontId="0" fillId="2" borderId="0" xfId="0" applyNumberFormat="1" applyFill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38648</xdr:colOff>
      <xdr:row>1</xdr:row>
      <xdr:rowOff>29765</xdr:rowOff>
    </xdr:from>
    <xdr:to>
      <xdr:col>11</xdr:col>
      <xdr:colOff>68270</xdr:colOff>
      <xdr:row>37</xdr:row>
      <xdr:rowOff>2057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250E26-49F1-4E12-BDDB-A72ABC3CA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2700" y="220265"/>
          <a:ext cx="5751191" cy="5687292"/>
        </a:xfrm>
        <a:prstGeom prst="rect">
          <a:avLst/>
        </a:prstGeom>
      </xdr:spPr>
    </xdr:pic>
    <xdr:clientData/>
  </xdr:twoCellAnchor>
  <xdr:twoCellAnchor editAs="oneCell">
    <xdr:from>
      <xdr:col>6</xdr:col>
      <xdr:colOff>267821</xdr:colOff>
      <xdr:row>39</xdr:row>
      <xdr:rowOff>80122</xdr:rowOff>
    </xdr:from>
    <xdr:to>
      <xdr:col>16</xdr:col>
      <xdr:colOff>81422</xdr:colOff>
      <xdr:row>60</xdr:row>
      <xdr:rowOff>85817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4C9A6D-DCDF-409A-9A2B-068AD1CDE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7746" y="5985622"/>
          <a:ext cx="10424452" cy="4006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3C36-E81F-4614-AC71-01C3654FACE1}">
  <dimension ref="A2:O35"/>
  <sheetViews>
    <sheetView tabSelected="1" zoomScale="145" zoomScaleNormal="145" workbookViewId="0">
      <selection activeCell="G7" sqref="G7"/>
    </sheetView>
  </sheetViews>
  <sheetFormatPr defaultRowHeight="15" x14ac:dyDescent="0.25"/>
  <cols>
    <col min="1" max="1" width="30.28515625" customWidth="1"/>
    <col min="2" max="2" width="17.5703125" bestFit="1" customWidth="1"/>
    <col min="3" max="3" width="8.85546875" customWidth="1"/>
    <col min="4" max="4" width="14.140625" bestFit="1" customWidth="1"/>
    <col min="5" max="5" width="11" bestFit="1" customWidth="1"/>
    <col min="6" max="6" width="14.140625" bestFit="1" customWidth="1"/>
    <col min="8" max="8" width="18.42578125" bestFit="1" customWidth="1"/>
    <col min="9" max="9" width="32.140625" bestFit="1" customWidth="1"/>
    <col min="10" max="10" width="23.140625" bestFit="1" customWidth="1"/>
    <col min="11" max="11" width="30.5703125" bestFit="1" customWidth="1"/>
  </cols>
  <sheetData>
    <row r="2" spans="1:15" x14ac:dyDescent="0.25">
      <c r="C2" t="s">
        <v>46</v>
      </c>
      <c r="D2" t="str">
        <f xml:space="preserve"> K6</f>
        <v>CATARC</v>
      </c>
      <c r="E2" t="str">
        <f t="shared" ref="E2:G2" si="0" xml:space="preserve"> L6</f>
        <v>CAERI</v>
      </c>
      <c r="F2" t="str">
        <f t="shared" si="0"/>
        <v>Millbrook</v>
      </c>
      <c r="G2" t="str">
        <f t="shared" si="0"/>
        <v>Porsche</v>
      </c>
      <c r="L2" t="s">
        <v>19</v>
      </c>
      <c r="M2" t="s">
        <v>20</v>
      </c>
    </row>
    <row r="3" spans="1:15" x14ac:dyDescent="0.25">
      <c r="A3" t="s">
        <v>5</v>
      </c>
      <c r="B3" s="9" t="s">
        <v>1</v>
      </c>
      <c r="C3" s="3">
        <v>222.96706635004455</v>
      </c>
      <c r="D3">
        <f xml:space="preserve"> K9</f>
        <v>270</v>
      </c>
      <c r="E3">
        <f xml:space="preserve"> L9</f>
        <v>500</v>
      </c>
      <c r="F3">
        <f xml:space="preserve"> M9</f>
        <v>606</v>
      </c>
      <c r="G3">
        <f xml:space="preserve"> N9</f>
        <v>750</v>
      </c>
      <c r="K3" t="s">
        <v>21</v>
      </c>
      <c r="L3">
        <v>13402517.301333301</v>
      </c>
      <c r="M3" s="2">
        <v>5895091</v>
      </c>
    </row>
    <row r="4" spans="1:15" x14ac:dyDescent="0.25">
      <c r="A4" t="s">
        <v>0</v>
      </c>
      <c r="B4" s="9" t="s">
        <v>1</v>
      </c>
      <c r="C4" s="11">
        <v>3500</v>
      </c>
    </row>
    <row r="5" spans="1:15" x14ac:dyDescent="0.25">
      <c r="A5" t="s">
        <v>18</v>
      </c>
      <c r="B5" s="9" t="s">
        <v>2</v>
      </c>
      <c r="C5" s="11">
        <v>120</v>
      </c>
    </row>
    <row r="6" spans="1:15" x14ac:dyDescent="0.25">
      <c r="A6" t="s">
        <v>3</v>
      </c>
      <c r="B6" s="9" t="s">
        <v>4</v>
      </c>
      <c r="C6" s="1">
        <f xml:space="preserve"> $M$3/C5</f>
        <v>49125.758333333331</v>
      </c>
      <c r="D6" s="1"/>
      <c r="E6" s="1"/>
      <c r="K6" t="s">
        <v>34</v>
      </c>
      <c r="L6" t="s">
        <v>35</v>
      </c>
      <c r="M6" t="s">
        <v>36</v>
      </c>
      <c r="N6" t="s">
        <v>37</v>
      </c>
    </row>
    <row r="7" spans="1:15" x14ac:dyDescent="0.25">
      <c r="B7" s="9"/>
      <c r="K7">
        <v>1940</v>
      </c>
      <c r="L7">
        <v>4240</v>
      </c>
      <c r="M7">
        <v>5018</v>
      </c>
      <c r="N7">
        <v>6768</v>
      </c>
      <c r="O7" t="s">
        <v>38</v>
      </c>
    </row>
    <row r="8" spans="1:15" x14ac:dyDescent="0.25">
      <c r="A8" t="s">
        <v>27</v>
      </c>
      <c r="B8" s="9" t="s">
        <v>26</v>
      </c>
      <c r="C8">
        <f xml:space="preserve"> 60/3.6</f>
        <v>16.666666666666668</v>
      </c>
      <c r="K8">
        <v>648</v>
      </c>
      <c r="L8">
        <v>1110</v>
      </c>
      <c r="M8">
        <v>1687</v>
      </c>
      <c r="N8">
        <v>2422</v>
      </c>
      <c r="O8" t="s">
        <v>39</v>
      </c>
    </row>
    <row r="9" spans="1:15" x14ac:dyDescent="0.25">
      <c r="A9" s="7" t="s">
        <v>28</v>
      </c>
      <c r="B9" s="9" t="s">
        <v>26</v>
      </c>
      <c r="C9">
        <f xml:space="preserve"> 30/3.6</f>
        <v>8.3333333333333339</v>
      </c>
      <c r="K9">
        <v>270</v>
      </c>
      <c r="L9">
        <v>500</v>
      </c>
      <c r="M9">
        <v>606</v>
      </c>
      <c r="N9">
        <v>750</v>
      </c>
      <c r="O9" t="s">
        <v>40</v>
      </c>
    </row>
    <row r="10" spans="1:15" ht="14.25" hidden="1" customHeight="1" x14ac:dyDescent="0.25">
      <c r="A10" t="s">
        <v>6</v>
      </c>
      <c r="B10" s="9" t="s">
        <v>7</v>
      </c>
      <c r="C10" s="3">
        <f xml:space="preserve"> $C$4/C3</f>
        <v>15.697385525561051</v>
      </c>
      <c r="D10" s="3">
        <f t="shared" ref="D10:G10" si="1" xml:space="preserve"> $C$4/D3</f>
        <v>12.962962962962964</v>
      </c>
      <c r="E10" s="3">
        <f t="shared" si="1"/>
        <v>7</v>
      </c>
      <c r="F10" s="3">
        <f t="shared" si="1"/>
        <v>5.775577557755776</v>
      </c>
      <c r="G10" s="3">
        <f t="shared" si="1"/>
        <v>4.666666666666667</v>
      </c>
      <c r="H10" s="3"/>
      <c r="K10">
        <v>1</v>
      </c>
      <c r="L10">
        <v>2</v>
      </c>
      <c r="M10">
        <v>3</v>
      </c>
      <c r="N10">
        <v>4</v>
      </c>
      <c r="O10" t="s">
        <v>41</v>
      </c>
    </row>
    <row r="11" spans="1:15" hidden="1" x14ac:dyDescent="0.25">
      <c r="A11" t="s">
        <v>8</v>
      </c>
      <c r="B11" s="9" t="s">
        <v>9</v>
      </c>
      <c r="C11" s="3">
        <f>SQRT($C$6/$C$4*(1+C10))</f>
        <v>15.308930410778542</v>
      </c>
      <c r="D11" s="3">
        <f t="shared" ref="D11:G11" si="2">SQRT($C$6/$C$4*(1+D10))</f>
        <v>13.999399417075031</v>
      </c>
      <c r="E11" s="3">
        <f t="shared" si="2"/>
        <v>10.596577165247636</v>
      </c>
      <c r="F11" s="3">
        <f t="shared" si="2"/>
        <v>9.7520017823604821</v>
      </c>
      <c r="G11" s="3">
        <f t="shared" si="2"/>
        <v>8.9183486175127769</v>
      </c>
    </row>
    <row r="12" spans="1:15" hidden="1" x14ac:dyDescent="0.25">
      <c r="A12" t="s">
        <v>8</v>
      </c>
      <c r="B12" s="9" t="s">
        <v>10</v>
      </c>
      <c r="C12" s="4">
        <f xml:space="preserve"> C11 / (2*PI())</f>
        <v>2.4364919483252447</v>
      </c>
      <c r="D12" s="4">
        <f t="shared" ref="D12:G12" si="3" xml:space="preserve"> D11 / (2*PI())</f>
        <v>2.2280736175452893</v>
      </c>
      <c r="E12" s="4">
        <f t="shared" si="3"/>
        <v>1.6864976357038652</v>
      </c>
      <c r="F12" s="4">
        <f t="shared" si="3"/>
        <v>1.5520792887036445</v>
      </c>
      <c r="G12" s="4">
        <f t="shared" si="3"/>
        <v>1.4193992666939295</v>
      </c>
    </row>
    <row r="13" spans="1:15" hidden="1" x14ac:dyDescent="0.25">
      <c r="A13" t="s">
        <v>11</v>
      </c>
      <c r="B13" s="9" t="s">
        <v>9</v>
      </c>
      <c r="C13" s="3">
        <f xml:space="preserve"> SQRT($C$6/$C$4)</f>
        <v>3.746455785456563</v>
      </c>
      <c r="D13" s="3">
        <f t="shared" ref="D13:G13" si="4" xml:space="preserve"> SQRT($C$6/$C$4)</f>
        <v>3.746455785456563</v>
      </c>
      <c r="E13" s="3">
        <f t="shared" si="4"/>
        <v>3.746455785456563</v>
      </c>
      <c r="F13" s="3">
        <f t="shared" si="4"/>
        <v>3.746455785456563</v>
      </c>
      <c r="G13" s="3">
        <f t="shared" si="4"/>
        <v>3.746455785456563</v>
      </c>
    </row>
    <row r="14" spans="1:15" hidden="1" x14ac:dyDescent="0.25">
      <c r="A14" t="s">
        <v>11</v>
      </c>
      <c r="B14" s="9" t="s">
        <v>10</v>
      </c>
      <c r="C14" s="4">
        <f xml:space="preserve"> C13 / (2*PI())</f>
        <v>0.59626695733064139</v>
      </c>
      <c r="D14" s="4">
        <f t="shared" ref="D14:G14" si="5" xml:space="preserve"> D13 / (2*PI())</f>
        <v>0.59626695733064139</v>
      </c>
      <c r="E14" s="4">
        <f t="shared" si="5"/>
        <v>0.59626695733064139</v>
      </c>
      <c r="F14" s="4">
        <f t="shared" si="5"/>
        <v>0.59626695733064139</v>
      </c>
      <c r="G14" s="4">
        <f t="shared" si="5"/>
        <v>0.59626695733064139</v>
      </c>
    </row>
    <row r="15" spans="1:15" hidden="1" x14ac:dyDescent="0.25">
      <c r="B15" s="9"/>
    </row>
    <row r="16" spans="1:15" x14ac:dyDescent="0.25">
      <c r="A16" t="s">
        <v>12</v>
      </c>
      <c r="B16" s="9" t="s">
        <v>13</v>
      </c>
      <c r="C16" s="11">
        <v>1</v>
      </c>
    </row>
    <row r="17" spans="1:15" x14ac:dyDescent="0.25">
      <c r="A17" t="s">
        <v>12</v>
      </c>
      <c r="B17" s="9" t="s">
        <v>14</v>
      </c>
      <c r="C17">
        <f xml:space="preserve"> $C$16 * 9.81</f>
        <v>9.81</v>
      </c>
      <c r="K17" s="6">
        <f xml:space="preserve"> K7*12/(11.5/2)</f>
        <v>4048.695652173913</v>
      </c>
      <c r="L17" s="6">
        <f t="shared" ref="L17:M17" si="6" xml:space="preserve"> L7*12/(11.5/2)</f>
        <v>8848.6956521739139</v>
      </c>
      <c r="M17" s="6">
        <f t="shared" si="6"/>
        <v>10472.347826086956</v>
      </c>
      <c r="N17" s="6">
        <f xml:space="preserve"> N7*12/(11.5/2)</f>
        <v>14124.521739130434</v>
      </c>
      <c r="O17" t="s">
        <v>42</v>
      </c>
    </row>
    <row r="18" spans="1:15" x14ac:dyDescent="0.25">
      <c r="B18" s="9"/>
    </row>
    <row r="19" spans="1:15" x14ac:dyDescent="0.25">
      <c r="A19" t="s">
        <v>15</v>
      </c>
      <c r="B19" s="9" t="s">
        <v>17</v>
      </c>
      <c r="C19">
        <f xml:space="preserve"> C3 *$C$17</f>
        <v>2187.3069208939373</v>
      </c>
      <c r="D19" s="6">
        <f xml:space="preserve"> D3 *$C$17</f>
        <v>2648.7000000000003</v>
      </c>
      <c r="E19" s="6">
        <f t="shared" ref="E19:G19" si="7" xml:space="preserve"> E3 *$C$17</f>
        <v>4905</v>
      </c>
      <c r="F19" s="6">
        <f t="shared" si="7"/>
        <v>5944.8600000000006</v>
      </c>
      <c r="G19" s="6">
        <f t="shared" si="7"/>
        <v>7357.5</v>
      </c>
    </row>
    <row r="20" spans="1:15" x14ac:dyDescent="0.25">
      <c r="A20" t="s">
        <v>16</v>
      </c>
      <c r="B20" s="9" t="s">
        <v>17</v>
      </c>
      <c r="C20">
        <f xml:space="preserve"> C4 *$C$17</f>
        <v>34335</v>
      </c>
      <c r="D20" s="6">
        <f xml:space="preserve"> $C$4 *$C$17</f>
        <v>34335</v>
      </c>
      <c r="E20" s="6">
        <f t="shared" ref="E20:G20" si="8" xml:space="preserve"> $C$4 *$C$17</f>
        <v>34335</v>
      </c>
      <c r="F20" s="6">
        <f t="shared" si="8"/>
        <v>34335</v>
      </c>
      <c r="G20" s="6">
        <f t="shared" si="8"/>
        <v>34335</v>
      </c>
    </row>
    <row r="21" spans="1:15" x14ac:dyDescent="0.25">
      <c r="A21" t="s">
        <v>43</v>
      </c>
      <c r="B21" s="9" t="s">
        <v>44</v>
      </c>
      <c r="C21">
        <f xml:space="preserve"> C17 * (C3 +$C$4)</f>
        <v>36522.306920893941</v>
      </c>
      <c r="D21" s="6">
        <f xml:space="preserve"> $C$17 * (D3 +$C$4)</f>
        <v>36983.700000000004</v>
      </c>
      <c r="E21" s="6">
        <f t="shared" ref="E21:G21" si="9" xml:space="preserve"> $C$17 * (E3 +$C$4)</f>
        <v>39240</v>
      </c>
      <c r="F21" s="6">
        <f t="shared" si="9"/>
        <v>40279.86</v>
      </c>
      <c r="G21" s="6">
        <f t="shared" si="9"/>
        <v>41692.5</v>
      </c>
    </row>
    <row r="22" spans="1:15" x14ac:dyDescent="0.25">
      <c r="B22" s="9"/>
    </row>
    <row r="23" spans="1:15" x14ac:dyDescent="0.25">
      <c r="A23" t="s">
        <v>22</v>
      </c>
      <c r="B23" s="9" t="s">
        <v>23</v>
      </c>
      <c r="C23" s="6">
        <v>13982.608695652199</v>
      </c>
      <c r="D23" s="6">
        <f xml:space="preserve"> K17</f>
        <v>4048.695652173913</v>
      </c>
      <c r="E23" s="6">
        <f xml:space="preserve"> L17</f>
        <v>8848.6956521739139</v>
      </c>
      <c r="F23" s="6">
        <f xml:space="preserve"> M17</f>
        <v>10472.347826086956</v>
      </c>
      <c r="G23" s="6">
        <f xml:space="preserve"> N17</f>
        <v>14124.521739130434</v>
      </c>
    </row>
    <row r="24" spans="1:15" x14ac:dyDescent="0.25">
      <c r="A24" t="s">
        <v>45</v>
      </c>
      <c r="B24" s="9" t="s">
        <v>13</v>
      </c>
      <c r="C24" s="4">
        <f xml:space="preserve"> C23 / (C3+$C$4) / 9.81</f>
        <v>0.38285119080615715</v>
      </c>
      <c r="D24" s="4">
        <f t="shared" ref="D24:G24" si="10" xml:space="preserve"> D23 / (D3+$C$4) / 9.81</f>
        <v>0.10947243386069844</v>
      </c>
      <c r="E24" s="4">
        <f t="shared" si="10"/>
        <v>0.22550192793511503</v>
      </c>
      <c r="F24" s="4">
        <f t="shared" si="10"/>
        <v>0.25998967787094979</v>
      </c>
      <c r="G24" s="4">
        <f t="shared" si="10"/>
        <v>0.33877847908209952</v>
      </c>
    </row>
    <row r="25" spans="1:15" x14ac:dyDescent="0.25">
      <c r="B25" s="9"/>
    </row>
    <row r="26" spans="1:15" x14ac:dyDescent="0.25">
      <c r="A26" t="s">
        <v>47</v>
      </c>
      <c r="B26" s="9" t="s">
        <v>1</v>
      </c>
      <c r="C26" s="10">
        <f xml:space="preserve"> C23/$C$17 - C3</f>
        <v>1202.3753083341753</v>
      </c>
      <c r="D26" s="10">
        <f t="shared" ref="D26:G26" si="11" xml:space="preserve"> D23/$C$17 - D3</f>
        <v>142.71107565483311</v>
      </c>
      <c r="E26" s="10">
        <f t="shared" si="11"/>
        <v>402.00771174046008</v>
      </c>
      <c r="F26" s="10">
        <f t="shared" si="11"/>
        <v>461.51761733811986</v>
      </c>
      <c r="G26" s="10">
        <f t="shared" si="11"/>
        <v>689.80853609892279</v>
      </c>
    </row>
    <row r="27" spans="1:15" x14ac:dyDescent="0.25">
      <c r="B27" s="9"/>
    </row>
    <row r="28" spans="1:15" x14ac:dyDescent="0.25">
      <c r="B28" s="9"/>
    </row>
    <row r="29" spans="1:15" x14ac:dyDescent="0.25">
      <c r="A29" s="8" t="s">
        <v>24</v>
      </c>
      <c r="B29" s="9"/>
    </row>
    <row r="30" spans="1:15" x14ac:dyDescent="0.25">
      <c r="A30" t="s">
        <v>25</v>
      </c>
      <c r="B30" s="9" t="s">
        <v>31</v>
      </c>
      <c r="C30" s="6">
        <f xml:space="preserve"> (C3 + $C$4) * $C$8</f>
        <v>62049.451105834079</v>
      </c>
      <c r="D30" s="6">
        <f t="shared" ref="D30:G30" si="12" xml:space="preserve"> (D3 + $C$4) * $C$8</f>
        <v>62833.333333333336</v>
      </c>
      <c r="E30" s="6">
        <f t="shared" si="12"/>
        <v>66666.666666666672</v>
      </c>
      <c r="F30" s="6">
        <f t="shared" si="12"/>
        <v>68433.333333333343</v>
      </c>
      <c r="G30" s="6">
        <f t="shared" si="12"/>
        <v>70833.333333333343</v>
      </c>
    </row>
    <row r="31" spans="1:15" x14ac:dyDescent="0.25">
      <c r="A31" t="s">
        <v>29</v>
      </c>
      <c r="B31" s="9" t="s">
        <v>31</v>
      </c>
      <c r="C31" s="6">
        <f xml:space="preserve"> ($C$3 + $C$4) * $C$9</f>
        <v>31024.72555291704</v>
      </c>
      <c r="D31" s="6">
        <f t="shared" ref="D31:G31" si="13" xml:space="preserve"> ($C$3 + $C$4) * $C$9</f>
        <v>31024.72555291704</v>
      </c>
      <c r="E31" s="6">
        <f t="shared" si="13"/>
        <v>31024.72555291704</v>
      </c>
      <c r="F31" s="6">
        <f t="shared" si="13"/>
        <v>31024.72555291704</v>
      </c>
      <c r="G31" s="6">
        <f t="shared" si="13"/>
        <v>31024.72555291704</v>
      </c>
    </row>
    <row r="32" spans="1:15" x14ac:dyDescent="0.25">
      <c r="B32" s="9"/>
    </row>
    <row r="33" spans="1:7" x14ac:dyDescent="0.25">
      <c r="A33" t="s">
        <v>30</v>
      </c>
      <c r="B33" s="9" t="s">
        <v>31</v>
      </c>
      <c r="C33" s="6">
        <f xml:space="preserve"> C30 - C31</f>
        <v>31024.72555291704</v>
      </c>
      <c r="D33" s="6">
        <f t="shared" ref="D33:F33" si="14" xml:space="preserve"> D30 - D31</f>
        <v>31808.607780416296</v>
      </c>
      <c r="E33" s="6">
        <f t="shared" si="14"/>
        <v>35641.941113749635</v>
      </c>
      <c r="F33" s="6">
        <f t="shared" si="14"/>
        <v>37408.607780416307</v>
      </c>
      <c r="G33" s="6">
        <f xml:space="preserve"> G30 - G31</f>
        <v>39808.607780416307</v>
      </c>
    </row>
    <row r="34" spans="1:7" x14ac:dyDescent="0.25">
      <c r="B34" s="9"/>
    </row>
    <row r="35" spans="1:7" x14ac:dyDescent="0.25">
      <c r="A35" t="s">
        <v>32</v>
      </c>
      <c r="B35" s="9" t="s">
        <v>33</v>
      </c>
      <c r="C35" s="5">
        <f xml:space="preserve"> C33 / C23</f>
        <v>2.2188081085730431</v>
      </c>
      <c r="D35" s="5">
        <f t="shared" ref="D35:G35" si="15" xml:space="preserve"> D33 / D23</f>
        <v>7.8565075059017913</v>
      </c>
      <c r="E35" s="5">
        <f t="shared" si="15"/>
        <v>4.0279316313691114</v>
      </c>
      <c r="F35" s="5">
        <f t="shared" si="15"/>
        <v>3.5721319041017963</v>
      </c>
      <c r="G35" s="5">
        <f t="shared" si="15"/>
        <v>2.8184039442646003</v>
      </c>
    </row>
  </sheetData>
  <conditionalFormatting sqref="C23">
    <cfRule type="expression" dxfId="0" priority="1">
      <formula>_xlfn.ISFORMULA(C23)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Miller</dc:creator>
  <cp:lastModifiedBy>Eli Miller</cp:lastModifiedBy>
  <dcterms:created xsi:type="dcterms:W3CDTF">2020-07-10T01:36:46Z</dcterms:created>
  <dcterms:modified xsi:type="dcterms:W3CDTF">2020-07-15T19:16:25Z</dcterms:modified>
</cp:coreProperties>
</file>