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harts/chart3.xml" ContentType="application/vnd.openxmlformats-officedocument.drawingml.chart+xml"/>
  <Override PartName="/xl/worksheets/sheet8.xml" ContentType="application/vnd.openxmlformats-officedocument.spreadsheetml.worksheet+xml"/>
  <Override PartName="/xl/charts/chart2.xml" ContentType="application/vnd.openxmlformats-officedocument.drawingml.chart+xml"/>
  <Override PartName="/xl/workbook.xml" ContentType="application/vnd.openxmlformats-officedocument.spreadsheetml.sheet.main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2"/>
  </bookViews>
  <sheets>
    <sheet name="cs" sheetId="1" state="visible" r:id="rId1"/>
    <sheet name="res" sheetId="2" state="visible" r:id="rId2"/>
    <sheet name="res (2)" sheetId="3" state="visible" r:id="rId3"/>
    <sheet name="review" sheetId="4" state="visible" r:id="rId4"/>
    <sheet name="calc" sheetId="5" state="visible" r:id="rId5"/>
    <sheet name="Nucracker" sheetId="6" state="visible" r:id="rId6"/>
    <sheet name="Optical Model" sheetId="7" state="visible" r:id="rId7"/>
    <sheet name="Single Particle" sheetId="8" state="visible" r:id="rId8"/>
    <sheet name="Fresco_3p" sheetId="9" state="visible" r:id="rId9"/>
  </sheets>
  <calcPr/>
</workbook>
</file>

<file path=xl/sharedStrings.xml><?xml version="1.0" encoding="utf-8"?>
<sst xmlns="http://schemas.openxmlformats.org/spreadsheetml/2006/main" count="259" uniqueCount="259">
  <si>
    <t xml:space="preserve">Exp. Variable</t>
  </si>
  <si>
    <t>Val.</t>
  </si>
  <si>
    <t>Error</t>
  </si>
  <si>
    <t>Units</t>
  </si>
  <si>
    <t xml:space="preserve">Pervious Val</t>
  </si>
  <si>
    <t xml:space="preserve">Eff. Sim N</t>
  </si>
  <si>
    <t>Sp</t>
  </si>
  <si>
    <t>MeV</t>
  </si>
  <si>
    <t xml:space="preserve">Eff. Sim Err</t>
  </si>
  <si>
    <t xml:space="preserve">DS Al25 Beam</t>
  </si>
  <si>
    <t xml:space="preserve">DS factor</t>
  </si>
  <si>
    <t xml:space="preserve">Total Al25</t>
  </si>
  <si>
    <t xml:space="preserve">CD2 Thickness</t>
  </si>
  <si>
    <t>g/cm^2</t>
  </si>
  <si>
    <t xml:space="preserve"># 2H in target</t>
  </si>
  <si>
    <t>1/cm^2</t>
  </si>
  <si>
    <t xml:space="preserve">Ex (MeV)</t>
  </si>
  <si>
    <t xml:space="preserve">Er  (MeV)</t>
  </si>
  <si>
    <t>dEr</t>
  </si>
  <si>
    <t>Jp</t>
  </si>
  <si>
    <t>eta(E)</t>
  </si>
  <si>
    <t xml:space="preserve">eta error</t>
  </si>
  <si>
    <t>Yield</t>
  </si>
  <si>
    <t>dYield</t>
  </si>
  <si>
    <t xml:space="preserve">Cross Section (mb)</t>
  </si>
  <si>
    <t xml:space="preserve">CS Error (syst)</t>
  </si>
  <si>
    <t xml:space="preserve">CS Error (stat)</t>
  </si>
  <si>
    <t>3+</t>
  </si>
  <si>
    <t>2+</t>
  </si>
  <si>
    <t>3-</t>
  </si>
  <si>
    <t>-</t>
  </si>
  <si>
    <t xml:space="preserve">* changed from 15% to 9%</t>
  </si>
  <si>
    <t>Amp</t>
  </si>
  <si>
    <t>SF</t>
  </si>
  <si>
    <t xml:space="preserve">C2S Uncertainty</t>
  </si>
  <si>
    <t xml:space="preserve">sp-Width (MeV)</t>
  </si>
  <si>
    <t xml:space="preserve">sp-Width error</t>
  </si>
  <si>
    <t xml:space="preserve">g/p width ratio</t>
  </si>
  <si>
    <t xml:space="preserve">g/p error</t>
  </si>
  <si>
    <t xml:space="preserve">p-Width (MeV)</t>
  </si>
  <si>
    <t xml:space="preserve">p-Width error</t>
  </si>
  <si>
    <t xml:space="preserve">g-Width  (MeV)</t>
  </si>
  <si>
    <t xml:space="preserve">g-Width error</t>
  </si>
  <si>
    <t xml:space="preserve">res-strength (MeV)</t>
  </si>
  <si>
    <t xml:space="preserve">res-s error</t>
  </si>
  <si>
    <t>Bennett</t>
  </si>
  <si>
    <t>Liang</t>
  </si>
  <si>
    <t>Perrello</t>
  </si>
  <si>
    <t xml:space="preserve">pep </t>
  </si>
  <si>
    <t>et</t>
  </si>
  <si>
    <t xml:space="preserve">SF stat error</t>
  </si>
  <si>
    <t xml:space="preserve">SF sys error</t>
  </si>
  <si>
    <t xml:space="preserve">sp-Width  stat error</t>
  </si>
  <si>
    <t xml:space="preserve">sp-Width sys error</t>
  </si>
  <si>
    <t xml:space="preserve">A. Matic</t>
  </si>
  <si>
    <t xml:space="preserve">C2S (d,p)</t>
  </si>
  <si>
    <t xml:space="preserve">C2S (4He,3He)</t>
  </si>
  <si>
    <t xml:space="preserve">Shell model</t>
  </si>
  <si>
    <t xml:space="preserve">26Mg Ex</t>
  </si>
  <si>
    <t xml:space="preserve">Mirror 26Si Ex</t>
  </si>
  <si>
    <t xml:space="preserve">L transfer</t>
  </si>
  <si>
    <t xml:space="preserve">M. Burlein 1984</t>
  </si>
  <si>
    <t xml:space="preserve">H.F. Arciszewski 1984</t>
  </si>
  <si>
    <t xml:space="preserve">M. Yasue 1990</t>
  </si>
  <si>
    <t xml:space="preserve">Hamill 2021</t>
  </si>
  <si>
    <t xml:space="preserve">W.A. Richter 2012</t>
  </si>
  <si>
    <t xml:space="preserve">Peplowski 2009</t>
  </si>
  <si>
    <t xml:space="preserve">This work</t>
  </si>
  <si>
    <t>Ref.</t>
  </si>
  <si>
    <t>Ex</t>
  </si>
  <si>
    <t>Er</t>
  </si>
  <si>
    <t>C2S</t>
  </si>
  <si>
    <t>Gamma_sp</t>
  </si>
  <si>
    <t>Gamma_p</t>
  </si>
  <si>
    <t>Gamma_g</t>
  </si>
  <si>
    <t>Strength</t>
  </si>
  <si>
    <t>1+</t>
  </si>
  <si>
    <t>Peplowski</t>
  </si>
  <si>
    <t>Bardayan</t>
  </si>
  <si>
    <t>Wrede</t>
  </si>
  <si>
    <t>0+</t>
  </si>
  <si>
    <t>Hamill</t>
  </si>
  <si>
    <t xml:space="preserve">C2S l=0/l=2</t>
  </si>
  <si>
    <t>M(26Si)</t>
  </si>
  <si>
    <t>M(25Al)</t>
  </si>
  <si>
    <t>(4+,0+)</t>
  </si>
  <si>
    <t>mp</t>
  </si>
  <si>
    <t>Ratio</t>
  </si>
  <si>
    <t>l=2</t>
  </si>
  <si>
    <t>l=0</t>
  </si>
  <si>
    <t>error</t>
  </si>
  <si>
    <t xml:space="preserve">Previous Yield</t>
  </si>
  <si>
    <t>peak</t>
  </si>
  <si>
    <t>peak-error</t>
  </si>
  <si>
    <t>FWHM</t>
  </si>
  <si>
    <t>integral</t>
  </si>
  <si>
    <t>integral-error</t>
  </si>
  <si>
    <t xml:space="preserve"> peak-error</t>
  </si>
  <si>
    <t xml:space="preserve"> FWHM</t>
  </si>
  <si>
    <t xml:space="preserve"> integral</t>
  </si>
  <si>
    <t xml:space="preserve"> integral-error </t>
  </si>
  <si>
    <t>eta</t>
  </si>
  <si>
    <t xml:space="preserve"> integral-error</t>
  </si>
  <si>
    <t>max</t>
  </si>
  <si>
    <t>min</t>
  </si>
  <si>
    <t>avg</t>
  </si>
  <si>
    <t xml:space="preserve">Mass (micro-u)</t>
  </si>
  <si>
    <t xml:space="preserve">Mass (MeV)</t>
  </si>
  <si>
    <t xml:space="preserve">Ex Energy</t>
  </si>
  <si>
    <t xml:space="preserve">Central Potential Depth</t>
  </si>
  <si>
    <t xml:space="preserve">Width_SP (MeV)</t>
  </si>
  <si>
    <t xml:space="preserve">Width_SP (eV)</t>
  </si>
  <si>
    <t>Al25</t>
  </si>
  <si>
    <t xml:space="preserve">1 1/2 E= 0.4138 gamma= 1.24336e-05 [MeV]</t>
  </si>
  <si>
    <t>2H</t>
  </si>
  <si>
    <t xml:space="preserve">2 5/2 E= 4.13467 gamma= 0.531395 [MeV]</t>
  </si>
  <si>
    <t>n</t>
  </si>
  <si>
    <t xml:space="preserve">1 1/2 E= 0.4149 gamma= 1.27358e-05 [MeV]</t>
  </si>
  <si>
    <t>26Si</t>
  </si>
  <si>
    <t xml:space="preserve">2 5/2 E= 4.13547 gamma= 0.531683 [MeV]</t>
  </si>
  <si>
    <t>p</t>
  </si>
  <si>
    <t xml:space="preserve">1 1/2 E= 0.4127 gamma= 1.21374e-05 [MeV]</t>
  </si>
  <si>
    <t xml:space="preserve">2 5/2 E= 4.13387 gamma= 0.531107 [MeV]</t>
  </si>
  <si>
    <t>Q-Rxn</t>
  </si>
  <si>
    <t>Q-2H</t>
  </si>
  <si>
    <t xml:space="preserve">1 3/2 E= 0.3672 gamma= 4.70783e-06 [MeV]</t>
  </si>
  <si>
    <t>Element</t>
  </si>
  <si>
    <t xml:space="preserve">1 3/2 E= 0.1614 gamma= 2.6506e-10 [MeV]</t>
  </si>
  <si>
    <t xml:space="preserve">Element Name</t>
  </si>
  <si>
    <t>silicon</t>
  </si>
  <si>
    <t>N=12</t>
  </si>
  <si>
    <t>Z=14</t>
  </si>
  <si>
    <t xml:space="preserve">1 1/2 E= 0.3672 gamma= 4.07698e-06 [MeV]</t>
  </si>
  <si>
    <t xml:space="preserve">Reduced Mass</t>
  </si>
  <si>
    <t xml:space="preserve">2 5/2 E= 4.10078 gamma= 0.519309 [MeV]</t>
  </si>
  <si>
    <t xml:space="preserve">Central Potential Radius</t>
  </si>
  <si>
    <t xml:space="preserve">1 1/2 E= 0.1614 gamma= 2.28783e-10 [MeV]</t>
  </si>
  <si>
    <t xml:space="preserve">Central Potential Diffuseness</t>
  </si>
  <si>
    <t xml:space="preserve">2 5/2 E= 3.95354 gamma= 0.468555 [MeV]</t>
  </si>
  <si>
    <t xml:space="preserve">Spin Orbit Potential Radius</t>
  </si>
  <si>
    <t xml:space="preserve">Spin Orbit Potential Diffuseness</t>
  </si>
  <si>
    <t xml:space="preserve">Spin Orbit Potential Depth</t>
  </si>
  <si>
    <t xml:space="preserve">Coulomb Potential Radius</t>
  </si>
  <si>
    <t xml:space="preserve">Coulomb Potential Diffuseness</t>
  </si>
  <si>
    <t>Charge</t>
  </si>
  <si>
    <t>At</t>
  </si>
  <si>
    <t>Ap</t>
  </si>
  <si>
    <t xml:space="preserve">central potential radius</t>
  </si>
  <si>
    <t xml:space="preserve">central potential diffuseness</t>
  </si>
  <si>
    <t xml:space="preserve">central potential depth</t>
  </si>
  <si>
    <t xml:space="preserve">spin orbit potential radius</t>
  </si>
  <si>
    <t xml:space="preserve">spin orbit diffuseness</t>
  </si>
  <si>
    <t xml:space="preserve">spin orbit potential depth</t>
  </si>
  <si>
    <t xml:space="preserve">coulomb potential radius</t>
  </si>
  <si>
    <t xml:space="preserve">coulomb potential diffuseness</t>
  </si>
  <si>
    <t xml:space="preserve">Hamill et al. (2020)</t>
  </si>
  <si>
    <t xml:space="preserve">Inverse Kinematics</t>
  </si>
  <si>
    <t xml:space="preserve">Normal Kinematics</t>
  </si>
  <si>
    <t>Potential</t>
  </si>
  <si>
    <t>Type</t>
  </si>
  <si>
    <t>Ref</t>
  </si>
  <si>
    <t>Z</t>
  </si>
  <si>
    <t>A</t>
  </si>
  <si>
    <t xml:space="preserve">Lab Beam Energy (MeV)</t>
  </si>
  <si>
    <t>V0</t>
  </si>
  <si>
    <t>r0</t>
  </si>
  <si>
    <t>a0</t>
  </si>
  <si>
    <t>Wv</t>
  </si>
  <si>
    <t>rv</t>
  </si>
  <si>
    <t>av</t>
  </si>
  <si>
    <t>Ws</t>
  </si>
  <si>
    <t>rs</t>
  </si>
  <si>
    <t>as</t>
  </si>
  <si>
    <t>Vso</t>
  </si>
  <si>
    <t>rso</t>
  </si>
  <si>
    <t>aso</t>
  </si>
  <si>
    <t>rc</t>
  </si>
  <si>
    <t>Wso</t>
  </si>
  <si>
    <t xml:space="preserve">Beam A</t>
  </si>
  <si>
    <t xml:space="preserve">reduced mass </t>
  </si>
  <si>
    <t>25Mg+d</t>
  </si>
  <si>
    <t>Entrance</t>
  </si>
  <si>
    <t xml:space="preserve">Y. Han (2006)</t>
  </si>
  <si>
    <t xml:space="preserve">Beam Z</t>
  </si>
  <si>
    <t xml:space="preserve">C.O.M Energy</t>
  </si>
  <si>
    <t>26Mg+p</t>
  </si>
  <si>
    <t>Exit</t>
  </si>
  <si>
    <t xml:space="preserve">A.J. Koning (2003)</t>
  </si>
  <si>
    <t xml:space="preserve">Beam M (MeV)</t>
  </si>
  <si>
    <t xml:space="preserve">Beam TKE</t>
  </si>
  <si>
    <t>25Mg+p</t>
  </si>
  <si>
    <t>Core-core</t>
  </si>
  <si>
    <t>25Mg+n</t>
  </si>
  <si>
    <t>Binding-pot</t>
  </si>
  <si>
    <t xml:space="preserve">E.S. Soukhovitski (2005)</t>
  </si>
  <si>
    <t>–</t>
  </si>
  <si>
    <t xml:space="preserve">Target A</t>
  </si>
  <si>
    <t xml:space="preserve">Target Z</t>
  </si>
  <si>
    <t xml:space="preserve">Arciszewski et al. (1984)</t>
  </si>
  <si>
    <t xml:space="preserve">Target Mass</t>
  </si>
  <si>
    <t xml:space="preserve">C. M. Perey (1976)</t>
  </si>
  <si>
    <t xml:space="preserve">F. D. Becchetti (1969)</t>
  </si>
  <si>
    <t xml:space="preserve">This Work (d,p)</t>
  </si>
  <si>
    <t xml:space="preserve">Haixia An (2006)</t>
  </si>
  <si>
    <t xml:space="preserve">F. Sciucatti (1984)</t>
  </si>
  <si>
    <t xml:space="preserve">Reid Soft-core</t>
  </si>
  <si>
    <t xml:space="preserve">This Work (d,n)</t>
  </si>
  <si>
    <t>25Al+d</t>
  </si>
  <si>
    <t>26Si+n</t>
  </si>
  <si>
    <t xml:space="preserve">A.J Koning (2003)</t>
  </si>
  <si>
    <t>n-GOMP</t>
  </si>
  <si>
    <t>vn1</t>
  </si>
  <si>
    <t>vn2</t>
  </si>
  <si>
    <t>vn3</t>
  </si>
  <si>
    <t>vn4</t>
  </si>
  <si>
    <t>wn1</t>
  </si>
  <si>
    <t>wn2</t>
  </si>
  <si>
    <t>dn1</t>
  </si>
  <si>
    <t>dn2</t>
  </si>
  <si>
    <t>dn3</t>
  </si>
  <si>
    <t>vnso1</t>
  </si>
  <si>
    <t>vnso2</t>
  </si>
  <si>
    <t>wnso1</t>
  </si>
  <si>
    <t>wnso2</t>
  </si>
  <si>
    <t>Enf</t>
  </si>
  <si>
    <t xml:space="preserve">x </t>
  </si>
  <si>
    <t>y</t>
  </si>
  <si>
    <t>ylow</t>
  </si>
  <si>
    <t>yhigh</t>
  </si>
  <si>
    <t xml:space="preserve">Wavelength-to-size ratio (kR)</t>
  </si>
  <si>
    <t xml:space="preserve">Sommerfeld parameter (Coulomb eta)</t>
  </si>
  <si>
    <t xml:space="preserve">channel radius</t>
  </si>
  <si>
    <t xml:space="preserve">square-well decay</t>
  </si>
  <si>
    <t xml:space="preserve">Coulomb Barrier VC at R [MeV]</t>
  </si>
  <si>
    <t>Penetrability</t>
  </si>
  <si>
    <t xml:space="preserve">Transmission Factor</t>
  </si>
  <si>
    <t xml:space="preserve">WKB Transmission Factor</t>
  </si>
  <si>
    <t xml:space="preserve">Wigner Decay Width Limit [MeV]</t>
  </si>
  <si>
    <t xml:space="preserve">Square-Well Decay Width [MeV]</t>
  </si>
  <si>
    <t xml:space="preserve">fresco norm 2 channel radius</t>
  </si>
  <si>
    <t>eV</t>
  </si>
  <si>
    <t xml:space="preserve">Dim-less reduced width</t>
  </si>
  <si>
    <t>penetrability</t>
  </si>
  <si>
    <t xml:space="preserve">single p-width</t>
  </si>
  <si>
    <t xml:space="preserve">fresco no normalize</t>
  </si>
  <si>
    <t xml:space="preserve">C2S l=2</t>
  </si>
  <si>
    <t xml:space="preserve">AMP l=2</t>
  </si>
  <si>
    <t xml:space="preserve">AMP l=0</t>
  </si>
  <si>
    <t xml:space="preserve">C2S l=0</t>
  </si>
  <si>
    <t xml:space="preserve">C2S l=0/l=2 ratio</t>
  </si>
  <si>
    <t xml:space="preserve">Cross Section, theory (mb)</t>
  </si>
  <si>
    <t>FSU</t>
  </si>
  <si>
    <t xml:space="preserve">fix ratio</t>
  </si>
  <si>
    <t xml:space="preserve">fix l=2</t>
  </si>
  <si>
    <t>J</t>
  </si>
  <si>
    <t>pty</t>
  </si>
  <si>
    <t>low</t>
  </si>
  <si>
    <t>high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</si>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</sst>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2">
    <numFmt numFmtId="160" formatCode="0.00000000"/>
    <numFmt numFmtId="161" formatCode="0.000E+00"/>
    <numFmt numFmtId="162" formatCode="0.000"/>
    <numFmt numFmtId="163" formatCode="0.0000"/>
    <numFmt numFmtId="164" formatCode="0.0000E+00"/>
    <numFmt numFmtId="165" formatCode="#,##0.000"/>
    <numFmt numFmtId="166" formatCode="0.00000"/>
    <numFmt numFmtId="167" formatCode="0.0%"/>
    <numFmt numFmtId="168" formatCode="0.0"/>
    <numFmt numFmtId="169" formatCode="#,##0.00000"/>
    <numFmt numFmtId="170" formatCode="#,##0.0"/>
    <numFmt numFmtId="171" formatCode="#,##0.00\ ;[Red]\(#,##0.00\)"/>
  </numFmts>
  <fonts count="7">
    <font>
      <sz val="10.000000"/>
      <color theme="1"/>
      <name val="Arial"/>
      <scheme val="minor"/>
    </font>
    <font>
      <sz val="11.000000"/>
      <color rgb="FF9C0006"/>
      <name val="Arial"/>
      <scheme val="minor"/>
    </font>
    <font>
      <sz val="11.000000"/>
      <color rgb="FF006100"/>
      <name val="Arial"/>
      <scheme val="minor"/>
    </font>
    <font>
      <b/>
      <sz val="10.000000"/>
      <name val="Arial"/>
      <scheme val="minor"/>
    </font>
    <font>
      <strike/>
      <sz val="10.000000"/>
      <name val="Arial"/>
      <scheme val="minor"/>
    </font>
    <font>
      <sz val="10.000000"/>
      <color indexed="2"/>
      <name val="Arial"/>
      <scheme val="minor"/>
    </font>
    <font>
      <b/>
      <strike/>
      <sz val="10.000000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FFF2CC"/>
        <bgColor rgb="FFFFF2CC"/>
      </patternFill>
    </fill>
    <fill>
      <patternFill patternType="solid">
        <fgColor indexed="7"/>
        <bgColor indexed="7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</borders>
  <cellStyleXfs count="3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</cellStyleXfs>
  <cellXfs count="64">
    <xf fontId="0" fillId="0" borderId="0" numFmtId="0" xfId="0"/>
    <xf fontId="3" fillId="4" borderId="0" numFmtId="0" xfId="0" applyFont="1" applyFill="1" applyAlignment="1">
      <alignment horizontal="center" vertical="center"/>
    </xf>
    <xf fontId="0" fillId="0" borderId="0" numFmtId="0" xfId="0" applyAlignment="1">
      <alignment horizontal="center" vertical="center"/>
    </xf>
    <xf fontId="0" fillId="0" borderId="0" numFmtId="160" xfId="0" applyNumberFormat="1" applyAlignment="1">
      <alignment horizontal="center" vertical="center"/>
    </xf>
    <xf fontId="0" fillId="5" borderId="0" numFmtId="0" xfId="0" applyFill="1" applyAlignment="1">
      <alignment horizontal="center" vertical="center"/>
    </xf>
    <xf fontId="0" fillId="5" borderId="0" numFmtId="161" xfId="0" applyNumberFormat="1" applyFill="1" applyAlignment="1">
      <alignment horizontal="center" vertical="center"/>
    </xf>
    <xf fontId="0" fillId="0" borderId="0" numFmtId="1" xfId="0" applyNumberFormat="1" applyAlignment="1">
      <alignment horizontal="center" vertical="center"/>
    </xf>
    <xf fontId="0" fillId="0" borderId="0" numFmtId="11" xfId="0" applyNumberFormat="1" applyAlignment="1">
      <alignment horizontal="center" vertical="center"/>
    </xf>
    <xf fontId="0" fillId="5" borderId="0" numFmtId="11" xfId="0" applyNumberFormat="1" applyFill="1" applyAlignment="1">
      <alignment horizontal="center" vertical="center"/>
    </xf>
    <xf fontId="0" fillId="0" borderId="0" numFmtId="161" xfId="0" applyNumberFormat="1" applyAlignment="1">
      <alignment horizontal="center" vertical="center"/>
    </xf>
    <xf fontId="4" fillId="0" borderId="0" numFmtId="162" xfId="0" applyNumberFormat="1" applyFont="1" applyAlignment="1">
      <alignment horizontal="center" vertical="center"/>
    </xf>
    <xf fontId="4" fillId="0" borderId="0" numFmtId="49" xfId="0" applyNumberFormat="1" applyFont="1" applyAlignment="1">
      <alignment horizontal="center" vertical="center"/>
    </xf>
    <xf fontId="4" fillId="0" borderId="0" numFmtId="2" xfId="0" applyNumberFormat="1" applyFont="1" applyAlignment="1">
      <alignment horizontal="center" vertical="center"/>
    </xf>
    <xf fontId="4" fillId="0" borderId="0" numFmtId="4" xfId="0" applyNumberFormat="1" applyFont="1" applyAlignment="1">
      <alignment horizontal="center" vertical="center"/>
    </xf>
    <xf fontId="3" fillId="4" borderId="0" numFmtId="162" xfId="0" applyNumberFormat="1" applyFont="1" applyFill="1" applyAlignment="1">
      <alignment horizontal="center" vertical="center"/>
    </xf>
    <xf fontId="0" fillId="0" borderId="0" numFmtId="162" xfId="0" applyNumberFormat="1" applyAlignment="1">
      <alignment horizontal="center" vertical="center"/>
    </xf>
    <xf fontId="0" fillId="0" borderId="0" numFmtId="49" xfId="0" applyNumberFormat="1" applyAlignment="1">
      <alignment horizontal="center" vertical="center"/>
    </xf>
    <xf fontId="0" fillId="0" borderId="0" numFmtId="4" xfId="0" applyNumberFormat="1" applyAlignment="1">
      <alignment horizontal="center" vertical="center"/>
    </xf>
    <xf fontId="0" fillId="0" borderId="0" numFmtId="2" xfId="0" applyNumberFormat="1" applyAlignment="1">
      <alignment horizontal="center" vertical="center"/>
    </xf>
    <xf fontId="0" fillId="0" borderId="0" numFmtId="10" xfId="0" applyNumberFormat="1" applyAlignment="1">
      <alignment horizontal="center" vertical="center"/>
    </xf>
    <xf fontId="3" fillId="0" borderId="1" numFmtId="0" xfId="0" applyFont="1" applyBorder="1" applyAlignment="1">
      <alignment horizontal="center" vertical="center"/>
    </xf>
    <xf fontId="3" fillId="0" borderId="2" numFmtId="0" xfId="0" applyFont="1" applyBorder="1" applyAlignment="1">
      <alignment horizontal="center" vertical="center"/>
    </xf>
    <xf fontId="3" fillId="0" borderId="3" numFmtId="0" xfId="0" applyFont="1" applyBorder="1" applyAlignment="1">
      <alignment horizontal="center" vertical="center"/>
    </xf>
    <xf fontId="0" fillId="0" borderId="0" numFmtId="0" xfId="0" applyAlignment="1">
      <alignment horizontal="center"/>
    </xf>
    <xf fontId="4" fillId="0" borderId="0" numFmtId="163" xfId="0" applyNumberFormat="1" applyFont="1" applyAlignment="1">
      <alignment horizontal="center" vertical="center"/>
    </xf>
    <xf fontId="4" fillId="0" borderId="0" numFmtId="0" xfId="0" applyFont="1" applyAlignment="1">
      <alignment horizontal="center" vertical="center"/>
    </xf>
    <xf fontId="4" fillId="0" borderId="0" numFmtId="164" xfId="0" applyNumberFormat="1" applyFont="1" applyAlignment="1">
      <alignment horizontal="center" vertical="center"/>
    </xf>
    <xf fontId="4" fillId="0" borderId="0" numFmtId="161" xfId="0" applyNumberFormat="1" applyFont="1" applyAlignment="1">
      <alignment horizontal="center" vertical="center"/>
    </xf>
    <xf fontId="4" fillId="0" borderId="0" numFmtId="11" xfId="0" applyNumberFormat="1" applyFont="1" applyAlignment="1">
      <alignment horizontal="center" vertical="center"/>
    </xf>
    <xf fontId="0" fillId="0" borderId="0" numFmtId="163" xfId="0" applyNumberFormat="1" applyAlignment="1">
      <alignment horizontal="center" vertical="center"/>
    </xf>
    <xf fontId="2" fillId="3" borderId="0" numFmtId="0" xfId="2" applyFont="1" applyFill="1"/>
    <xf fontId="2" fillId="3" borderId="0" numFmtId="163" xfId="2" applyNumberFormat="1" applyFont="1" applyFill="1" applyAlignment="1">
      <alignment horizontal="center" vertical="center"/>
    </xf>
    <xf fontId="2" fillId="3" borderId="0" numFmtId="0" xfId="2" applyFont="1" applyFill="1" applyAlignment="1">
      <alignment horizontal="center" vertical="center"/>
    </xf>
    <xf fontId="2" fillId="3" borderId="0" numFmtId="161" xfId="2" applyNumberFormat="1" applyFont="1" applyFill="1" applyAlignment="1">
      <alignment horizontal="center" vertical="center"/>
    </xf>
    <xf fontId="2" fillId="3" borderId="0" numFmtId="11" xfId="2" applyNumberFormat="1" applyFont="1" applyFill="1" applyAlignment="1">
      <alignment horizontal="center" vertical="center"/>
    </xf>
    <xf fontId="2" fillId="3" borderId="0" numFmtId="0" xfId="2" applyFont="1" applyFill="1" applyAlignment="1">
      <alignment horizontal="center"/>
    </xf>
    <xf fontId="1" fillId="2" borderId="0" numFmtId="0" xfId="1" applyFont="1" applyFill="1"/>
    <xf fontId="1" fillId="2" borderId="0" numFmtId="163" xfId="1" applyNumberFormat="1" applyFont="1" applyFill="1" applyAlignment="1">
      <alignment horizontal="center" vertical="center"/>
    </xf>
    <xf fontId="1" fillId="2" borderId="0" numFmtId="0" xfId="1" applyFont="1" applyFill="1" applyAlignment="1">
      <alignment horizontal="center" vertical="center"/>
    </xf>
    <xf fontId="1" fillId="2" borderId="0" numFmtId="161" xfId="1" applyNumberFormat="1" applyFont="1" applyFill="1" applyAlignment="1">
      <alignment horizontal="center" vertical="center"/>
    </xf>
    <xf fontId="1" fillId="2" borderId="0" numFmtId="11" xfId="1" applyNumberFormat="1" applyFont="1" applyFill="1" applyAlignment="1">
      <alignment horizontal="center" vertical="center"/>
    </xf>
    <xf fontId="1" fillId="2" borderId="0" numFmtId="0" xfId="1" applyFont="1" applyFill="1" applyAlignment="1">
      <alignment horizontal="center"/>
    </xf>
    <xf fontId="0" fillId="0" borderId="0" numFmtId="163" xfId="0" applyNumberFormat="1"/>
    <xf fontId="3" fillId="0" borderId="0" numFmtId="0" xfId="0" applyFont="1" applyAlignment="1">
      <alignment horizontal="center" vertical="center"/>
    </xf>
    <xf fontId="3" fillId="0" borderId="0" numFmtId="163" xfId="0" applyNumberFormat="1" applyFont="1" applyAlignment="1">
      <alignment horizontal="center" vertical="center"/>
    </xf>
    <xf fontId="3" fillId="0" borderId="4" numFmtId="0" xfId="0" applyFont="1" applyBorder="1" applyAlignment="1">
      <alignment horizontal="center" vertical="center"/>
    </xf>
    <xf fontId="0" fillId="0" borderId="0" numFmtId="165" xfId="0" applyNumberFormat="1" applyAlignment="1">
      <alignment horizontal="center" vertical="center"/>
    </xf>
    <xf fontId="5" fillId="0" borderId="0" numFmtId="165" xfId="0" applyNumberFormat="1" applyFont="1" applyAlignment="1">
      <alignment horizontal="center" vertical="center"/>
    </xf>
    <xf fontId="5" fillId="0" borderId="0" numFmtId="0" xfId="0" applyFont="1" applyAlignment="1">
      <alignment horizontal="center" vertical="center"/>
    </xf>
    <xf fontId="0" fillId="0" borderId="0" numFmtId="166" xfId="0" applyNumberFormat="1" applyAlignment="1">
      <alignment horizontal="center" vertical="center"/>
    </xf>
    <xf fontId="6" fillId="0" borderId="0" numFmtId="0" xfId="0" applyFont="1" applyAlignment="1">
      <alignment horizontal="center" vertical="center"/>
    </xf>
    <xf fontId="4" fillId="0" borderId="0" numFmtId="9" xfId="0" applyNumberFormat="1" applyFont="1" applyAlignment="1">
      <alignment horizontal="center" vertical="center"/>
    </xf>
    <xf fontId="4" fillId="0" borderId="0" numFmtId="10" xfId="0" applyNumberFormat="1" applyFont="1" applyAlignment="1">
      <alignment horizontal="center" vertical="center"/>
    </xf>
    <xf fontId="4" fillId="0" borderId="0" numFmtId="167" xfId="0" applyNumberFormat="1" applyFont="1" applyAlignment="1">
      <alignment horizontal="center" vertical="center"/>
    </xf>
    <xf fontId="0" fillId="0" borderId="0" numFmtId="168" xfId="0" applyNumberFormat="1" applyAlignment="1">
      <alignment horizontal="center" vertical="center"/>
    </xf>
    <xf fontId="0" fillId="0" borderId="0" numFmtId="164" xfId="0" applyNumberFormat="1" applyAlignment="1">
      <alignment horizontal="center" vertical="center"/>
    </xf>
    <xf fontId="5" fillId="0" borderId="0" numFmtId="11" xfId="0" applyNumberFormat="1" applyFont="1" applyAlignment="1">
      <alignment horizontal="center" vertical="center"/>
    </xf>
    <xf fontId="0" fillId="0" borderId="0" numFmtId="0" xfId="0" applyAlignment="1">
      <alignment horizontal="center" vertical="center" wrapText="1"/>
    </xf>
    <xf fontId="0" fillId="0" borderId="0" numFmtId="169" xfId="0" applyNumberFormat="1" applyAlignment="1">
      <alignment horizontal="center" vertical="center"/>
    </xf>
    <xf fontId="0" fillId="0" borderId="0" numFmtId="170" xfId="0" applyNumberFormat="1" applyAlignment="1">
      <alignment horizontal="center" vertical="center"/>
    </xf>
    <xf fontId="0" fillId="6" borderId="0" numFmtId="0" xfId="0" applyFill="1" applyAlignment="1">
      <alignment horizontal="center" vertical="center"/>
    </xf>
    <xf fontId="0" fillId="7" borderId="0" numFmtId="0" xfId="0" applyFill="1" applyAlignment="1">
      <alignment horizontal="center" vertical="center"/>
    </xf>
    <xf fontId="0" fillId="8" borderId="0" numFmtId="0" xfId="0" applyFill="1" applyAlignment="1">
      <alignment horizontal="center" vertical="center"/>
    </xf>
    <xf fontId="0" fillId="0" borderId="0" numFmtId="171" xfId="0" applyNumberFormat="1" applyAlignment="1">
      <alignment horizontal="center" vertical="center"/>
    </xf>
  </cellXfs>
  <cellStyles count="3">
    <cellStyle name="Normal" xfId="0" builtinId="0"/>
    <cellStyle name="Bad" xfId="1" builtinId="27"/>
    <cellStyle name="Good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haredStrings" Target="sharedStrings.xml"/><Relationship  Id="rId10" Type="http://schemas.openxmlformats.org/officeDocument/2006/relationships/theme" Target="theme/theme1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styles" Target="styles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charts/_rels/chart1.xml.rels><?xml version="1.0" encoding="UTF-8" standalone="yes"?><Relationships xmlns="http://schemas.openxmlformats.org/package/2006/relationships"></Relationships>
</file>

<file path=xl/charts/_rels/chart2.xml.rels><?xml version="1.0" encoding="UTF-8" standalone="yes"?><Relationships xmlns="http://schemas.openxmlformats.org/package/2006/relationships"></Relationships>
</file>

<file path=xl/charts/_rels/chart3.xml.rels><?xml version="1.0" encoding="UTF-8" standalone="yes"?><Relationships xmlns="http://schemas.openxmlformats.org/package/2006/relationships"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1"/>
  <mc:AlternateContent>
    <mc:Choice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0.16870693691885699"/>
          <c:y val="0.14470576152819101"/>
          <c:w val="0.78085490668272095"/>
          <c:h val="0.72897196261682196"/>
        </c:manualLayout>
      </c:layout>
      <c:scatterChart>
        <c:scatterStyle val="lineMarker"/>
        <c:varyColors val="0"/>
        <c:ser>
          <c:idx val="0"/>
          <c:order val="0"/>
          <c:tx>
            <c:v xml:space="preserve">square-well decay</c:v>
          </c:tx>
          <c:spPr bwMode="auto">
            <a:prstGeom prst="rect">
              <a:avLst/>
            </a:prstGeom>
            <a:ln>
              <a:noFill/>
            </a:ln>
          </c:spPr>
          <c:marker>
            <c:symbol val="circle"/>
            <c:size val="7"/>
            <c:spPr bwMode="auto">
              <a:prstGeom prst="rect">
                <a:avLst/>
              </a:prstGeom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trendline>
            <c:name xml:space="preserve">Expon. (square-well decay)</c:name>
            <c:spPr bwMode="auto">
              <a:prstGeom prst="rect">
                <a:avLst/>
              </a:prstGeom>
              <a:ln w="19050">
                <a:solidFill>
                  <a:srgbClr val="000000">
                    <a:alpha val="0"/>
                  </a:srgbClr>
                </a:solidFill>
                <a:round/>
              </a:ln>
            </c:spPr>
            <c:trendlineType val="exp"/>
            <c:dispRSqr val="0"/>
            <c:dispEq val="0"/>
          </c:trendline>
          <c:xVal>
            <c:numRef>
              <c:f xml:space="preserve">'Single Particle'!$D$3:$D$11</c:f>
              <c:numCache>
                <c:formatCode>General</c:formatCode>
                <c:ptCount val="9"/>
                <c:pt idx="0">
                  <c:v>1</c:v>
                </c:pt>
                <c:pt idx="1">
                  <c:v>1.1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1.35</c:v>
                </c:pt>
                <c:pt idx="8">
                  <c:v>1.15</c:v>
                </c:pt>
              </c:numCache>
            </c:numRef>
          </c:xVal>
          <c:yVal>
            <c:numRef>
              <c:f xml:space="preserve">'Single Particle'!$F$3:$F$9</c:f>
              <c:numCache>
                <c:formatCode>#,##0.0</c:formatCode>
                <c:ptCount val="7"/>
                <c:pt idx="0">
                  <c:v>16.0294</c:v>
                </c:pt>
                <c:pt idx="1">
                  <c:v>20.5704</c:v>
                </c:pt>
                <c:pt idx="2">
                  <c:v>26.0641</c:v>
                </c:pt>
                <c:pt idx="3">
                  <c:v>32.668800000000005</c:v>
                </c:pt>
                <c:pt idx="4">
                  <c:v>40.562400000000004</c:v>
                </c:pt>
                <c:pt idx="5">
                  <c:v>49.9439</c:v>
                </c:pt>
                <c:pt idx="6">
                  <c:v>61.03529999999999</c:v>
                </c:pt>
              </c:numCache>
            </c:numRef>
          </c:yVal>
          <c:smooth val="1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axId val="1743609028"/>
        <c:axId val="670012788"/>
      </c:scatterChart>
      <c:valAx>
        <c:axId val="1743609028"/>
        <c:scaling>
          <c:orientation val="minMax"/>
          <c:min val="0.90000000000000002"/>
        </c:scaling>
        <c:delete val="0"/>
        <c:axPos val="b"/>
        <c:majorGridlines>
          <c:spPr bwMode="auto">
            <a:prstGeom prst="rect">
              <a:avLst/>
            </a:prstGeom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1000" b="0" i="0">
                    <a:solidFill>
                      <a:srgbClr val="000000"/>
                    </a:solidFill>
                    <a:latin typeface="Calibri"/>
                  </a:rPr>
                  <a:t>Channel Radius (fm)</a:t>
                </a:r>
                <a:endParaRPr/>
              </a:p>
            </c:rich>
          </c:tx>
          <c:layout>
            <c:manualLayout>
              <c:xMode val="edge"/>
              <c:yMode val="edge"/>
              <c:x val="0.11913840390661599"/>
              <c:y val="0.95121700729177405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spPr bwMode="auto">
          <a:ln/>
        </c:spPr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670012788"/>
        <c:crosses val="autoZero"/>
        <c:crossBetween val="midCat"/>
        <c:majorUnit val="0.10000000000000001"/>
      </c:valAx>
      <c:valAx>
        <c:axId val="670012788"/>
        <c:scaling>
          <c:orientation val="minMax"/>
          <c:max val="65"/>
        </c:scaling>
        <c:delete val="0"/>
        <c:axPos val="l"/>
        <c:majorGridlines>
          <c:spPr bwMode="auto">
            <a:prstGeom prst="rect">
              <a:avLst/>
            </a:prstGeom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1000" b="0" i="0">
                    <a:solidFill>
                      <a:srgbClr val="000000"/>
                    </a:solidFill>
                    <a:latin typeface="Calibri"/>
                  </a:rPr>
                  <a:t>Square-Well Decay Wdith (MeV)</a:t>
                </a:r>
                <a:endParaRPr/>
              </a:p>
            </c:rich>
          </c:tx>
          <c:layout>
            <c:manualLayout>
              <c:xMode val="edge"/>
              <c:yMode val="edge"/>
              <c:x val="0.0122416215131447"/>
              <c:y val="0.69056177467392399"/>
            </c:manualLayout>
          </c:layout>
          <c:overlay val="0"/>
        </c:title>
        <c:numFmt formatCode="#,##0.0" sourceLinked="0"/>
        <c:majorTickMark val="none"/>
        <c:minorTickMark val="none"/>
        <c:tickLblPos val="nextTo"/>
        <c:spPr bwMode="auto">
          <a:ln/>
        </c:spPr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74360902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lvl="0">
            <a:defRPr sz="1000" b="0" i="0">
              <a:solidFill>
                <a:srgbClr val="1A1A1A"/>
              </a:solidFill>
              <a:latin typeface="Calibri"/>
            </a:defRPr>
          </a:pPr>
          <a:endParaRPr lang="en-US"/>
        </a:p>
      </c:txPr>
    </c:legend>
    <c:plotVisOnly val="1"/>
    <c:dispBlanksAs val="zero"/>
    <c:showDLblsOverMax val="1"/>
  </c:chart>
  <c:spPr bwMode="auto">
    <a:xfrm>
      <a:off x="0" y="0"/>
      <a:ext cx="0" cy="0"/>
    </a:xfrm>
    <a:prstGeom prst="rect">
      <a:avLst/>
    </a:prstGeom>
    <a:solidFill>
      <a:srgbClr val="FFFFFF"/>
    </a:solidFill>
  </c:sp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1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800" b="0" i="0">
                <a:solidFill>
                  <a:srgbClr val="757575"/>
                </a:solidFill>
                <a:latin typeface="Calibri"/>
              </a:defRPr>
            </a:pPr>
            <a:r>
              <a:rPr lang="en-US" sz="1800" b="0" i="0">
                <a:solidFill>
                  <a:srgbClr val="757575"/>
                </a:solidFill>
                <a:latin typeface="Calibri"/>
              </a:rPr>
              <a:t>Wave function normalized over entire range </a:t>
            </a:r>
            <a:endParaRPr/>
          </a:p>
        </c:rich>
      </c:tx>
      <c:layout/>
      <c:overlay val="0"/>
    </c:title>
    <c:autoTitleDeleted val="0"/>
    <c:plotArea>
      <c:layout>
        <c:manualLayout>
          <c:xMode val="edge"/>
          <c:yMode val="edge"/>
          <c:x val="0.110723571564462"/>
          <c:y val="0.17387285611584699"/>
          <c:w val="0.84139767899042395"/>
          <c:h val="0.66026496867618401"/>
        </c:manualLayout>
      </c:layout>
      <c:scatterChart>
        <c:scatterStyle val="lineMarker"/>
        <c:varyColors val="0"/>
        <c:ser>
          <c:idx val="0"/>
          <c:order val="0"/>
          <c:tx>
            <c:v xml:space="preserve">single p-width</c:v>
          </c:tx>
          <c:spPr bwMode="auto">
            <a:prstGeom prst="rect">
              <a:avLst/>
            </a:prstGeom>
            <a:ln>
              <a:noFill/>
            </a:ln>
          </c:spPr>
          <c:marker>
            <c:symbol val="circle"/>
            <c:size val="7"/>
            <c:spPr bwMode="auto">
              <a:prstGeom prst="rect">
                <a:avLst/>
              </a:prstGeom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 xml:space="preserve">'Single Particle'!$H$19:$H$22</c:f>
              <c:numCache>
                <c:formatCode>General</c:formatCode>
                <c:ptCount val="4"/>
                <c:pt idx="0">
                  <c:v>1</c:v>
                </c:pt>
                <c:pt idx="1">
                  <c:v>1.2</c:v>
                </c:pt>
                <c:pt idx="2">
                  <c:v>1.4</c:v>
                </c:pt>
                <c:pt idx="3">
                  <c:v>1.6</c:v>
                </c:pt>
              </c:numCache>
            </c:numRef>
          </c:xVal>
          <c:yVal>
            <c:numRef>
              <c:f xml:space="preserve">'Single Particle'!$L$19:$L$22</c:f>
              <c:numCache>
                <c:formatCode>#,##0.00</c:formatCode>
                <c:ptCount val="4"/>
                <c:pt idx="0">
                  <c:v>17.1800620720642</c:v>
                </c:pt>
                <c:pt idx="1">
                  <c:v>26.7087273043501</c:v>
                </c:pt>
                <c:pt idx="2">
                  <c:v>29.7924988573266</c:v>
                </c:pt>
                <c:pt idx="3">
                  <c:v>29.6359462849014</c:v>
                </c:pt>
              </c:numCache>
            </c:numRef>
          </c:yVal>
          <c:smooth val="1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axId val="1593903705"/>
        <c:axId val="504437512"/>
      </c:scatterChart>
      <c:valAx>
        <c:axId val="1593903705"/>
        <c:scaling>
          <c:orientation val="minMax"/>
          <c:max val="1.7"/>
        </c:scaling>
        <c:delete val="0"/>
        <c:axPos val="b"/>
        <c:majorGridlines>
          <c:spPr bwMode="auto">
            <a:prstGeom prst="rect">
              <a:avLst/>
            </a:prstGeom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1000" b="0" i="0">
                    <a:solidFill>
                      <a:srgbClr val="000000"/>
                    </a:solidFill>
                    <a:latin typeface="Calibri"/>
                  </a:rPr>
                  <a:t>r0 (fm)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spPr bwMode="auto">
          <a:ln/>
        </c:spPr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504437512"/>
        <c:crosses val="autoZero"/>
        <c:crossBetween val="midCat"/>
      </c:valAx>
      <c:valAx>
        <c:axId val="504437512"/>
        <c:scaling>
          <c:orientation val="minMax"/>
          <c:max val="35"/>
        </c:scaling>
        <c:delete val="0"/>
        <c:axPos val="l"/>
        <c:majorGridlines>
          <c:spPr bwMode="auto">
            <a:prstGeom prst="rect">
              <a:avLst/>
            </a:prstGeom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1000" b="0" i="0">
                    <a:solidFill>
                      <a:srgbClr val="000000"/>
                    </a:solidFill>
                    <a:latin typeface="Calibri"/>
                  </a:rPr>
                  <a:t>single p-width (eV)</a:t>
                </a:r>
                <a:endParaRPr/>
              </a:p>
            </c:rich>
          </c:tx>
          <c:layout/>
          <c:overlay val="0"/>
        </c:title>
        <c:numFmt formatCode="0" sourceLinked="0"/>
        <c:majorTickMark val="none"/>
        <c:minorTickMark val="none"/>
        <c:tickLblPos val="nextTo"/>
        <c:spPr bwMode="auto">
          <a:ln/>
        </c:spPr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593903705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lvl="0">
            <a:defRPr sz="1000" b="0" i="0">
              <a:solidFill>
                <a:srgbClr val="1A1A1A"/>
              </a:solidFill>
              <a:latin typeface="Calibri"/>
            </a:defRPr>
          </a:pPr>
          <a:endParaRPr lang="en-US"/>
        </a:p>
      </c:txPr>
    </c:legend>
    <c:plotVisOnly val="1"/>
    <c:dispBlanksAs val="zero"/>
    <c:showDLblsOverMax val="1"/>
  </c:chart>
  <c:spPr bwMode="auto">
    <a:xfrm>
      <a:off x="0" y="0"/>
      <a:ext cx="0" cy="0"/>
    </a:xfrm>
    <a:prstGeom prst="rect">
      <a:avLst/>
    </a:prstGeom>
    <a:solidFill>
      <a:srgbClr val="FFFFFF"/>
    </a:solidFill>
  </c:sp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1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800" b="0" i="0">
                <a:solidFill>
                  <a:srgbClr val="757575"/>
                </a:solidFill>
                <a:latin typeface="Calibri"/>
              </a:defRPr>
            </a:pPr>
            <a:r>
              <a:rPr lang="en-US" sz="1800" b="0" i="0">
                <a:solidFill>
                  <a:srgbClr val="757575"/>
                </a:solidFill>
                <a:latin typeface="Calibri"/>
              </a:rPr>
              <a:t>Wave function normalized up to channel radius</a:t>
            </a:r>
            <a:endParaRPr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 xml:space="preserve">single p-width</c:v>
          </c:tx>
          <c:spPr bwMode="auto">
            <a:prstGeom prst="rect">
              <a:avLst/>
            </a:prstGeom>
            <a:ln>
              <a:noFill/>
            </a:ln>
          </c:spPr>
          <c:marker>
            <c:symbol val="circle"/>
            <c:size val="7"/>
            <c:spPr bwMode="auto">
              <a:prstGeom prst="rect">
                <a:avLst/>
              </a:prstGeom>
              <a:solidFill>
                <a:srgbClr val="4F81BD"/>
              </a:solidFill>
              <a:ln cmpd="sng">
                <a:solidFill>
                  <a:srgbClr val="4F81BD"/>
                </a:solidFill>
                <a:miter/>
              </a:ln>
            </c:spPr>
          </c:marker>
          <c:xVal>
            <c:numRef>
              <c:f xml:space="preserve">'Single Particle'!$H$13:$H$15</c:f>
              <c:numCache>
                <c:formatCode>General</c:formatCode>
                <c:ptCount val="3"/>
                <c:pt idx="0">
                  <c:v>1</c:v>
                </c:pt>
                <c:pt idx="1">
                  <c:v>1.2</c:v>
                </c:pt>
                <c:pt idx="2">
                  <c:v>1.4</c:v>
                </c:pt>
              </c:numCache>
            </c:numRef>
          </c:xVal>
          <c:yVal>
            <c:numRef>
              <c:f xml:space="preserve">'Single Particle'!$L$13:$L$15</c:f>
              <c:numCache>
                <c:formatCode>#,##0.00</c:formatCode>
                <c:ptCount val="3"/>
                <c:pt idx="0">
                  <c:v>35.4253137605781</c:v>
                </c:pt>
                <c:pt idx="1">
                  <c:v>47.789090851055</c:v>
                </c:pt>
                <c:pt idx="2">
                  <c:v>47.5899939389545</c:v>
                </c:pt>
              </c:numCache>
            </c:numRef>
          </c:yVal>
          <c:smooth val="1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axId val="2079675007"/>
        <c:axId val="1424459993"/>
      </c:scatterChart>
      <c:valAx>
        <c:axId val="2079675007"/>
        <c:scaling>
          <c:orientation val="minMax"/>
          <c:max val="1.7"/>
        </c:scaling>
        <c:delete val="0"/>
        <c:axPos val="b"/>
        <c:majorGridlines>
          <c:spPr bwMode="auto">
            <a:prstGeom prst="rect">
              <a:avLst/>
            </a:prstGeom>
            <a:ln>
              <a:solidFill>
                <a:srgbClr val="B7B7B7"/>
              </a:solidFill>
              <a:miter/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1000" b="0" i="0">
                    <a:solidFill>
                      <a:srgbClr val="000000"/>
                    </a:solidFill>
                    <a:latin typeface="Calibri"/>
                  </a:rPr>
                  <a:t>r0 (fm)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spPr bwMode="auto">
          <a:ln/>
        </c:spPr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424459993"/>
        <c:crosses val="autoZero"/>
        <c:crossBetween val="midCat"/>
      </c:valAx>
      <c:valAx>
        <c:axId val="1424459993"/>
        <c:scaling>
          <c:orientation val="minMax"/>
          <c:max val="50"/>
        </c:scaling>
        <c:delete val="0"/>
        <c:axPos val="l"/>
        <c:majorGridlines>
          <c:spPr bwMode="auto">
            <a:prstGeom prst="rect">
              <a:avLst/>
            </a:prstGeom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1000" b="0" i="0">
                    <a:solidFill>
                      <a:srgbClr val="000000"/>
                    </a:solidFill>
                    <a:latin typeface="Calibri"/>
                  </a:rPr>
                  <a:t>single p-width (eV)</a:t>
                </a:r>
                <a:endParaRPr/>
              </a:p>
            </c:rich>
          </c:tx>
          <c:layout/>
          <c:overlay val="0"/>
        </c:title>
        <c:numFmt formatCode="0" sourceLinked="0"/>
        <c:majorTickMark val="none"/>
        <c:minorTickMark val="none"/>
        <c:tickLblPos val="nextTo"/>
        <c:spPr bwMode="auto">
          <a:ln/>
        </c:spPr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2079675007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lvl="0">
            <a:defRPr sz="1000" b="0" i="0">
              <a:solidFill>
                <a:srgbClr val="1A1A1A"/>
              </a:solidFill>
              <a:latin typeface="Calibri"/>
            </a:defRPr>
          </a:pPr>
          <a:endParaRPr lang="en-US"/>
        </a:p>
      </c:txPr>
    </c:legend>
    <c:plotVisOnly val="1"/>
    <c:dispBlanksAs val="zero"/>
    <c:showDLblsOverMax val="1"/>
  </c:chart>
  <c:spPr bwMode="auto">
    <a:xfrm>
      <a:off x="0" y="0"/>
      <a:ext cx="0" cy="0"/>
    </a:xfrm>
    <a:prstGeom prst="rect">
      <a:avLst/>
    </a:prstGeom>
    <a:solidFill>
      <a:srgbClr val="FFFFFF"/>
    </a:solidFill>
  </c:spPr>
  <c:printSettings>
    <c:headerFooter/>
    <c:pageMargins l="0.69999999999999996" r="0.69999999999999996" t="0.75" b="0.75" header="0.29999999999999999" footer="0.29999999999999999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Relationship Id="rId2" Type="http://schemas.openxmlformats.org/officeDocument/2006/relationships/chart" Target="../charts/chart2.xml" /><Relationship Id="rId3" Type="http://schemas.openxmlformats.org/officeDocument/2006/relationships/chart" Target="../charts/chart3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0</xdr:col>
      <xdr:colOff>0</xdr:colOff>
      <xdr:row>17</xdr:row>
      <xdr:rowOff>76200</xdr:rowOff>
    </xdr:from>
    <xdr:ext cx="5753100" cy="3429000"/>
    <xdr:graphicFrame>
      <xdr:nvGraphicFramePr>
        <xdr:cNvPr id="2" name="Chart 1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0</xdr:colOff>
      <xdr:row>36</xdr:row>
      <xdr:rowOff>38100</xdr:rowOff>
    </xdr:from>
    <xdr:ext cx="6048375" cy="3429000"/>
    <xdr:graphicFrame>
      <xdr:nvGraphicFramePr>
        <xdr:cNvPr id="3" name="Chart 2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4</xdr:col>
      <xdr:colOff>847725</xdr:colOff>
      <xdr:row>25</xdr:row>
      <xdr:rowOff>9525</xdr:rowOff>
    </xdr:from>
    <xdr:ext cx="6067425" cy="3448050"/>
    <xdr:graphicFrame>
      <xdr:nvGraphicFramePr>
        <xdr:cNvPr id="4" name="Chart 3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8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F24" activeCellId="0" sqref="F24"/>
    </sheetView>
  </sheetViews>
  <sheetFormatPr defaultColWidth="12.5703125" defaultRowHeight="15" customHeight="1"/>
  <cols>
    <col bestFit="1" customWidth="1" min="1" max="1" width="13.7109375"/>
    <col bestFit="1" customWidth="1" min="2" max="2" width="10"/>
    <col bestFit="1" customWidth="1" min="3" max="3" width="13.7109375"/>
    <col bestFit="1" customWidth="1" min="4" max="4" width="6.85546875"/>
    <col bestFit="1" customWidth="1" min="5" max="5" width="11.28515625"/>
    <col bestFit="1" customWidth="1" min="6" max="6" width="23.5703125"/>
    <col bestFit="1" customWidth="1" min="7" max="7" width="10.5703125"/>
    <col bestFit="1" customWidth="1" min="8" max="8" width="8"/>
    <col bestFit="1" customWidth="1" min="9" max="9" width="18.140625"/>
    <col bestFit="1" customWidth="1" min="10" max="10" width="13.7109375"/>
    <col bestFit="1" customWidth="1" min="11" max="11" width="13.5703125"/>
    <col customWidth="1" min="12" max="12" width="6.425781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G1" s="2" t="s">
        <v>5</v>
      </c>
      <c r="H1" s="2">
        <v>1000000</v>
      </c>
      <c r="L1" s="2"/>
    </row>
    <row r="2">
      <c r="A2" s="2" t="s">
        <v>6</v>
      </c>
      <c r="B2" s="2">
        <v>5.5140000000000002</v>
      </c>
      <c r="C2" s="2">
        <v>0.0011000000000000001</v>
      </c>
      <c r="D2" s="2" t="s">
        <v>7</v>
      </c>
      <c r="E2" s="2"/>
      <c r="G2" s="2" t="s">
        <v>8</v>
      </c>
      <c r="H2" s="2">
        <f>SQRT(H1)/H1</f>
        <v>0.001</v>
      </c>
      <c r="L2" s="2"/>
    </row>
    <row r="3">
      <c r="A3" s="2" t="s">
        <v>9</v>
      </c>
      <c r="B3" s="2">
        <v>1265657</v>
      </c>
      <c r="C3" s="3">
        <f>SQRT(B3)</f>
        <v>1125.0142221323249</v>
      </c>
      <c r="D3" s="2"/>
      <c r="E3" s="2">
        <v>1302170</v>
      </c>
      <c r="L3" s="2"/>
    </row>
    <row r="4">
      <c r="A4" s="2" t="s">
        <v>10</v>
      </c>
      <c r="B4" s="2">
        <v>1000</v>
      </c>
      <c r="C4" s="3"/>
      <c r="D4" s="2"/>
      <c r="E4" s="2"/>
      <c r="L4" s="2"/>
    </row>
    <row r="5">
      <c r="A5" s="4" t="s">
        <v>11</v>
      </c>
      <c r="B5" s="5">
        <f>B3*B4</f>
        <v>1265657000</v>
      </c>
      <c r="C5" s="6">
        <f>B5*SQRT( (C3/B3)^2 + (0.5/B4)^2)</f>
        <v>1290786.1598313837</v>
      </c>
      <c r="D5" s="2"/>
      <c r="E5" s="2"/>
      <c r="L5" s="2"/>
    </row>
    <row r="6">
      <c r="A6" s="2" t="s">
        <v>12</v>
      </c>
      <c r="B6" s="7">
        <v>0.00051599999999999997</v>
      </c>
      <c r="C6" s="7">
        <f>B6*0.1</f>
        <v>5.1600000000000001e-05</v>
      </c>
      <c r="D6" s="2" t="s">
        <v>13</v>
      </c>
      <c r="E6" s="2"/>
      <c r="L6" s="2"/>
    </row>
    <row r="7">
      <c r="A7" s="4" t="s">
        <v>14</v>
      </c>
      <c r="B7" s="8">
        <f>2*(6.022E+23/16.03)*B6</f>
        <v>3.8769207735495942e+19</v>
      </c>
      <c r="C7" s="9">
        <f>SQRT((C6/B6)^2)*B7</f>
        <v>3.8769207735495946e+18</v>
      </c>
      <c r="D7" s="4" t="s">
        <v>15</v>
      </c>
      <c r="E7" s="2"/>
      <c r="L7" s="2"/>
    </row>
    <row r="8">
      <c r="A8" s="10"/>
      <c r="B8" s="10"/>
      <c r="C8" s="10"/>
      <c r="D8" s="11"/>
      <c r="E8" s="10"/>
      <c r="F8" s="10"/>
      <c r="G8" s="2"/>
      <c r="H8" s="12"/>
      <c r="I8" s="13"/>
      <c r="J8" s="12"/>
      <c r="K8" s="12"/>
      <c r="L8" s="2"/>
      <c r="M8" s="2"/>
      <c r="N8" s="2"/>
      <c r="O8" s="2"/>
      <c r="P8" s="2"/>
      <c r="Q8" s="2"/>
    </row>
    <row r="9">
      <c r="A9" s="1" t="s">
        <v>16</v>
      </c>
      <c r="B9" s="1" t="s">
        <v>17</v>
      </c>
      <c r="C9" s="1" t="s">
        <v>18</v>
      </c>
      <c r="D9" s="1" t="s">
        <v>19</v>
      </c>
      <c r="E9" s="14" t="s">
        <v>20</v>
      </c>
      <c r="F9" s="1" t="s">
        <v>21</v>
      </c>
      <c r="G9" s="1" t="s">
        <v>22</v>
      </c>
      <c r="H9" s="1" t="s">
        <v>23</v>
      </c>
      <c r="I9" s="1" t="s">
        <v>24</v>
      </c>
      <c r="J9" s="1" t="s">
        <v>25</v>
      </c>
      <c r="K9" s="1" t="s">
        <v>26</v>
      </c>
      <c r="L9" s="2"/>
      <c r="O9" s="2"/>
      <c r="P9" s="2"/>
      <c r="Q9" s="2"/>
    </row>
    <row r="10">
      <c r="A10" s="15">
        <v>5.9226000000000001</v>
      </c>
      <c r="B10" s="15">
        <f t="shared" ref="B10:B13" si="0">A10-$B$2</f>
        <v>0.40859999999999985</v>
      </c>
      <c r="C10" s="15">
        <v>0.0063957299999999996</v>
      </c>
      <c r="D10" s="16" t="s">
        <v>27</v>
      </c>
      <c r="E10" s="15">
        <v>0.45900000000000002</v>
      </c>
      <c r="F10" s="15">
        <f>E10*0.09</f>
        <v>0.041309999999999999</v>
      </c>
      <c r="G10" s="6">
        <v>131.357</v>
      </c>
      <c r="H10" s="6">
        <v>11.4611</v>
      </c>
      <c r="I10" s="17">
        <f t="shared" ref="I10:I14" si="1">(G10/(E10*$B$7*$B$5))*10^27</f>
        <v>5.8322695042697656</v>
      </c>
      <c r="J10" s="18">
        <f t="shared" ref="J10:J14" si="2">I10*SQRT(($C$7/$B$7)^2 + (F10/E10)^2)</f>
        <v>0.784651612516584</v>
      </c>
      <c r="K10" s="18">
        <f t="shared" ref="K10:K14" si="3">SQRT((H10/G10)^2 + ($C$5/$B$5)^2)</f>
        <v>0.087257496060642439</v>
      </c>
      <c r="L10" s="2"/>
      <c r="O10" s="2"/>
      <c r="P10" s="2"/>
      <c r="Q10" s="2"/>
    </row>
    <row r="11">
      <c r="A11" s="15">
        <v>6.3253500000000003</v>
      </c>
      <c r="B11" s="15">
        <f t="shared" si="0"/>
        <v>0.81135000000000002</v>
      </c>
      <c r="C11" s="15">
        <v>0.0063957299999999996</v>
      </c>
      <c r="D11" s="16" t="s">
        <v>28</v>
      </c>
      <c r="E11" s="15">
        <v>0.26800000000000002</v>
      </c>
      <c r="F11" s="15">
        <f t="shared" ref="F11:F13" si="4">E11*0.1</f>
        <v>0.026800000000000004</v>
      </c>
      <c r="G11" s="6">
        <v>131.71899999999999</v>
      </c>
      <c r="H11" s="6">
        <v>11.476900000000001</v>
      </c>
      <c r="I11" s="17">
        <f t="shared" si="1"/>
        <v>10.016377392983202</v>
      </c>
      <c r="J11" s="18">
        <f t="shared" si="2"/>
        <v>1.4165296755004111</v>
      </c>
      <c r="K11" s="18">
        <f t="shared" si="3"/>
        <v>0.087137665388507257</v>
      </c>
    </row>
    <row r="12">
      <c r="A12" s="15">
        <v>6.6989999999999998</v>
      </c>
      <c r="B12" s="15">
        <f t="shared" si="0"/>
        <v>1.1849999999999996</v>
      </c>
      <c r="C12" s="15">
        <v>0.0063957299999999996</v>
      </c>
      <c r="D12" s="2" t="s">
        <v>29</v>
      </c>
      <c r="E12" s="15">
        <v>0.19600000000000001</v>
      </c>
      <c r="F12" s="15">
        <f t="shared" si="4"/>
        <v>0.019600000000000003</v>
      </c>
      <c r="G12" s="6">
        <v>289.65499999999997</v>
      </c>
      <c r="H12" s="6">
        <v>17.019200000000001</v>
      </c>
      <c r="I12" s="17">
        <f t="shared" si="1"/>
        <v>30.11771412926262</v>
      </c>
      <c r="J12" s="18">
        <f t="shared" si="2"/>
        <v>4.2592879789278992</v>
      </c>
      <c r="K12" s="18">
        <f t="shared" si="3"/>
        <v>0.058765647133042755</v>
      </c>
    </row>
    <row r="13">
      <c r="A13" s="15">
        <v>7.3490200000000003</v>
      </c>
      <c r="B13" s="15">
        <f t="shared" si="0"/>
        <v>1.8350200000000001</v>
      </c>
      <c r="C13" s="15">
        <v>0.0063957299999999996</v>
      </c>
      <c r="D13" s="16" t="s">
        <v>30</v>
      </c>
      <c r="E13" s="15">
        <v>0.17599999999999999</v>
      </c>
      <c r="F13" s="15">
        <f t="shared" si="4"/>
        <v>0.017600000000000001</v>
      </c>
      <c r="G13" s="6">
        <v>127.288</v>
      </c>
      <c r="H13" s="6">
        <v>11.2822</v>
      </c>
      <c r="I13" s="17">
        <f t="shared" si="1"/>
        <v>14.739129796120579</v>
      </c>
      <c r="J13" s="18">
        <f t="shared" si="2"/>
        <v>2.0844277255251118</v>
      </c>
      <c r="K13" s="18">
        <f t="shared" si="3"/>
        <v>0.088641088048204378</v>
      </c>
    </row>
    <row r="14">
      <c r="A14" s="15"/>
      <c r="B14" s="2"/>
      <c r="C14" s="15"/>
      <c r="D14" s="16" t="s">
        <v>27</v>
      </c>
      <c r="E14" s="15">
        <v>0.46999999999999997</v>
      </c>
      <c r="F14" s="15">
        <f>E14*0.09</f>
        <v>0.042299999999999997</v>
      </c>
      <c r="G14" s="6">
        <v>209.791</v>
      </c>
      <c r="H14" s="18">
        <f>SQRT(G14)</f>
        <v>14.484163765989392</v>
      </c>
      <c r="I14" s="17">
        <f t="shared" si="1"/>
        <v>9.096745479077704</v>
      </c>
      <c r="J14" s="18">
        <f t="shared" si="2"/>
        <v>1.2238419372742888</v>
      </c>
      <c r="K14" s="18">
        <f t="shared" si="3"/>
        <v>0.069048452667454505</v>
      </c>
    </row>
    <row r="15">
      <c r="A15" s="2"/>
      <c r="B15" s="2"/>
      <c r="C15" s="2"/>
      <c r="D15" s="2"/>
      <c r="E15" s="15"/>
      <c r="F15" s="2" t="s">
        <v>31</v>
      </c>
      <c r="G15" s="2"/>
      <c r="H15" s="2"/>
      <c r="I15" s="2"/>
      <c r="J15" s="19">
        <f>J10/I10</f>
        <v>0.13453624047073712</v>
      </c>
      <c r="K15" s="2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K4" activeCellId="0" sqref="K4"/>
    </sheetView>
  </sheetViews>
  <sheetFormatPr defaultColWidth="12.5703125" defaultRowHeight="15" customHeight="1"/>
  <cols>
    <col bestFit="1" customWidth="1" min="2" max="2" width="7.00390625"/>
    <col bestFit="1" customWidth="1" min="3" max="3" width="6"/>
    <col bestFit="1" customWidth="1" min="4" max="4" width="15.5703125"/>
    <col bestFit="1" customWidth="1" min="5" max="5" width="14.7109375"/>
    <col bestFit="1" customWidth="1" min="6" max="6" width="14"/>
    <col bestFit="1" customWidth="1" min="7" max="7" width="14.28515625"/>
    <col bestFit="1" customWidth="1" min="8" max="8" width="8.85546875"/>
    <col bestFit="1" customWidth="1" min="9" max="9" width="13.85546875"/>
    <col bestFit="1" customWidth="1" min="10" max="10" width="13.140625"/>
    <col bestFit="1" customWidth="1" min="11" max="11" width="14.42578125"/>
    <col bestFit="1" customWidth="1" min="12" max="12" width="13.140625"/>
    <col bestFit="1" customWidth="1" min="13" max="13" width="17.5703125"/>
    <col bestFit="1" customWidth="1" min="14" max="14" width="10.140625"/>
  </cols>
  <sheetData>
    <row r="1">
      <c r="B1" s="20" t="s">
        <v>32</v>
      </c>
      <c r="C1" s="21" t="s">
        <v>33</v>
      </c>
      <c r="D1" s="21" t="s">
        <v>34</v>
      </c>
      <c r="E1" s="21" t="s">
        <v>35</v>
      </c>
      <c r="F1" s="21" t="s">
        <v>36</v>
      </c>
      <c r="G1" s="21" t="s">
        <v>37</v>
      </c>
      <c r="H1" s="21" t="s">
        <v>38</v>
      </c>
      <c r="I1" s="21" t="s">
        <v>39</v>
      </c>
      <c r="J1" s="21" t="s">
        <v>40</v>
      </c>
      <c r="K1" s="21" t="s">
        <v>41</v>
      </c>
      <c r="L1" s="21" t="s">
        <v>42</v>
      </c>
      <c r="M1" s="21" t="s">
        <v>43</v>
      </c>
      <c r="N1" s="22" t="s">
        <v>44</v>
      </c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>
      <c r="B2" s="24">
        <f t="shared" ref="B2:B8" si="5">SQRT(C2)</f>
        <v>0.38078865529319539</v>
      </c>
      <c r="C2" s="25">
        <v>0.14499999999999999</v>
      </c>
      <c r="D2" s="25">
        <v>0.029999999999999999</v>
      </c>
      <c r="E2" s="26">
        <v>2.7970000000000002e-05</v>
      </c>
      <c r="F2" s="27">
        <f>E2*0.15</f>
        <v>4.1954999999999999e-06</v>
      </c>
      <c r="G2" s="25">
        <v>0.014</v>
      </c>
      <c r="H2" s="25">
        <v>0.0080000000000000002</v>
      </c>
      <c r="I2" s="28">
        <f t="shared" ref="I2:I8" si="6">C2*E2</f>
        <v>4.0556499999999999e-06</v>
      </c>
      <c r="J2" s="28">
        <f t="shared" ref="J2:J8" si="7">I2*SQRT((D2/C2)^2 + (F2/E2)^2)</f>
        <v>1.0364243777315592e-06</v>
      </c>
      <c r="K2" s="28">
        <f t="shared" ref="K2:K8" si="8">I2*G2</f>
        <v>5.6779100000000001e-08</v>
      </c>
      <c r="L2" s="28">
        <f t="shared" ref="L2:L8" si="9">K2*SQRT((H2/G2)^2 + (J2/I2)^2)</f>
        <v>3.5541938596933971e-08</v>
      </c>
      <c r="M2" s="28">
        <f t="shared" ref="M2:M8" si="10">(2*3+1)/((2*0.5+1)*(2*5/2+1)) * I2/(1/G2+1)</f>
        <v>3.2663847797501645e-08</v>
      </c>
      <c r="N2" s="28">
        <f t="shared" ref="N2:N8" si="11">M2*SQRT((J2/I2)^2 + (H2/(1/G2+1))^2)</f>
        <v>8.3472714090174738e-09</v>
      </c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</row>
    <row r="3">
      <c r="B3" s="24">
        <f t="shared" si="5"/>
        <v>0.3872983346207417</v>
      </c>
      <c r="C3" s="25">
        <v>0.14999999999999999</v>
      </c>
      <c r="D3" s="25">
        <v>0.02</v>
      </c>
      <c r="E3" s="26">
        <v>2.7455000000000001e-05</v>
      </c>
      <c r="F3" s="27">
        <v>5.2104999999999997e-07</v>
      </c>
      <c r="G3" s="25">
        <v>0.017999999999999999</v>
      </c>
      <c r="H3" s="25">
        <v>0.0050000000000000001</v>
      </c>
      <c r="I3" s="28">
        <f t="shared" si="6"/>
        <v>4.1182499999999999e-06</v>
      </c>
      <c r="J3" s="28">
        <f t="shared" si="7"/>
        <v>5.546344785588523e-07</v>
      </c>
      <c r="K3" s="28">
        <f t="shared" si="8"/>
        <v>7.4128499999999988e-08</v>
      </c>
      <c r="L3" s="28">
        <f t="shared" si="9"/>
        <v>2.2883799153980634e-08</v>
      </c>
      <c r="M3" s="28">
        <f t="shared" si="10"/>
        <v>4.2477038310412577e-08</v>
      </c>
      <c r="N3" s="28">
        <f t="shared" si="11"/>
        <v>5.7206908444469863e-09</v>
      </c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</row>
    <row r="4">
      <c r="A4" t="s">
        <v>45</v>
      </c>
      <c r="B4" s="29">
        <f t="shared" si="5"/>
        <v>0.28284271247461901</v>
      </c>
      <c r="C4" s="2">
        <v>0.080000000000000002</v>
      </c>
      <c r="D4" s="2">
        <v>0.02</v>
      </c>
      <c r="E4" s="9">
        <v>2.758e-05</v>
      </c>
      <c r="F4" s="9">
        <f t="shared" ref="F4:F8" si="12">0.000005</f>
        <v>5.0000000000000004e-06</v>
      </c>
      <c r="G4" s="2">
        <v>0.014</v>
      </c>
      <c r="H4" s="2">
        <v>0.0080000000000000002</v>
      </c>
      <c r="I4" s="7">
        <f t="shared" si="6"/>
        <v>2.2064000000000002e-06</v>
      </c>
      <c r="J4" s="7">
        <f t="shared" si="7"/>
        <v>6.8136815305677454e-07</v>
      </c>
      <c r="K4" s="7">
        <f t="shared" si="8"/>
        <v>3.0889600000000005e-08</v>
      </c>
      <c r="L4" s="7">
        <f t="shared" si="9"/>
        <v>2.0063905980640959e-08</v>
      </c>
      <c r="M4" s="7">
        <f t="shared" si="10"/>
        <v>1.7770151216305065e-08</v>
      </c>
      <c r="N4" s="7">
        <f t="shared" si="11"/>
        <v>5.4876794272431526e-09</v>
      </c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</row>
    <row r="5" s="30" customFormat="1">
      <c r="A5" s="30" t="s">
        <v>46</v>
      </c>
      <c r="B5" s="31">
        <f t="shared" si="5"/>
        <v>0.28284271247461901</v>
      </c>
      <c r="C5" s="32">
        <v>0.080000000000000002</v>
      </c>
      <c r="D5" s="32">
        <v>0.02</v>
      </c>
      <c r="E5" s="33">
        <v>2.758e-05</v>
      </c>
      <c r="F5" s="33">
        <f t="shared" si="12"/>
        <v>5.0000000000000004e-06</v>
      </c>
      <c r="G5" s="32">
        <v>0.020799999999999999</v>
      </c>
      <c r="H5" s="32">
        <v>0.0080000000000000002</v>
      </c>
      <c r="I5" s="34">
        <f t="shared" si="6"/>
        <v>2.2064000000000002e-06</v>
      </c>
      <c r="J5" s="34">
        <f t="shared" si="7"/>
        <v>6.8136815305677454e-07</v>
      </c>
      <c r="K5" s="34">
        <f t="shared" si="8"/>
        <v>4.5893120000000005e-08</v>
      </c>
      <c r="L5" s="34">
        <f t="shared" si="9"/>
        <v>2.2636771311262571e-08</v>
      </c>
      <c r="M5" s="34">
        <f t="shared" si="10"/>
        <v>2.6225496342737725e-08</v>
      </c>
      <c r="N5" s="34">
        <f t="shared" si="11"/>
        <v>8.0988127699018375e-09</v>
      </c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</row>
    <row r="6">
      <c r="A6" t="s">
        <v>47</v>
      </c>
      <c r="B6" s="29">
        <f t="shared" si="5"/>
        <v>0.28284271247461901</v>
      </c>
      <c r="C6" s="2">
        <v>0.080000000000000002</v>
      </c>
      <c r="D6" s="2">
        <v>0.02</v>
      </c>
      <c r="E6" s="9">
        <v>2.758e-05</v>
      </c>
      <c r="F6" s="9">
        <f t="shared" si="12"/>
        <v>5.0000000000000004e-06</v>
      </c>
      <c r="G6" s="2">
        <v>0.024500000000000001</v>
      </c>
      <c r="H6" s="2">
        <v>0.0080000000000000002</v>
      </c>
      <c r="I6" s="7">
        <f t="shared" si="6"/>
        <v>2.2064000000000002e-06</v>
      </c>
      <c r="J6" s="7">
        <f t="shared" si="7"/>
        <v>6.8136815305677454e-07</v>
      </c>
      <c r="K6" s="7">
        <f t="shared" si="8"/>
        <v>5.4056800000000008e-08</v>
      </c>
      <c r="L6" s="7">
        <f t="shared" si="9"/>
        <v>2.4294823791910905e-08</v>
      </c>
      <c r="M6" s="7">
        <f t="shared" si="10"/>
        <v>3.0779046689442013e-08</v>
      </c>
      <c r="N6" s="7">
        <f t="shared" si="11"/>
        <v>9.5050155094374853e-09</v>
      </c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</row>
    <row r="7" s="36" customFormat="1">
      <c r="B7" s="37">
        <f t="shared" si="5"/>
        <v>0.28284271247461901</v>
      </c>
      <c r="C7" s="38">
        <v>0.080000000000000002</v>
      </c>
      <c r="D7" s="38">
        <v>0.02</v>
      </c>
      <c r="E7" s="39">
        <v>2.9300000000000001e-05</v>
      </c>
      <c r="F7" s="39">
        <f t="shared" si="12"/>
        <v>5.0000000000000004e-06</v>
      </c>
      <c r="G7" s="38">
        <v>0.020799999999999999</v>
      </c>
      <c r="H7" s="38">
        <v>0.0080000000000000002</v>
      </c>
      <c r="I7" s="40">
        <f t="shared" si="6"/>
        <v>2.3439999999999999e-06</v>
      </c>
      <c r="J7" s="40">
        <f>I7*SQRT((D7/C7)^2+(F7/E7)^2)</f>
        <v>7.0950405213782955e-07</v>
      </c>
      <c r="K7" s="40">
        <f t="shared" si="8"/>
        <v>4.8755199999999993e-08</v>
      </c>
      <c r="L7" s="40">
        <f>K7*SQRT((H7/G7)^2+(J7/I7)^2)</f>
        <v>2.3862664340764632e-08</v>
      </c>
      <c r="M7" s="40">
        <f>(2*3+1)/((2*0.5+1)*(2*5/2+1))*I7/(1/G7+1)</f>
        <v>2.7861024033437828e-08</v>
      </c>
      <c r="N7" s="40">
        <f>M7*SQRT((J7/I7)^2+(H7/(1/G7+1))^2)</f>
        <v>8.4332390422092981e-09</v>
      </c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</row>
    <row r="8">
      <c r="B8" s="29">
        <f t="shared" si="5"/>
        <v>0.28284271247461901</v>
      </c>
      <c r="C8" s="2">
        <v>0.080000000000000002</v>
      </c>
      <c r="D8" s="2">
        <v>0.02</v>
      </c>
      <c r="E8" s="9">
        <v>2.758e-05</v>
      </c>
      <c r="F8" s="9">
        <f t="shared" si="12"/>
        <v>5.0000000000000004e-06</v>
      </c>
      <c r="G8" s="2">
        <v>0.014</v>
      </c>
      <c r="H8" s="2">
        <v>0.0080000000000000002</v>
      </c>
      <c r="I8" s="7">
        <f t="shared" si="6"/>
        <v>2.2064000000000002e-06</v>
      </c>
      <c r="J8" s="7">
        <f t="shared" si="7"/>
        <v>6.8136815305677454e-07</v>
      </c>
      <c r="K8" s="7">
        <f t="shared" si="8"/>
        <v>3.0889600000000005e-08</v>
      </c>
      <c r="L8" s="7">
        <f t="shared" si="9"/>
        <v>2.0063905980640959e-08</v>
      </c>
      <c r="M8" s="7">
        <f t="shared" si="10"/>
        <v>1.7770151216305065e-08</v>
      </c>
      <c r="N8" s="7">
        <f t="shared" si="11"/>
        <v>5.4876794272431526e-09</v>
      </c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>
      <c r="B9" s="2"/>
      <c r="C9" s="2"/>
      <c r="D9" s="19">
        <f>D8/C8</f>
        <v>0.25</v>
      </c>
      <c r="E9" s="2"/>
      <c r="F9" s="19">
        <f>F8/E8</f>
        <v>0.18129079042784627</v>
      </c>
      <c r="G9" s="2"/>
      <c r="H9" s="19">
        <f>H8/G8</f>
        <v>0.5714285714285714</v>
      </c>
      <c r="I9" s="2"/>
      <c r="J9" s="19">
        <f>J8/I8</f>
        <v>0.30881442760006095</v>
      </c>
      <c r="K9" s="2"/>
      <c r="L9" s="19">
        <f>L8/K8</f>
        <v>0.64953595969649836</v>
      </c>
      <c r="M9" s="2"/>
      <c r="N9" s="19">
        <f>N8/M8</f>
        <v>0.30881444735303731</v>
      </c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</row>
    <row r="10">
      <c r="B10" s="29"/>
      <c r="C10" s="2"/>
      <c r="D10" s="2"/>
      <c r="E10" s="9"/>
      <c r="F10" s="9"/>
      <c r="G10" s="2"/>
      <c r="H10" s="2"/>
      <c r="I10" s="7">
        <v>2.9000000000000002e-06</v>
      </c>
      <c r="J10" s="7">
        <v>9.9999999999999995e-07</v>
      </c>
      <c r="K10" s="7">
        <v>9.2000000000000003e-08</v>
      </c>
      <c r="L10" s="7"/>
      <c r="M10" s="7">
        <f t="shared" ref="M10:M12" si="13">(2*3+1)/((2*0.5+1)*(2*5/2+1)) * I10*K10/(I10+K10)</f>
        <v>5.2016488413547237e-08</v>
      </c>
      <c r="N10" s="7" t="s">
        <v>48</v>
      </c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</row>
    <row r="11">
      <c r="B11" s="2"/>
      <c r="C11" s="2"/>
      <c r="D11" s="19"/>
      <c r="E11" s="2"/>
      <c r="F11" s="19"/>
      <c r="G11" s="2"/>
      <c r="H11" s="19"/>
      <c r="I11" s="7">
        <v>2.9000000000000002e-06</v>
      </c>
      <c r="J11" s="7">
        <v>9.9999999999999995e-07</v>
      </c>
      <c r="K11" s="7">
        <v>3.2999999999999998e-08</v>
      </c>
      <c r="L11" s="7"/>
      <c r="M11" s="7">
        <f t="shared" si="13"/>
        <v>1.9033412887828163e-08</v>
      </c>
      <c r="N11" s="2" t="s">
        <v>48</v>
      </c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</row>
    <row r="12">
      <c r="B12" s="23"/>
      <c r="C12" s="23"/>
      <c r="D12" s="23"/>
      <c r="E12" s="23"/>
      <c r="F12" s="23"/>
      <c r="G12" s="23"/>
      <c r="H12" s="23"/>
      <c r="I12" s="7">
        <v>2.2064000000000002e-06</v>
      </c>
      <c r="J12" s="7">
        <v>6.8136815305677454e-07</v>
      </c>
      <c r="K12" s="7">
        <v>3.0889600000000005e-08</v>
      </c>
      <c r="L12" s="7"/>
      <c r="M12" s="7">
        <f t="shared" si="13"/>
        <v>1.7770151216305068e-08</v>
      </c>
      <c r="N12" s="23" t="s">
        <v>49</v>
      </c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</row>
    <row r="13">
      <c r="B13" s="23"/>
      <c r="C13" s="23"/>
      <c r="D13" s="23"/>
      <c r="E13" s="23"/>
      <c r="F13" s="23"/>
      <c r="G13" s="23"/>
      <c r="H13" s="23"/>
      <c r="I13" s="7"/>
      <c r="J13" s="7"/>
      <c r="K13" s="7"/>
      <c r="L13" s="7"/>
      <c r="M13" s="7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</row>
    <row r="14"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</row>
    <row r="15"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</row>
    <row r="16"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</row>
    <row r="17"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</row>
    <row r="18"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</row>
    <row r="19"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</row>
    <row r="27"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</row>
    <row r="28"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</row>
    <row r="29"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</row>
    <row r="30"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</row>
    <row r="31"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</row>
    <row r="32"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</row>
    <row r="33"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</row>
    <row r="34"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</row>
    <row r="35"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</row>
    <row r="36"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</row>
    <row r="37"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</row>
    <row r="38"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</row>
    <row r="39"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</row>
    <row r="40"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</row>
    <row r="41"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</row>
    <row r="42"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</row>
    <row r="43"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</row>
    <row r="44"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</row>
    <row r="45"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</row>
    <row r="46"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</row>
    <row r="47"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</row>
    <row r="48"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</row>
    <row r="49"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</row>
    <row r="50"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</row>
    <row r="51"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</row>
    <row r="52"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</row>
    <row r="53"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</row>
    <row r="54"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</row>
    <row r="55"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</row>
    <row r="56"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</row>
    <row r="57"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</row>
    <row r="58"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</row>
    <row r="59"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</row>
    <row r="60"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</row>
    <row r="61"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</row>
    <row r="62"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</row>
    <row r="63"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</row>
    <row r="64"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</row>
    <row r="65"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</row>
    <row r="66"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</row>
    <row r="67"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</row>
    <row r="68"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</row>
    <row r="69"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</row>
    <row r="70"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r="72"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</row>
    <row r="73"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</row>
    <row r="74"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</row>
    <row r="75"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</row>
    <row r="76"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</row>
    <row r="77"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</row>
    <row r="78"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</row>
    <row r="79"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</row>
    <row r="80"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</row>
    <row r="81"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</row>
    <row r="82"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</row>
    <row r="83"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</row>
    <row r="84"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</row>
    <row r="85"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</row>
    <row r="86"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</row>
    <row r="87"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</row>
    <row r="88"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</row>
    <row r="89"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</row>
    <row r="90"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</row>
    <row r="91"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</row>
    <row r="92"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</row>
    <row r="93"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</row>
    <row r="94"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</row>
    <row r="95"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</row>
    <row r="96"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</row>
    <row r="97"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</row>
    <row r="98"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</row>
    <row r="99"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</row>
    <row r="100"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</row>
    <row r="101"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</row>
    <row r="102"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</row>
    <row r="103"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</row>
    <row r="104"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</row>
    <row r="105"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</row>
    <row r="106"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</row>
    <row r="107"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</row>
    <row r="108"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</row>
    <row r="109"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</row>
    <row r="110"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</row>
    <row r="111"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</row>
    <row r="112"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</row>
    <row r="113"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</row>
    <row r="114"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</row>
    <row r="115"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</row>
    <row r="116"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</row>
    <row r="117"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</row>
    <row r="118"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</row>
    <row r="119"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</row>
    <row r="120"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</row>
    <row r="121"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</row>
    <row r="122"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</row>
    <row r="123"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</row>
    <row r="124"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</row>
    <row r="125"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</row>
    <row r="126"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</row>
    <row r="127"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</row>
    <row r="128"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</row>
    <row r="129"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</row>
    <row r="130"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</row>
    <row r="131"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</row>
    <row r="132"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</row>
    <row r="133"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</row>
    <row r="134"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</row>
    <row r="135"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</row>
    <row r="136"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</row>
    <row r="137"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</row>
    <row r="138"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</row>
    <row r="139"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</row>
    <row r="140"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</row>
    <row r="141"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</row>
    <row r="142"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</row>
    <row r="143"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</row>
    <row r="144"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</row>
    <row r="145"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</row>
    <row r="146"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</row>
    <row r="147"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</row>
    <row r="148"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</row>
    <row r="149"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</row>
    <row r="150"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</row>
    <row r="151"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</row>
    <row r="152"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</row>
    <row r="153"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</row>
    <row r="154"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</row>
    <row r="155"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</row>
    <row r="156"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</row>
    <row r="157"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</row>
    <row r="158"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</row>
    <row r="159"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</row>
    <row r="160"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</row>
    <row r="161"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</row>
    <row r="162"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</row>
    <row r="163"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</row>
    <row r="164"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</row>
    <row r="165"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</row>
    <row r="166"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</row>
    <row r="167"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</row>
    <row r="168"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</row>
    <row r="169"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</row>
    <row r="170"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</row>
    <row r="171"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</row>
    <row r="172"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</row>
    <row r="173"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</row>
    <row r="174"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</row>
    <row r="175"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</row>
    <row r="176"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</row>
    <row r="177"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</row>
    <row r="178"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</row>
    <row r="179"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</row>
    <row r="180"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</row>
    <row r="181"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</row>
    <row r="182"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</row>
    <row r="183"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</row>
    <row r="184"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</row>
    <row r="185"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</row>
    <row r="186"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</row>
    <row r="187"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</row>
    <row r="188"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</row>
    <row r="189"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</row>
    <row r="190"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</row>
    <row r="191"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</row>
    <row r="192"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</row>
    <row r="193"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</row>
    <row r="194"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</row>
    <row r="195"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</row>
    <row r="196"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</row>
    <row r="197"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</row>
    <row r="198"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</row>
    <row r="199"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</row>
    <row r="200"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</row>
    <row r="201"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</row>
    <row r="202"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</row>
    <row r="203"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</row>
    <row r="204"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</row>
    <row r="205"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</row>
    <row r="206"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</row>
    <row r="207"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</row>
    <row r="208"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</row>
    <row r="209"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</row>
    <row r="210"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</row>
    <row r="211"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</row>
    <row r="212"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</row>
    <row r="213"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</row>
    <row r="214"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</row>
    <row r="215"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</row>
    <row r="216"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</row>
    <row r="217"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</row>
    <row r="218"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</row>
    <row r="219"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</row>
    <row r="220"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</row>
    <row r="221"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</row>
    <row r="222"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</row>
    <row r="223"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</row>
    <row r="224"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</row>
    <row r="225"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</row>
    <row r="226"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</row>
    <row r="227"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</row>
    <row r="228"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</row>
    <row r="229"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</row>
    <row r="230"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</row>
    <row r="231"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</row>
    <row r="232"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</row>
    <row r="233"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</row>
    <row r="234"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</row>
    <row r="235"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</row>
    <row r="236"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</row>
    <row r="237"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</row>
    <row r="238"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</row>
    <row r="239"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</row>
    <row r="240"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</row>
    <row r="241"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</row>
    <row r="242"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</row>
    <row r="243"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</row>
    <row r="244"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</row>
    <row r="245"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</row>
    <row r="246"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</row>
    <row r="247"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</row>
    <row r="248"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</row>
    <row r="249"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</row>
    <row r="250"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</row>
    <row r="251"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</row>
    <row r="252"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</row>
    <row r="253"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</row>
    <row r="254"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</row>
    <row r="255"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</row>
    <row r="256"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</row>
    <row r="257"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</row>
    <row r="258"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</row>
    <row r="259"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</row>
    <row r="260"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</row>
    <row r="261"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</row>
    <row r="262"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</row>
    <row r="263"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</row>
    <row r="264"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</row>
    <row r="265"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</row>
    <row r="266"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</row>
    <row r="267"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</row>
    <row r="268"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</row>
    <row r="269"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</row>
    <row r="270"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</row>
    <row r="271"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</row>
    <row r="272"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</row>
    <row r="273"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</row>
    <row r="274"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</row>
    <row r="275"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</row>
    <row r="276"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</row>
    <row r="277"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</row>
    <row r="278"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</row>
    <row r="279"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</row>
    <row r="280"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</row>
    <row r="281"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</row>
    <row r="282"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</row>
    <row r="283"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</row>
    <row r="284"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</row>
    <row r="285"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</row>
    <row r="286"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</row>
    <row r="287"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</row>
    <row r="288"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</row>
    <row r="289"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</row>
    <row r="290"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</row>
    <row r="291"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</row>
    <row r="292"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</row>
    <row r="293"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</row>
    <row r="294"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</row>
    <row r="295"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</row>
    <row r="296"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</row>
    <row r="297"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</row>
    <row r="298"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</row>
    <row r="299"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</row>
    <row r="300"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</row>
    <row r="301"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</row>
    <row r="302"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</row>
    <row r="303"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</row>
    <row r="304"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</row>
    <row r="305"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</row>
    <row r="306"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</row>
    <row r="307"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</row>
    <row r="308"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</row>
    <row r="309"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</row>
    <row r="310"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</row>
    <row r="311"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</row>
    <row r="312"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</row>
    <row r="313"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</row>
    <row r="314"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</row>
    <row r="315"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</row>
    <row r="316"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</row>
    <row r="317"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</row>
    <row r="318"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</row>
    <row r="319"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</row>
    <row r="320"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</row>
    <row r="321"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</row>
    <row r="322"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</row>
    <row r="323"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</row>
    <row r="324"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</row>
    <row r="325"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</row>
    <row r="326"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</row>
    <row r="327"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</row>
    <row r="328"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</row>
    <row r="329"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</row>
    <row r="330"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</row>
    <row r="331"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</row>
    <row r="332"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</row>
    <row r="333"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</row>
    <row r="334"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</row>
    <row r="335"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</row>
    <row r="336"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</row>
    <row r="337"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</row>
    <row r="338"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</row>
    <row r="339"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</row>
    <row r="340"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</row>
    <row r="341"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</row>
    <row r="342"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</row>
    <row r="343"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</row>
    <row r="344"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</row>
    <row r="345"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</row>
    <row r="346"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</row>
    <row r="347"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</row>
    <row r="348"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</row>
    <row r="349"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</row>
    <row r="350"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</row>
    <row r="351"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</row>
    <row r="352"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</row>
    <row r="353"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</row>
    <row r="354"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</row>
    <row r="355"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</row>
    <row r="356"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</row>
    <row r="357"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</row>
    <row r="358"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</row>
    <row r="359"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</row>
    <row r="360"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</row>
    <row r="361"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</row>
    <row r="362"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</row>
    <row r="363"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</row>
    <row r="364"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</row>
    <row r="365"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</row>
    <row r="366"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</row>
    <row r="367"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</row>
    <row r="368"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</row>
    <row r="369"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</row>
    <row r="370"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</row>
    <row r="371"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</row>
    <row r="372"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</row>
    <row r="373"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</row>
    <row r="374"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</row>
    <row r="375"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</row>
    <row r="376"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</row>
    <row r="377"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</row>
    <row r="378"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</row>
    <row r="379"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</row>
    <row r="380"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</row>
    <row r="381"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</row>
    <row r="382"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</row>
    <row r="383"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</row>
    <row r="384"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</row>
    <row r="385"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</row>
    <row r="386"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</row>
    <row r="387"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</row>
    <row r="388"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</row>
    <row r="389"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</row>
    <row r="390"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</row>
    <row r="391"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</row>
    <row r="392"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</row>
    <row r="393"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</row>
    <row r="394"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</row>
    <row r="395"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</row>
    <row r="396"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</row>
    <row r="397"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</row>
    <row r="398"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</row>
    <row r="399"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</row>
    <row r="400"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</row>
    <row r="401"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</row>
    <row r="402"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</row>
    <row r="403"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</row>
    <row r="404"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</row>
    <row r="405"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</row>
    <row r="406"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</row>
    <row r="407"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</row>
    <row r="408"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</row>
    <row r="409"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</row>
    <row r="410"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</row>
    <row r="411"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</row>
    <row r="412"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</row>
    <row r="413"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</row>
    <row r="414"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</row>
    <row r="415"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</row>
    <row r="416"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</row>
    <row r="417"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</row>
    <row r="418"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</row>
    <row r="419"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</row>
    <row r="420"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</row>
    <row r="421"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</row>
    <row r="422"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</row>
    <row r="423"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</row>
    <row r="424"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</row>
    <row r="425"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</row>
    <row r="426"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</row>
    <row r="427"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</row>
    <row r="428"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</row>
    <row r="429"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</row>
    <row r="430"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</row>
    <row r="431"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</row>
    <row r="432"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</row>
    <row r="433"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</row>
    <row r="434"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</row>
    <row r="435"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</row>
    <row r="436"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</row>
    <row r="437"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</row>
    <row r="438"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</row>
    <row r="439"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</row>
    <row r="440"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</row>
    <row r="441"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</row>
    <row r="442"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</row>
    <row r="443"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</row>
    <row r="444"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</row>
    <row r="445"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</row>
    <row r="446"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</row>
    <row r="447"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</row>
    <row r="448"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</row>
    <row r="449"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</row>
    <row r="450"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</row>
    <row r="451"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</row>
    <row r="452"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</row>
    <row r="453"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</row>
    <row r="454"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</row>
    <row r="455"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</row>
    <row r="456"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</row>
    <row r="457"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</row>
    <row r="458"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</row>
    <row r="459"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</row>
    <row r="460"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</row>
    <row r="461"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</row>
    <row r="462"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</row>
    <row r="463"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</row>
    <row r="464"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</row>
    <row r="465"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</row>
    <row r="466"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</row>
    <row r="467"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</row>
    <row r="468"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</row>
    <row r="469"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</row>
    <row r="470"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</row>
    <row r="471"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</row>
    <row r="472"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</row>
    <row r="473"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</row>
    <row r="474"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</row>
    <row r="475"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</row>
    <row r="476"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</row>
    <row r="477"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</row>
    <row r="478"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</row>
    <row r="479"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</row>
    <row r="480"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</row>
    <row r="481"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</row>
    <row r="482"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</row>
    <row r="483"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</row>
    <row r="484"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</row>
    <row r="485"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</row>
    <row r="486"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</row>
    <row r="487"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</row>
    <row r="488"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</row>
    <row r="489"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</row>
    <row r="490"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</row>
    <row r="491"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</row>
    <row r="492"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</row>
    <row r="493"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</row>
    <row r="494"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</row>
    <row r="495"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</row>
    <row r="496"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</row>
    <row r="497"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</row>
    <row r="498"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</row>
    <row r="499"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</row>
    <row r="500"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</row>
    <row r="501"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</row>
    <row r="502"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</row>
    <row r="503"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</row>
    <row r="504"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</row>
    <row r="505"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</row>
    <row r="506"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</row>
    <row r="507"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</row>
    <row r="508"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</row>
    <row r="509"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</row>
    <row r="510"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</row>
    <row r="511"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</row>
    <row r="512"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</row>
    <row r="513"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</row>
    <row r="514"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</row>
    <row r="515"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</row>
    <row r="516"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</row>
    <row r="517"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</row>
    <row r="518"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</row>
    <row r="519"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</row>
    <row r="520"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</row>
    <row r="521"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</row>
    <row r="522"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</row>
    <row r="523"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</row>
    <row r="524"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</row>
    <row r="525"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</row>
    <row r="526"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</row>
    <row r="527"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</row>
    <row r="528"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</row>
    <row r="529"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</row>
    <row r="530"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</row>
    <row r="531"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</row>
    <row r="532"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</row>
    <row r="533"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</row>
    <row r="534"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</row>
    <row r="535"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</row>
    <row r="536"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</row>
    <row r="537"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</row>
    <row r="538"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</row>
    <row r="539"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</row>
    <row r="540"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</row>
    <row r="541"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</row>
    <row r="542"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</row>
    <row r="543"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</row>
    <row r="544"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</row>
    <row r="545"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</row>
    <row r="546"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</row>
    <row r="547"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</row>
    <row r="548"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</row>
    <row r="549"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</row>
    <row r="550"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</row>
    <row r="551"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</row>
    <row r="552"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</row>
    <row r="553"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</row>
    <row r="554"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</row>
    <row r="555"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</row>
    <row r="556"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</row>
    <row r="557"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</row>
    <row r="558"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</row>
    <row r="559"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</row>
    <row r="560"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</row>
    <row r="561"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</row>
    <row r="562"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</row>
    <row r="563"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</row>
    <row r="564"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</row>
    <row r="565"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</row>
    <row r="566"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</row>
    <row r="567"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</row>
    <row r="568"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</row>
    <row r="569"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</row>
    <row r="570"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</row>
    <row r="571"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</row>
    <row r="572"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</row>
    <row r="573"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</row>
    <row r="574"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</row>
    <row r="575"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</row>
    <row r="576"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</row>
    <row r="577"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</row>
    <row r="578"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</row>
    <row r="579"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</row>
    <row r="580"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</row>
    <row r="581"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</row>
    <row r="582"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</row>
    <row r="583"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</row>
    <row r="584"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</row>
    <row r="585"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</row>
    <row r="586"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</row>
    <row r="587"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</row>
    <row r="588"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</row>
    <row r="589"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</row>
    <row r="590"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</row>
    <row r="591"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</row>
    <row r="592"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</row>
    <row r="593"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</row>
    <row r="594"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</row>
    <row r="595"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</row>
    <row r="596"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</row>
    <row r="597"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</row>
    <row r="598"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</row>
    <row r="599"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</row>
    <row r="600"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</row>
    <row r="601"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</row>
    <row r="602"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</row>
    <row r="603"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</row>
    <row r="604"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</row>
    <row r="605"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</row>
    <row r="606"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</row>
    <row r="607"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</row>
    <row r="608"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</row>
    <row r="609"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</row>
    <row r="610"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</row>
    <row r="611"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</row>
    <row r="612"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</row>
    <row r="613"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</row>
    <row r="614"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</row>
    <row r="615"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</row>
    <row r="616"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</row>
    <row r="617"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</row>
    <row r="618"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</row>
    <row r="619"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</row>
    <row r="620"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</row>
    <row r="621"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</row>
    <row r="622"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</row>
    <row r="623"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</row>
    <row r="624"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</row>
    <row r="625"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</row>
    <row r="626"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</row>
    <row r="627"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</row>
    <row r="628"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</row>
    <row r="629"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</row>
    <row r="630"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</row>
    <row r="631"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</row>
    <row r="632"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</row>
    <row r="633"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</row>
    <row r="634"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</row>
    <row r="635"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</row>
    <row r="636"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</row>
    <row r="637"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</row>
    <row r="638"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</row>
    <row r="639"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</row>
    <row r="640"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</row>
    <row r="641"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</row>
    <row r="642"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</row>
    <row r="643"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</row>
    <row r="644"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</row>
    <row r="645"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</row>
    <row r="646"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</row>
    <row r="647"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</row>
    <row r="648"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</row>
    <row r="649"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</row>
    <row r="650"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</row>
    <row r="651"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</row>
    <row r="652"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</row>
    <row r="653"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</row>
    <row r="654"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</row>
    <row r="655"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</row>
    <row r="656"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</row>
    <row r="657"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</row>
    <row r="658"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</row>
    <row r="659"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</row>
    <row r="660"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</row>
    <row r="661"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</row>
    <row r="662"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</row>
    <row r="663"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</row>
    <row r="664"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</row>
    <row r="665"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</row>
    <row r="666"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</row>
    <row r="667"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</row>
    <row r="668"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</row>
    <row r="669"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</row>
    <row r="670"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</row>
    <row r="671"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</row>
    <row r="672"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</row>
    <row r="673"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</row>
    <row r="674"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</row>
    <row r="675"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</row>
    <row r="676"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</row>
    <row r="677"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</row>
    <row r="678"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</row>
    <row r="679"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</row>
    <row r="680"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</row>
    <row r="681"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</row>
    <row r="682"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</row>
    <row r="683"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</row>
    <row r="684"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</row>
    <row r="685"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</row>
    <row r="686"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</row>
    <row r="687"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</row>
    <row r="688"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</row>
    <row r="689"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</row>
    <row r="690"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</row>
    <row r="691"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</row>
    <row r="692"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</row>
    <row r="693"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</row>
    <row r="694"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</row>
    <row r="695"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</row>
    <row r="696"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</row>
    <row r="697"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</row>
    <row r="698"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</row>
    <row r="699"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</row>
    <row r="700"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</row>
    <row r="701"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</row>
    <row r="702"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</row>
    <row r="703"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</row>
    <row r="704"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</row>
    <row r="705"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</row>
    <row r="706"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</row>
    <row r="707"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</row>
    <row r="708"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</row>
    <row r="709"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</row>
    <row r="710"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</row>
    <row r="711"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</row>
    <row r="712"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</row>
    <row r="713"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</row>
    <row r="714"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</row>
    <row r="715"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</row>
    <row r="716"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</row>
    <row r="717"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</row>
    <row r="718"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</row>
    <row r="719"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</row>
    <row r="720"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</row>
    <row r="721"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</row>
    <row r="722"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</row>
    <row r="723"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</row>
    <row r="724"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</row>
    <row r="725"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</row>
    <row r="726"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</row>
    <row r="727"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</row>
    <row r="728"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</row>
    <row r="729"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</row>
    <row r="730"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</row>
    <row r="731"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</row>
    <row r="732"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</row>
    <row r="733"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</row>
    <row r="734"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</row>
    <row r="735"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</row>
    <row r="736"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</row>
    <row r="737"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</row>
    <row r="738"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</row>
    <row r="739"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</row>
    <row r="740"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</row>
    <row r="741"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</row>
    <row r="742"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</row>
    <row r="743"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</row>
    <row r="744"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</row>
    <row r="745"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</row>
    <row r="746"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</row>
    <row r="747"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</row>
    <row r="748"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</row>
    <row r="749"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</row>
    <row r="750"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</row>
    <row r="751"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</row>
    <row r="752"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</row>
    <row r="753"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</row>
    <row r="754"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</row>
    <row r="755"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</row>
    <row r="756"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</row>
    <row r="757"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</row>
    <row r="758"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</row>
    <row r="759"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</row>
    <row r="760"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</row>
    <row r="761"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</row>
    <row r="762"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</row>
    <row r="763"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</row>
    <row r="764"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</row>
    <row r="765"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</row>
    <row r="766"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</row>
    <row r="767"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</row>
    <row r="768"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</row>
    <row r="769"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</row>
    <row r="770"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</row>
    <row r="771"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</row>
    <row r="772"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</row>
    <row r="773"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</row>
    <row r="774"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</row>
    <row r="775"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</row>
    <row r="776"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</row>
    <row r="777"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</row>
    <row r="778"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</row>
    <row r="779"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</row>
    <row r="780"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</row>
    <row r="781"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</row>
    <row r="782"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</row>
    <row r="783"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</row>
    <row r="784"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</row>
    <row r="785"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</row>
    <row r="786"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</row>
    <row r="787"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</row>
    <row r="788"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</row>
    <row r="789"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</row>
    <row r="790"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</row>
    <row r="791"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</row>
    <row r="792"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</row>
    <row r="793"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</row>
    <row r="794"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</row>
    <row r="795"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</row>
    <row r="796"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</row>
    <row r="797"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</row>
    <row r="798"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</row>
    <row r="799"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</row>
    <row r="800"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</row>
    <row r="801"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</row>
    <row r="802"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</row>
    <row r="803"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</row>
    <row r="804"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</row>
    <row r="805"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</row>
    <row r="806"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</row>
    <row r="807"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</row>
    <row r="808"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</row>
    <row r="809"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</row>
    <row r="810"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</row>
    <row r="811"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</row>
    <row r="812"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</row>
    <row r="813"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</row>
    <row r="814"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</row>
    <row r="815"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</row>
    <row r="816"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</row>
    <row r="817"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</row>
    <row r="818"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</row>
    <row r="819"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</row>
    <row r="820"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</row>
    <row r="821"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</row>
    <row r="822"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</row>
    <row r="823"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</row>
    <row r="824"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</row>
    <row r="825"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</row>
    <row r="826"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</row>
    <row r="827"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</row>
    <row r="828"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</row>
    <row r="829"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</row>
    <row r="830"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</row>
    <row r="831"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</row>
    <row r="832"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</row>
    <row r="833"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</row>
    <row r="834"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</row>
    <row r="835"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</row>
    <row r="836"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</row>
    <row r="837"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</row>
    <row r="838"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</row>
    <row r="839"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</row>
    <row r="840"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</row>
    <row r="841"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</row>
    <row r="842"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</row>
    <row r="843"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</row>
    <row r="844"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</row>
    <row r="845"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</row>
    <row r="846"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</row>
    <row r="847"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</row>
    <row r="848"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</row>
    <row r="849"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</row>
    <row r="850"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</row>
    <row r="851"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</row>
    <row r="852"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</row>
    <row r="853"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</row>
    <row r="854"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</row>
    <row r="855"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</row>
    <row r="856"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</row>
    <row r="857"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</row>
    <row r="858"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</row>
    <row r="859"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</row>
    <row r="860"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</row>
    <row r="861"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</row>
    <row r="862"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</row>
    <row r="863"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</row>
    <row r="864"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</row>
    <row r="865"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</row>
    <row r="866"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</row>
    <row r="867"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</row>
    <row r="868"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</row>
    <row r="869"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</row>
    <row r="870"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</row>
    <row r="871"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</row>
    <row r="872"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</row>
    <row r="873"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</row>
    <row r="874"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</row>
    <row r="875"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</row>
    <row r="876"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</row>
    <row r="877"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</row>
    <row r="878"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</row>
    <row r="879"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</row>
    <row r="880"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</row>
    <row r="881"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</row>
    <row r="882"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</row>
    <row r="883"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</row>
    <row r="884"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</row>
    <row r="885"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</row>
    <row r="886"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</row>
    <row r="887"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</row>
    <row r="888"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</row>
    <row r="889"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</row>
    <row r="890"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</row>
    <row r="891"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</row>
    <row r="892"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</row>
    <row r="893"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</row>
    <row r="894"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</row>
    <row r="895"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</row>
    <row r="896"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</row>
    <row r="897"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</row>
    <row r="898"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</row>
    <row r="899"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</row>
    <row r="900"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</row>
    <row r="901"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</row>
    <row r="902"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</row>
    <row r="903"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</row>
    <row r="904"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</row>
    <row r="905"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</row>
    <row r="906"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</row>
    <row r="907"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</row>
    <row r="908"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</row>
    <row r="909"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</row>
    <row r="910"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</row>
    <row r="911"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</row>
    <row r="912"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</row>
    <row r="913"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</row>
    <row r="914"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</row>
    <row r="915"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</row>
    <row r="916"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</row>
    <row r="917"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</row>
    <row r="918"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</row>
    <row r="919"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</row>
    <row r="920"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</row>
    <row r="921"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</row>
    <row r="922"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</row>
    <row r="923"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</row>
    <row r="924"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</row>
    <row r="925"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</row>
    <row r="926"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</row>
    <row r="927"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</row>
    <row r="928"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</row>
    <row r="929"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</row>
    <row r="930"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</row>
    <row r="931"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</row>
    <row r="932"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</row>
    <row r="933"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</row>
    <row r="934"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</row>
    <row r="935"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</row>
    <row r="936"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</row>
    <row r="937"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</row>
    <row r="938"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</row>
    <row r="939"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</row>
    <row r="940"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</row>
    <row r="941"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</row>
    <row r="942"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</row>
    <row r="943"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</row>
    <row r="944"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</row>
    <row r="945"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</row>
    <row r="946"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</row>
    <row r="947"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</row>
    <row r="948"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</row>
    <row r="949"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</row>
    <row r="950"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</row>
    <row r="951"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</row>
    <row r="952"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</row>
    <row r="953"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</row>
    <row r="954"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</row>
    <row r="955"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</row>
    <row r="956"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</row>
    <row r="957"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</row>
    <row r="958"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</row>
    <row r="959"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</row>
    <row r="960"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</row>
    <row r="961"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</row>
    <row r="962"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</row>
    <row r="963"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</row>
    <row r="964"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</row>
    <row r="965"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</row>
    <row r="966"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</row>
    <row r="967"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</row>
    <row r="968"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</row>
    <row r="969"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</row>
    <row r="970"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</row>
    <row r="971"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</row>
    <row r="972"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</row>
    <row r="973"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</row>
    <row r="974"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</row>
    <row r="975"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</row>
    <row r="976"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</row>
    <row r="977"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</row>
    <row r="978"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</row>
    <row r="979"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</row>
    <row r="980"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</row>
    <row r="981"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</row>
    <row r="982"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</row>
    <row r="983"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</row>
    <row r="984"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</row>
    <row r="985"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</row>
    <row r="986"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</row>
    <row r="987"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</row>
    <row r="988"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</row>
    <row r="989"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</row>
    <row r="990"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</row>
    <row r="991"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</row>
    <row r="992"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</row>
    <row r="993"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</row>
    <row r="994"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</row>
    <row r="995"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</row>
    <row r="996"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</row>
    <row r="997"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</row>
    <row r="998"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</row>
    <row r="999"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</row>
    <row r="1000"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</row>
    <row r="1001"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  <c r="AA1001" s="23"/>
    </row>
    <row r="1002"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M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  <c r="X1002" s="23"/>
      <c r="Y1002" s="23"/>
      <c r="Z1002" s="23"/>
      <c r="AA1002" s="23"/>
    </row>
    <row r="1003"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M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  <c r="X1003" s="23"/>
      <c r="Y1003" s="23"/>
      <c r="Z1003" s="23"/>
      <c r="AA1003" s="23"/>
    </row>
    <row r="1004"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M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  <c r="X1004" s="23"/>
      <c r="Y1004" s="23"/>
      <c r="Z1004" s="23"/>
      <c r="AA1004" s="23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K4" activeCellId="0" sqref="K4"/>
    </sheetView>
  </sheetViews>
  <sheetFormatPr defaultColWidth="12.5703125" defaultRowHeight="15" customHeight="1"/>
  <cols>
    <col bestFit="1" customWidth="1" min="2" max="2" width="7.00390625"/>
    <col bestFit="1" customWidth="1" min="3" max="3" width="6"/>
    <col bestFit="1" customWidth="1" min="4" max="4" width="11.7109375"/>
    <col bestFit="1" customWidth="1" min="5" max="5" width="15.5703125"/>
    <col bestFit="1" customWidth="1" min="6" max="6" width="14.7109375"/>
    <col bestFit="1" customWidth="1" min="7" max="7" width="17.8515625"/>
    <col bestFit="1" customWidth="1" min="8" max="8" width="17.28125"/>
    <col bestFit="1" customWidth="1" min="9" max="9" width="14.28515625"/>
    <col bestFit="1" customWidth="1" min="10" max="10" width="8.85546875"/>
    <col bestFit="1" customWidth="1" min="11" max="11" width="13.85546875"/>
    <col bestFit="1" customWidth="1" min="12" max="12" width="13.140625"/>
    <col bestFit="1" customWidth="1" min="13" max="13" width="14.42578125"/>
    <col bestFit="1" customWidth="1" min="14" max="14" width="13.140625"/>
    <col bestFit="1" customWidth="1" min="15" max="15" width="17.5703125"/>
    <col bestFit="1" customWidth="1" min="16" max="16" width="10.140625"/>
  </cols>
  <sheetData>
    <row r="1">
      <c r="B1" s="20" t="s">
        <v>32</v>
      </c>
      <c r="C1" s="21" t="s">
        <v>33</v>
      </c>
      <c r="D1" s="21" t="s">
        <v>50</v>
      </c>
      <c r="E1" s="21" t="s">
        <v>51</v>
      </c>
      <c r="F1" s="21" t="s">
        <v>35</v>
      </c>
      <c r="G1" s="21" t="s">
        <v>52</v>
      </c>
      <c r="H1" s="21" t="s">
        <v>53</v>
      </c>
      <c r="I1" s="21" t="s">
        <v>37</v>
      </c>
      <c r="J1" s="21" t="s">
        <v>38</v>
      </c>
      <c r="K1" s="21" t="s">
        <v>39</v>
      </c>
      <c r="L1" s="21" t="s">
        <v>40</v>
      </c>
      <c r="M1" s="21" t="s">
        <v>41</v>
      </c>
      <c r="N1" s="21" t="s">
        <v>42</v>
      </c>
      <c r="O1" s="21" t="s">
        <v>43</v>
      </c>
      <c r="P1" s="22" t="s">
        <v>44</v>
      </c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</row>
    <row r="2">
      <c r="B2" s="24">
        <f>SQRT(C2)</f>
        <v>0.38078865529319539</v>
      </c>
      <c r="C2" s="25">
        <v>0.14499999999999999</v>
      </c>
      <c r="D2" s="25"/>
      <c r="E2" s="25">
        <v>0.029999999999999999</v>
      </c>
      <c r="F2" s="26">
        <v>2.7970000000000002e-05</v>
      </c>
      <c r="G2" s="26"/>
      <c r="H2" s="27">
        <f>F2*0.15</f>
        <v>4.1954999999999999e-06</v>
      </c>
      <c r="I2" s="25">
        <v>0.014</v>
      </c>
      <c r="J2" s="25">
        <v>0.0080000000000000002</v>
      </c>
      <c r="K2" s="28">
        <f>C2*F2</f>
        <v>4.0556499999999999e-06</v>
      </c>
      <c r="L2" s="28">
        <f>K2*SQRT((E2/C2)^2+(H2/F2)^2)</f>
        <v>1.0364243777315592e-06</v>
      </c>
      <c r="M2" s="28">
        <f>K2*I2</f>
        <v>5.6779100000000001e-08</v>
      </c>
      <c r="N2" s="28">
        <f>M2*SQRT((J2/I2)^2+(L2/K2)^2)</f>
        <v>3.5541938596933971e-08</v>
      </c>
      <c r="O2" s="28">
        <f>(2*3+1)/((2*0.5+1)*(2*5/2+1))*K2/(1/I2+1)</f>
        <v>3.2663847797501645e-08</v>
      </c>
      <c r="P2" s="28">
        <f>O2*SQRT((L2/K2)^2+(J2/(1/I2+1))^2)</f>
        <v>8.3472714090174738e-09</v>
      </c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</row>
    <row r="3">
      <c r="B3" s="24">
        <f>SQRT(C3)</f>
        <v>0.3872983346207417</v>
      </c>
      <c r="C3" s="25">
        <v>0.14999999999999999</v>
      </c>
      <c r="D3" s="25"/>
      <c r="E3" s="25">
        <v>0.02</v>
      </c>
      <c r="F3" s="26">
        <v>2.7455000000000001e-05</v>
      </c>
      <c r="G3" s="26"/>
      <c r="H3" s="27">
        <v>5.2104999999999997e-07</v>
      </c>
      <c r="I3" s="25">
        <v>0.017999999999999999</v>
      </c>
      <c r="J3" s="25">
        <v>0.0050000000000000001</v>
      </c>
      <c r="K3" s="28">
        <f>C3*F3</f>
        <v>4.1182499999999999e-06</v>
      </c>
      <c r="L3" s="28">
        <f>K3*SQRT((E3/C3)^2+(H3/F3)^2)</f>
        <v>5.546344785588523e-07</v>
      </c>
      <c r="M3" s="28">
        <f>K3*I3</f>
        <v>7.4128499999999988e-08</v>
      </c>
      <c r="N3" s="28">
        <f>M3*SQRT((J3/I3)^2+(L3/K3)^2)</f>
        <v>2.2883799153980634e-08</v>
      </c>
      <c r="O3" s="28">
        <f>(2*3+1)/((2*0.5+1)*(2*5/2+1))*K3/(1/I3+1)</f>
        <v>4.2477038310412577e-08</v>
      </c>
      <c r="P3" s="28">
        <f>O3*SQRT((L3/K3)^2+(J3/(1/I3+1))^2)</f>
        <v>5.7206908444469863e-09</v>
      </c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</row>
    <row r="4">
      <c r="A4" t="s">
        <v>45</v>
      </c>
      <c r="B4" s="29">
        <f>SQRT(C4)</f>
        <v>0.28284271247461901</v>
      </c>
      <c r="C4" s="2">
        <v>0.080000000000000002</v>
      </c>
      <c r="D4" s="2"/>
      <c r="E4" s="2">
        <v>0.02</v>
      </c>
      <c r="F4" s="9">
        <v>2.758e-05</v>
      </c>
      <c r="G4" s="9"/>
      <c r="H4" s="9">
        <f>0.000005</f>
        <v>5.0000000000000004e-06</v>
      </c>
      <c r="I4" s="2">
        <v>0.014</v>
      </c>
      <c r="J4" s="2">
        <v>0.0080000000000000002</v>
      </c>
      <c r="K4" s="7">
        <f>C4*F4</f>
        <v>2.2064000000000002e-06</v>
      </c>
      <c r="L4" s="7">
        <f>K4*SQRT((E4/C4)^2+(H4/F4)^2)</f>
        <v>6.8136815305677454e-07</v>
      </c>
      <c r="M4" s="7">
        <f>K4*I4</f>
        <v>3.0889600000000005e-08</v>
      </c>
      <c r="N4" s="7">
        <f>M4*SQRT((J4/I4)^2+(L4/K4)^2)</f>
        <v>2.0063905980640959e-08</v>
      </c>
      <c r="O4" s="7">
        <f>(2*3+1)/((2*0.5+1)*(2*5/2+1))*K4/(1/I4+1)</f>
        <v>1.7770151216305065e-08</v>
      </c>
      <c r="P4" s="7">
        <f>O4*SQRT((L4/K4)^2+(J4/(1/I4+1))^2)</f>
        <v>5.4876794272431526e-09</v>
      </c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</row>
    <row r="5" s="30" customFormat="1">
      <c r="A5" s="30" t="s">
        <v>46</v>
      </c>
      <c r="B5" s="31">
        <f>SQRT(C5)</f>
        <v>0.28284271247461901</v>
      </c>
      <c r="C5" s="32">
        <v>0.080000000000000002</v>
      </c>
      <c r="D5" s="32"/>
      <c r="E5" s="32">
        <v>0.02</v>
      </c>
      <c r="F5" s="33">
        <v>2.758e-05</v>
      </c>
      <c r="G5" s="33"/>
      <c r="H5" s="33">
        <f>0.000005</f>
        <v>5.0000000000000004e-06</v>
      </c>
      <c r="I5" s="32">
        <v>0.020799999999999999</v>
      </c>
      <c r="J5" s="32">
        <v>0.0080000000000000002</v>
      </c>
      <c r="K5" s="34">
        <f>C5*F5</f>
        <v>2.2064000000000002e-06</v>
      </c>
      <c r="L5" s="34">
        <f>K5*SQRT((E5/C5)^2+(H5/F5)^2)</f>
        <v>6.8136815305677454e-07</v>
      </c>
      <c r="M5" s="34">
        <f>K5*I5</f>
        <v>4.5893120000000005e-08</v>
      </c>
      <c r="N5" s="34">
        <f>M5*SQRT((J5/I5)^2+(L5/K5)^2)</f>
        <v>2.2636771311262571e-08</v>
      </c>
      <c r="O5" s="34">
        <f>(2*3+1)/((2*0.5+1)*(2*5/2+1))*K5/(1/I5+1)</f>
        <v>2.6225496342737725e-08</v>
      </c>
      <c r="P5" s="34">
        <f>O5*SQRT((L5/K5)^2+(J5/(1/I5+1))^2)</f>
        <v>8.0988127699018375e-09</v>
      </c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</row>
    <row r="6">
      <c r="A6" t="s">
        <v>47</v>
      </c>
      <c r="B6" s="29">
        <f>SQRT(C6)</f>
        <v>0.28284271247461901</v>
      </c>
      <c r="C6" s="2">
        <v>0.080000000000000002</v>
      </c>
      <c r="D6" s="2"/>
      <c r="E6" s="2">
        <v>0.02</v>
      </c>
      <c r="F6" s="9">
        <v>2.758e-05</v>
      </c>
      <c r="G6" s="9"/>
      <c r="H6" s="9">
        <f>0.000005</f>
        <v>5.0000000000000004e-06</v>
      </c>
      <c r="I6" s="2">
        <v>0.024500000000000001</v>
      </c>
      <c r="J6" s="2">
        <v>0.0080000000000000002</v>
      </c>
      <c r="K6" s="7">
        <f>C6*F6</f>
        <v>2.2064000000000002e-06</v>
      </c>
      <c r="L6" s="7">
        <f>K6*SQRT((E6/C6)^2+(H6/F6)^2)</f>
        <v>6.8136815305677454e-07</v>
      </c>
      <c r="M6" s="7">
        <f>K6*I6</f>
        <v>5.4056800000000008e-08</v>
      </c>
      <c r="N6" s="7">
        <f>M6*SQRT((J6/I6)^2+(L6/K6)^2)</f>
        <v>2.4294823791910905e-08</v>
      </c>
      <c r="O6" s="7">
        <f>(2*3+1)/((2*0.5+1)*(2*5/2+1))*K6/(1/I6+1)</f>
        <v>3.0779046689442013e-08</v>
      </c>
      <c r="P6" s="7">
        <f>O6*SQRT((L6/K6)^2+(J6/(1/I6+1))^2)</f>
        <v>9.5050155094374853e-09</v>
      </c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</row>
    <row r="7" s="36" customFormat="1">
      <c r="B7" s="37">
        <f>SQRT(C7)</f>
        <v>0.28284271247461901</v>
      </c>
      <c r="C7" s="38">
        <v>0.080000000000000002</v>
      </c>
      <c r="D7" s="38"/>
      <c r="E7" s="38">
        <v>0.02</v>
      </c>
      <c r="F7" s="39">
        <v>2.9300000000000001e-05</v>
      </c>
      <c r="G7" s="39"/>
      <c r="H7" s="39">
        <f>0.000005</f>
        <v>5.0000000000000004e-06</v>
      </c>
      <c r="I7" s="38">
        <v>0.020799999999999999</v>
      </c>
      <c r="J7" s="38">
        <v>0.0080000000000000002</v>
      </c>
      <c r="K7" s="40">
        <f>C7*F7</f>
        <v>2.3439999999999999e-06</v>
      </c>
      <c r="L7" s="40">
        <f>K7*SQRT((E7/C7)^2+(H7/F7)^2)</f>
        <v>7.0950405213782955e-07</v>
      </c>
      <c r="M7" s="40">
        <f>K7*I7</f>
        <v>4.8755199999999993e-08</v>
      </c>
      <c r="N7" s="40">
        <f>M7*SQRT((J7/I7)^2+(L7/K7)^2)</f>
        <v>2.3862664340764632e-08</v>
      </c>
      <c r="O7" s="40">
        <f>(2*3+1)/((2*0.5+1)*(2*5/2+1))*K7/(1/I7+1)</f>
        <v>2.7861024033437828e-08</v>
      </c>
      <c r="P7" s="40">
        <f>O7*SQRT((L7/K7)^2+(J7/(1/I7+1))^2)</f>
        <v>8.4332390422092981e-09</v>
      </c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</row>
    <row r="8">
      <c r="B8" s="29">
        <f>SQRT(C8)</f>
        <v>0.28284271247461901</v>
      </c>
      <c r="C8" s="2">
        <v>0.080000000000000002</v>
      </c>
      <c r="D8" s="2"/>
      <c r="E8" s="2">
        <v>0.02</v>
      </c>
      <c r="F8" s="9">
        <v>2.758e-05</v>
      </c>
      <c r="G8" s="9"/>
      <c r="H8" s="9">
        <f>0.000005</f>
        <v>5.0000000000000004e-06</v>
      </c>
      <c r="I8" s="2">
        <v>0.014</v>
      </c>
      <c r="J8" s="2">
        <v>0.0080000000000000002</v>
      </c>
      <c r="K8" s="7">
        <f>C8*F8</f>
        <v>2.2064000000000002e-06</v>
      </c>
      <c r="L8" s="7">
        <f>K8*SQRT((E8/C8)^2+(H8/F8)^2)</f>
        <v>6.8136815305677454e-07</v>
      </c>
      <c r="M8" s="7">
        <f>K8*I8</f>
        <v>3.0889600000000005e-08</v>
      </c>
      <c r="N8" s="7">
        <f>M8*SQRT((J8/I8)^2+(L8/K8)^2)</f>
        <v>2.0063905980640959e-08</v>
      </c>
      <c r="O8" s="7">
        <f>(2*3+1)/((2*0.5+1)*(2*5/2+1))*K8/(1/I8+1)</f>
        <v>1.7770151216305065e-08</v>
      </c>
      <c r="P8" s="7">
        <f>O8*SQRT((L8/K8)^2+(J8/(1/I8+1))^2)</f>
        <v>5.4876794272431526e-09</v>
      </c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</row>
    <row r="9">
      <c r="B9" s="2"/>
      <c r="C9" s="2"/>
      <c r="D9" s="2"/>
      <c r="E9" s="19">
        <f>E8/C8</f>
        <v>0.25</v>
      </c>
      <c r="F9" s="2"/>
      <c r="G9" s="2"/>
      <c r="H9" s="19">
        <f>H8/F8</f>
        <v>0.18129079042784627</v>
      </c>
      <c r="I9" s="2"/>
      <c r="J9" s="19">
        <f>J8/I8</f>
        <v>0.5714285714285714</v>
      </c>
      <c r="K9" s="2"/>
      <c r="L9" s="19">
        <f>L8/K8</f>
        <v>0.30881442760006095</v>
      </c>
      <c r="M9" s="2"/>
      <c r="N9" s="19">
        <f>N8/M8</f>
        <v>0.64953595969649836</v>
      </c>
      <c r="O9" s="2"/>
      <c r="P9" s="19">
        <f>P8/O8</f>
        <v>0.30881444735303731</v>
      </c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</row>
    <row r="10">
      <c r="B10" s="29"/>
      <c r="C10" s="2"/>
      <c r="D10" s="2"/>
      <c r="E10" s="2"/>
      <c r="F10" s="9"/>
      <c r="G10" s="9"/>
      <c r="H10" s="9"/>
      <c r="I10" s="2"/>
      <c r="J10" s="2"/>
      <c r="K10" s="7">
        <v>2.9000000000000002e-06</v>
      </c>
      <c r="L10" s="7">
        <v>9.9999999999999995e-07</v>
      </c>
      <c r="M10" s="7">
        <v>9.2000000000000003e-08</v>
      </c>
      <c r="N10" s="7"/>
      <c r="O10" s="7">
        <f>(2*3+1)/((2*0.5+1)*(2*5/2+1))*K10*M10/(K10+M10)</f>
        <v>5.2016488413547237e-08</v>
      </c>
      <c r="P10" s="7" t="s">
        <v>48</v>
      </c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</row>
    <row r="11">
      <c r="B11" s="2"/>
      <c r="C11" s="2"/>
      <c r="D11" s="2"/>
      <c r="E11" s="19"/>
      <c r="F11" s="2"/>
      <c r="G11" s="2"/>
      <c r="H11" s="19"/>
      <c r="I11" s="2"/>
      <c r="J11" s="19"/>
      <c r="K11" s="7">
        <v>2.9000000000000002e-06</v>
      </c>
      <c r="L11" s="7">
        <v>9.9999999999999995e-07</v>
      </c>
      <c r="M11" s="7">
        <v>3.2999999999999998e-08</v>
      </c>
      <c r="N11" s="7"/>
      <c r="O11" s="7">
        <f>(2*3+1)/((2*0.5+1)*(2*5/2+1))*K11*M11/(K11+M11)</f>
        <v>1.9033412887828163e-08</v>
      </c>
      <c r="P11" s="2" t="s">
        <v>48</v>
      </c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</row>
    <row r="12">
      <c r="B12" s="23"/>
      <c r="C12" s="23"/>
      <c r="D12" s="23"/>
      <c r="E12" s="23"/>
      <c r="F12" s="23"/>
      <c r="G12" s="23"/>
      <c r="H12" s="23"/>
      <c r="I12" s="23"/>
      <c r="J12" s="23"/>
      <c r="K12" s="7">
        <v>2.2064000000000002e-06</v>
      </c>
      <c r="L12" s="7">
        <v>6.8136815305677454e-07</v>
      </c>
      <c r="M12" s="7">
        <v>3.0889600000000005e-08</v>
      </c>
      <c r="N12" s="7"/>
      <c r="O12" s="7">
        <f>(2*3+1)/((2*0.5+1)*(2*5/2+1))*K12*M12/(K12+M12)</f>
        <v>1.7770151216305068e-08</v>
      </c>
      <c r="P12" s="23" t="s">
        <v>49</v>
      </c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</row>
    <row r="13">
      <c r="B13" s="23"/>
      <c r="C13" s="23"/>
      <c r="D13" s="23"/>
      <c r="E13" s="23"/>
      <c r="F13" s="23"/>
      <c r="G13" s="23"/>
      <c r="H13" s="23"/>
      <c r="I13" s="23"/>
      <c r="J13" s="23"/>
      <c r="K13" s="7"/>
      <c r="L13" s="7"/>
      <c r="M13" s="7"/>
      <c r="N13" s="7"/>
      <c r="O13" s="7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</row>
    <row r="14"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</row>
    <row r="15"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</row>
    <row r="16"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</row>
    <row r="17"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</row>
    <row r="18"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</row>
    <row r="19"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</row>
    <row r="20"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</row>
    <row r="21"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</row>
    <row r="22"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</row>
    <row r="23"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</row>
    <row r="24"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</row>
    <row r="25"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</row>
    <row r="26"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</row>
    <row r="27"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</row>
    <row r="28"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</row>
    <row r="29"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</row>
    <row r="30"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</row>
    <row r="31"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</row>
    <row r="32"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</row>
    <row r="33"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</row>
    <row r="34"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</row>
    <row r="35"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</row>
    <row r="36"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</row>
    <row r="37"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</row>
    <row r="38"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</row>
    <row r="39"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</row>
    <row r="40"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</row>
    <row r="41"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</row>
    <row r="42"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</row>
    <row r="43"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</row>
    <row r="44"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</row>
    <row r="45"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</row>
    <row r="46"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</row>
    <row r="47"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</row>
    <row r="48"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</row>
    <row r="49"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</row>
    <row r="50"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</row>
    <row r="51"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</row>
    <row r="52"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</row>
    <row r="53"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</row>
    <row r="54"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</row>
    <row r="55"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</row>
    <row r="56"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</row>
    <row r="57"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</row>
    <row r="58"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</row>
    <row r="59"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</row>
    <row r="60"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</row>
    <row r="61"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</row>
    <row r="62"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</row>
    <row r="63"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</row>
    <row r="64"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</row>
    <row r="65"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</row>
    <row r="66"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</row>
    <row r="67"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</row>
    <row r="68"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</row>
    <row r="69"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</row>
    <row r="70"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</row>
    <row r="71"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</row>
    <row r="72"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</row>
    <row r="73"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</row>
    <row r="74"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</row>
    <row r="75"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</row>
    <row r="76"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</row>
    <row r="77"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</row>
    <row r="78"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</row>
    <row r="79"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</row>
    <row r="80"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</row>
    <row r="81"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</row>
    <row r="82"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</row>
    <row r="83"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</row>
    <row r="84"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</row>
    <row r="85"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</row>
    <row r="86"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</row>
    <row r="87"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</row>
    <row r="88"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</row>
    <row r="89"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</row>
    <row r="90"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</row>
    <row r="91"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</row>
    <row r="92"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</row>
    <row r="93"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</row>
    <row r="94"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</row>
    <row r="95"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</row>
    <row r="96"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</row>
    <row r="97"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</row>
    <row r="98"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</row>
    <row r="99"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</row>
    <row r="100"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</row>
    <row r="101"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</row>
    <row r="102"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</row>
    <row r="103"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</row>
    <row r="104"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</row>
    <row r="105"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</row>
    <row r="106"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</row>
    <row r="107"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</row>
    <row r="108"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</row>
    <row r="109"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</row>
    <row r="110"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</row>
    <row r="111"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</row>
    <row r="112"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</row>
    <row r="113"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</row>
    <row r="114"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</row>
    <row r="115"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</row>
    <row r="116"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</row>
    <row r="117"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</row>
    <row r="118"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</row>
    <row r="119"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</row>
    <row r="120"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</row>
    <row r="121"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</row>
    <row r="122"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</row>
    <row r="123"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</row>
    <row r="124"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</row>
    <row r="125"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</row>
    <row r="126"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</row>
    <row r="127"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</row>
    <row r="128"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</row>
    <row r="129"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</row>
    <row r="130"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</row>
    <row r="131"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</row>
    <row r="132"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</row>
    <row r="133"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</row>
    <row r="134"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</row>
    <row r="135"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</row>
    <row r="136"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</row>
    <row r="137"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</row>
    <row r="138"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</row>
    <row r="139"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</row>
    <row r="140"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</row>
    <row r="141"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</row>
    <row r="142"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</row>
    <row r="143"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</row>
    <row r="144"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</row>
    <row r="145"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</row>
    <row r="146"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</row>
    <row r="147"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</row>
    <row r="148"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</row>
    <row r="149"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</row>
    <row r="150"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</row>
    <row r="151"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</row>
    <row r="152"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</row>
    <row r="153"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</row>
    <row r="154"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</row>
    <row r="155"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</row>
    <row r="156"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</row>
    <row r="157"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</row>
    <row r="158"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</row>
    <row r="159"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</row>
    <row r="160"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</row>
    <row r="161"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</row>
    <row r="162"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</row>
    <row r="163"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</row>
    <row r="164"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</row>
    <row r="165"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</row>
    <row r="166"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</row>
    <row r="167"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</row>
    <row r="168"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</row>
    <row r="169"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</row>
    <row r="170"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</row>
    <row r="171"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</row>
    <row r="172"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</row>
    <row r="173"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</row>
    <row r="174"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</row>
    <row r="175"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</row>
    <row r="176"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</row>
    <row r="177"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</row>
    <row r="178"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</row>
    <row r="179"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</row>
    <row r="180"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</row>
    <row r="181"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</row>
    <row r="182"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</row>
    <row r="183"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</row>
    <row r="184"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</row>
    <row r="185"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</row>
    <row r="186"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</row>
    <row r="187"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</row>
    <row r="188"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</row>
    <row r="189"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</row>
    <row r="190"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</row>
    <row r="191"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</row>
    <row r="192"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</row>
    <row r="193"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</row>
    <row r="194"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</row>
    <row r="195"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</row>
    <row r="196"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</row>
    <row r="197"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</row>
    <row r="198"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</row>
    <row r="199"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</row>
    <row r="200"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</row>
    <row r="201"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</row>
    <row r="202"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</row>
    <row r="203"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</row>
    <row r="204"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</row>
    <row r="205"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</row>
    <row r="206"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</row>
    <row r="207"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</row>
    <row r="208"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</row>
    <row r="209"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</row>
    <row r="210"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</row>
    <row r="211"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</row>
    <row r="212"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</row>
    <row r="213"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</row>
    <row r="214"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</row>
    <row r="215"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</row>
    <row r="216"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</row>
    <row r="217"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</row>
    <row r="218"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</row>
    <row r="219"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</row>
    <row r="220"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</row>
    <row r="221"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</row>
    <row r="222"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</row>
    <row r="223"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</row>
    <row r="224"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</row>
    <row r="225"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</row>
    <row r="226"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</row>
    <row r="227"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</row>
    <row r="228"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</row>
    <row r="229"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</row>
    <row r="230"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</row>
    <row r="231"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</row>
    <row r="232"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</row>
    <row r="233"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</row>
    <row r="234"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</row>
    <row r="235"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</row>
    <row r="236"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</row>
    <row r="237"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</row>
    <row r="238"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</row>
    <row r="239"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</row>
    <row r="240"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</row>
    <row r="241"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</row>
    <row r="242"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</row>
    <row r="243"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</row>
    <row r="244"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</row>
    <row r="245"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</row>
    <row r="246"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</row>
    <row r="247"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</row>
    <row r="248"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</row>
    <row r="249"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</row>
    <row r="250"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</row>
    <row r="251"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</row>
    <row r="252"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</row>
    <row r="253"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</row>
    <row r="254"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</row>
    <row r="255"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</row>
    <row r="256"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</row>
    <row r="257"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</row>
    <row r="258"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</row>
    <row r="259"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</row>
    <row r="260"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</row>
    <row r="261"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</row>
    <row r="262"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</row>
    <row r="263"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</row>
    <row r="264"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</row>
    <row r="265"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</row>
    <row r="266"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</row>
    <row r="267"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</row>
    <row r="268"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</row>
    <row r="269"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</row>
    <row r="270"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</row>
    <row r="271"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</row>
    <row r="272"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</row>
    <row r="273"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</row>
    <row r="274"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</row>
    <row r="275"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</row>
    <row r="276"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</row>
    <row r="277"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</row>
    <row r="278"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</row>
    <row r="279"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</row>
    <row r="280"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</row>
    <row r="281"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</row>
    <row r="282"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</row>
    <row r="283"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</row>
    <row r="284"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</row>
    <row r="285"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</row>
    <row r="286"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</row>
    <row r="287"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</row>
    <row r="288"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</row>
    <row r="289"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</row>
    <row r="290"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</row>
    <row r="291"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</row>
    <row r="292"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</row>
    <row r="293"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</row>
    <row r="294"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</row>
    <row r="295"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</row>
    <row r="296"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</row>
    <row r="297"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</row>
    <row r="298"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</row>
    <row r="299"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</row>
    <row r="300"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</row>
    <row r="301"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</row>
    <row r="302"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</row>
    <row r="303"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</row>
    <row r="304"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</row>
    <row r="305"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</row>
    <row r="306"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</row>
    <row r="307"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</row>
    <row r="308"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</row>
    <row r="309"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</row>
    <row r="310"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</row>
    <row r="311"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</row>
    <row r="312"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</row>
    <row r="313"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</row>
    <row r="314"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</row>
    <row r="315"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</row>
    <row r="316"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</row>
    <row r="317"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</row>
    <row r="318"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</row>
    <row r="319"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</row>
    <row r="320"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</row>
    <row r="321"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</row>
    <row r="322"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</row>
    <row r="323"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</row>
    <row r="324"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</row>
    <row r="325"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</row>
    <row r="326"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</row>
    <row r="327"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</row>
    <row r="328"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</row>
    <row r="329"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</row>
    <row r="330"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</row>
    <row r="331"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</row>
    <row r="332"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</row>
    <row r="333"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</row>
    <row r="334"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</row>
    <row r="335"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</row>
    <row r="336"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</row>
    <row r="337"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</row>
    <row r="338"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</row>
    <row r="339"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</row>
    <row r="340"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</row>
    <row r="341"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</row>
    <row r="342"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</row>
    <row r="343"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</row>
    <row r="344"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</row>
    <row r="345"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</row>
    <row r="346"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</row>
    <row r="347"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</row>
    <row r="348"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</row>
    <row r="349"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</row>
    <row r="350"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</row>
    <row r="351"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</row>
    <row r="352"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</row>
    <row r="353"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</row>
    <row r="354"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</row>
    <row r="355"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</row>
    <row r="356"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</row>
    <row r="357"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</row>
    <row r="358"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</row>
    <row r="359"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</row>
    <row r="360"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</row>
    <row r="361"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</row>
    <row r="362"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</row>
    <row r="363"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</row>
    <row r="364"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</row>
    <row r="365"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</row>
    <row r="366"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</row>
    <row r="367"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</row>
    <row r="368"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</row>
    <row r="369"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</row>
    <row r="370"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</row>
    <row r="371"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</row>
    <row r="372"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</row>
    <row r="373"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</row>
    <row r="374"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</row>
    <row r="375"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</row>
    <row r="376"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</row>
    <row r="377"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</row>
    <row r="378"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</row>
    <row r="379"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</row>
    <row r="380"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</row>
    <row r="381"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</row>
    <row r="382"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</row>
    <row r="383"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</row>
    <row r="384"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</row>
    <row r="385"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</row>
    <row r="386"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</row>
    <row r="387"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</row>
    <row r="388"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</row>
    <row r="389"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</row>
    <row r="390"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</row>
    <row r="391"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</row>
    <row r="392"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</row>
    <row r="393"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</row>
    <row r="394"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</row>
    <row r="395"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</row>
    <row r="396"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</row>
    <row r="397"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</row>
    <row r="398"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</row>
    <row r="399"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</row>
    <row r="400"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</row>
    <row r="401"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</row>
    <row r="402"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</row>
    <row r="403"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</row>
    <row r="404"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</row>
    <row r="405"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</row>
    <row r="406"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</row>
    <row r="407"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</row>
    <row r="408"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</row>
    <row r="409"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</row>
    <row r="410"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</row>
    <row r="411"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</row>
    <row r="412"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</row>
    <row r="413"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</row>
    <row r="414"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</row>
    <row r="415"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</row>
    <row r="416"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</row>
    <row r="417"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</row>
    <row r="418"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</row>
    <row r="419"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</row>
    <row r="420"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</row>
    <row r="421"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</row>
    <row r="422"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</row>
    <row r="423"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</row>
    <row r="424"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</row>
    <row r="425"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</row>
    <row r="426"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</row>
    <row r="427"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</row>
    <row r="428"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</row>
    <row r="429"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</row>
    <row r="430"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</row>
    <row r="431"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</row>
    <row r="432"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</row>
    <row r="433"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</row>
    <row r="434"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</row>
    <row r="435"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</row>
    <row r="436"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</row>
    <row r="437"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</row>
    <row r="438"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</row>
    <row r="439"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</row>
    <row r="440"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</row>
    <row r="441"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</row>
    <row r="442"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</row>
    <row r="443"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</row>
    <row r="444"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</row>
    <row r="445"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</row>
    <row r="446"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</row>
    <row r="447"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</row>
    <row r="448"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</row>
    <row r="449"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</row>
    <row r="450"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</row>
    <row r="451"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</row>
    <row r="452"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</row>
    <row r="453"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</row>
    <row r="454"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</row>
    <row r="455"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</row>
    <row r="456"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</row>
    <row r="457"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</row>
    <row r="458"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</row>
    <row r="459"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</row>
    <row r="460"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</row>
    <row r="461"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</row>
    <row r="462"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</row>
    <row r="463"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</row>
    <row r="464"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</row>
    <row r="465"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</row>
    <row r="466"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</row>
    <row r="467"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</row>
    <row r="468"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</row>
    <row r="469"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</row>
    <row r="470"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</row>
    <row r="471"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</row>
    <row r="472"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</row>
    <row r="473"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</row>
    <row r="474"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</row>
    <row r="475"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</row>
    <row r="476"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</row>
    <row r="477"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</row>
    <row r="478"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</row>
    <row r="479"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</row>
    <row r="480"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</row>
    <row r="481"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</row>
    <row r="482"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</row>
    <row r="483"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</row>
    <row r="484"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</row>
    <row r="485"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</row>
    <row r="486"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</row>
    <row r="487"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</row>
    <row r="488"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</row>
    <row r="489"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</row>
    <row r="490"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</row>
    <row r="491"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</row>
    <row r="492"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</row>
    <row r="493"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</row>
    <row r="494"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</row>
    <row r="495"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</row>
    <row r="496"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</row>
    <row r="497"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</row>
    <row r="498"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</row>
    <row r="499"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</row>
    <row r="500"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</row>
    <row r="501"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</row>
    <row r="502"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</row>
    <row r="503"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</row>
    <row r="504"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</row>
    <row r="505"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</row>
    <row r="506"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</row>
    <row r="507"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</row>
    <row r="508"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</row>
    <row r="509"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</row>
    <row r="510"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</row>
    <row r="511"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</row>
    <row r="512"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</row>
    <row r="513"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</row>
    <row r="514"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</row>
    <row r="515"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</row>
    <row r="516"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</row>
    <row r="517"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</row>
    <row r="518"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</row>
    <row r="519"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</row>
    <row r="520"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</row>
    <row r="521"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</row>
    <row r="522"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</row>
    <row r="523"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</row>
    <row r="524"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</row>
    <row r="525"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</row>
    <row r="526"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</row>
    <row r="527"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</row>
    <row r="528"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</row>
    <row r="529"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</row>
    <row r="530"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</row>
    <row r="531"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</row>
    <row r="532"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</row>
    <row r="533"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</row>
    <row r="534"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</row>
    <row r="535"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</row>
    <row r="536"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</row>
    <row r="537"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</row>
    <row r="538"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</row>
    <row r="539"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</row>
    <row r="540"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</row>
    <row r="541"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</row>
    <row r="542"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</row>
    <row r="543"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</row>
    <row r="544"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</row>
    <row r="545"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</row>
    <row r="546"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</row>
    <row r="547"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</row>
    <row r="548"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</row>
    <row r="549"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</row>
    <row r="550"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</row>
    <row r="551"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</row>
    <row r="552"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</row>
    <row r="553"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</row>
    <row r="554"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</row>
    <row r="555"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</row>
    <row r="556"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</row>
    <row r="557"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</row>
    <row r="558"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</row>
    <row r="559"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</row>
    <row r="560"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</row>
    <row r="561"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</row>
    <row r="562"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</row>
    <row r="563"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</row>
    <row r="564"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</row>
    <row r="565"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</row>
    <row r="566"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</row>
    <row r="567"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</row>
    <row r="568"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</row>
    <row r="569"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</row>
    <row r="570"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</row>
    <row r="571"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</row>
    <row r="572"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</row>
    <row r="573"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</row>
    <row r="574"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</row>
    <row r="575"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</row>
    <row r="576"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</row>
    <row r="577"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</row>
    <row r="578"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</row>
    <row r="579"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</row>
    <row r="580"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</row>
    <row r="581"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</row>
    <row r="582"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</row>
    <row r="583"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</row>
    <row r="584"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</row>
    <row r="585"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</row>
    <row r="586"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</row>
    <row r="587"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</row>
    <row r="588"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</row>
    <row r="589"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</row>
    <row r="590"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</row>
    <row r="591"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</row>
    <row r="592"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</row>
    <row r="593"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</row>
    <row r="594"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</row>
    <row r="595"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</row>
    <row r="596"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</row>
    <row r="597"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</row>
    <row r="598"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</row>
    <row r="599"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</row>
    <row r="600"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</row>
    <row r="601"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</row>
    <row r="602"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</row>
    <row r="603"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</row>
    <row r="604"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</row>
    <row r="605"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</row>
    <row r="606"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</row>
    <row r="607"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</row>
    <row r="608"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</row>
    <row r="609"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</row>
    <row r="610"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</row>
    <row r="611"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</row>
    <row r="612"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</row>
    <row r="613"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</row>
    <row r="614"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</row>
    <row r="615"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</row>
    <row r="616"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</row>
    <row r="617"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</row>
    <row r="618"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</row>
    <row r="619"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</row>
    <row r="620"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</row>
    <row r="621"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</row>
    <row r="622"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</row>
    <row r="623"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</row>
    <row r="624"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</row>
    <row r="625"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</row>
    <row r="626"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</row>
    <row r="627"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</row>
    <row r="628"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</row>
    <row r="629"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</row>
    <row r="630"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</row>
    <row r="631"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</row>
    <row r="632"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</row>
    <row r="633"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</row>
    <row r="634"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</row>
    <row r="635"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</row>
    <row r="636"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</row>
    <row r="637"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</row>
    <row r="638"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</row>
    <row r="639"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</row>
    <row r="640"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</row>
    <row r="641"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</row>
    <row r="642"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</row>
    <row r="643"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</row>
    <row r="644"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</row>
    <row r="645"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</row>
    <row r="646"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</row>
    <row r="647"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</row>
    <row r="648"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</row>
    <row r="649"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</row>
    <row r="650"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</row>
    <row r="651"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</row>
    <row r="652"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</row>
    <row r="653"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</row>
    <row r="654"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</row>
    <row r="655"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</row>
    <row r="656"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</row>
    <row r="657"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</row>
    <row r="658"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</row>
    <row r="659"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</row>
    <row r="660"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</row>
    <row r="661"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</row>
    <row r="662"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</row>
    <row r="663"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</row>
    <row r="664"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</row>
    <row r="665"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</row>
    <row r="666"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</row>
    <row r="667"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</row>
    <row r="668"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</row>
    <row r="669"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</row>
    <row r="670"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</row>
    <row r="671"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</row>
    <row r="672"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</row>
    <row r="673"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</row>
    <row r="674"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</row>
    <row r="675"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</row>
    <row r="676"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</row>
    <row r="677"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</row>
    <row r="678"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</row>
    <row r="679"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</row>
    <row r="680"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</row>
    <row r="681"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</row>
    <row r="682"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</row>
    <row r="683"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</row>
    <row r="684"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</row>
    <row r="685"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</row>
    <row r="686"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</row>
    <row r="687"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</row>
    <row r="688"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</row>
    <row r="689"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</row>
    <row r="690"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</row>
    <row r="691"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</row>
    <row r="692"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</row>
    <row r="693"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</row>
    <row r="694"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</row>
    <row r="695"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</row>
    <row r="696"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</row>
    <row r="697"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</row>
    <row r="698"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</row>
    <row r="699"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</row>
    <row r="700"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</row>
    <row r="701"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</row>
    <row r="702"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</row>
    <row r="703"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</row>
    <row r="704"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</row>
    <row r="705"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</row>
    <row r="706"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</row>
    <row r="707"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</row>
    <row r="708"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</row>
    <row r="709"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</row>
    <row r="710"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</row>
    <row r="711"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</row>
    <row r="712"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</row>
    <row r="713"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</row>
    <row r="714"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</row>
    <row r="715"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</row>
    <row r="716"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</row>
    <row r="717"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</row>
    <row r="718"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</row>
    <row r="719"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</row>
    <row r="720"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</row>
    <row r="721"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</row>
    <row r="722"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</row>
    <row r="723"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</row>
    <row r="724"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</row>
    <row r="725"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</row>
    <row r="726"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</row>
    <row r="727"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</row>
    <row r="728"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</row>
    <row r="729"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</row>
    <row r="730"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</row>
    <row r="731"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</row>
    <row r="732"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</row>
    <row r="733"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</row>
    <row r="734"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</row>
    <row r="735"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</row>
    <row r="736"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</row>
    <row r="737"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</row>
    <row r="738"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</row>
    <row r="739"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</row>
    <row r="740"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</row>
    <row r="741"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</row>
    <row r="742"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</row>
    <row r="743"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</row>
    <row r="744"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</row>
    <row r="745"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</row>
    <row r="746"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</row>
    <row r="747"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</row>
    <row r="748"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</row>
    <row r="749"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</row>
    <row r="750"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</row>
    <row r="751"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</row>
    <row r="752"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</row>
    <row r="753"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</row>
    <row r="754"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</row>
    <row r="755"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</row>
    <row r="756"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</row>
    <row r="757"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</row>
    <row r="758"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</row>
    <row r="759"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</row>
    <row r="760"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</row>
    <row r="761"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</row>
    <row r="762"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</row>
    <row r="763"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</row>
    <row r="764"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</row>
    <row r="765"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</row>
    <row r="766"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</row>
    <row r="767"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</row>
    <row r="768"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</row>
    <row r="769"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</row>
    <row r="770"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</row>
    <row r="771"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</row>
    <row r="772"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</row>
    <row r="773"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</row>
    <row r="774"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</row>
    <row r="775"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</row>
    <row r="776"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</row>
    <row r="777"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</row>
    <row r="778"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</row>
    <row r="779"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</row>
    <row r="780"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</row>
    <row r="781"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</row>
    <row r="782"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</row>
    <row r="783"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</row>
    <row r="784"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</row>
    <row r="785"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</row>
    <row r="786"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</row>
    <row r="787"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</row>
    <row r="788"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</row>
    <row r="789"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</row>
    <row r="790"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</row>
    <row r="791"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</row>
    <row r="792"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</row>
    <row r="793"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</row>
    <row r="794"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</row>
    <row r="795"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</row>
    <row r="796"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</row>
    <row r="797"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</row>
    <row r="798"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</row>
    <row r="799"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</row>
    <row r="800"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</row>
    <row r="801"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</row>
    <row r="802"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</row>
    <row r="803"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</row>
    <row r="804"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</row>
    <row r="805"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</row>
    <row r="806"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</row>
    <row r="807"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</row>
    <row r="808"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</row>
    <row r="809"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</row>
    <row r="810"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</row>
    <row r="811"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</row>
    <row r="812"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</row>
    <row r="813"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</row>
    <row r="814"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</row>
    <row r="815"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</row>
    <row r="816"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</row>
    <row r="817"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</row>
    <row r="818"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</row>
    <row r="819"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</row>
    <row r="820"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</row>
    <row r="821"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</row>
    <row r="822"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</row>
    <row r="823"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</row>
    <row r="824"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</row>
    <row r="825"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</row>
    <row r="826"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</row>
    <row r="827"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</row>
    <row r="828"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</row>
    <row r="829"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</row>
    <row r="830"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</row>
    <row r="831"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</row>
    <row r="832"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</row>
    <row r="833"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</row>
    <row r="834"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</row>
    <row r="835"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</row>
    <row r="836"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</row>
    <row r="837"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</row>
    <row r="838"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</row>
    <row r="839"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</row>
    <row r="840"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</row>
    <row r="841"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</row>
    <row r="842"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</row>
    <row r="843"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</row>
    <row r="844"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</row>
    <row r="845"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</row>
    <row r="846"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</row>
    <row r="847"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</row>
    <row r="848"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</row>
    <row r="849"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</row>
    <row r="850"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</row>
    <row r="851"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</row>
    <row r="852"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</row>
    <row r="853"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</row>
    <row r="854"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</row>
    <row r="855"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</row>
    <row r="856"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</row>
    <row r="857"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</row>
    <row r="858"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</row>
    <row r="859"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</row>
    <row r="860"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</row>
    <row r="861"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</row>
    <row r="862"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</row>
    <row r="863"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</row>
    <row r="864"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</row>
    <row r="865"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</row>
    <row r="866"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</row>
    <row r="867"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</row>
    <row r="868"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</row>
    <row r="869"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</row>
    <row r="870"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</row>
    <row r="871"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</row>
    <row r="872"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</row>
    <row r="873"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</row>
    <row r="874"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</row>
    <row r="875"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</row>
    <row r="876"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</row>
    <row r="877"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</row>
    <row r="878"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</row>
    <row r="879"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</row>
    <row r="880"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</row>
    <row r="881"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</row>
    <row r="882"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</row>
    <row r="883"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</row>
    <row r="884"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</row>
    <row r="885"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</row>
    <row r="886"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</row>
    <row r="887"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</row>
    <row r="888"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</row>
    <row r="889"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</row>
    <row r="890"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</row>
    <row r="891"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</row>
    <row r="892"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</row>
    <row r="893"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</row>
    <row r="894"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</row>
    <row r="895"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</row>
    <row r="896"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</row>
    <row r="897"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</row>
    <row r="898"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</row>
    <row r="899"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</row>
    <row r="900"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</row>
    <row r="901"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</row>
    <row r="902"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</row>
    <row r="903"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</row>
    <row r="904"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</row>
    <row r="905"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</row>
    <row r="906"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</row>
    <row r="907"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</row>
    <row r="908"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</row>
    <row r="909"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</row>
    <row r="910"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</row>
    <row r="911"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</row>
    <row r="912"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</row>
    <row r="913"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</row>
    <row r="914"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</row>
    <row r="915"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</row>
    <row r="916"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</row>
    <row r="917"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</row>
    <row r="918"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</row>
    <row r="919"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</row>
    <row r="920"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</row>
    <row r="921"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</row>
    <row r="922"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</row>
    <row r="923"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</row>
    <row r="924"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</row>
    <row r="925"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</row>
    <row r="926"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</row>
    <row r="927"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</row>
    <row r="928"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</row>
    <row r="929"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</row>
    <row r="930"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</row>
    <row r="931"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</row>
    <row r="932"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</row>
    <row r="933"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</row>
    <row r="934"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</row>
    <row r="935"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</row>
    <row r="936"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</row>
    <row r="937"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</row>
    <row r="938"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</row>
    <row r="939"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</row>
    <row r="940"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</row>
    <row r="941"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</row>
    <row r="942"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</row>
    <row r="943"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</row>
    <row r="944"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</row>
    <row r="945"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</row>
    <row r="946"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</row>
    <row r="947"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</row>
    <row r="948"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</row>
    <row r="949"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</row>
    <row r="950"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</row>
    <row r="951"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</row>
    <row r="952"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</row>
    <row r="953"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</row>
    <row r="954"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</row>
    <row r="955"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</row>
    <row r="956"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</row>
    <row r="957"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</row>
    <row r="958"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</row>
    <row r="959"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</row>
    <row r="960"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</row>
    <row r="961"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</row>
    <row r="962"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</row>
    <row r="963"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</row>
    <row r="964"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</row>
    <row r="965"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</row>
    <row r="966"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</row>
    <row r="967"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</row>
    <row r="968"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</row>
    <row r="969"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</row>
    <row r="970"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</row>
    <row r="971"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</row>
    <row r="972"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</row>
    <row r="973"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</row>
    <row r="974"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</row>
    <row r="975"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</row>
    <row r="976"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</row>
    <row r="977"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</row>
    <row r="978"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</row>
    <row r="979"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</row>
    <row r="980"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</row>
    <row r="981"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</row>
    <row r="982"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</row>
    <row r="983"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</row>
    <row r="984"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</row>
    <row r="985"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</row>
    <row r="986"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</row>
    <row r="987"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</row>
    <row r="988"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</row>
    <row r="989"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</row>
    <row r="990"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</row>
    <row r="991"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</row>
    <row r="992"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</row>
    <row r="993"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</row>
    <row r="994"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23"/>
    </row>
    <row r="995"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</row>
    <row r="996"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  <c r="AC996" s="23"/>
    </row>
    <row r="997"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  <c r="AC997" s="23"/>
    </row>
    <row r="998"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  <c r="AC998" s="23"/>
    </row>
    <row r="999"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  <c r="AC999" s="23"/>
    </row>
    <row r="1000"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  <c r="AC1000" s="23"/>
    </row>
    <row r="1001"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  <c r="AA1001" s="23"/>
      <c r="AB1001" s="23"/>
      <c r="AC1001" s="23"/>
    </row>
    <row r="1002"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M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  <c r="X1002" s="23"/>
      <c r="Y1002" s="23"/>
      <c r="Z1002" s="23"/>
      <c r="AA1002" s="23"/>
      <c r="AB1002" s="23"/>
      <c r="AC1002" s="23"/>
    </row>
    <row r="1003"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M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  <c r="X1003" s="23"/>
      <c r="Y1003" s="23"/>
      <c r="Z1003" s="23"/>
      <c r="AA1003" s="23"/>
      <c r="AB1003" s="23"/>
      <c r="AC1003" s="23"/>
    </row>
    <row r="1004"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M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  <c r="X1004" s="23"/>
      <c r="Y1004" s="23"/>
      <c r="Z1004" s="23"/>
      <c r="AA1004" s="23"/>
      <c r="AB1004" s="23"/>
      <c r="AC1004" s="23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8" zoomScale="100" workbookViewId="0">
      <selection activeCell="C30" activeCellId="0" sqref="C30"/>
    </sheetView>
  </sheetViews>
  <sheetFormatPr defaultColWidth="12.5703125" defaultRowHeight="15" customHeight="1"/>
  <cols>
    <col customWidth="1" min="1" max="1" style="42" width="10.42578125"/>
    <col customWidth="1" min="2" max="2" width="12.28515625"/>
    <col customWidth="1" min="3" max="3" width="11.5703125"/>
    <col customWidth="1" min="4" max="4" width="14.140625"/>
    <col customWidth="1" min="5" max="5" width="13.28515625"/>
    <col customWidth="1" min="6" max="6" width="11.42578125"/>
    <col customWidth="1" min="7" max="7" width="18.140625"/>
    <col customWidth="1" min="8" max="8" width="5.140625"/>
    <col customWidth="1" min="9" max="9" width="12.42578125"/>
    <col customWidth="1" min="10" max="10" width="5.140625"/>
    <col customWidth="1" min="11" max="11" width="10.140625"/>
    <col customWidth="1" min="12" max="12" width="5.140625"/>
    <col customWidth="1" min="13" max="13" width="15"/>
    <col customWidth="1" min="14" max="14" width="11.42578125"/>
    <col customWidth="1" min="15" max="15" width="13.42578125"/>
    <col customWidth="1" min="16" max="16" width="11.42578125"/>
    <col customWidth="1" min="17" max="17" width="8.7109375"/>
    <col customWidth="1" min="18" max="18" width="6.140625"/>
    <col customWidth="1" min="19" max="19" width="11.42578125"/>
    <col customWidth="1" min="20" max="20" width="8.42578125"/>
    <col customWidth="1" min="21" max="21" width="5.140625"/>
    <col customWidth="1" min="22" max="22" width="6.140625"/>
    <col customWidth="1" min="23" max="23" width="6.42578125"/>
    <col customWidth="1" min="24" max="24" width="4.28515625"/>
    <col customWidth="1" min="25" max="25" width="10"/>
    <col customWidth="1" min="26" max="27" width="9"/>
    <col customWidth="1" min="28" max="28" width="7.85546875"/>
  </cols>
  <sheetData>
    <row r="1" ht="15.75" customHeight="1">
      <c r="A1" s="29"/>
      <c r="B1" s="2" t="s">
        <v>54</v>
      </c>
      <c r="C1" s="2"/>
      <c r="D1" s="2"/>
      <c r="E1" s="43" t="s">
        <v>55</v>
      </c>
      <c r="F1" s="2"/>
      <c r="G1" s="43" t="s">
        <v>55</v>
      </c>
      <c r="H1" s="2"/>
      <c r="I1" s="43" t="s">
        <v>56</v>
      </c>
      <c r="J1" s="2"/>
      <c r="K1" s="43" t="s">
        <v>55</v>
      </c>
      <c r="L1" s="2"/>
      <c r="M1" s="43" t="s">
        <v>57</v>
      </c>
      <c r="N1" s="2"/>
      <c r="O1" s="43" t="s">
        <v>57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15.75" customHeight="1">
      <c r="A2" s="44" t="s">
        <v>58</v>
      </c>
      <c r="B2" s="43" t="s">
        <v>59</v>
      </c>
      <c r="C2" s="43" t="s">
        <v>19</v>
      </c>
      <c r="D2" s="43" t="s">
        <v>60</v>
      </c>
      <c r="E2" s="43" t="s">
        <v>61</v>
      </c>
      <c r="F2" s="43"/>
      <c r="G2" s="43" t="s">
        <v>62</v>
      </c>
      <c r="H2" s="43"/>
      <c r="I2" s="43" t="s">
        <v>63</v>
      </c>
      <c r="J2" s="43"/>
      <c r="K2" s="43" t="s">
        <v>64</v>
      </c>
      <c r="L2" s="43"/>
      <c r="M2" s="43" t="s">
        <v>65</v>
      </c>
      <c r="N2" s="43"/>
      <c r="O2" s="43" t="s">
        <v>66</v>
      </c>
      <c r="P2" s="43"/>
      <c r="Q2" s="43" t="s">
        <v>67</v>
      </c>
      <c r="R2" s="43"/>
      <c r="S2" s="2"/>
      <c r="T2" s="45" t="s">
        <v>68</v>
      </c>
      <c r="U2" s="45" t="s">
        <v>69</v>
      </c>
      <c r="V2" s="45" t="s">
        <v>70</v>
      </c>
      <c r="W2" s="45" t="s">
        <v>19</v>
      </c>
      <c r="X2" s="45" t="s">
        <v>71</v>
      </c>
      <c r="Y2" s="45" t="s">
        <v>72</v>
      </c>
      <c r="Z2" s="45" t="s">
        <v>73</v>
      </c>
      <c r="AA2" s="45" t="s">
        <v>74</v>
      </c>
      <c r="AB2" s="45" t="s">
        <v>75</v>
      </c>
    </row>
    <row r="3" ht="15.75" customHeight="1">
      <c r="A3" s="29">
        <v>5.6900000000000004</v>
      </c>
      <c r="B3" s="2">
        <v>5.6749000000000001</v>
      </c>
      <c r="C3" s="2" t="s">
        <v>76</v>
      </c>
      <c r="D3" s="2">
        <v>2</v>
      </c>
      <c r="E3" s="2"/>
      <c r="F3" s="46"/>
      <c r="G3" s="2"/>
      <c r="H3" s="46"/>
      <c r="I3" s="2">
        <v>0.20000000000000001</v>
      </c>
      <c r="J3" s="46">
        <v>0.040000000000000001</v>
      </c>
      <c r="K3" s="7">
        <v>0.0057000000000000002</v>
      </c>
      <c r="L3" s="46"/>
      <c r="M3" s="7">
        <v>0.0035000000000000001</v>
      </c>
      <c r="N3" s="46"/>
      <c r="O3" s="2"/>
      <c r="P3" s="46"/>
      <c r="Q3" s="2"/>
      <c r="R3" s="46"/>
      <c r="S3" s="2"/>
      <c r="T3" s="2" t="s">
        <v>77</v>
      </c>
      <c r="U3" s="2">
        <v>5.6749999999999998</v>
      </c>
      <c r="V3" s="2">
        <v>0.161</v>
      </c>
      <c r="W3" s="16" t="s">
        <v>76</v>
      </c>
      <c r="X3" s="2"/>
      <c r="Y3" s="2"/>
      <c r="Z3" s="7">
        <v>1.3e-15</v>
      </c>
      <c r="AA3" s="7">
        <v>1.1999999999999999e-07</v>
      </c>
      <c r="AB3" s="7">
        <f t="shared" ref="AB3:AB8" si="14">Z3*AA3/(Z3+AA3)</f>
        <v>1.299999985916667e-15</v>
      </c>
    </row>
    <row r="4" ht="15.75" customHeight="1">
      <c r="A4" s="29">
        <v>6.125</v>
      </c>
      <c r="B4" s="2">
        <v>5.915</v>
      </c>
      <c r="C4" s="2" t="s">
        <v>27</v>
      </c>
      <c r="D4" s="2">
        <v>0</v>
      </c>
      <c r="E4" s="2">
        <v>0.121</v>
      </c>
      <c r="F4" s="46"/>
      <c r="G4" s="2">
        <v>0.106</v>
      </c>
      <c r="H4" s="47">
        <v>0.012999999999999999</v>
      </c>
      <c r="I4" s="2">
        <v>0.14000000000000001</v>
      </c>
      <c r="J4" s="47">
        <v>0.029999999999999999</v>
      </c>
      <c r="K4" s="2">
        <v>0.11</v>
      </c>
      <c r="L4" s="47">
        <v>0.02</v>
      </c>
      <c r="M4" s="2">
        <v>0.14000000000000001</v>
      </c>
      <c r="N4" s="46"/>
      <c r="O4" s="2">
        <v>0.14999999999999999</v>
      </c>
      <c r="P4" s="46"/>
      <c r="Q4" s="15">
        <v>0.17430625</v>
      </c>
      <c r="R4" s="48">
        <v>0.043099999999999999</v>
      </c>
      <c r="S4" s="2"/>
      <c r="T4" s="2" t="s">
        <v>78</v>
      </c>
      <c r="U4" s="2"/>
      <c r="V4" s="2"/>
      <c r="W4" s="2"/>
      <c r="X4" s="2"/>
      <c r="Y4" s="2"/>
      <c r="Z4" s="7">
        <v>1.3e-15</v>
      </c>
      <c r="AA4" s="7">
        <v>1.1000000000000001e-07</v>
      </c>
      <c r="AB4" s="7">
        <f t="shared" si="14"/>
        <v>1.2999999846363637e-15</v>
      </c>
    </row>
    <row r="5" ht="15.75" customHeight="1">
      <c r="A5" s="29"/>
      <c r="B5" s="2"/>
      <c r="C5" s="2"/>
      <c r="D5" s="2">
        <v>2</v>
      </c>
      <c r="E5" s="2">
        <v>0.20599999999999999</v>
      </c>
      <c r="F5" s="46"/>
      <c r="G5" s="2">
        <v>0.59999999999999998</v>
      </c>
      <c r="H5" s="47">
        <v>0.14000000000000001</v>
      </c>
      <c r="I5" s="2">
        <v>0.29999999999999999</v>
      </c>
      <c r="J5" s="47">
        <v>0.059999999999999998</v>
      </c>
      <c r="K5" s="2">
        <v>0.27000000000000002</v>
      </c>
      <c r="L5" s="47">
        <v>0.059999999999999998</v>
      </c>
      <c r="M5" s="2">
        <v>0.33000000000000002</v>
      </c>
      <c r="N5" s="46"/>
      <c r="O5" s="2">
        <v>0.27000000000000002</v>
      </c>
      <c r="P5" s="46"/>
      <c r="Q5" s="15">
        <v>0.23357889000000001</v>
      </c>
      <c r="R5" s="48">
        <v>0.058599999999999999</v>
      </c>
      <c r="S5" s="2"/>
      <c r="T5" s="2" t="s">
        <v>79</v>
      </c>
      <c r="U5" s="2"/>
      <c r="V5" s="2"/>
      <c r="W5" s="2"/>
      <c r="X5" s="2"/>
      <c r="Y5" s="2"/>
      <c r="Z5" s="7">
        <v>1.3e-15</v>
      </c>
      <c r="AA5" s="7">
        <v>1.1000000000000001e-07</v>
      </c>
      <c r="AB5" s="7">
        <f t="shared" si="14"/>
        <v>1.2999999846363637e-15</v>
      </c>
    </row>
    <row r="6" ht="15.75" customHeight="1">
      <c r="A6" s="29">
        <v>6.2560000000000002</v>
      </c>
      <c r="B6" s="2">
        <v>5.9459999999999997</v>
      </c>
      <c r="C6" s="2" t="s">
        <v>80</v>
      </c>
      <c r="D6" s="2">
        <v>2</v>
      </c>
      <c r="E6" s="2"/>
      <c r="F6" s="46"/>
      <c r="G6" s="2">
        <v>0.053999999999999999</v>
      </c>
      <c r="H6" s="46">
        <v>0.010999999999999999</v>
      </c>
      <c r="I6" s="2">
        <v>0.042000000000000003</v>
      </c>
      <c r="J6" s="46">
        <v>0.01</v>
      </c>
      <c r="K6" s="2">
        <v>0.039</v>
      </c>
      <c r="L6" s="46"/>
      <c r="M6" s="2"/>
      <c r="N6" s="46"/>
      <c r="O6" s="2"/>
      <c r="P6" s="46"/>
      <c r="Q6" s="2"/>
      <c r="R6" s="46"/>
      <c r="S6" s="2"/>
      <c r="T6" s="2" t="s">
        <v>81</v>
      </c>
      <c r="U6" s="2"/>
      <c r="V6" s="2"/>
      <c r="W6" s="2"/>
      <c r="X6" s="2"/>
      <c r="Y6" s="2"/>
      <c r="Z6" s="7">
        <v>1e-14</v>
      </c>
      <c r="AA6" s="7">
        <v>1.1999999999999999e-07</v>
      </c>
      <c r="AB6" s="7">
        <f t="shared" si="14"/>
        <v>9.9999991666667362e-15</v>
      </c>
    </row>
    <row r="7" ht="15.75" customHeight="1">
      <c r="A7" s="29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15.75" customHeight="1">
      <c r="A8" s="29"/>
      <c r="B8" s="2"/>
      <c r="C8" s="2"/>
      <c r="D8" s="2" t="s">
        <v>82</v>
      </c>
      <c r="E8" s="49">
        <f>E4/E5</f>
        <v>0.58737864077669899</v>
      </c>
      <c r="F8" s="49"/>
      <c r="G8" s="49">
        <f>G4/G5</f>
        <v>0.17666666666666667</v>
      </c>
      <c r="H8" s="49"/>
      <c r="I8" s="49">
        <f>I4/I5</f>
        <v>0.46666666666666673</v>
      </c>
      <c r="J8" s="49"/>
      <c r="K8" s="49">
        <f>K4/K5</f>
        <v>0.40740740740740738</v>
      </c>
      <c r="L8" s="49"/>
      <c r="M8" s="49">
        <f>M4/M5</f>
        <v>0.42424242424242425</v>
      </c>
      <c r="N8" s="49"/>
      <c r="O8" s="49">
        <f>O4/O5</f>
        <v>0.55555555555555547</v>
      </c>
      <c r="P8" s="49"/>
      <c r="Q8" s="49">
        <f>Q4/Q5</f>
        <v>0.74624145187092883</v>
      </c>
      <c r="R8" s="2"/>
      <c r="S8" s="2"/>
      <c r="T8" s="2" t="s">
        <v>81</v>
      </c>
      <c r="U8" s="2">
        <v>5.8899999999999997</v>
      </c>
      <c r="V8" s="2">
        <v>0.376</v>
      </c>
      <c r="W8" s="16" t="s">
        <v>80</v>
      </c>
      <c r="X8" s="2"/>
      <c r="Y8" s="2"/>
      <c r="Z8" s="7">
        <v>4.2000000000000004e-09</v>
      </c>
      <c r="AA8" s="7">
        <v>8.7999999999999994e-09</v>
      </c>
      <c r="AB8" s="7">
        <f t="shared" si="14"/>
        <v>2.8430769230769229e-09</v>
      </c>
    </row>
    <row r="9" ht="15.75" customHeight="1">
      <c r="A9" s="29"/>
      <c r="B9" s="2"/>
      <c r="C9" s="2"/>
      <c r="D9" s="2"/>
      <c r="E9" s="49"/>
      <c r="F9" s="2"/>
      <c r="G9" s="49"/>
      <c r="H9" s="2"/>
      <c r="I9" s="49"/>
      <c r="J9" s="2"/>
      <c r="K9" s="49"/>
      <c r="L9" s="2"/>
      <c r="M9" s="49"/>
      <c r="N9" s="2"/>
      <c r="O9" s="49"/>
      <c r="P9" s="2"/>
      <c r="Q9" s="49"/>
      <c r="R9" s="2"/>
      <c r="S9" s="2"/>
      <c r="T9" s="45" t="s">
        <v>68</v>
      </c>
      <c r="U9" s="45" t="s">
        <v>69</v>
      </c>
      <c r="V9" s="45" t="s">
        <v>70</v>
      </c>
      <c r="W9" s="45" t="s">
        <v>19</v>
      </c>
      <c r="X9" s="45" t="s">
        <v>71</v>
      </c>
      <c r="Y9" s="45" t="s">
        <v>72</v>
      </c>
      <c r="Z9" s="45" t="s">
        <v>73</v>
      </c>
      <c r="AA9" s="45" t="s">
        <v>74</v>
      </c>
      <c r="AB9" s="45" t="s">
        <v>75</v>
      </c>
    </row>
    <row r="10" ht="15.75" customHeight="1">
      <c r="A10" s="29"/>
      <c r="B10" s="2"/>
      <c r="C10" s="2"/>
      <c r="D10" s="2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2"/>
      <c r="Q10" s="2"/>
      <c r="R10" s="2"/>
      <c r="S10" s="2"/>
      <c r="T10" s="2" t="s">
        <v>77</v>
      </c>
      <c r="U10" s="2">
        <v>5.9269999999999996</v>
      </c>
      <c r="V10" s="2">
        <v>0.4138</v>
      </c>
      <c r="W10" s="16" t="s">
        <v>27</v>
      </c>
      <c r="X10" s="2"/>
      <c r="Y10" s="2"/>
      <c r="Z10" s="7">
        <v>2.9000000000000002e-06</v>
      </c>
      <c r="AA10" s="7">
        <v>9.2000000000000003e-08</v>
      </c>
      <c r="AB10" s="7">
        <f t="shared" ref="AB10:AB17" si="15">Z10*AA10/(Z10+AA10)</f>
        <v>8.9171122994652411e-08</v>
      </c>
    </row>
    <row r="11" ht="15.75" customHeight="1">
      <c r="A11" s="29"/>
      <c r="B11" s="2"/>
      <c r="C11" s="2"/>
      <c r="D11" s="2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49"/>
      <c r="Q11" s="49"/>
      <c r="R11" s="2"/>
      <c r="S11" s="2"/>
      <c r="T11" s="2" t="s">
        <v>78</v>
      </c>
      <c r="U11" s="2"/>
      <c r="V11" s="2"/>
      <c r="W11" s="2"/>
      <c r="X11" s="2"/>
      <c r="Y11" s="2"/>
      <c r="Z11" s="7">
        <v>2.3e-06</v>
      </c>
      <c r="AA11" s="7">
        <v>3.2999999999999998e-08</v>
      </c>
      <c r="AB11" s="7">
        <f t="shared" si="15"/>
        <v>3.2533219031290182e-08</v>
      </c>
    </row>
    <row r="12" ht="15.75" customHeight="1">
      <c r="A12" s="29"/>
      <c r="B12" s="2"/>
      <c r="C12" s="2"/>
      <c r="D12" s="2"/>
      <c r="E12" s="2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2"/>
      <c r="S12" s="2"/>
      <c r="T12" s="2" t="s">
        <v>79</v>
      </c>
      <c r="U12" s="2"/>
      <c r="V12" s="2"/>
      <c r="W12" s="2"/>
      <c r="X12" s="2"/>
      <c r="Y12" s="2"/>
      <c r="Z12" s="7">
        <v>2.3e-06</v>
      </c>
      <c r="AA12" s="7">
        <v>3.2999999999999998e-08</v>
      </c>
      <c r="AB12" s="7">
        <f t="shared" si="15"/>
        <v>3.2533219031290182e-08</v>
      </c>
    </row>
    <row r="13" ht="15.75" customHeight="1">
      <c r="A13" s="29"/>
      <c r="B13" s="2"/>
      <c r="C13" s="2"/>
      <c r="D13" s="2"/>
      <c r="E13" s="49">
        <v>0.58738000000000001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 t="s">
        <v>81</v>
      </c>
      <c r="U13" s="2"/>
      <c r="V13" s="2"/>
      <c r="W13" s="2"/>
      <c r="X13" s="2"/>
      <c r="Y13" s="2"/>
      <c r="Z13" s="7">
        <v>2.9000000000000002e-06</v>
      </c>
      <c r="AA13" s="7">
        <v>4.0000000000000001e-08</v>
      </c>
      <c r="AB13" s="7">
        <f t="shared" si="15"/>
        <v>3.9455782312925168e-08</v>
      </c>
    </row>
    <row r="14" ht="15.75" customHeight="1">
      <c r="A14" s="29" t="s">
        <v>83</v>
      </c>
      <c r="B14">
        <v>25992333.82</v>
      </c>
      <c r="C14">
        <v>0.12</v>
      </c>
      <c r="D14" s="2"/>
      <c r="E14" s="2">
        <v>0.46666666666666701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15.75" customHeight="1">
      <c r="A15" s="29" t="s">
        <v>84</v>
      </c>
      <c r="B15">
        <v>24990428.309999999</v>
      </c>
      <c r="C15">
        <v>0.070000000000000007</v>
      </c>
      <c r="D15" s="2"/>
      <c r="E15" s="2">
        <v>0.407407407407407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 t="s">
        <v>77</v>
      </c>
      <c r="U15" s="2">
        <v>5.9489999999999998</v>
      </c>
      <c r="V15" s="2">
        <v>0.43590000000000001</v>
      </c>
      <c r="W15" s="16" t="s">
        <v>85</v>
      </c>
      <c r="X15" s="2"/>
      <c r="Y15" s="2"/>
      <c r="Z15" s="7">
        <v>1.9000000000000001e-08</v>
      </c>
      <c r="AA15" s="7">
        <v>5.6999999999999998e-09</v>
      </c>
      <c r="AB15" s="7">
        <f t="shared" si="15"/>
        <v>4.3846153846153843e-09</v>
      </c>
    </row>
    <row r="16" ht="15.75" customHeight="1">
      <c r="A16" s="29" t="s">
        <v>86</v>
      </c>
      <c r="B16">
        <v>1007825.0318999999</v>
      </c>
      <c r="C16">
        <v>1.0000000000000001e-05</v>
      </c>
      <c r="D16" s="2"/>
      <c r="E16" s="2">
        <v>0.42424242424242398</v>
      </c>
      <c r="F16" s="2"/>
      <c r="G16" s="2" t="s">
        <v>87</v>
      </c>
      <c r="H16" s="2"/>
      <c r="I16" s="2" t="s">
        <v>88</v>
      </c>
      <c r="J16" s="2"/>
      <c r="K16" s="2" t="s">
        <v>89</v>
      </c>
      <c r="L16" s="2"/>
      <c r="M16" s="2"/>
      <c r="N16" s="2"/>
      <c r="O16" s="2"/>
      <c r="P16" s="2"/>
      <c r="Q16" s="2"/>
      <c r="R16" s="2"/>
      <c r="S16" s="2"/>
      <c r="T16" s="2" t="s">
        <v>78</v>
      </c>
      <c r="U16" s="2"/>
      <c r="V16" s="2"/>
      <c r="W16" s="2"/>
      <c r="X16" s="2"/>
      <c r="Y16" s="2"/>
      <c r="Z16" s="7">
        <v>1.9000000000000001e-08</v>
      </c>
      <c r="AA16" s="7">
        <v>8.7999999999999994e-09</v>
      </c>
      <c r="AB16" s="7">
        <f t="shared" si="15"/>
        <v>6.014388489208633e-09</v>
      </c>
    </row>
    <row r="17" ht="15.75" customHeight="1">
      <c r="A17" s="29" t="s">
        <v>6</v>
      </c>
      <c r="B17" s="2">
        <f>B15+B16-B14</f>
        <v>5919.521899998188</v>
      </c>
      <c r="C17" s="2">
        <f>SQRT(C16^2+C15^2+C14^2)</f>
        <v>0.13892444025440592</v>
      </c>
      <c r="D17" s="2"/>
      <c r="E17" s="2">
        <v>0.55555555555555503</v>
      </c>
      <c r="F17" s="2"/>
      <c r="G17" s="49">
        <f>AVERAGE(E13:E17)</f>
        <v>0.48825041077441061</v>
      </c>
      <c r="H17" s="2"/>
      <c r="I17" s="2">
        <v>0.27000000000000002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 t="s">
        <v>79</v>
      </c>
      <c r="U17" s="2"/>
      <c r="V17" s="2"/>
      <c r="W17" s="2"/>
      <c r="X17" s="2"/>
      <c r="Y17" s="2"/>
      <c r="Z17" s="7">
        <v>1.9000000000000001e-08</v>
      </c>
      <c r="AA17" s="7">
        <v>8.7999999999999994e-09</v>
      </c>
      <c r="AB17" s="7">
        <f t="shared" si="15"/>
        <v>6.014388489208633e-09</v>
      </c>
    </row>
    <row r="18" ht="15.75" customHeight="1">
      <c r="A18" s="29"/>
      <c r="B18" s="29">
        <f>B17*931.49410242*0.000001</f>
        <v>5.5139997389943449</v>
      </c>
      <c r="C18" s="29">
        <f>C17*931.49410242*0.000001</f>
        <v>0.00012940729677897873</v>
      </c>
      <c r="D18" s="2"/>
      <c r="E18" s="2">
        <v>0.74624145187092905</v>
      </c>
      <c r="F18" s="2"/>
      <c r="G18" s="49">
        <f>AVERAGE(E13:E18)</f>
        <v>0.53124891762383031</v>
      </c>
      <c r="H18" s="2"/>
      <c r="I18" s="2">
        <v>0.23400000000000001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ht="15.75" customHeight="1">
      <c r="A19" s="29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ht="15.75" customHeight="1">
      <c r="A20" s="29" t="s">
        <v>69</v>
      </c>
      <c r="B20" s="2" t="s">
        <v>90</v>
      </c>
      <c r="C20" s="2" t="s">
        <v>6</v>
      </c>
      <c r="D20" s="2" t="s">
        <v>90</v>
      </c>
      <c r="E20" s="2" t="s">
        <v>70</v>
      </c>
      <c r="F20" s="2" t="s">
        <v>90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ht="15.75" customHeight="1">
      <c r="A21" s="29">
        <v>5.9294000000000002</v>
      </c>
      <c r="B21" s="2">
        <v>8</v>
      </c>
      <c r="C21" s="29">
        <v>5.5140000000000002</v>
      </c>
      <c r="D21" s="2">
        <v>1</v>
      </c>
      <c r="E21" s="29">
        <f t="shared" ref="E21:E26" si="16">A21-C21</f>
        <v>0.41539999999999999</v>
      </c>
      <c r="F21" s="6">
        <f t="shared" ref="F21:F26" si="17">SQRT((D21)^2+(B21)^2)</f>
        <v>8.0622577482985491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ht="15.75" customHeight="1">
      <c r="A22" s="29">
        <v>6.2953000000000001</v>
      </c>
      <c r="B22" s="2">
        <v>24</v>
      </c>
      <c r="C22" s="29">
        <v>5.5140000000000002</v>
      </c>
      <c r="D22" s="2">
        <v>1</v>
      </c>
      <c r="E22" s="29">
        <f t="shared" si="16"/>
        <v>0.78129999999999988</v>
      </c>
      <c r="F22" s="6">
        <f t="shared" si="17"/>
        <v>24.020824298928627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ht="15.75" customHeight="1">
      <c r="A23" s="29">
        <v>6.3826999999999998</v>
      </c>
      <c r="B23" s="2">
        <v>29</v>
      </c>
      <c r="C23" s="29">
        <v>5.5140000000000002</v>
      </c>
      <c r="D23" s="2">
        <v>1</v>
      </c>
      <c r="E23" s="29">
        <f t="shared" si="16"/>
        <v>0.86869999999999958</v>
      </c>
      <c r="F23" s="6">
        <f t="shared" si="17"/>
        <v>29.017236257093817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ht="15.75" customHeight="1">
      <c r="A24" s="29">
        <v>6.7649999999999997</v>
      </c>
      <c r="B24" s="2">
        <v>50</v>
      </c>
      <c r="C24" s="29">
        <v>5.5140000000000002</v>
      </c>
      <c r="D24" s="2">
        <v>1</v>
      </c>
      <c r="E24" s="29">
        <f t="shared" si="16"/>
        <v>1.2509999999999994</v>
      </c>
      <c r="F24" s="6">
        <f t="shared" si="17"/>
        <v>50.009999000199947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ht="15.75" customHeight="1">
      <c r="A25" s="29">
        <v>6.7869999999999999</v>
      </c>
      <c r="B25" s="2">
        <v>40</v>
      </c>
      <c r="C25" s="29">
        <v>5.5140000000000002</v>
      </c>
      <c r="D25" s="2">
        <v>1</v>
      </c>
      <c r="E25" s="29">
        <f t="shared" si="16"/>
        <v>1.2729999999999997</v>
      </c>
      <c r="F25" s="6">
        <f t="shared" si="17"/>
        <v>40.01249804748511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ht="15.75" customHeight="1">
      <c r="A26" s="29">
        <v>6.8099999999999996</v>
      </c>
      <c r="B26" s="2">
        <v>80</v>
      </c>
      <c r="C26" s="29">
        <v>5.5140000000000002</v>
      </c>
      <c r="D26" s="2">
        <v>1</v>
      </c>
      <c r="E26" s="29">
        <f t="shared" si="16"/>
        <v>1.2959999999999994</v>
      </c>
      <c r="F26" s="6">
        <f t="shared" si="17"/>
        <v>80.006249755878443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15.75" customHeight="1">
      <c r="A27" s="29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5.75" customHeight="1">
      <c r="A28" s="29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ht="15.75" customHeight="1">
      <c r="A29" s="29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ht="15.75" customHeight="1">
      <c r="A30" s="29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ht="15.75" customHeight="1">
      <c r="A31" s="29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ht="15.75" customHeight="1">
      <c r="A32" s="29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ht="15.75" customHeight="1">
      <c r="A33" s="29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ht="15.75" customHeight="1">
      <c r="A34" s="29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ht="15.75" customHeight="1">
      <c r="A35" s="29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ht="15.75" customHeight="1">
      <c r="A36" s="29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ht="15.75" customHeight="1">
      <c r="A37" s="29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ht="15.75" customHeight="1">
      <c r="A38" s="29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ht="15.75" customHeight="1">
      <c r="A39" s="29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ht="15.75" customHeight="1">
      <c r="A40" s="29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ht="15.75" customHeight="1">
      <c r="A41" s="29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ht="15.75" customHeight="1">
      <c r="A42" s="29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ht="15.75" customHeight="1">
      <c r="A43" s="29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ht="15.75" customHeight="1">
      <c r="A44" s="29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ht="15.75" customHeight="1">
      <c r="A45" s="29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ht="15.75" customHeight="1">
      <c r="A46" s="29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ht="15.75" customHeight="1">
      <c r="A47" s="29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ht="15.75" customHeight="1">
      <c r="A48" s="29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ht="15.75" customHeight="1">
      <c r="A49" s="29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ht="15.75" customHeight="1">
      <c r="A50" s="29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ht="15.75" customHeight="1">
      <c r="A51" s="29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ht="15.75" customHeight="1">
      <c r="A52" s="29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5.75" customHeight="1">
      <c r="A53" s="29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ht="15.75" customHeight="1">
      <c r="A54" s="29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ht="15.75" customHeight="1">
      <c r="A55" s="29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ht="15.75" customHeight="1">
      <c r="A56" s="29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ht="15.75" customHeight="1">
      <c r="A57" s="29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ht="15.75" customHeight="1">
      <c r="A58" s="29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ht="15.75" customHeight="1">
      <c r="A59" s="29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ht="15.75" customHeight="1">
      <c r="A60" s="29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ht="15.75" customHeight="1">
      <c r="A61" s="29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ht="15.75" customHeight="1">
      <c r="A62" s="29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ht="15.75" customHeight="1">
      <c r="A63" s="29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ht="15.75" customHeight="1">
      <c r="A64" s="29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ht="15.75" customHeight="1">
      <c r="A65" s="29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ht="15.75" customHeight="1">
      <c r="A66" s="29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15.75" customHeight="1">
      <c r="A67" s="29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15.75" customHeight="1">
      <c r="A68" s="29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15.75" customHeight="1">
      <c r="A69" s="29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ht="15.75" customHeight="1">
      <c r="A70" s="29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ht="15.75" customHeight="1">
      <c r="A71" s="29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ht="15.75" customHeight="1">
      <c r="A72" s="29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ht="15.75" customHeight="1">
      <c r="A73" s="29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ht="15.75" customHeight="1">
      <c r="A74" s="29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ht="15.75" customHeight="1">
      <c r="A75" s="29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ht="15.75" customHeight="1">
      <c r="A76" s="29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ht="15.75" customHeight="1">
      <c r="A77" s="29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ht="15.75" customHeight="1">
      <c r="A78" s="29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ht="15.75" customHeight="1">
      <c r="A79" s="29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ht="15.75" customHeight="1">
      <c r="A80" s="29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ht="15.75" customHeight="1">
      <c r="A81" s="29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ht="15.75" customHeight="1">
      <c r="A82" s="29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ht="15.75" customHeight="1">
      <c r="A83" s="29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ht="15.75" customHeight="1">
      <c r="A84" s="29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ht="15.75" customHeight="1">
      <c r="A85" s="29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ht="15.75" customHeight="1">
      <c r="A86" s="29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ht="15.75" customHeight="1">
      <c r="A87" s="29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ht="15.75" customHeight="1">
      <c r="A88" s="29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ht="15.75" customHeight="1">
      <c r="A89" s="29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ht="15.75" customHeight="1">
      <c r="A90" s="29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ht="15.75" customHeight="1">
      <c r="A91" s="29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ht="15.75" customHeight="1">
      <c r="A92" s="29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ht="15.75" customHeight="1">
      <c r="A93" s="29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ht="15.75" customHeight="1">
      <c r="A94" s="29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ht="15.75" customHeight="1">
      <c r="A95" s="29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ht="15.75" customHeight="1">
      <c r="A96" s="29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ht="15.75" customHeight="1">
      <c r="A97" s="29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ht="15.75" customHeight="1">
      <c r="A98" s="29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ht="15.75" customHeight="1">
      <c r="A99" s="29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ht="15.75" customHeight="1">
      <c r="A100" s="29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ht="15.75" customHeight="1">
      <c r="A101" s="29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ht="15.75" customHeight="1">
      <c r="A102" s="29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ht="15.75" customHeight="1">
      <c r="A103" s="29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ht="15.75" customHeight="1">
      <c r="A104" s="29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ht="15.75" customHeight="1">
      <c r="A105" s="29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ht="15.75" customHeight="1">
      <c r="A106" s="29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ht="15.75" customHeight="1">
      <c r="A107" s="29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ht="15.75" customHeight="1">
      <c r="A108" s="29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ht="15.75" customHeight="1">
      <c r="A109" s="29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t="15.75" customHeight="1">
      <c r="A110" s="29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ht="15.75" customHeight="1">
      <c r="A111" s="29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ht="15.75" customHeight="1">
      <c r="A112" s="29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ht="15.75" customHeight="1">
      <c r="A113" s="29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ht="15.75" customHeight="1">
      <c r="A114" s="29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ht="15.75" customHeight="1">
      <c r="A115" s="29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ht="15.75" customHeight="1">
      <c r="A116" s="29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ht="15.75" customHeight="1">
      <c r="A117" s="29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ht="15.75" customHeight="1">
      <c r="A118" s="29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ht="15.75" customHeight="1">
      <c r="A119" s="29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ht="15.75" customHeight="1">
      <c r="A120" s="29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ht="15.75" customHeight="1">
      <c r="A121" s="29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ht="15.75" customHeight="1">
      <c r="A122" s="29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t="15.75" customHeight="1">
      <c r="A123" s="29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t="15.75" customHeight="1">
      <c r="A124" s="29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t="15.75" customHeight="1">
      <c r="A125" s="29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t="15.75" customHeight="1">
      <c r="A126" s="29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t="15.75" customHeight="1">
      <c r="A127" s="29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t="15.75" customHeight="1">
      <c r="A128" s="29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t="15.75" customHeight="1">
      <c r="A129" s="29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t="15.75" customHeight="1">
      <c r="A130" s="29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t="15.75" customHeight="1">
      <c r="A131" s="29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t="15.75" customHeight="1">
      <c r="A132" s="29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t="15.75" customHeight="1">
      <c r="A133" s="29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t="15.75" customHeight="1">
      <c r="A134" s="29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t="15.75" customHeight="1">
      <c r="A135" s="29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t="15.75" customHeight="1">
      <c r="A136" s="29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t="15.75" customHeight="1">
      <c r="A137" s="29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t="15.75" customHeight="1">
      <c r="A138" s="29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t="15.75" customHeight="1">
      <c r="A139" s="29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t="15.75" customHeight="1">
      <c r="A140" s="29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t="15.75" customHeight="1">
      <c r="A141" s="29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15.75" customHeight="1">
      <c r="A142" s="29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15.75" customHeight="1">
      <c r="A143" s="29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15.75" customHeight="1">
      <c r="A144" s="29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ht="15.75" customHeight="1">
      <c r="A145" s="29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ht="15.75" customHeight="1">
      <c r="A146" s="29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ht="15.75" customHeight="1">
      <c r="A147" s="29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ht="15.75" customHeight="1">
      <c r="A148" s="29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ht="15.75" customHeight="1">
      <c r="A149" s="29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ht="15.75" customHeight="1">
      <c r="A150" s="29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t="15.75" customHeight="1">
      <c r="A151" s="29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t="15.75" customHeight="1">
      <c r="A152" s="29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t="15.75" customHeight="1">
      <c r="A153" s="29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t="15.75" customHeight="1">
      <c r="A154" s="29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ht="15.75" customHeight="1">
      <c r="A155" s="29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ht="15.75" customHeight="1">
      <c r="A156" s="29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ht="15.75" customHeight="1">
      <c r="A157" s="29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ht="15.75" customHeight="1">
      <c r="A158" s="29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ht="15.75" customHeight="1">
      <c r="A159" s="29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t="15.75" customHeight="1">
      <c r="A160" s="29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t="15.75" customHeight="1">
      <c r="A161" s="29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t="15.75" customHeight="1">
      <c r="A162" s="29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t="15.75" customHeight="1">
      <c r="A163" s="29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t="15.75" customHeight="1">
      <c r="A164" s="29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t="15.75" customHeight="1">
      <c r="A165" s="29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t="15.75" customHeight="1">
      <c r="A166" s="29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t="15.75" customHeight="1">
      <c r="A167" s="29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t="15.75" customHeight="1">
      <c r="A168" s="29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t="15.75" customHeight="1">
      <c r="A169" s="29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t="15.75" customHeight="1">
      <c r="A170" s="29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t="15.75" customHeight="1">
      <c r="A171" s="29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t="15.75" customHeight="1">
      <c r="A172" s="29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ht="15.75" customHeight="1">
      <c r="A173" s="29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ht="15.75" customHeight="1">
      <c r="A174" s="29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t="15.75" customHeight="1">
      <c r="A175" s="29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t="15.75" customHeight="1">
      <c r="A176" s="29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15.75" customHeight="1">
      <c r="A177" s="29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ht="15.75" customHeight="1">
      <c r="A178" s="29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t="15.75" customHeight="1">
      <c r="A179" s="29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t="15.75" customHeight="1">
      <c r="A180" s="29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t="15.75" customHeight="1">
      <c r="A181" s="29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t="15.75" customHeight="1">
      <c r="A182" s="29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t="15.75" customHeight="1">
      <c r="A183" s="29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t="15.75" customHeight="1">
      <c r="A184" s="29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t="15.75" customHeight="1">
      <c r="A185" s="29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15.75" customHeight="1">
      <c r="A186" s="29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15.75" customHeight="1">
      <c r="A187" s="29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15.75" customHeight="1">
      <c r="A188" s="29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15.75" customHeight="1">
      <c r="A189" s="29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15.75" customHeight="1">
      <c r="A190" s="29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15.75" customHeight="1">
      <c r="A191" s="29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15.75" customHeight="1">
      <c r="A192" s="29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t="15.75" customHeight="1">
      <c r="A193" s="29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t="15.75" customHeight="1">
      <c r="A194" s="29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t="15.75" customHeight="1">
      <c r="A195" s="29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t="15.75" customHeight="1">
      <c r="A196" s="29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15.75" customHeight="1">
      <c r="A197" s="29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15.75" customHeight="1">
      <c r="A198" s="29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15.75" customHeight="1">
      <c r="A199" s="29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15.75" customHeight="1">
      <c r="A200" s="29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15.75" customHeight="1">
      <c r="A201" s="29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15.75" customHeight="1">
      <c r="A202" s="29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15.75" customHeight="1">
      <c r="A203" s="29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15.75" customHeight="1">
      <c r="A204" s="29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15.75" customHeight="1">
      <c r="A205" s="29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15.75" customHeight="1">
      <c r="A206" s="29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15.75" customHeight="1">
      <c r="A207" s="29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15.75" customHeight="1">
      <c r="A208" s="29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15.75" customHeight="1">
      <c r="A209" s="29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15.75" customHeight="1">
      <c r="A210" s="29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15.75" customHeight="1">
      <c r="A211" s="29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15.75" customHeight="1">
      <c r="A212" s="29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15.75" customHeight="1">
      <c r="A213" s="29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t="15.75" customHeight="1">
      <c r="A214" s="29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t="15.75" customHeight="1">
      <c r="A215" s="29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15.75" customHeight="1">
      <c r="A216" s="29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ht="15.75" customHeight="1">
      <c r="A217" s="29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ht="15.75" customHeight="1">
      <c r="A218" s="29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t="15.75" customHeight="1">
      <c r="A219" s="29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t="15.75" customHeight="1">
      <c r="A220" s="29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ht="15.75" customHeight="1">
      <c r="A221" s="29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ht="15.75" customHeight="1">
      <c r="A222" s="29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ht="15.75" customHeight="1">
      <c r="A223" s="29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ht="15.75" customHeight="1">
      <c r="A224" s="29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ht="15.75" customHeight="1">
      <c r="A225" s="29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ht="15.75" customHeight="1">
      <c r="A226" s="29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ht="15.75" customHeight="1">
      <c r="A227" s="29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ht="15.75" customHeight="1">
      <c r="A228" s="29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ht="15.75" customHeight="1">
      <c r="A229" s="29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ht="15.75" customHeight="1">
      <c r="A230" s="29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ht="15.75" customHeight="1">
      <c r="A231" s="29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ht="15.75" customHeight="1">
      <c r="A232" s="29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ht="15.75" customHeight="1">
      <c r="A233" s="29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ht="15.75" customHeight="1">
      <c r="A234" s="29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ht="15.75" customHeight="1">
      <c r="A235" s="29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ht="15.75" customHeight="1">
      <c r="A236" s="29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ht="15.75" customHeight="1">
      <c r="A237" s="29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ht="15.75" customHeight="1">
      <c r="A238" s="29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ht="15.75" customHeight="1">
      <c r="A239" s="29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ht="15.75" customHeight="1">
      <c r="A240" s="29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ht="15.75" customHeight="1">
      <c r="A241" s="29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ht="15.75" customHeight="1">
      <c r="A242" s="29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ht="15.75" customHeight="1">
      <c r="A243" s="29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ht="15.75" customHeight="1">
      <c r="A244" s="29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ht="15.75" customHeight="1">
      <c r="A245" s="29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ht="15.75" customHeight="1">
      <c r="A246" s="29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ht="15.75" customHeight="1">
      <c r="A247" s="29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ht="15.75" customHeight="1">
      <c r="A248" s="29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ht="15.75" customHeight="1">
      <c r="A249" s="29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ht="15.75" customHeight="1">
      <c r="A250" s="29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ht="15.75" customHeight="1">
      <c r="A251" s="29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ht="15.75" customHeight="1">
      <c r="A252" s="29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ht="15.75" customHeight="1">
      <c r="A253" s="29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ht="15.75" customHeight="1">
      <c r="A254" s="29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ht="15.75" customHeight="1">
      <c r="A255" s="29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ht="15.75" customHeight="1">
      <c r="A256" s="29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ht="15.75" customHeight="1">
      <c r="A257" s="29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ht="15.75" customHeight="1">
      <c r="A258" s="29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ht="15.75" customHeight="1">
      <c r="A259" s="29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ht="15.75" customHeight="1">
      <c r="A260" s="29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ht="15.75" customHeight="1">
      <c r="A261" s="29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ht="15.75" customHeight="1">
      <c r="A262" s="29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ht="15.75" customHeight="1">
      <c r="A263" s="29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ht="15.75" customHeight="1">
      <c r="A264" s="29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ht="15.75" customHeight="1">
      <c r="A265" s="29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ht="15.75" customHeight="1">
      <c r="A266" s="29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ht="15.75" customHeight="1">
      <c r="A267" s="29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ht="15.75" customHeight="1">
      <c r="A268" s="29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ht="15.75" customHeight="1">
      <c r="A269" s="29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ht="15.75" customHeight="1">
      <c r="A270" s="29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ht="15.75" customHeight="1">
      <c r="A271" s="29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ht="15.75" customHeight="1">
      <c r="A272" s="29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ht="15.75" customHeight="1">
      <c r="A273" s="29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ht="15.75" customHeight="1">
      <c r="A274" s="29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ht="15.75" customHeight="1">
      <c r="A275" s="29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ht="15.75" customHeight="1">
      <c r="A276" s="29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ht="15.75" customHeight="1">
      <c r="A277" s="29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ht="15.75" customHeight="1">
      <c r="A278" s="29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ht="15.75" customHeight="1">
      <c r="A279" s="29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ht="15.75" customHeight="1">
      <c r="A280" s="29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ht="15.75" customHeight="1">
      <c r="A281" s="29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ht="15.75" customHeight="1">
      <c r="A282" s="29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ht="15.75" customHeight="1">
      <c r="A283" s="29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ht="15.75" customHeight="1">
      <c r="A284" s="29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ht="15.75" customHeight="1">
      <c r="A285" s="29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ht="15.75" customHeight="1">
      <c r="A286" s="29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ht="15.75" customHeight="1">
      <c r="A287" s="29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ht="15.75" customHeight="1">
      <c r="A288" s="29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ht="15.75" customHeight="1">
      <c r="A289" s="29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ht="15.75" customHeight="1">
      <c r="A290" s="29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ht="15.75" customHeight="1">
      <c r="A291" s="29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ht="15.75" customHeight="1">
      <c r="A292" s="29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ht="15.75" customHeight="1">
      <c r="A293" s="29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ht="15.75" customHeight="1">
      <c r="A294" s="29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ht="15.75" customHeight="1">
      <c r="A295" s="29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ht="15.75" customHeight="1">
      <c r="A296" s="29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ht="15.75" customHeight="1">
      <c r="A297" s="29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ht="15.75" customHeight="1">
      <c r="A298" s="29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ht="15.75" customHeight="1">
      <c r="A299" s="29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ht="15.75" customHeight="1">
      <c r="A300" s="29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ht="15.75" customHeight="1">
      <c r="A301" s="29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ht="15.75" customHeight="1">
      <c r="A302" s="29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ht="15.75" customHeight="1">
      <c r="A303" s="29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ht="15.75" customHeight="1">
      <c r="A304" s="29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ht="15.75" customHeight="1">
      <c r="A305" s="29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ht="15.75" customHeight="1">
      <c r="A306" s="29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ht="15.75" customHeight="1">
      <c r="A307" s="29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ht="15.75" customHeight="1">
      <c r="A308" s="29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ht="15.75" customHeight="1">
      <c r="A309" s="29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ht="15.75" customHeight="1">
      <c r="A310" s="29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ht="15.75" customHeight="1">
      <c r="A311" s="29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ht="15.75" customHeight="1">
      <c r="A312" s="29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ht="15.75" customHeight="1">
      <c r="A313" s="29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ht="15.75" customHeight="1">
      <c r="A314" s="29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ht="15.75" customHeight="1">
      <c r="A315" s="29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ht="15.75" customHeight="1">
      <c r="A316" s="29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ht="15.75" customHeight="1">
      <c r="A317" s="29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ht="15.75" customHeight="1">
      <c r="A318" s="29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ht="15.75" customHeight="1">
      <c r="A319" s="29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ht="15.75" customHeight="1">
      <c r="A320" s="29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ht="15.75" customHeight="1">
      <c r="A321" s="29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ht="15.75" customHeight="1">
      <c r="A322" s="29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ht="15.75" customHeight="1">
      <c r="A323" s="29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ht="15.75" customHeight="1">
      <c r="A324" s="29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ht="15.75" customHeight="1">
      <c r="A325" s="29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ht="15.75" customHeight="1">
      <c r="A326" s="29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ht="15.75" customHeight="1">
      <c r="A327" s="29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ht="15.75" customHeight="1">
      <c r="A328" s="29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ht="15.75" customHeight="1">
      <c r="A329" s="29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ht="15.75" customHeight="1">
      <c r="A330" s="29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ht="15.75" customHeight="1">
      <c r="A331" s="29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ht="15.75" customHeight="1">
      <c r="A332" s="29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ht="15.75" customHeight="1">
      <c r="A333" s="29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ht="15.75" customHeight="1">
      <c r="A334" s="29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ht="15.75" customHeight="1">
      <c r="A335" s="29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ht="15.75" customHeight="1">
      <c r="A336" s="29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ht="15.75" customHeight="1">
      <c r="A337" s="29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ht="15.75" customHeight="1">
      <c r="A338" s="29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ht="15.75" customHeight="1">
      <c r="A339" s="29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ht="15.75" customHeight="1">
      <c r="A340" s="29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ht="15.75" customHeight="1">
      <c r="A341" s="29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ht="15.75" customHeight="1">
      <c r="A342" s="29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ht="15.75" customHeight="1">
      <c r="A343" s="29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ht="15.75" customHeight="1">
      <c r="A344" s="29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ht="15.75" customHeight="1">
      <c r="A345" s="29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ht="15.75" customHeight="1">
      <c r="A346" s="29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ht="15.75" customHeight="1">
      <c r="A347" s="29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ht="15.75" customHeight="1">
      <c r="A348" s="29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ht="15.75" customHeight="1">
      <c r="A349" s="29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ht="15.75" customHeight="1">
      <c r="A350" s="29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ht="15.75" customHeight="1">
      <c r="A351" s="29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ht="15.75" customHeight="1">
      <c r="A352" s="29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ht="15.75" customHeight="1">
      <c r="A353" s="29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ht="15.75" customHeight="1">
      <c r="A354" s="29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ht="15.75" customHeight="1">
      <c r="A355" s="29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ht="15.75" customHeight="1">
      <c r="A356" s="29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ht="15.75" customHeight="1">
      <c r="A357" s="29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ht="15.75" customHeight="1">
      <c r="A358" s="29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ht="15.75" customHeight="1">
      <c r="A359" s="29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ht="15.75" customHeight="1">
      <c r="A360" s="29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ht="15.75" customHeight="1">
      <c r="A361" s="29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ht="15.75" customHeight="1">
      <c r="A362" s="29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ht="15.75" customHeight="1">
      <c r="A363" s="29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ht="15.75" customHeight="1">
      <c r="A364" s="29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ht="15.75" customHeight="1">
      <c r="A365" s="29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ht="15.75" customHeight="1">
      <c r="A366" s="29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ht="15.75" customHeight="1">
      <c r="A367" s="29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ht="15.75" customHeight="1">
      <c r="A368" s="29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ht="15.75" customHeight="1">
      <c r="A369" s="29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ht="15.75" customHeight="1">
      <c r="A370" s="29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ht="15.75" customHeight="1">
      <c r="A371" s="29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ht="15.75" customHeight="1">
      <c r="A372" s="29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ht="15.75" customHeight="1">
      <c r="A373" s="29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ht="15.75" customHeight="1">
      <c r="A374" s="29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ht="15.75" customHeight="1">
      <c r="A375" s="29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ht="15.75" customHeight="1">
      <c r="A376" s="29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ht="15.75" customHeight="1">
      <c r="A377" s="29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ht="15.75" customHeight="1">
      <c r="A378" s="29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ht="15.75" customHeight="1">
      <c r="A379" s="29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ht="15.75" customHeight="1">
      <c r="A380" s="29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ht="15.75" customHeight="1">
      <c r="A381" s="29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ht="15.75" customHeight="1">
      <c r="A382" s="29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ht="15.75" customHeight="1">
      <c r="A383" s="29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ht="15.75" customHeight="1">
      <c r="A384" s="29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ht="15.75" customHeight="1">
      <c r="A385" s="29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ht="15.75" customHeight="1">
      <c r="A386" s="29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ht="15.75" customHeight="1">
      <c r="A387" s="29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ht="15.75" customHeight="1">
      <c r="A388" s="29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ht="15.75" customHeight="1">
      <c r="A389" s="29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ht="15.75" customHeight="1">
      <c r="A390" s="29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ht="15.75" customHeight="1">
      <c r="A391" s="29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ht="15.75" customHeight="1">
      <c r="A392" s="29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ht="15.75" customHeight="1">
      <c r="A393" s="29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ht="15.75" customHeight="1">
      <c r="A394" s="29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ht="15.75" customHeight="1">
      <c r="A395" s="29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ht="15.75" customHeight="1">
      <c r="A396" s="29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ht="15.75" customHeight="1">
      <c r="A397" s="29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ht="15.75" customHeight="1">
      <c r="A398" s="29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ht="15.75" customHeight="1">
      <c r="A399" s="29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ht="15.75" customHeight="1">
      <c r="A400" s="29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ht="15.75" customHeight="1">
      <c r="A401" s="29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ht="15.75" customHeight="1">
      <c r="A402" s="29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ht="15.75" customHeight="1">
      <c r="A403" s="29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ht="15.75" customHeight="1">
      <c r="A404" s="29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ht="15.75" customHeight="1">
      <c r="A405" s="29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ht="15.75" customHeight="1">
      <c r="A406" s="29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ht="15.75" customHeight="1">
      <c r="A407" s="29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ht="15.75" customHeight="1">
      <c r="A408" s="29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ht="15.75" customHeight="1">
      <c r="A409" s="29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ht="15.75" customHeight="1">
      <c r="A410" s="29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ht="15.75" customHeight="1">
      <c r="A411" s="29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ht="15.75" customHeight="1">
      <c r="A412" s="29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ht="15.75" customHeight="1">
      <c r="A413" s="29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ht="15.75" customHeight="1">
      <c r="A414" s="29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ht="15.75" customHeight="1">
      <c r="A415" s="29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ht="15.75" customHeight="1">
      <c r="A416" s="29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ht="15.75" customHeight="1">
      <c r="A417" s="29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ht="15.75" customHeight="1">
      <c r="A418" s="29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ht="15.75" customHeight="1">
      <c r="A419" s="29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ht="15.75" customHeight="1">
      <c r="A420" s="29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ht="15.75" customHeight="1">
      <c r="A421" s="29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ht="15.75" customHeight="1">
      <c r="A422" s="29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ht="15.75" customHeight="1">
      <c r="A423" s="29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ht="15.75" customHeight="1">
      <c r="A424" s="29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ht="15.75" customHeight="1">
      <c r="A425" s="29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ht="15.75" customHeight="1">
      <c r="A426" s="29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ht="15.75" customHeight="1">
      <c r="A427" s="29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ht="15.75" customHeight="1">
      <c r="A428" s="29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ht="15.75" customHeight="1">
      <c r="A429" s="29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ht="15.75" customHeight="1">
      <c r="A430" s="29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ht="15.75" customHeight="1">
      <c r="A431" s="29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ht="15.75" customHeight="1">
      <c r="A432" s="29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ht="15.75" customHeight="1">
      <c r="A433" s="29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ht="15.75" customHeight="1">
      <c r="A434" s="29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ht="15.75" customHeight="1">
      <c r="A435" s="29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ht="15.75" customHeight="1">
      <c r="A436" s="29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ht="15.75" customHeight="1">
      <c r="A437" s="29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ht="15.75" customHeight="1">
      <c r="A438" s="29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ht="15.75" customHeight="1">
      <c r="A439" s="29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ht="15.75" customHeight="1">
      <c r="A440" s="29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ht="15.75" customHeight="1">
      <c r="A441" s="29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ht="15.75" customHeight="1">
      <c r="A442" s="29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ht="15.75" customHeight="1">
      <c r="A443" s="29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ht="15.75" customHeight="1">
      <c r="A444" s="29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ht="15.75" customHeight="1">
      <c r="A445" s="29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ht="15.75" customHeight="1">
      <c r="A446" s="29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ht="15.75" customHeight="1">
      <c r="A447" s="29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ht="15.75" customHeight="1">
      <c r="A448" s="29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ht="15.75" customHeight="1">
      <c r="A449" s="29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ht="15.75" customHeight="1">
      <c r="A450" s="29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ht="15.75" customHeight="1">
      <c r="A451" s="29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ht="15.75" customHeight="1">
      <c r="A452" s="29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ht="15.75" customHeight="1">
      <c r="A453" s="29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ht="15.75" customHeight="1">
      <c r="A454" s="29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ht="15.75" customHeight="1">
      <c r="A455" s="29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ht="15.75" customHeight="1">
      <c r="A456" s="29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ht="15.75" customHeight="1">
      <c r="A457" s="29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ht="15.75" customHeight="1">
      <c r="A458" s="29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ht="15.75" customHeight="1">
      <c r="A459" s="29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ht="15.75" customHeight="1">
      <c r="A460" s="29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ht="15.75" customHeight="1">
      <c r="A461" s="29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ht="15.75" customHeight="1">
      <c r="A462" s="29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ht="15.75" customHeight="1">
      <c r="A463" s="29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ht="15.75" customHeight="1">
      <c r="A464" s="29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ht="15.75" customHeight="1">
      <c r="A465" s="29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ht="15.75" customHeight="1">
      <c r="A466" s="29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ht="15.75" customHeight="1">
      <c r="A467" s="29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ht="15.75" customHeight="1">
      <c r="A468" s="29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ht="15.75" customHeight="1">
      <c r="A469" s="29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ht="15.75" customHeight="1">
      <c r="A470" s="29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ht="15.75" customHeight="1">
      <c r="A471" s="29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ht="15.75" customHeight="1">
      <c r="A472" s="29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ht="15.75" customHeight="1">
      <c r="A473" s="29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ht="15.75" customHeight="1">
      <c r="A474" s="29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ht="15.75" customHeight="1">
      <c r="A475" s="29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ht="15.75" customHeight="1">
      <c r="A476" s="29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ht="15.75" customHeight="1">
      <c r="A477" s="29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ht="15.75" customHeight="1">
      <c r="A478" s="29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ht="15.75" customHeight="1">
      <c r="A479" s="29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ht="15.75" customHeight="1">
      <c r="A480" s="29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ht="15.75" customHeight="1">
      <c r="A481" s="29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ht="15.75" customHeight="1">
      <c r="A482" s="29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ht="15.75" customHeight="1">
      <c r="A483" s="29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ht="15.75" customHeight="1">
      <c r="A484" s="29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ht="15.75" customHeight="1">
      <c r="A485" s="29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ht="15.75" customHeight="1">
      <c r="A486" s="29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ht="15.75" customHeight="1">
      <c r="A487" s="29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ht="15.75" customHeight="1">
      <c r="A488" s="29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ht="15.75" customHeight="1">
      <c r="A489" s="29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ht="15.75" customHeight="1">
      <c r="A490" s="29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ht="15.75" customHeight="1">
      <c r="A491" s="29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ht="15.75" customHeight="1">
      <c r="A492" s="29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ht="15.75" customHeight="1">
      <c r="A493" s="29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ht="15.75" customHeight="1">
      <c r="A494" s="29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ht="15.75" customHeight="1">
      <c r="A495" s="29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ht="15.75" customHeight="1">
      <c r="A496" s="29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ht="15.75" customHeight="1">
      <c r="A497" s="29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ht="15.75" customHeight="1">
      <c r="A498" s="29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ht="15.75" customHeight="1">
      <c r="A499" s="29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ht="15.75" customHeight="1">
      <c r="A500" s="29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ht="15.75" customHeight="1">
      <c r="A501" s="29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ht="15.75" customHeight="1">
      <c r="A502" s="29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ht="15.75" customHeight="1">
      <c r="A503" s="29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ht="15.75" customHeight="1">
      <c r="A504" s="29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ht="15.75" customHeight="1">
      <c r="A505" s="29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ht="15.75" customHeight="1">
      <c r="A506" s="29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ht="15.75" customHeight="1">
      <c r="A507" s="29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ht="15.75" customHeight="1">
      <c r="A508" s="29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ht="15.75" customHeight="1">
      <c r="A509" s="29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ht="15.75" customHeight="1">
      <c r="A510" s="29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ht="15.75" customHeight="1">
      <c r="A511" s="29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ht="15.75" customHeight="1">
      <c r="A512" s="29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ht="15.75" customHeight="1">
      <c r="A513" s="29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ht="15.75" customHeight="1">
      <c r="A514" s="29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ht="15.75" customHeight="1">
      <c r="A515" s="29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ht="15.75" customHeight="1">
      <c r="A516" s="29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ht="15.75" customHeight="1">
      <c r="A517" s="29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ht="15.75" customHeight="1">
      <c r="A518" s="29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ht="15.75" customHeight="1">
      <c r="A519" s="29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ht="15.75" customHeight="1">
      <c r="A520" s="29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ht="15.75" customHeight="1">
      <c r="A521" s="29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ht="15.75" customHeight="1">
      <c r="A522" s="29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ht="15.75" customHeight="1">
      <c r="A523" s="29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ht="15.75" customHeight="1">
      <c r="A524" s="29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ht="15.75" customHeight="1">
      <c r="A525" s="29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ht="15.75" customHeight="1">
      <c r="A526" s="29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ht="15.75" customHeight="1">
      <c r="A527" s="29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ht="15.75" customHeight="1">
      <c r="A528" s="29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ht="15.75" customHeight="1">
      <c r="A529" s="29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ht="15.75" customHeight="1">
      <c r="A530" s="29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ht="15.75" customHeight="1">
      <c r="A531" s="29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ht="15.75" customHeight="1">
      <c r="A532" s="29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ht="15.75" customHeight="1">
      <c r="A533" s="29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ht="15.75" customHeight="1">
      <c r="A534" s="29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ht="15.75" customHeight="1">
      <c r="A535" s="29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ht="15.75" customHeight="1">
      <c r="A536" s="29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ht="15.75" customHeight="1">
      <c r="A537" s="29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ht="15.75" customHeight="1">
      <c r="A538" s="29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ht="15.75" customHeight="1">
      <c r="A539" s="29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ht="15.75" customHeight="1">
      <c r="A540" s="29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ht="15.75" customHeight="1">
      <c r="A541" s="29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ht="15.75" customHeight="1">
      <c r="A542" s="29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ht="15.75" customHeight="1">
      <c r="A543" s="29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ht="15.75" customHeight="1">
      <c r="A544" s="29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ht="15.75" customHeight="1">
      <c r="A545" s="29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ht="15.75" customHeight="1">
      <c r="A546" s="29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ht="15.75" customHeight="1">
      <c r="A547" s="29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ht="15.75" customHeight="1">
      <c r="A548" s="29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ht="15.75" customHeight="1">
      <c r="A549" s="29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ht="15.75" customHeight="1">
      <c r="A550" s="29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ht="15.75" customHeight="1">
      <c r="A551" s="29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ht="15.75" customHeight="1">
      <c r="A552" s="29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ht="15.75" customHeight="1">
      <c r="A553" s="29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ht="15.75" customHeight="1">
      <c r="A554" s="29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ht="15.75" customHeight="1">
      <c r="A555" s="29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ht="15.75" customHeight="1">
      <c r="A556" s="29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ht="15.75" customHeight="1">
      <c r="A557" s="29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ht="15.75" customHeight="1">
      <c r="A558" s="29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ht="15.75" customHeight="1">
      <c r="A559" s="29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ht="15.75" customHeight="1">
      <c r="A560" s="29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ht="15.75" customHeight="1">
      <c r="A561" s="29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ht="15.75" customHeight="1">
      <c r="A562" s="29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ht="15.75" customHeight="1">
      <c r="A563" s="29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ht="15.75" customHeight="1">
      <c r="A564" s="29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ht="15.75" customHeight="1">
      <c r="A565" s="29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ht="15.75" customHeight="1">
      <c r="A566" s="29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ht="15.75" customHeight="1">
      <c r="A567" s="29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ht="15.75" customHeight="1">
      <c r="A568" s="29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ht="15.75" customHeight="1">
      <c r="A569" s="29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ht="15.75" customHeight="1">
      <c r="A570" s="29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ht="15.75" customHeight="1">
      <c r="A571" s="29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ht="15.75" customHeight="1">
      <c r="A572" s="29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ht="15.75" customHeight="1">
      <c r="A573" s="29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ht="15.75" customHeight="1">
      <c r="A574" s="29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ht="15.75" customHeight="1">
      <c r="A575" s="29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ht="15.75" customHeight="1">
      <c r="A576" s="29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ht="15.75" customHeight="1">
      <c r="A577" s="29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ht="15.75" customHeight="1">
      <c r="A578" s="29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ht="15.75" customHeight="1">
      <c r="A579" s="29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ht="15.75" customHeight="1">
      <c r="A580" s="29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ht="15.75" customHeight="1">
      <c r="A581" s="29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ht="15.75" customHeight="1">
      <c r="A582" s="29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ht="15.75" customHeight="1">
      <c r="A583" s="29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ht="15.75" customHeight="1">
      <c r="A584" s="29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ht="15.75" customHeight="1">
      <c r="A585" s="29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ht="15.75" customHeight="1">
      <c r="A586" s="29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ht="15.75" customHeight="1">
      <c r="A587" s="29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ht="15.75" customHeight="1">
      <c r="A588" s="29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ht="15.75" customHeight="1">
      <c r="A589" s="29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ht="15.75" customHeight="1">
      <c r="A590" s="29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ht="15.75" customHeight="1">
      <c r="A591" s="29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ht="15.75" customHeight="1">
      <c r="A592" s="29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ht="15.75" customHeight="1">
      <c r="A593" s="29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ht="15.75" customHeight="1">
      <c r="A594" s="29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ht="15.75" customHeight="1">
      <c r="A595" s="29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ht="15.75" customHeight="1">
      <c r="A596" s="29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ht="15.75" customHeight="1">
      <c r="A597" s="29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ht="15.75" customHeight="1">
      <c r="A598" s="29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ht="15.75" customHeight="1">
      <c r="A599" s="29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ht="15.75" customHeight="1">
      <c r="A600" s="29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ht="15.75" customHeight="1">
      <c r="A601" s="29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ht="15.75" customHeight="1">
      <c r="A602" s="29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ht="15.75" customHeight="1">
      <c r="A603" s="29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ht="15.75" customHeight="1">
      <c r="A604" s="29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ht="15.75" customHeight="1">
      <c r="A605" s="29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ht="15.75" customHeight="1">
      <c r="A606" s="29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ht="15.75" customHeight="1">
      <c r="A607" s="29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ht="15.75" customHeight="1">
      <c r="A608" s="29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ht="15.75" customHeight="1">
      <c r="A609" s="29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ht="15.75" customHeight="1">
      <c r="A610" s="29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ht="15.75" customHeight="1">
      <c r="A611" s="29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ht="15.75" customHeight="1">
      <c r="A612" s="29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ht="15.75" customHeight="1">
      <c r="A613" s="29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ht="15.75" customHeight="1">
      <c r="A614" s="29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ht="15.75" customHeight="1">
      <c r="A615" s="29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ht="15.75" customHeight="1">
      <c r="A616" s="29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ht="15.75" customHeight="1">
      <c r="A617" s="29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ht="15.75" customHeight="1">
      <c r="A618" s="29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ht="15.75" customHeight="1">
      <c r="A619" s="29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ht="15.75" customHeight="1">
      <c r="A620" s="29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ht="15.75" customHeight="1">
      <c r="A621" s="29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ht="15.75" customHeight="1">
      <c r="A622" s="29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ht="15.75" customHeight="1">
      <c r="A623" s="29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ht="15.75" customHeight="1">
      <c r="A624" s="29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ht="15.75" customHeight="1">
      <c r="A625" s="29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ht="15.75" customHeight="1">
      <c r="A626" s="29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ht="15.75" customHeight="1">
      <c r="A627" s="29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ht="15.75" customHeight="1">
      <c r="A628" s="29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ht="15.75" customHeight="1">
      <c r="A629" s="29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ht="15.75" customHeight="1">
      <c r="A630" s="29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ht="15.75" customHeight="1">
      <c r="A631" s="29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ht="15.75" customHeight="1">
      <c r="A632" s="29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ht="15.75" customHeight="1">
      <c r="A633" s="29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ht="15.75" customHeight="1">
      <c r="A634" s="29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ht="15.75" customHeight="1">
      <c r="A635" s="29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ht="15.75" customHeight="1">
      <c r="A636" s="29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ht="15.75" customHeight="1">
      <c r="A637" s="29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ht="15.75" customHeight="1">
      <c r="A638" s="29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ht="15.75" customHeight="1">
      <c r="A639" s="29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ht="15.75" customHeight="1">
      <c r="A640" s="29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ht="15.75" customHeight="1">
      <c r="A641" s="29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ht="15.75" customHeight="1">
      <c r="A642" s="29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ht="15.75" customHeight="1">
      <c r="A643" s="29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ht="15.75" customHeight="1">
      <c r="A644" s="29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ht="15.75" customHeight="1">
      <c r="A645" s="29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ht="15.75" customHeight="1">
      <c r="A646" s="29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ht="15.75" customHeight="1">
      <c r="A647" s="29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ht="15.75" customHeight="1">
      <c r="A648" s="29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ht="15.75" customHeight="1">
      <c r="A649" s="29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ht="15.75" customHeight="1">
      <c r="A650" s="29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ht="15.75" customHeight="1">
      <c r="A651" s="29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ht="15.75" customHeight="1">
      <c r="A652" s="29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ht="15.75" customHeight="1">
      <c r="A653" s="29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ht="15.75" customHeight="1">
      <c r="A654" s="29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ht="15.75" customHeight="1">
      <c r="A655" s="29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ht="15.75" customHeight="1">
      <c r="A656" s="29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ht="15.75" customHeight="1">
      <c r="A657" s="29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ht="15.75" customHeight="1">
      <c r="A658" s="29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ht="15.75" customHeight="1">
      <c r="A659" s="29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ht="15.75" customHeight="1">
      <c r="A660" s="29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ht="15.75" customHeight="1">
      <c r="A661" s="29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ht="15.75" customHeight="1">
      <c r="A662" s="29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ht="15.75" customHeight="1">
      <c r="A663" s="29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ht="15.75" customHeight="1">
      <c r="A664" s="29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ht="15.75" customHeight="1">
      <c r="A665" s="29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ht="15.75" customHeight="1">
      <c r="A666" s="29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ht="15.75" customHeight="1">
      <c r="A667" s="29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ht="15.75" customHeight="1">
      <c r="A668" s="29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ht="15.75" customHeight="1">
      <c r="A669" s="29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ht="15.75" customHeight="1">
      <c r="A670" s="29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ht="15.75" customHeight="1">
      <c r="A671" s="29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ht="15.75" customHeight="1">
      <c r="A672" s="29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ht="15.75" customHeight="1">
      <c r="A673" s="29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ht="15.75" customHeight="1">
      <c r="A674" s="29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ht="15.75" customHeight="1">
      <c r="A675" s="29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ht="15.75" customHeight="1">
      <c r="A676" s="29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ht="15.75" customHeight="1">
      <c r="A677" s="29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ht="15.75" customHeight="1">
      <c r="A678" s="29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ht="15.75" customHeight="1">
      <c r="A679" s="29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ht="15.75" customHeight="1">
      <c r="A680" s="29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ht="15.75" customHeight="1">
      <c r="A681" s="29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ht="15.75" customHeight="1">
      <c r="A682" s="29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ht="15.75" customHeight="1">
      <c r="A683" s="29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ht="15.75" customHeight="1">
      <c r="A684" s="29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ht="15.75" customHeight="1">
      <c r="A685" s="29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ht="15.75" customHeight="1">
      <c r="A686" s="29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ht="15.75" customHeight="1">
      <c r="A687" s="29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ht="15.75" customHeight="1">
      <c r="A688" s="29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ht="15.75" customHeight="1">
      <c r="A689" s="29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ht="15.75" customHeight="1">
      <c r="A690" s="29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ht="15.75" customHeight="1">
      <c r="A691" s="29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ht="15.75" customHeight="1">
      <c r="A692" s="29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ht="15.75" customHeight="1">
      <c r="A693" s="29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ht="15.75" customHeight="1">
      <c r="A694" s="29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ht="15.75" customHeight="1">
      <c r="A695" s="29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ht="15.75" customHeight="1">
      <c r="A696" s="29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ht="15.75" customHeight="1">
      <c r="A697" s="29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ht="15.75" customHeight="1">
      <c r="A698" s="29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ht="15.75" customHeight="1">
      <c r="A699" s="29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ht="15.75" customHeight="1">
      <c r="A700" s="29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ht="15.75" customHeight="1">
      <c r="A701" s="29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ht="15.75" customHeight="1">
      <c r="A702" s="29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ht="15.75" customHeight="1">
      <c r="A703" s="29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ht="15.75" customHeight="1">
      <c r="A704" s="29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ht="15.75" customHeight="1">
      <c r="A705" s="29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ht="15.75" customHeight="1">
      <c r="A706" s="29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ht="15.75" customHeight="1">
      <c r="A707" s="29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ht="15.75" customHeight="1">
      <c r="A708" s="29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ht="15.75" customHeight="1">
      <c r="A709" s="29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ht="15.75" customHeight="1">
      <c r="A710" s="29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ht="15.75" customHeight="1">
      <c r="A711" s="29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ht="15.75" customHeight="1">
      <c r="A712" s="29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ht="15.75" customHeight="1">
      <c r="A713" s="29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ht="15.75" customHeight="1">
      <c r="A714" s="29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ht="15.75" customHeight="1">
      <c r="A715" s="29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ht="15.75" customHeight="1">
      <c r="A716" s="29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ht="15.75" customHeight="1">
      <c r="A717" s="29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ht="15.75" customHeight="1">
      <c r="A718" s="29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ht="15.75" customHeight="1">
      <c r="A719" s="29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ht="15.75" customHeight="1">
      <c r="A720" s="29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ht="15.75" customHeight="1">
      <c r="A721" s="29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ht="15.75" customHeight="1">
      <c r="A722" s="29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ht="15.75" customHeight="1">
      <c r="A723" s="29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ht="15.75" customHeight="1">
      <c r="A724" s="29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ht="15.75" customHeight="1">
      <c r="A725" s="29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ht="15.75" customHeight="1">
      <c r="A726" s="29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ht="15.75" customHeight="1">
      <c r="A727" s="29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ht="15.75" customHeight="1">
      <c r="A728" s="29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ht="15.75" customHeight="1">
      <c r="A729" s="29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ht="15.75" customHeight="1">
      <c r="A730" s="29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ht="15.75" customHeight="1">
      <c r="A731" s="29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ht="15.75" customHeight="1">
      <c r="A732" s="29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ht="15.75" customHeight="1">
      <c r="A733" s="29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ht="15.75" customHeight="1">
      <c r="A734" s="29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ht="15.75" customHeight="1">
      <c r="A735" s="29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ht="15.75" customHeight="1">
      <c r="A736" s="29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ht="15.75" customHeight="1">
      <c r="A737" s="29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ht="15.75" customHeight="1">
      <c r="A738" s="29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ht="15.75" customHeight="1">
      <c r="A739" s="29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ht="15.75" customHeight="1">
      <c r="A740" s="29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ht="15.75" customHeight="1">
      <c r="A741" s="29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ht="15.75" customHeight="1">
      <c r="A742" s="29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ht="15.75" customHeight="1">
      <c r="A743" s="29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ht="15.75" customHeight="1">
      <c r="A744" s="29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ht="15.75" customHeight="1">
      <c r="A745" s="29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ht="15.75" customHeight="1">
      <c r="A746" s="29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ht="15.75" customHeight="1">
      <c r="A747" s="29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ht="15.75" customHeight="1">
      <c r="A748" s="29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ht="15.75" customHeight="1">
      <c r="A749" s="29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ht="15.75" customHeight="1">
      <c r="A750" s="29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ht="15.75" customHeight="1">
      <c r="A751" s="29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ht="15.75" customHeight="1">
      <c r="A752" s="29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ht="15.75" customHeight="1">
      <c r="A753" s="29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ht="15.75" customHeight="1">
      <c r="A754" s="29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ht="15.75" customHeight="1">
      <c r="A755" s="29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ht="15.75" customHeight="1">
      <c r="A756" s="29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ht="15.75" customHeight="1">
      <c r="A757" s="29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ht="15.75" customHeight="1">
      <c r="A758" s="29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ht="15.75" customHeight="1">
      <c r="A759" s="29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ht="15.75" customHeight="1">
      <c r="A760" s="29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ht="15.75" customHeight="1">
      <c r="A761" s="29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ht="15.75" customHeight="1">
      <c r="A762" s="29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ht="15.75" customHeight="1">
      <c r="A763" s="29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ht="15.75" customHeight="1">
      <c r="A764" s="29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ht="15.75" customHeight="1">
      <c r="A765" s="29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ht="15.75" customHeight="1">
      <c r="A766" s="29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ht="15.75" customHeight="1">
      <c r="A767" s="29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ht="15.75" customHeight="1">
      <c r="A768" s="29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ht="15.75" customHeight="1">
      <c r="A769" s="29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ht="15.75" customHeight="1">
      <c r="A770" s="29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ht="15.75" customHeight="1">
      <c r="A771" s="29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ht="15.75" customHeight="1">
      <c r="A772" s="29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ht="15.75" customHeight="1">
      <c r="A773" s="29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ht="15.75" customHeight="1">
      <c r="A774" s="29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ht="15.75" customHeight="1">
      <c r="A775" s="29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ht="15.75" customHeight="1">
      <c r="A776" s="29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ht="15.75" customHeight="1">
      <c r="A777" s="29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ht="15.75" customHeight="1">
      <c r="A778" s="29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ht="15.75" customHeight="1">
      <c r="A779" s="29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ht="15.75" customHeight="1">
      <c r="A780" s="29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ht="15.75" customHeight="1">
      <c r="A781" s="29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ht="15.75" customHeight="1">
      <c r="A782" s="29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ht="15.75" customHeight="1">
      <c r="A783" s="29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ht="15.75" customHeight="1">
      <c r="A784" s="29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ht="15.75" customHeight="1">
      <c r="A785" s="29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ht="15.75" customHeight="1">
      <c r="A786" s="29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ht="15.75" customHeight="1">
      <c r="A787" s="29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ht="15.75" customHeight="1">
      <c r="A788" s="29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ht="15.75" customHeight="1">
      <c r="A789" s="29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ht="15.75" customHeight="1">
      <c r="A790" s="29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ht="15.75" customHeight="1">
      <c r="A791" s="29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ht="15.75" customHeight="1">
      <c r="A792" s="29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ht="15.75" customHeight="1">
      <c r="A793" s="29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ht="15.75" customHeight="1">
      <c r="A794" s="29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ht="15.75" customHeight="1">
      <c r="A795" s="29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ht="15.75" customHeight="1">
      <c r="A796" s="29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ht="15.75" customHeight="1">
      <c r="A797" s="29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ht="15.75" customHeight="1">
      <c r="A798" s="29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ht="15.75" customHeight="1">
      <c r="A799" s="29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ht="15.75" customHeight="1">
      <c r="A800" s="29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ht="15.75" customHeight="1">
      <c r="A801" s="29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ht="15.75" customHeight="1">
      <c r="A802" s="29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ht="15.75" customHeight="1">
      <c r="A803" s="29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ht="15.75" customHeight="1">
      <c r="A804" s="29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ht="15.75" customHeight="1">
      <c r="A805" s="29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ht="15.75" customHeight="1">
      <c r="A806" s="29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ht="15.75" customHeight="1">
      <c r="A807" s="29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ht="15.75" customHeight="1">
      <c r="A808" s="29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ht="15.75" customHeight="1">
      <c r="A809" s="29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ht="15.75" customHeight="1">
      <c r="A810" s="29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ht="15.75" customHeight="1">
      <c r="A811" s="29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ht="15.75" customHeight="1">
      <c r="A812" s="29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ht="15.75" customHeight="1">
      <c r="A813" s="29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ht="15.75" customHeight="1">
      <c r="A814" s="29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ht="15.75" customHeight="1">
      <c r="A815" s="29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ht="15.75" customHeight="1">
      <c r="A816" s="29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ht="15.75" customHeight="1">
      <c r="A817" s="29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ht="15.75" customHeight="1">
      <c r="A818" s="29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ht="15.75" customHeight="1">
      <c r="A819" s="29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ht="15.75" customHeight="1">
      <c r="A820" s="29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ht="15.75" customHeight="1">
      <c r="A821" s="29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ht="15.75" customHeight="1">
      <c r="A822" s="29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ht="15.75" customHeight="1">
      <c r="A823" s="29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ht="15.75" customHeight="1">
      <c r="A824" s="29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ht="15.75" customHeight="1">
      <c r="A825" s="29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ht="15.75" customHeight="1">
      <c r="A826" s="29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ht="15.75" customHeight="1">
      <c r="A827" s="29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ht="15.75" customHeight="1">
      <c r="A828" s="29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ht="15.75" customHeight="1">
      <c r="A829" s="29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ht="15.75" customHeight="1">
      <c r="A830" s="29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ht="15.75" customHeight="1">
      <c r="A831" s="29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ht="15.75" customHeight="1">
      <c r="A832" s="29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ht="15.75" customHeight="1">
      <c r="A833" s="29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ht="15.75" customHeight="1">
      <c r="A834" s="29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ht="15.75" customHeight="1">
      <c r="A835" s="29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ht="15.75" customHeight="1">
      <c r="A836" s="29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ht="15.75" customHeight="1">
      <c r="A837" s="29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ht="15.75" customHeight="1">
      <c r="A838" s="29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ht="15.75" customHeight="1">
      <c r="A839" s="29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ht="15.75" customHeight="1">
      <c r="A840" s="29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ht="15.75" customHeight="1">
      <c r="A841" s="29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ht="15.75" customHeight="1">
      <c r="A842" s="29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ht="15.75" customHeight="1">
      <c r="A843" s="29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ht="15.75" customHeight="1">
      <c r="A844" s="29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ht="15.75" customHeight="1">
      <c r="A845" s="29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ht="15.75" customHeight="1">
      <c r="A846" s="29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ht="15.75" customHeight="1">
      <c r="A847" s="29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ht="15.75" customHeight="1">
      <c r="A848" s="29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ht="15.75" customHeight="1">
      <c r="A849" s="29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ht="15.75" customHeight="1">
      <c r="A850" s="29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ht="15.75" customHeight="1">
      <c r="A851" s="29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ht="15.75" customHeight="1">
      <c r="A852" s="29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ht="15.75" customHeight="1">
      <c r="A853" s="29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ht="15.75" customHeight="1">
      <c r="A854" s="29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ht="15.75" customHeight="1">
      <c r="A855" s="29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ht="15.75" customHeight="1">
      <c r="A856" s="29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ht="15.75" customHeight="1">
      <c r="A857" s="29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ht="15.75" customHeight="1">
      <c r="A858" s="29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ht="15.75" customHeight="1">
      <c r="A859" s="29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ht="15.75" customHeight="1">
      <c r="A860" s="29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ht="15.75" customHeight="1">
      <c r="A861" s="29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ht="15.75" customHeight="1">
      <c r="A862" s="29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ht="15.75" customHeight="1">
      <c r="A863" s="29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ht="15.75" customHeight="1">
      <c r="A864" s="29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ht="15.75" customHeight="1">
      <c r="A865" s="29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ht="15.75" customHeight="1">
      <c r="A866" s="29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ht="15.75" customHeight="1">
      <c r="A867" s="29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ht="15.75" customHeight="1">
      <c r="A868" s="29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ht="15.75" customHeight="1">
      <c r="A869" s="29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ht="15.75" customHeight="1">
      <c r="A870" s="29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ht="15.75" customHeight="1">
      <c r="A871" s="29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ht="15.75" customHeight="1">
      <c r="A872" s="29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ht="15.75" customHeight="1">
      <c r="A873" s="29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ht="15.75" customHeight="1">
      <c r="A874" s="29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ht="15.75" customHeight="1">
      <c r="A875" s="29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ht="15.75" customHeight="1">
      <c r="A876" s="29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ht="15.75" customHeight="1">
      <c r="A877" s="29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ht="15.75" customHeight="1">
      <c r="A878" s="29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ht="15.75" customHeight="1">
      <c r="A879" s="29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ht="15.75" customHeight="1">
      <c r="A880" s="29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ht="15.75" customHeight="1">
      <c r="A881" s="29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ht="15.75" customHeight="1">
      <c r="A882" s="29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ht="15.75" customHeight="1">
      <c r="A883" s="29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ht="15.75" customHeight="1">
      <c r="A884" s="29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ht="15.75" customHeight="1">
      <c r="A885" s="29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ht="15.75" customHeight="1">
      <c r="A886" s="29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ht="15.75" customHeight="1">
      <c r="A887" s="29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ht="15.75" customHeight="1">
      <c r="A888" s="29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ht="15.75" customHeight="1">
      <c r="A889" s="29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ht="15.75" customHeight="1">
      <c r="A890" s="29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ht="15.75" customHeight="1">
      <c r="A891" s="29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ht="15.75" customHeight="1">
      <c r="A892" s="29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ht="15.75" customHeight="1">
      <c r="A893" s="29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ht="15.75" customHeight="1">
      <c r="A894" s="29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ht="15.75" customHeight="1">
      <c r="A895" s="29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ht="15.75" customHeight="1">
      <c r="A896" s="29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ht="15.75" customHeight="1">
      <c r="A897" s="29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ht="15.75" customHeight="1">
      <c r="A898" s="29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ht="15.75" customHeight="1">
      <c r="A899" s="29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ht="15.75" customHeight="1">
      <c r="A900" s="29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ht="15.75" customHeight="1">
      <c r="A901" s="29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ht="15.75" customHeight="1">
      <c r="A902" s="29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ht="15.75" customHeight="1">
      <c r="A903" s="29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ht="15.75" customHeight="1">
      <c r="A904" s="29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ht="15.75" customHeight="1">
      <c r="A905" s="29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ht="15.75" customHeight="1">
      <c r="A906" s="29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ht="15.75" customHeight="1">
      <c r="A907" s="29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ht="15.75" customHeight="1">
      <c r="A908" s="29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ht="15.75" customHeight="1">
      <c r="A909" s="29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ht="15.75" customHeight="1">
      <c r="A910" s="29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ht="15.75" customHeight="1">
      <c r="A911" s="29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ht="15.75" customHeight="1">
      <c r="A912" s="29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ht="15.75" customHeight="1">
      <c r="A913" s="29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ht="15.75" customHeight="1">
      <c r="A914" s="29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ht="15.75" customHeight="1">
      <c r="A915" s="29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ht="15.75" customHeight="1">
      <c r="A916" s="29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ht="15.75" customHeight="1">
      <c r="A917" s="29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ht="15.75" customHeight="1">
      <c r="A918" s="29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ht="15.75" customHeight="1">
      <c r="A919" s="29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ht="15.75" customHeight="1">
      <c r="A920" s="29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ht="15.75" customHeight="1">
      <c r="A921" s="29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ht="15.75" customHeight="1">
      <c r="A922" s="29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ht="15.75" customHeight="1">
      <c r="A923" s="29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ht="15.75" customHeight="1">
      <c r="A924" s="29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ht="15.75" customHeight="1">
      <c r="A925" s="29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ht="15.75" customHeight="1">
      <c r="A926" s="29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ht="15.75" customHeight="1">
      <c r="A927" s="29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ht="15.75" customHeight="1">
      <c r="A928" s="29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ht="15.75" customHeight="1">
      <c r="A929" s="29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ht="15.75" customHeight="1">
      <c r="A930" s="29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ht="15.75" customHeight="1">
      <c r="A931" s="29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ht="15.75" customHeight="1">
      <c r="A932" s="29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ht="15.75" customHeight="1">
      <c r="A933" s="29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ht="15.75" customHeight="1">
      <c r="A934" s="29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ht="15.75" customHeight="1">
      <c r="A935" s="29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ht="15.75" customHeight="1">
      <c r="A936" s="29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ht="15.75" customHeight="1">
      <c r="A937" s="29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ht="15.75" customHeight="1">
      <c r="A938" s="29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ht="15.75" customHeight="1">
      <c r="A939" s="29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ht="15.75" customHeight="1">
      <c r="A940" s="29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ht="15.75" customHeight="1">
      <c r="A941" s="29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ht="15.75" customHeight="1">
      <c r="A942" s="29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ht="15.75" customHeight="1">
      <c r="A943" s="29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ht="15.75" customHeight="1">
      <c r="A944" s="29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ht="15.75" customHeight="1">
      <c r="A945" s="29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ht="15.75" customHeight="1">
      <c r="A946" s="29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ht="15.75" customHeight="1">
      <c r="A947" s="29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ht="15.75" customHeight="1">
      <c r="A948" s="29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ht="15.75" customHeight="1">
      <c r="A949" s="29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ht="15.75" customHeight="1">
      <c r="A950" s="29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ht="15.75" customHeight="1">
      <c r="A951" s="29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ht="15.75" customHeight="1">
      <c r="A952" s="29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ht="15.75" customHeight="1">
      <c r="A953" s="29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ht="15.75" customHeight="1">
      <c r="A954" s="29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ht="15.75" customHeight="1">
      <c r="A955" s="29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ht="15.75" customHeight="1">
      <c r="A956" s="29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ht="15.75" customHeight="1">
      <c r="A957" s="29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ht="15.75" customHeight="1">
      <c r="A958" s="29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ht="15.75" customHeight="1">
      <c r="A959" s="29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ht="15.75" customHeight="1">
      <c r="A960" s="29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ht="15.75" customHeight="1">
      <c r="A961" s="29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ht="15.75" customHeight="1">
      <c r="A962" s="29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ht="15.75" customHeight="1">
      <c r="A963" s="29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ht="15.75" customHeight="1">
      <c r="A964" s="29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ht="15.75" customHeight="1">
      <c r="A965" s="29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ht="15.75" customHeight="1">
      <c r="A966" s="29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ht="15.75" customHeight="1">
      <c r="A967" s="29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ht="15.75" customHeight="1">
      <c r="A968" s="29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ht="15.75" customHeight="1">
      <c r="A969" s="29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ht="15.75" customHeight="1">
      <c r="A970" s="29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ht="15.75" customHeight="1">
      <c r="A971" s="29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ht="15.75" customHeight="1">
      <c r="A972" s="29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ht="15.75" customHeight="1">
      <c r="A973" s="29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ht="15.75" customHeight="1">
      <c r="A974" s="29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ht="15.75" customHeight="1">
      <c r="A975" s="29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ht="15.75" customHeight="1">
      <c r="A976" s="29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ht="15.75" customHeight="1">
      <c r="A977" s="29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ht="15.75" customHeight="1">
      <c r="A978" s="29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ht="15.75" customHeight="1">
      <c r="A979" s="29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ht="15.75" customHeight="1">
      <c r="A980" s="29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ht="15.75" customHeight="1">
      <c r="A981" s="29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ht="15.75" customHeight="1">
      <c r="A982" s="29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ht="15.75" customHeight="1">
      <c r="A983" s="29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ht="15.75" customHeight="1">
      <c r="A984" s="29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ht="15.75" customHeight="1">
      <c r="A985" s="29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ht="15.75" customHeight="1">
      <c r="A986" s="29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ht="15.75" customHeight="1">
      <c r="A987" s="29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ht="15.75" customHeight="1">
      <c r="A988" s="29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ht="15.75" customHeight="1">
      <c r="A989" s="29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ht="15.75" customHeight="1">
      <c r="A990" s="29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ht="15.75" customHeight="1">
      <c r="A991" s="29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ht="15.75" customHeight="1">
      <c r="A992" s="29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ht="15.75" customHeight="1">
      <c r="A993" s="29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ht="15.75" customHeight="1">
      <c r="A994" s="29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ht="15.75" customHeight="1">
      <c r="A995" s="29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ht="15.75" customHeight="1">
      <c r="A996" s="29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ht="15.75" customHeight="1">
      <c r="A997" s="29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ht="15.75" customHeight="1">
      <c r="A998" s="29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ht="15.75" customHeight="1">
      <c r="A999" s="29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ht="15.75" customHeight="1">
      <c r="A1000" s="29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printOptions headings="0" gridLines="0"/>
  <pageMargins left="0.78750000000000009" right="0.78750000000000009" top="0" bottom="0" header="0" footer="0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G11" activeCellId="0" sqref="G11"/>
    </sheetView>
  </sheetViews>
  <sheetFormatPr defaultColWidth="12.5703125" defaultRowHeight="15" customHeight="1"/>
  <cols>
    <col bestFit="1" customWidth="1" min="1" max="1" width="9"/>
    <col bestFit="1" customWidth="1" min="2" max="2" width="9.140625"/>
    <col bestFit="1" customWidth="1" min="3" max="3" width="6.5703125"/>
    <col bestFit="1" customWidth="1" min="4" max="4" width="15.5703125"/>
    <col bestFit="1" customWidth="1" min="5" max="5" width="14.7109375"/>
    <col bestFit="1" customWidth="1" min="6" max="6" width="23.5703125"/>
    <col bestFit="1" customWidth="1" min="7" max="7" width="14.42578125"/>
    <col bestFit="1" customWidth="1" min="8" max="8" width="13.140625"/>
    <col bestFit="1" customWidth="1" min="9" max="9" width="18.140625"/>
    <col bestFit="1" customWidth="1" min="10" max="10" width="13.7109375"/>
    <col bestFit="1" customWidth="1" min="11" max="11" width="14.42578125"/>
    <col bestFit="1" customWidth="1" min="12" max="12" width="13.140625"/>
    <col bestFit="1" customWidth="1" min="13" max="13" width="17.5703125"/>
    <col bestFit="1" customWidth="1" min="14" max="14" width="10.140625"/>
    <col bestFit="1" customWidth="1" min="15" max="15" width="13.7109375"/>
    <col bestFit="1" customWidth="1" min="16" max="16" width="11"/>
    <col bestFit="1" customWidth="1" min="17" max="17" width="11.28515625"/>
    <col bestFit="1" customWidth="1" min="18" max="18" width="8"/>
    <col bestFit="1" customWidth="1" min="19" max="19" width="12.42578125"/>
    <col customWidth="1" min="20" max="26" width="8.5703125"/>
  </cols>
  <sheetData>
    <row r="1" ht="15.75" customHeight="1">
      <c r="A1" s="1" t="s">
        <v>16</v>
      </c>
      <c r="B1" s="1" t="s">
        <v>17</v>
      </c>
      <c r="C1" s="1" t="s">
        <v>18</v>
      </c>
      <c r="D1" s="1" t="s">
        <v>19</v>
      </c>
      <c r="E1" s="14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2"/>
      <c r="M1" s="1" t="s">
        <v>0</v>
      </c>
      <c r="N1" s="1" t="s">
        <v>1</v>
      </c>
      <c r="O1" s="1" t="s">
        <v>2</v>
      </c>
      <c r="P1" s="1" t="s">
        <v>3</v>
      </c>
      <c r="Q1" s="2" t="s">
        <v>4</v>
      </c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5">
        <v>5.9226000000000001</v>
      </c>
      <c r="B2" s="15">
        <f t="shared" ref="B2:B5" si="18">A2-$N$2</f>
        <v>0.40859999999999985</v>
      </c>
      <c r="C2" s="15">
        <v>0.0063957299999999996</v>
      </c>
      <c r="D2" s="16" t="s">
        <v>27</v>
      </c>
      <c r="E2" s="15">
        <v>0.45900000000000002</v>
      </c>
      <c r="F2" s="15">
        <f>E2*0.09</f>
        <v>0.041309999999999999</v>
      </c>
      <c r="G2" s="6">
        <v>131.357</v>
      </c>
      <c r="H2" s="6">
        <v>11.4611</v>
      </c>
      <c r="I2" s="17">
        <f t="shared" ref="I2:I6" si="19">(G2/(E2*$N$7*$N$5))*10^27</f>
        <v>5.8322695042697656</v>
      </c>
      <c r="J2" s="18">
        <f t="shared" ref="J2:J6" si="20">I2*SQRT(($O$7/$N$7)^2 + (F2/E2)^2)</f>
        <v>0.784651612516584</v>
      </c>
      <c r="K2" s="18">
        <f t="shared" ref="K2:K6" si="21">SQRT((H2/G2)^2 + ($O$5/$N$5)^2)</f>
        <v>0.087257496060642439</v>
      </c>
      <c r="L2" s="2"/>
      <c r="M2" s="2" t="s">
        <v>6</v>
      </c>
      <c r="N2" s="2">
        <v>5.5140000000000002</v>
      </c>
      <c r="O2" s="2">
        <v>0.0011000000000000001</v>
      </c>
      <c r="P2" s="2" t="s">
        <v>7</v>
      </c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5">
        <v>6.3253500000000003</v>
      </c>
      <c r="B3" s="15">
        <f t="shared" si="18"/>
        <v>0.81135000000000002</v>
      </c>
      <c r="C3" s="15">
        <v>0.0063957299999999996</v>
      </c>
      <c r="D3" s="16" t="s">
        <v>28</v>
      </c>
      <c r="E3" s="15">
        <v>0.26800000000000002</v>
      </c>
      <c r="F3" s="15">
        <f t="shared" ref="F3:F5" si="22">E3*0.1</f>
        <v>0.026800000000000004</v>
      </c>
      <c r="G3" s="6">
        <v>131.71899999999999</v>
      </c>
      <c r="H3" s="6">
        <v>11.476900000000001</v>
      </c>
      <c r="I3" s="17">
        <f t="shared" si="19"/>
        <v>10.016377392983202</v>
      </c>
      <c r="J3" s="18">
        <f t="shared" si="20"/>
        <v>1.4165296755004111</v>
      </c>
      <c r="K3" s="18">
        <f t="shared" si="21"/>
        <v>0.087137665388507257</v>
      </c>
      <c r="L3" s="2"/>
      <c r="M3" s="2" t="s">
        <v>9</v>
      </c>
      <c r="N3" s="2">
        <v>1265657</v>
      </c>
      <c r="O3" s="3">
        <f>SQRT(N3)</f>
        <v>1125.0142221323249</v>
      </c>
      <c r="P3" s="2"/>
      <c r="Q3" s="2">
        <v>1302170</v>
      </c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5">
        <v>6.6989999999999998</v>
      </c>
      <c r="B4" s="15">
        <f t="shared" si="18"/>
        <v>1.1849999999999996</v>
      </c>
      <c r="C4" s="15">
        <v>0.0063957299999999996</v>
      </c>
      <c r="D4" s="2" t="s">
        <v>29</v>
      </c>
      <c r="E4" s="15">
        <v>0.19600000000000001</v>
      </c>
      <c r="F4" s="15">
        <f t="shared" si="22"/>
        <v>0.019600000000000003</v>
      </c>
      <c r="G4" s="6">
        <v>289.65499999999997</v>
      </c>
      <c r="H4" s="6">
        <v>17.019200000000001</v>
      </c>
      <c r="I4" s="17">
        <f t="shared" si="19"/>
        <v>30.11771412926262</v>
      </c>
      <c r="J4" s="18">
        <f t="shared" si="20"/>
        <v>4.2592879789278992</v>
      </c>
      <c r="K4" s="18">
        <f t="shared" si="21"/>
        <v>0.058765647133042755</v>
      </c>
      <c r="L4" s="2"/>
      <c r="M4" s="2" t="s">
        <v>10</v>
      </c>
      <c r="N4" s="2">
        <v>1000</v>
      </c>
      <c r="O4" s="3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5">
        <v>7.3490200000000003</v>
      </c>
      <c r="B5" s="15">
        <f t="shared" si="18"/>
        <v>1.8350200000000001</v>
      </c>
      <c r="C5" s="15">
        <v>0.0063957299999999996</v>
      </c>
      <c r="D5" s="16" t="s">
        <v>30</v>
      </c>
      <c r="E5" s="15">
        <v>0.17599999999999999</v>
      </c>
      <c r="F5" s="15">
        <f t="shared" si="22"/>
        <v>0.017600000000000001</v>
      </c>
      <c r="G5" s="6">
        <v>127.288</v>
      </c>
      <c r="H5" s="6">
        <v>11.2822</v>
      </c>
      <c r="I5" s="17">
        <f t="shared" si="19"/>
        <v>14.739129796120579</v>
      </c>
      <c r="J5" s="18">
        <f t="shared" si="20"/>
        <v>2.0844277255251118</v>
      </c>
      <c r="K5" s="18">
        <f t="shared" si="21"/>
        <v>0.088641088048204378</v>
      </c>
      <c r="L5" s="2"/>
      <c r="M5" s="4" t="s">
        <v>11</v>
      </c>
      <c r="N5" s="5">
        <f>N3*N4</f>
        <v>1265657000</v>
      </c>
      <c r="O5" s="6">
        <f>N5*SQRT( (O3/N3)^2 + (0.5/N4)^2)</f>
        <v>1290786.1598313837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5"/>
      <c r="B6" s="2"/>
      <c r="C6" s="15"/>
      <c r="D6" s="16" t="s">
        <v>27</v>
      </c>
      <c r="E6" s="15">
        <v>0.46999999999999997</v>
      </c>
      <c r="F6" s="15">
        <f>E6*0.09</f>
        <v>0.042299999999999997</v>
      </c>
      <c r="G6" s="6">
        <v>209.791</v>
      </c>
      <c r="H6" s="18">
        <f>SQRT(G6)</f>
        <v>14.484163765989392</v>
      </c>
      <c r="I6" s="17">
        <f t="shared" si="19"/>
        <v>9.096745479077704</v>
      </c>
      <c r="J6" s="18">
        <f t="shared" si="20"/>
        <v>1.2238419372742888</v>
      </c>
      <c r="K6" s="18">
        <f t="shared" si="21"/>
        <v>0.069048452667454505</v>
      </c>
      <c r="L6" s="2"/>
      <c r="M6" s="2" t="s">
        <v>12</v>
      </c>
      <c r="N6" s="7">
        <v>0.00051599999999999997</v>
      </c>
      <c r="O6" s="7">
        <f>N6*0.1</f>
        <v>5.1600000000000001e-05</v>
      </c>
      <c r="P6" s="2" t="s">
        <v>13</v>
      </c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/>
      <c r="B7" s="2"/>
      <c r="C7" s="2"/>
      <c r="D7" s="2"/>
      <c r="E7" s="15"/>
      <c r="F7" s="2" t="s">
        <v>31</v>
      </c>
      <c r="G7" s="2"/>
      <c r="H7" s="2"/>
      <c r="I7" s="2"/>
      <c r="J7" s="19">
        <f>J2/I2</f>
        <v>0.13453624047073712</v>
      </c>
      <c r="K7" s="2"/>
      <c r="L7" s="2"/>
      <c r="M7" s="4" t="s">
        <v>14</v>
      </c>
      <c r="N7" s="8">
        <f>2*(6.022E+23/16.03)*N6</f>
        <v>3.8769207735495942e+19</v>
      </c>
      <c r="O7" s="9">
        <f>SQRT((O6/N6)^2)*N7</f>
        <v>3.8769207735495946e+18</v>
      </c>
      <c r="P7" s="4" t="s">
        <v>15</v>
      </c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0"/>
      <c r="B8" s="10"/>
      <c r="C8" s="10"/>
      <c r="D8" s="11"/>
      <c r="E8" s="10"/>
      <c r="F8" s="10"/>
      <c r="G8" s="2"/>
      <c r="H8" s="12"/>
      <c r="I8" s="13"/>
      <c r="J8" s="12"/>
      <c r="K8" s="1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B9" s="25"/>
      <c r="C9" s="25"/>
      <c r="D9" s="10"/>
      <c r="E9" s="50" t="s">
        <v>35</v>
      </c>
      <c r="F9" s="27">
        <v>2.758e-05</v>
      </c>
      <c r="G9" s="28" t="s">
        <v>90</v>
      </c>
      <c r="H9" s="25"/>
      <c r="I9" s="25"/>
      <c r="J9" s="25"/>
      <c r="K9" s="2"/>
      <c r="L9" s="2"/>
      <c r="M9" s="2" t="s">
        <v>5</v>
      </c>
      <c r="N9" s="2">
        <v>1000000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25"/>
      <c r="C10" s="25"/>
      <c r="D10" s="25"/>
      <c r="E10" s="50" t="s">
        <v>36</v>
      </c>
      <c r="F10" s="27">
        <f>0.000005</f>
        <v>5.0000000000000004e-06</v>
      </c>
      <c r="G10" s="51">
        <f>F10/F9</f>
        <v>0.18129079042784627</v>
      </c>
      <c r="H10" s="25"/>
      <c r="I10" s="25"/>
      <c r="J10" s="25"/>
      <c r="K10" s="2"/>
      <c r="L10" s="2"/>
      <c r="M10" s="2"/>
      <c r="N10" s="2">
        <f>SQRT(N9)/N9</f>
        <v>0.001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5"/>
      <c r="C11" s="25"/>
      <c r="D11" s="25"/>
      <c r="E11" s="50" t="s">
        <v>37</v>
      </c>
      <c r="F11" s="25">
        <v>0.014</v>
      </c>
      <c r="G11" s="25" t="s">
        <v>90</v>
      </c>
      <c r="H11" s="25"/>
      <c r="I11" s="25"/>
      <c r="J11" s="25"/>
      <c r="K11" s="2"/>
      <c r="L11" s="2"/>
      <c r="M11" s="2" t="s">
        <v>91</v>
      </c>
      <c r="N11" s="2"/>
      <c r="O11" s="25" t="s">
        <v>92</v>
      </c>
      <c r="P11" s="25" t="s">
        <v>93</v>
      </c>
      <c r="Q11" s="25" t="s">
        <v>94</v>
      </c>
      <c r="R11" s="25" t="s">
        <v>95</v>
      </c>
      <c r="S11" s="25" t="s">
        <v>96</v>
      </c>
      <c r="T11" s="2"/>
      <c r="U11" s="2"/>
      <c r="V11" s="2"/>
      <c r="W11" s="2"/>
      <c r="X11" s="2"/>
      <c r="Y11" s="2"/>
      <c r="Z11" s="2"/>
    </row>
    <row r="12" ht="15.75" customHeight="1">
      <c r="A12" s="2"/>
      <c r="B12" s="25"/>
      <c r="C12" s="25"/>
      <c r="D12" s="25"/>
      <c r="E12" s="50" t="s">
        <v>38</v>
      </c>
      <c r="F12" s="25">
        <v>0.0080000000000000002</v>
      </c>
      <c r="G12" s="52">
        <f>F12/F11</f>
        <v>0.5714285714285714</v>
      </c>
      <c r="H12" s="25"/>
      <c r="I12" s="25"/>
      <c r="J12" s="25"/>
      <c r="K12" s="2"/>
      <c r="L12" s="2"/>
      <c r="M12" s="6">
        <v>209.791</v>
      </c>
      <c r="N12" s="2"/>
      <c r="O12" s="25">
        <v>5.9015500000000003</v>
      </c>
      <c r="P12" s="25">
        <v>0.0045974099999999997</v>
      </c>
      <c r="Q12" s="25">
        <v>0.14916299999999999</v>
      </c>
      <c r="R12" s="25">
        <v>209.791</v>
      </c>
      <c r="S12" s="25">
        <v>14.4841</v>
      </c>
      <c r="T12" s="2"/>
      <c r="U12" s="2"/>
      <c r="V12" s="2"/>
      <c r="W12" s="2"/>
      <c r="X12" s="2"/>
      <c r="Y12" s="2"/>
      <c r="Z12" s="2"/>
    </row>
    <row r="13" ht="15.75" customHeight="1">
      <c r="A13" s="2"/>
      <c r="B13" s="50" t="s">
        <v>32</v>
      </c>
      <c r="C13" s="50" t="s">
        <v>33</v>
      </c>
      <c r="D13" s="50" t="s">
        <v>34</v>
      </c>
      <c r="E13" s="50" t="s">
        <v>39</v>
      </c>
      <c r="F13" s="50" t="s">
        <v>40</v>
      </c>
      <c r="G13" s="50" t="s">
        <v>41</v>
      </c>
      <c r="H13" s="50" t="s">
        <v>42</v>
      </c>
      <c r="I13" s="50" t="s">
        <v>43</v>
      </c>
      <c r="J13" s="50" t="s">
        <v>44</v>
      </c>
      <c r="K13" s="2"/>
      <c r="L13" s="2"/>
      <c r="M13" s="6">
        <v>249.20400000000001</v>
      </c>
      <c r="N13" s="2"/>
      <c r="O13" s="25">
        <v>6.3014900000000003</v>
      </c>
      <c r="P13" s="25">
        <v>0.0045974099999999997</v>
      </c>
      <c r="Q13" s="25">
        <v>0.20919599999999999</v>
      </c>
      <c r="R13" s="25">
        <v>249.20400000000001</v>
      </c>
      <c r="S13" s="25">
        <v>15.786199999999999</v>
      </c>
      <c r="T13" s="2"/>
      <c r="U13" s="2"/>
      <c r="V13" s="2"/>
      <c r="W13" s="2"/>
      <c r="X13" s="2"/>
      <c r="Y13" s="2"/>
      <c r="Z13" s="2"/>
    </row>
    <row r="14" ht="15.75" customHeight="1">
      <c r="A14" s="2"/>
      <c r="B14" s="25">
        <v>0.41749999999999998</v>
      </c>
      <c r="C14" s="24">
        <f>B14^2</f>
        <v>0.17430625</v>
      </c>
      <c r="D14" s="25">
        <v>0.040000000000000001</v>
      </c>
      <c r="E14" s="28">
        <f t="shared" ref="E14:E17" si="23">C14*$F$9</f>
        <v>4.8073663749999996e-06</v>
      </c>
      <c r="F14" s="28">
        <f t="shared" ref="F14:F17" si="24">E14*SQRT((D14/C14)^2 + ($F$10/$F$9)^2)</f>
        <v>1.4059221030080445e-06</v>
      </c>
      <c r="G14" s="28">
        <f t="shared" ref="G14:G17" si="25">E14*$F$11</f>
        <v>6.7303129249999996e-08</v>
      </c>
      <c r="H14" s="28">
        <f t="shared" ref="H14:H17" si="26">G14*SQRT(($F$12/$F$11)^2 + (F14/E14)^2)</f>
        <v>4.3203082040164297e-08</v>
      </c>
      <c r="I14" s="28">
        <f t="shared" ref="I14:I15" si="27">(2*3+1)/((2*0.5+1)*(2*5/2+1)) * E14*G14/(E14+G14)</f>
        <v>3.8718105255588427e-08</v>
      </c>
      <c r="J14" s="28">
        <f t="shared" ref="J14:J15" si="28">I14*SQRT((H14/G14)^2 + (F14/E14)^2)</f>
        <v>2.731167890914769e-08</v>
      </c>
      <c r="K14" s="17"/>
      <c r="L14" s="46"/>
      <c r="M14" s="6">
        <v>361.77999999999997</v>
      </c>
      <c r="N14" s="2"/>
      <c r="O14" s="25">
        <v>6.6535599999999997</v>
      </c>
      <c r="P14" s="25">
        <v>0.0045974099999999997</v>
      </c>
      <c r="Q14" s="25">
        <v>0.30464400000000003</v>
      </c>
      <c r="R14" s="25">
        <v>361.77999999999997</v>
      </c>
      <c r="S14" s="25">
        <v>19.020499999999998</v>
      </c>
      <c r="T14" s="2"/>
      <c r="U14" s="2"/>
      <c r="V14" s="2"/>
      <c r="W14" s="2"/>
      <c r="X14" s="2"/>
      <c r="Y14" s="2"/>
      <c r="Z14" s="2"/>
    </row>
    <row r="15" ht="15.75" customHeight="1">
      <c r="A15" s="2"/>
      <c r="B15" s="24">
        <f t="shared" ref="B15:B25" si="29">SQRT(C15)</f>
        <v>0.37148351242013422</v>
      </c>
      <c r="C15" s="25">
        <v>0.13800000000000001</v>
      </c>
      <c r="D15" s="25">
        <v>0.029999999999999999</v>
      </c>
      <c r="E15" s="28">
        <f t="shared" si="23"/>
        <v>3.8060400000000003e-06</v>
      </c>
      <c r="F15" s="28">
        <f t="shared" si="24"/>
        <v>1.0773535909811598e-06</v>
      </c>
      <c r="G15" s="28">
        <f t="shared" si="25"/>
        <v>5.3284560000000002e-08</v>
      </c>
      <c r="H15" s="28">
        <f t="shared" si="26"/>
        <v>3.3979340484806354e-08</v>
      </c>
      <c r="I15" s="28">
        <f t="shared" si="27"/>
        <v>3.0653510848126236e-08</v>
      </c>
      <c r="J15" s="28">
        <f t="shared" si="28"/>
        <v>2.138686625395029e-08</v>
      </c>
      <c r="K15" s="17"/>
      <c r="L15" s="46"/>
      <c r="M15" s="6">
        <v>322.27699999999999</v>
      </c>
      <c r="N15" s="2"/>
      <c r="O15" s="25">
        <v>7.2990500000000003</v>
      </c>
      <c r="P15" s="25">
        <v>0.0045974099999999997</v>
      </c>
      <c r="Q15" s="25">
        <v>0.60695399999999999</v>
      </c>
      <c r="R15" s="25">
        <v>322.27699999999999</v>
      </c>
      <c r="S15" s="25">
        <v>17.952100000000002</v>
      </c>
      <c r="T15" s="2"/>
      <c r="U15" s="2"/>
      <c r="V15" s="2"/>
      <c r="W15" s="2"/>
      <c r="X15" s="2"/>
      <c r="Y15" s="2"/>
      <c r="Z15" s="2"/>
    </row>
    <row r="16" ht="15.75" customHeight="1">
      <c r="A16" s="2"/>
      <c r="B16" s="24">
        <f t="shared" si="29"/>
        <v>0.38078865529319539</v>
      </c>
      <c r="C16" s="25">
        <v>0.14499999999999999</v>
      </c>
      <c r="D16" s="25">
        <v>0.029999999999999999</v>
      </c>
      <c r="E16" s="28">
        <f t="shared" si="23"/>
        <v>3.9990999999999995e-06</v>
      </c>
      <c r="F16" s="28">
        <f t="shared" si="24"/>
        <v>1.1000980683557259e-06</v>
      </c>
      <c r="G16" s="28">
        <f t="shared" si="25"/>
        <v>5.5987399999999992e-08</v>
      </c>
      <c r="H16" s="28">
        <f t="shared" si="26"/>
        <v>3.5506922434928088e-08</v>
      </c>
      <c r="I16" s="28">
        <f>(2*3+1)/((2*0.5+1)*(2*5/2+1)) * E16/(1/F11+1)</f>
        <v>3.2208399079552922e-08</v>
      </c>
      <c r="J16" s="28">
        <f>I16*SQRT((F16/E16)^2 + (F12/(1/F11+1))^2)</f>
        <v>8.8600936381864221e-09</v>
      </c>
      <c r="K16" s="17"/>
      <c r="L16" s="46"/>
      <c r="M16" s="6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4">
        <f t="shared" si="29"/>
        <v>0.28284271247461901</v>
      </c>
      <c r="C17" s="25">
        <v>0.080000000000000002</v>
      </c>
      <c r="D17" s="25">
        <v>0.02</v>
      </c>
      <c r="E17" s="28">
        <f t="shared" si="23"/>
        <v>2.2064000000000002e-06</v>
      </c>
      <c r="F17" s="28">
        <f t="shared" si="24"/>
        <v>6.8136815305677454e-07</v>
      </c>
      <c r="G17" s="28">
        <f t="shared" si="25"/>
        <v>3.0889600000000005e-08</v>
      </c>
      <c r="H17" s="28">
        <f t="shared" si="26"/>
        <v>2.0063905980640959e-08</v>
      </c>
      <c r="I17" s="28">
        <f>(2*3+1)/((2*0.5+1)*(2*5/2+1)) * E17/(1/F11+1)</f>
        <v>1.7770151216305065e-08</v>
      </c>
      <c r="J17" s="28">
        <f>I17*SQRT((F17/E17)^2 + ($F$12/(1/$F$11+1))^2)</f>
        <v>5.4876794272431526e-09</v>
      </c>
      <c r="K17" s="17"/>
      <c r="L17" s="46"/>
      <c r="M17" s="6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5"/>
      <c r="C18" s="25" t="s">
        <v>90</v>
      </c>
      <c r="D18" s="53">
        <f>D17/C17</f>
        <v>0.25</v>
      </c>
      <c r="E18" s="25" t="s">
        <v>90</v>
      </c>
      <c r="F18" s="52">
        <f>F17/E17</f>
        <v>0.30881442760006095</v>
      </c>
      <c r="G18" s="25" t="s">
        <v>90</v>
      </c>
      <c r="H18" s="52">
        <f>H17/G17</f>
        <v>0.64953595969649836</v>
      </c>
      <c r="I18" s="28" t="s">
        <v>90</v>
      </c>
      <c r="J18" s="52">
        <f>J17/I17</f>
        <v>0.30881444735303731</v>
      </c>
      <c r="K18" s="19"/>
      <c r="L18" s="2"/>
      <c r="M18" s="2"/>
      <c r="N18" s="2"/>
      <c r="O18" s="25" t="s">
        <v>92</v>
      </c>
      <c r="P18" s="25" t="s">
        <v>97</v>
      </c>
      <c r="Q18" s="25" t="s">
        <v>98</v>
      </c>
      <c r="R18" s="25" t="s">
        <v>99</v>
      </c>
      <c r="S18" s="25" t="s">
        <v>100</v>
      </c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15"/>
      <c r="F19" s="2"/>
      <c r="G19" s="2"/>
      <c r="H19" s="2"/>
      <c r="I19" s="2"/>
      <c r="J19" s="54"/>
      <c r="K19" s="2"/>
      <c r="L19" s="2"/>
      <c r="M19" s="2"/>
      <c r="N19" s="2"/>
      <c r="O19" s="25">
        <v>5.9204999999999997</v>
      </c>
      <c r="P19" s="25">
        <v>0.0049150299999999999</v>
      </c>
      <c r="Q19" s="25">
        <v>0.15592800000000001</v>
      </c>
      <c r="R19" s="25">
        <v>199.286</v>
      </c>
      <c r="S19" s="25">
        <v>14.116899999999999</v>
      </c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5">
        <v>6.3373400000000002</v>
      </c>
      <c r="P20" s="25">
        <v>0.0049150299999999999</v>
      </c>
      <c r="Q20" s="25">
        <v>0.180843</v>
      </c>
      <c r="R20" s="25">
        <v>202.55500000000001</v>
      </c>
      <c r="S20" s="25">
        <v>14.232200000000001</v>
      </c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15"/>
      <c r="E21" s="2"/>
      <c r="F21" s="2"/>
      <c r="G21" s="7"/>
      <c r="H21" s="2"/>
      <c r="I21" s="2"/>
      <c r="J21" s="2"/>
      <c r="K21" s="2"/>
      <c r="L21" s="2"/>
      <c r="M21" s="2"/>
      <c r="N21" s="2"/>
      <c r="O21" s="25">
        <v>6.7041500000000003</v>
      </c>
      <c r="P21" s="25">
        <v>0.0049150299999999999</v>
      </c>
      <c r="Q21" s="25">
        <v>0.34013599999999999</v>
      </c>
      <c r="R21" s="25">
        <v>415.31799999999998</v>
      </c>
      <c r="S21" s="25">
        <v>20.3794</v>
      </c>
      <c r="T21" s="2"/>
      <c r="U21" s="2"/>
      <c r="V21" s="2"/>
      <c r="W21" s="2"/>
      <c r="X21" s="2"/>
      <c r="Y21" s="2"/>
      <c r="Z21" s="2"/>
    </row>
    <row r="22" ht="15.75" customHeight="1">
      <c r="A22" s="2"/>
      <c r="B22" s="1" t="s">
        <v>32</v>
      </c>
      <c r="C22" s="1" t="s">
        <v>33</v>
      </c>
      <c r="D22" s="1" t="s">
        <v>34</v>
      </c>
      <c r="E22" s="1" t="s">
        <v>35</v>
      </c>
      <c r="F22" s="1" t="s">
        <v>36</v>
      </c>
      <c r="G22" s="1" t="s">
        <v>37</v>
      </c>
      <c r="H22" s="1" t="s">
        <v>38</v>
      </c>
      <c r="I22" s="1" t="s">
        <v>39</v>
      </c>
      <c r="J22" s="1" t="s">
        <v>40</v>
      </c>
      <c r="K22" s="1" t="s">
        <v>41</v>
      </c>
      <c r="L22" s="1" t="s">
        <v>42</v>
      </c>
      <c r="M22" s="1" t="s">
        <v>43</v>
      </c>
      <c r="N22" s="1" t="s">
        <v>44</v>
      </c>
      <c r="O22" s="25">
        <v>7.4089299999999998</v>
      </c>
      <c r="P22" s="25">
        <v>0.0049150299999999999</v>
      </c>
      <c r="Q22" s="25">
        <v>0.56013800000000002</v>
      </c>
      <c r="R22" s="25">
        <v>316.47800000000001</v>
      </c>
      <c r="S22" s="25">
        <v>17.7898</v>
      </c>
      <c r="T22" s="2"/>
      <c r="U22" s="2"/>
      <c r="V22" s="2"/>
      <c r="W22" s="2"/>
      <c r="X22" s="2"/>
      <c r="Y22" s="2"/>
      <c r="Z22" s="2"/>
    </row>
    <row r="23" ht="15.75" customHeight="1">
      <c r="A23" s="2"/>
      <c r="B23" s="24">
        <f t="shared" si="29"/>
        <v>0.38078865529319539</v>
      </c>
      <c r="C23" s="25">
        <v>0.14499999999999999</v>
      </c>
      <c r="D23" s="25">
        <v>0.029999999999999999</v>
      </c>
      <c r="E23" s="26">
        <v>2.7970000000000002e-05</v>
      </c>
      <c r="F23" s="27">
        <f>E23*0.15</f>
        <v>4.1954999999999999e-06</v>
      </c>
      <c r="G23" s="25">
        <v>0.014</v>
      </c>
      <c r="H23" s="25">
        <v>0.0080000000000000002</v>
      </c>
      <c r="I23" s="28">
        <f t="shared" ref="I23:I25" si="30">C23*E23</f>
        <v>4.0556499999999999e-06</v>
      </c>
      <c r="J23" s="28">
        <f t="shared" ref="J23:J25" si="31">I23*SQRT((D23/C23)^2 + (F23/E23)^2)</f>
        <v>1.0364243777315592e-06</v>
      </c>
      <c r="K23" s="28">
        <f t="shared" ref="K23:K25" si="32">I23*G23</f>
        <v>5.6779100000000001e-08</v>
      </c>
      <c r="L23" s="28">
        <f t="shared" ref="L23:L25" si="33">K23*SQRT((H23/G23)^2 + (J23/I23)^2)</f>
        <v>3.5541938596933971e-08</v>
      </c>
      <c r="M23" s="28">
        <f t="shared" ref="M23:M25" si="34">(2*3+1)/((2*0.5+1)*(2*5/2+1)) * I23/(1/G23+1)</f>
        <v>3.2663847797501645e-08</v>
      </c>
      <c r="N23" s="28">
        <f t="shared" ref="N23:N25" si="35">M23*SQRT((J23/I23)^2 + (H23/(1/G23+1))^2)</f>
        <v>8.3472714090174738e-09</v>
      </c>
      <c r="O23" s="25"/>
      <c r="P23" s="25"/>
      <c r="Q23" s="25"/>
      <c r="R23" s="25"/>
      <c r="S23" s="25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4">
        <f t="shared" si="29"/>
        <v>0.3872983346207417</v>
      </c>
      <c r="C24" s="25">
        <v>0.14999999999999999</v>
      </c>
      <c r="D24" s="25">
        <v>0.02</v>
      </c>
      <c r="E24" s="26">
        <v>2.7455000000000001e-05</v>
      </c>
      <c r="F24" s="27">
        <v>5.2104999999999997e-07</v>
      </c>
      <c r="G24" s="25">
        <v>0.017999999999999999</v>
      </c>
      <c r="H24" s="25">
        <v>0.0050000000000000001</v>
      </c>
      <c r="I24" s="28">
        <f t="shared" si="30"/>
        <v>4.1182499999999999e-06</v>
      </c>
      <c r="J24" s="28">
        <f t="shared" si="31"/>
        <v>5.546344785588523e-07</v>
      </c>
      <c r="K24" s="28">
        <f t="shared" si="32"/>
        <v>7.4128499999999988e-08</v>
      </c>
      <c r="L24" s="28">
        <f t="shared" si="33"/>
        <v>2.2883799153980634e-08</v>
      </c>
      <c r="M24" s="28">
        <f t="shared" si="34"/>
        <v>4.2477038310412577e-08</v>
      </c>
      <c r="N24" s="28">
        <f t="shared" si="35"/>
        <v>5.7206908444469863e-09</v>
      </c>
      <c r="O24" s="25"/>
      <c r="P24" s="25"/>
      <c r="Q24" s="25"/>
      <c r="R24" s="25"/>
      <c r="S24" s="25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9">
        <f t="shared" si="29"/>
        <v>0.28284271247461901</v>
      </c>
      <c r="C25" s="2">
        <v>0.080000000000000002</v>
      </c>
      <c r="D25" s="2">
        <v>0.02</v>
      </c>
      <c r="E25" s="9">
        <v>2.758e-05</v>
      </c>
      <c r="F25" s="9">
        <f>0.000005</f>
        <v>5.0000000000000004e-06</v>
      </c>
      <c r="G25" s="2">
        <v>0.014</v>
      </c>
      <c r="H25" s="2">
        <v>0.0080000000000000002</v>
      </c>
      <c r="I25" s="7">
        <f t="shared" si="30"/>
        <v>2.2064000000000002e-06</v>
      </c>
      <c r="J25" s="7">
        <f t="shared" si="31"/>
        <v>6.8136815305677454e-07</v>
      </c>
      <c r="K25" s="7">
        <f t="shared" si="32"/>
        <v>3.0889600000000005e-08</v>
      </c>
      <c r="L25" s="7">
        <f t="shared" si="33"/>
        <v>2.0063905980640959e-08</v>
      </c>
      <c r="M25" s="7">
        <f t="shared" si="34"/>
        <v>1.7770151216305065e-08</v>
      </c>
      <c r="N25" s="7">
        <f t="shared" si="35"/>
        <v>5.4876794272431526e-09</v>
      </c>
      <c r="O25" s="25" t="s">
        <v>92</v>
      </c>
      <c r="P25" s="25" t="s">
        <v>97</v>
      </c>
      <c r="Q25" s="25" t="s">
        <v>98</v>
      </c>
      <c r="R25" s="25" t="s">
        <v>99</v>
      </c>
      <c r="S25" s="25" t="s">
        <v>100</v>
      </c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19">
        <f>D25/C25</f>
        <v>0.25</v>
      </c>
      <c r="E26" s="2"/>
      <c r="F26" s="19">
        <f>F25/E25</f>
        <v>0.18129079042784627</v>
      </c>
      <c r="G26" s="2"/>
      <c r="H26" s="19">
        <f>H25/G25</f>
        <v>0.5714285714285714</v>
      </c>
      <c r="I26" s="2"/>
      <c r="J26" s="19">
        <f>J25/I25</f>
        <v>0.30881442760006095</v>
      </c>
      <c r="K26" s="2"/>
      <c r="L26" s="19">
        <f>L25/K25</f>
        <v>0.64953595969649836</v>
      </c>
      <c r="M26" s="2"/>
      <c r="N26" s="19">
        <f>N25/M25</f>
        <v>0.30881444735303731</v>
      </c>
      <c r="O26" s="25">
        <v>5.9175899999999997</v>
      </c>
      <c r="P26" s="25">
        <v>0.0057597200000000003</v>
      </c>
      <c r="Q26" s="25">
        <v>0.16203899999999999</v>
      </c>
      <c r="R26" s="25">
        <v>156.38300000000001</v>
      </c>
      <c r="S26" s="25">
        <v>12.5053</v>
      </c>
      <c r="T26" s="2"/>
      <c r="U26" s="2"/>
      <c r="V26" s="2"/>
      <c r="W26" s="2"/>
      <c r="X26" s="2"/>
      <c r="Y26" s="2"/>
      <c r="Z26" s="2"/>
    </row>
    <row r="27" ht="15.75" customHeight="1">
      <c r="A27" s="2"/>
      <c r="B27" s="24"/>
      <c r="C27" s="55"/>
      <c r="D27" s="55"/>
      <c r="E27" s="55"/>
      <c r="F27" s="28"/>
      <c r="G27" s="28"/>
      <c r="H27" s="28"/>
      <c r="I27" s="28"/>
      <c r="J27" s="28"/>
      <c r="K27" s="2"/>
      <c r="L27" s="2"/>
      <c r="M27" s="56"/>
      <c r="N27" s="55"/>
      <c r="O27" s="25">
        <v>6.3246500000000001</v>
      </c>
      <c r="P27" s="25">
        <v>0.0057597200000000003</v>
      </c>
      <c r="Q27" s="25">
        <v>0.17474899999999999</v>
      </c>
      <c r="R27" s="25">
        <v>112.422</v>
      </c>
      <c r="S27" s="25">
        <v>10.6029</v>
      </c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55"/>
      <c r="D28" s="2"/>
      <c r="E28" s="55"/>
      <c r="F28" s="19"/>
      <c r="G28" s="2"/>
      <c r="H28" s="2"/>
      <c r="I28" s="2"/>
      <c r="J28" s="2"/>
      <c r="K28" s="2"/>
      <c r="L28" s="2"/>
      <c r="M28" s="55"/>
      <c r="N28" s="2"/>
      <c r="O28" s="25">
        <v>6.68926</v>
      </c>
      <c r="P28" s="25">
        <v>0.0057597200000000003</v>
      </c>
      <c r="Q28" s="25">
        <v>0.34110099999999999</v>
      </c>
      <c r="R28" s="25">
        <v>194.608</v>
      </c>
      <c r="S28" s="25">
        <v>13.950200000000001</v>
      </c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15"/>
      <c r="F29" s="2" t="s">
        <v>101</v>
      </c>
      <c r="G29" s="2"/>
      <c r="H29" s="2"/>
      <c r="I29" s="2"/>
      <c r="J29" s="2"/>
      <c r="K29" s="2"/>
      <c r="L29" s="2"/>
      <c r="M29" s="2"/>
      <c r="N29" s="2"/>
      <c r="O29" s="25">
        <v>7.4395199999999999</v>
      </c>
      <c r="P29" s="25">
        <v>0.0057597200000000003</v>
      </c>
      <c r="Q29" s="25">
        <v>0.46063700000000002</v>
      </c>
      <c r="R29" s="25">
        <v>137.79900000000001</v>
      </c>
      <c r="S29" s="25">
        <v>11.738799999999999</v>
      </c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9">
        <v>0.46999999999999997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9">
        <v>0.47549999999999998</v>
      </c>
      <c r="G31" s="2"/>
      <c r="H31" s="2"/>
      <c r="I31" s="2"/>
      <c r="J31" s="2"/>
      <c r="K31" s="2"/>
      <c r="L31" s="2"/>
      <c r="M31" s="2"/>
      <c r="N31" s="2"/>
      <c r="O31" s="25" t="s">
        <v>92</v>
      </c>
      <c r="P31" s="25" t="s">
        <v>97</v>
      </c>
      <c r="Q31" s="25" t="s">
        <v>98</v>
      </c>
      <c r="R31" s="25" t="s">
        <v>99</v>
      </c>
      <c r="S31" s="25" t="s">
        <v>102</v>
      </c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9">
        <v>0.46110000000000001</v>
      </c>
      <c r="G32" s="2"/>
      <c r="H32" s="2"/>
      <c r="I32" s="2"/>
      <c r="J32" s="2"/>
      <c r="K32" s="2"/>
      <c r="L32" s="2"/>
      <c r="M32" s="2"/>
      <c r="N32" s="2"/>
      <c r="O32" s="25">
        <v>5.9226000000000001</v>
      </c>
      <c r="P32" s="25">
        <v>0.0051155599999999999</v>
      </c>
      <c r="Q32" s="25">
        <v>0.15490899999999999</v>
      </c>
      <c r="R32" s="25">
        <v>178.26499999999999</v>
      </c>
      <c r="S32" s="25">
        <v>13.351599999999999</v>
      </c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9">
        <v>0.46390999999999999</v>
      </c>
      <c r="G33" s="2"/>
      <c r="H33" s="19"/>
      <c r="I33" s="2"/>
      <c r="J33" s="2"/>
      <c r="K33" s="2"/>
      <c r="L33" s="2"/>
      <c r="M33" s="2"/>
      <c r="N33" s="2"/>
      <c r="O33" s="25">
        <v>6.3253500000000003</v>
      </c>
      <c r="P33" s="25">
        <v>0.0051155599999999999</v>
      </c>
      <c r="Q33" s="25">
        <v>0.20575399999999999</v>
      </c>
      <c r="R33" s="25">
        <v>196.46899999999999</v>
      </c>
      <c r="S33" s="25">
        <v>14.0167</v>
      </c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9">
        <v>0.45484999999999998</v>
      </c>
      <c r="G34" s="2"/>
      <c r="H34" s="2"/>
      <c r="I34" s="2"/>
      <c r="J34" s="2"/>
      <c r="K34" s="2"/>
      <c r="L34" s="2"/>
      <c r="M34" s="2"/>
      <c r="N34" s="2"/>
      <c r="O34" s="25">
        <v>6.6989999999999998</v>
      </c>
      <c r="P34" s="25">
        <v>0.0051155599999999999</v>
      </c>
      <c r="Q34" s="25">
        <v>0.33987800000000001</v>
      </c>
      <c r="R34" s="25">
        <v>372.56700000000001</v>
      </c>
      <c r="S34" s="25">
        <v>19.302</v>
      </c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15"/>
      <c r="F35" s="29">
        <v>0.46923999999999999</v>
      </c>
      <c r="G35" s="2"/>
      <c r="H35" s="2"/>
      <c r="I35" s="2"/>
      <c r="J35" s="2"/>
      <c r="K35" s="2"/>
      <c r="L35" s="2"/>
      <c r="M35" s="2"/>
      <c r="N35" s="2"/>
      <c r="O35" s="25">
        <v>7.3490200000000003</v>
      </c>
      <c r="P35" s="25">
        <v>0.0051155599999999999</v>
      </c>
      <c r="Q35" s="25">
        <v>0.56927000000000005</v>
      </c>
      <c r="R35" s="25">
        <v>243.50299999999999</v>
      </c>
      <c r="S35" s="25">
        <v>15.6046</v>
      </c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15"/>
      <c r="F36" s="29">
        <v>0.43818000000000001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15"/>
      <c r="F37" s="29">
        <v>0.44334800000000002</v>
      </c>
      <c r="G37" s="2"/>
      <c r="H37" s="2"/>
      <c r="I37" s="2"/>
      <c r="J37" s="2"/>
      <c r="K37" s="2"/>
      <c r="L37" s="2"/>
      <c r="M37" s="2"/>
      <c r="N37" s="2"/>
      <c r="O37" s="2" t="s">
        <v>92</v>
      </c>
      <c r="P37" s="2" t="s">
        <v>97</v>
      </c>
      <c r="Q37" s="2" t="s">
        <v>98</v>
      </c>
      <c r="R37" s="2" t="s">
        <v>99</v>
      </c>
      <c r="S37" s="2" t="s">
        <v>100</v>
      </c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15"/>
      <c r="F38" s="29">
        <v>0.46997</v>
      </c>
      <c r="G38" s="2"/>
      <c r="H38" s="2"/>
      <c r="I38" s="2"/>
      <c r="J38" s="2"/>
      <c r="K38" s="2"/>
      <c r="L38" s="2"/>
      <c r="M38" s="2"/>
      <c r="N38" s="2"/>
      <c r="O38" s="2">
        <v>5.9264599999999996</v>
      </c>
      <c r="P38" s="2">
        <v>0.0063957299999999996</v>
      </c>
      <c r="Q38" s="2">
        <v>0.166661</v>
      </c>
      <c r="R38" s="2">
        <v>131.357</v>
      </c>
      <c r="S38" s="2">
        <v>11.4611</v>
      </c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9">
        <v>0.43448999999999999</v>
      </c>
      <c r="G39" s="2"/>
      <c r="H39" s="2"/>
      <c r="I39" s="2"/>
      <c r="J39" s="2"/>
      <c r="K39" s="2"/>
      <c r="L39" s="2"/>
      <c r="M39" s="2"/>
      <c r="N39" s="2"/>
      <c r="O39" s="2">
        <v>6.3299099999999999</v>
      </c>
      <c r="P39" s="2">
        <v>0.0063957299999999996</v>
      </c>
      <c r="Q39" s="2">
        <v>0.15929499999999999</v>
      </c>
      <c r="R39" s="2">
        <v>131.71899999999999</v>
      </c>
      <c r="S39" s="2">
        <v>11.476900000000001</v>
      </c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9">
        <v>0.47089999999999999</v>
      </c>
      <c r="G40" s="2"/>
      <c r="H40" s="2"/>
      <c r="I40" s="2"/>
      <c r="J40" s="2"/>
      <c r="K40" s="2"/>
      <c r="L40" s="2"/>
      <c r="M40" s="2"/>
      <c r="N40" s="2"/>
      <c r="O40" s="2">
        <v>6.6958500000000001</v>
      </c>
      <c r="P40" s="2">
        <v>0.0063957299999999996</v>
      </c>
      <c r="Q40" s="2">
        <v>0.37057000000000001</v>
      </c>
      <c r="R40" s="2">
        <v>289.65499999999997</v>
      </c>
      <c r="S40" s="2">
        <v>17.019200000000001</v>
      </c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9"/>
      <c r="G41" s="2"/>
      <c r="H41" s="2"/>
      <c r="I41" s="2"/>
      <c r="J41" s="2"/>
      <c r="K41" s="2"/>
      <c r="L41" s="2"/>
      <c r="M41" s="2"/>
      <c r="N41" s="2"/>
      <c r="O41" s="2">
        <v>7.3732600000000001</v>
      </c>
      <c r="P41" s="2">
        <v>0.0063957299999999996</v>
      </c>
      <c r="Q41" s="2">
        <v>0.44437300000000002</v>
      </c>
      <c r="R41" s="2">
        <v>127.288</v>
      </c>
      <c r="S41" s="2">
        <v>11.2822</v>
      </c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15"/>
      <c r="F42" s="29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 t="s">
        <v>103</v>
      </c>
      <c r="F43" s="15">
        <f>MAX(F30:F42)</f>
        <v>0.47549999999999998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 t="s">
        <v>104</v>
      </c>
      <c r="F44" s="15">
        <f>MIN(F30:F42)</f>
        <v>0.43448999999999999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15" t="s">
        <v>105</v>
      </c>
      <c r="F45" s="15">
        <f>AVERAGE(F30:F42)</f>
        <v>0.45922618181818192</v>
      </c>
      <c r="G45" s="19">
        <f>(F43-F44)/F45</f>
        <v>0.089302399609778302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0" gridLines="0"/>
  <pageMargins left="0.78750000000000009" right="0.78750000000000009" top="0" bottom="0" header="0" footer="0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ColWidth="12.5703125" defaultRowHeight="15" customHeight="1"/>
  <cols>
    <col bestFit="1" customWidth="1" min="1" max="1" width="27.85546875"/>
    <col customWidth="1" min="2" max="2" width="12.85546875"/>
    <col customWidth="1" min="3" max="3" width="10.7109375"/>
    <col customWidth="1" min="4" max="4" width="9.140625"/>
    <col customWidth="1" min="5" max="5" width="11.42578125"/>
    <col customWidth="1" min="6" max="6" width="10.7109375"/>
    <col customWidth="1" min="7" max="7" width="18.28515625"/>
    <col customWidth="1" min="8" max="8" width="34.42578125"/>
    <col customWidth="1" min="9" max="9" width="13.42578125"/>
    <col customWidth="1" min="10" max="10" width="12"/>
    <col customWidth="1" min="11" max="11" width="11.42578125"/>
    <col customWidth="1" min="12" max="12" width="7.5703125"/>
    <col customWidth="1" min="13" max="26" width="8.5703125"/>
  </cols>
  <sheetData>
    <row r="1" ht="13.5" customHeight="1">
      <c r="A1" s="2"/>
      <c r="B1" s="43" t="s">
        <v>106</v>
      </c>
      <c r="C1" s="43" t="s">
        <v>107</v>
      </c>
      <c r="D1" s="43" t="s">
        <v>108</v>
      </c>
      <c r="E1" s="2"/>
      <c r="F1" s="2" t="s">
        <v>70</v>
      </c>
      <c r="G1" s="2" t="s">
        <v>109</v>
      </c>
      <c r="H1" s="2"/>
      <c r="I1" s="2" t="s">
        <v>110</v>
      </c>
      <c r="J1" s="2" t="s">
        <v>111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43" t="s">
        <v>112</v>
      </c>
      <c r="B2" s="57">
        <v>24990428.307999998</v>
      </c>
      <c r="C2" s="2">
        <f t="shared" ref="C2:C6" si="36">B2*10^-6*931.494</f>
        <v>23278.43402633215</v>
      </c>
      <c r="D2" s="2"/>
      <c r="E2" s="2"/>
      <c r="F2" s="2">
        <v>0.4138</v>
      </c>
      <c r="G2" s="2">
        <v>-29.737687000000001</v>
      </c>
      <c r="H2" s="2" t="s">
        <v>113</v>
      </c>
      <c r="I2" s="9">
        <v>1.2433600000000001e-05</v>
      </c>
      <c r="J2" s="58">
        <f>I2*1000000</f>
        <v>12.4336</v>
      </c>
      <c r="K2" s="2"/>
      <c r="L2" s="58">
        <f>J2-J4</f>
        <v>-0.30219999999999914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43" t="s">
        <v>114</v>
      </c>
      <c r="B3" s="2">
        <v>2014101.7778439999</v>
      </c>
      <c r="C3" s="2">
        <f t="shared" si="36"/>
        <v>1876.123721451019</v>
      </c>
      <c r="D3" s="2"/>
      <c r="E3" s="2"/>
      <c r="F3" s="2"/>
      <c r="G3" s="2"/>
      <c r="H3" s="2" t="s">
        <v>115</v>
      </c>
      <c r="I3" s="9"/>
      <c r="J3" s="58"/>
      <c r="K3" s="2"/>
      <c r="L3" s="58">
        <f>J2-J6</f>
        <v>0.29660000000000153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43" t="s">
        <v>116</v>
      </c>
      <c r="B4" s="2">
        <v>1008664.9159</v>
      </c>
      <c r="C4" s="2">
        <f t="shared" si="36"/>
        <v>939.56531717135465</v>
      </c>
      <c r="D4" s="2"/>
      <c r="E4" s="2"/>
      <c r="F4" s="2">
        <f>0.4138+0.0011</f>
        <v>0.41489999999999999</v>
      </c>
      <c r="G4" s="2">
        <v>-29.735599000000001</v>
      </c>
      <c r="H4" s="2" t="s">
        <v>117</v>
      </c>
      <c r="I4" s="9">
        <v>1.2735799999999999e-05</v>
      </c>
      <c r="J4" s="58">
        <f>I4*1000000</f>
        <v>12.735799999999999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43" t="s">
        <v>118</v>
      </c>
      <c r="B5" s="2">
        <v>25992333.818</v>
      </c>
      <c r="C5" s="2">
        <f t="shared" si="36"/>
        <v>24211.70299746409</v>
      </c>
      <c r="D5" s="2">
        <v>5.9269999999999996</v>
      </c>
      <c r="E5" s="2"/>
      <c r="F5" s="2"/>
      <c r="G5" s="2"/>
      <c r="H5" s="2" t="s">
        <v>119</v>
      </c>
      <c r="I5" s="9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43" t="s">
        <v>120</v>
      </c>
      <c r="B6" s="2">
        <v>1007825.031898</v>
      </c>
      <c r="C6" s="2">
        <f t="shared" si="36"/>
        <v>938.78297026279563</v>
      </c>
      <c r="D6" s="2"/>
      <c r="E6" s="2"/>
      <c r="F6" s="2">
        <f>0.4138-0.0011</f>
        <v>0.41270000000000001</v>
      </c>
      <c r="G6" s="2">
        <v>-29.739775000000002</v>
      </c>
      <c r="H6" s="2" t="s">
        <v>121</v>
      </c>
      <c r="I6" s="9">
        <v>1.2136999999999999e-05</v>
      </c>
      <c r="J6" s="58">
        <f>I6*1000000</f>
        <v>12.136999999999999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2"/>
      <c r="B7" s="2"/>
      <c r="C7" s="2"/>
      <c r="D7" s="2"/>
      <c r="E7" s="2"/>
      <c r="F7" s="2"/>
      <c r="G7" s="2"/>
      <c r="H7" s="2" t="s">
        <v>122</v>
      </c>
      <c r="I7" s="9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2"/>
      <c r="B8" s="2" t="s">
        <v>123</v>
      </c>
      <c r="C8" s="29">
        <f>C2+C3-(C4+C5+D5)</f>
        <v>-2.6375668522741762</v>
      </c>
      <c r="D8" s="2"/>
      <c r="E8" s="2"/>
      <c r="F8" s="2"/>
      <c r="G8" s="2"/>
      <c r="H8" s="2"/>
      <c r="I8" s="9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2"/>
      <c r="B9" s="2" t="s">
        <v>124</v>
      </c>
      <c r="C9" s="29">
        <f>C3-C6-C4</f>
        <v>-2.2245659831312423</v>
      </c>
      <c r="D9" s="2"/>
      <c r="E9" s="2"/>
      <c r="F9" s="2">
        <v>0.36720000000000003</v>
      </c>
      <c r="G9" s="2">
        <v>-23.404859999999999</v>
      </c>
      <c r="H9" s="2" t="s">
        <v>125</v>
      </c>
      <c r="I9" s="9">
        <v>4.7078299999999996e-06</v>
      </c>
      <c r="J9" s="58">
        <f>I9*1000000</f>
        <v>4.7078299999999995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2"/>
      <c r="B10" s="2"/>
      <c r="C10" s="29"/>
      <c r="D10" s="2"/>
      <c r="E10" s="2"/>
      <c r="F10" s="2"/>
      <c r="G10" s="2"/>
      <c r="H10" s="2"/>
      <c r="I10" s="9"/>
      <c r="J10" s="58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2" t="s">
        <v>126</v>
      </c>
      <c r="B11" s="2" t="s">
        <v>118</v>
      </c>
      <c r="C11" s="2"/>
      <c r="D11" s="2"/>
      <c r="E11" s="2"/>
      <c r="F11" s="2">
        <v>0.16139999999999999</v>
      </c>
      <c r="G11" s="2">
        <v>-23.822903</v>
      </c>
      <c r="H11" s="2" t="s">
        <v>127</v>
      </c>
      <c r="I11" s="9">
        <v>2.6506000000000001e-10</v>
      </c>
      <c r="J11" s="58">
        <f>I11*1000000</f>
        <v>0.00026506000000000001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2" t="s">
        <v>128</v>
      </c>
      <c r="B12" s="2" t="s">
        <v>129</v>
      </c>
      <c r="C12" s="2"/>
      <c r="D12" s="2"/>
      <c r="E12" s="2"/>
      <c r="F12" s="2"/>
      <c r="G12" s="2"/>
      <c r="H12" s="2"/>
      <c r="I12" s="9"/>
      <c r="J12" s="58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2" t="s">
        <v>130</v>
      </c>
      <c r="B13" s="2" t="s">
        <v>131</v>
      </c>
      <c r="C13" s="2"/>
      <c r="D13" s="2"/>
      <c r="E13" s="2"/>
      <c r="F13" s="2">
        <v>0.36720000000000003</v>
      </c>
      <c r="G13" s="2">
        <v>-29.825945000000001</v>
      </c>
      <c r="H13" s="2" t="s">
        <v>132</v>
      </c>
      <c r="I13" s="9">
        <v>4.0769800000000004e-06</v>
      </c>
      <c r="J13" s="58">
        <f>I13*1000000</f>
        <v>4.0769800000000007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2" t="s">
        <v>133</v>
      </c>
      <c r="B14" s="2">
        <v>901.90899999999999</v>
      </c>
      <c r="C14" s="2"/>
      <c r="D14" s="2"/>
      <c r="E14" s="2"/>
      <c r="F14" s="2"/>
      <c r="G14" s="2"/>
      <c r="H14" s="2" t="s">
        <v>134</v>
      </c>
      <c r="I14" s="9"/>
      <c r="J14" s="58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2" t="s">
        <v>135</v>
      </c>
      <c r="B15" s="2">
        <v>3.7327499999999998</v>
      </c>
      <c r="C15" s="2"/>
      <c r="D15" s="2"/>
      <c r="E15" s="2"/>
      <c r="F15" s="2">
        <v>0.16139999999999999</v>
      </c>
      <c r="G15" s="2">
        <v>-30.210792999999999</v>
      </c>
      <c r="H15" s="2" t="s">
        <v>136</v>
      </c>
      <c r="I15" s="9">
        <v>2.2878300000000001e-10</v>
      </c>
      <c r="J15" s="58">
        <f>I15*1000000</f>
        <v>0.00022878300000000001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2" t="s">
        <v>137</v>
      </c>
      <c r="B16" s="2">
        <v>0.64417400000000002</v>
      </c>
      <c r="C16" s="2"/>
      <c r="D16" s="2"/>
      <c r="E16" s="2"/>
      <c r="F16" s="2"/>
      <c r="G16" s="2"/>
      <c r="H16" s="2" t="s">
        <v>138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2" t="s">
        <v>109</v>
      </c>
      <c r="B17" s="2">
        <v>-50.517000000000003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2" t="s">
        <v>139</v>
      </c>
      <c r="B18" s="2">
        <v>3.5535100000000002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2" t="s">
        <v>140</v>
      </c>
      <c r="B19" s="2">
        <v>0.64417400000000002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2" t="s">
        <v>141</v>
      </c>
      <c r="B20" s="2">
        <v>31.453199999999999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2" t="s">
        <v>142</v>
      </c>
      <c r="B21" s="2">
        <v>3.7327499999999998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2" t="s">
        <v>143</v>
      </c>
      <c r="B22" s="2">
        <v>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2" t="s">
        <v>144</v>
      </c>
      <c r="B23" s="2">
        <v>13</v>
      </c>
      <c r="C23" s="2"/>
      <c r="D23" s="2"/>
      <c r="E23" s="2"/>
      <c r="F23" s="2">
        <f>C2*C6/(C2+C6)</f>
        <v>902.39094943813382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2" t="s">
        <v>145</v>
      </c>
      <c r="B25" s="2">
        <v>25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2" t="s">
        <v>146</v>
      </c>
      <c r="B26" s="2">
        <v>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2" t="s">
        <v>147</v>
      </c>
      <c r="B28" s="2">
        <v>1.25</v>
      </c>
      <c r="C28" s="2">
        <f>B28*(B25^(1/3))</f>
        <v>3.6550221727660821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2" t="s">
        <v>148</v>
      </c>
      <c r="B29" s="2">
        <v>0.65000000000000002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2" t="s">
        <v>149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2" t="s">
        <v>150</v>
      </c>
      <c r="B32" s="2">
        <v>1.25</v>
      </c>
      <c r="C32" s="2">
        <f>B32*(B25^(1/3))</f>
        <v>3.6550221727660821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2" t="s">
        <v>151</v>
      </c>
      <c r="B33" s="2">
        <v>0.65000000000000002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2" t="s">
        <v>152</v>
      </c>
      <c r="B34" s="2">
        <v>-6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 t="s">
        <v>153</v>
      </c>
      <c r="B36" s="2">
        <v>1.25</v>
      </c>
      <c r="C36" s="2">
        <f t="shared" ref="C36:C37" si="37">B36*(B25^(1/3))</f>
        <v>3.6550221727660821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 t="s">
        <v>154</v>
      </c>
      <c r="B37" s="2">
        <v>0</v>
      </c>
      <c r="C37" s="2">
        <f t="shared" si="37"/>
        <v>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0" gridLines="0"/>
  <pageMargins left="0.78750000000000009" right="0.78750000000000009" top="0" bottom="0" header="0" footer="0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ColWidth="12.5703125" defaultRowHeight="15" customHeight="1"/>
  <cols>
    <col customWidth="1" min="1" max="1" width="8"/>
    <col customWidth="1" min="2" max="2" width="9.42578125"/>
    <col customWidth="1" min="3" max="3" width="20.140625"/>
    <col customWidth="1" min="4" max="5" width="2.85546875"/>
    <col customWidth="1" min="6" max="6" width="20.140625"/>
    <col customWidth="1" min="7" max="7" width="8.7109375"/>
    <col customWidth="1" min="8" max="9" width="6.140625"/>
    <col customWidth="1" min="10" max="10" width="4.28515625"/>
    <col customWidth="1" min="11" max="15" width="5.140625"/>
    <col customWidth="1" min="16" max="16" width="4.28515625"/>
    <col customWidth="1" min="17" max="19" width="5.140625"/>
    <col customWidth="1" min="20" max="20" width="8.42578125"/>
    <col customWidth="1" min="21" max="21" width="11.42578125"/>
    <col customWidth="1" min="22" max="22" width="16.140625"/>
    <col customWidth="1" min="23" max="23" width="7"/>
    <col customWidth="1" min="24" max="24" width="16.140625"/>
    <col customWidth="1" min="25" max="25" width="10.7109375"/>
    <col customWidth="1" min="26" max="26" width="8.5703125"/>
  </cols>
  <sheetData>
    <row r="1" ht="13.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43"/>
      <c r="B2" s="43"/>
      <c r="C2" s="43" t="s">
        <v>155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43" t="s">
        <v>156</v>
      </c>
      <c r="W2" s="2"/>
      <c r="X2" s="43" t="s">
        <v>157</v>
      </c>
      <c r="Y2" s="2"/>
      <c r="Z2" s="2"/>
    </row>
    <row r="3" ht="13.5" customHeight="1">
      <c r="A3" s="43" t="s">
        <v>158</v>
      </c>
      <c r="B3" s="43" t="s">
        <v>159</v>
      </c>
      <c r="C3" s="43" t="s">
        <v>160</v>
      </c>
      <c r="D3" s="43" t="s">
        <v>161</v>
      </c>
      <c r="E3" s="43" t="s">
        <v>162</v>
      </c>
      <c r="F3" s="43" t="s">
        <v>163</v>
      </c>
      <c r="G3" s="43" t="s">
        <v>164</v>
      </c>
      <c r="H3" s="43" t="s">
        <v>165</v>
      </c>
      <c r="I3" s="43" t="s">
        <v>166</v>
      </c>
      <c r="J3" s="43" t="s">
        <v>167</v>
      </c>
      <c r="K3" s="43" t="s">
        <v>168</v>
      </c>
      <c r="L3" s="43" t="s">
        <v>169</v>
      </c>
      <c r="M3" s="43" t="s">
        <v>170</v>
      </c>
      <c r="N3" s="43" t="s">
        <v>171</v>
      </c>
      <c r="O3" s="43" t="s">
        <v>172</v>
      </c>
      <c r="P3" s="43" t="s">
        <v>173</v>
      </c>
      <c r="Q3" s="43" t="s">
        <v>174</v>
      </c>
      <c r="R3" s="43" t="s">
        <v>175</v>
      </c>
      <c r="S3" s="43" t="s">
        <v>176</v>
      </c>
      <c r="T3" s="43" t="s">
        <v>177</v>
      </c>
      <c r="U3" s="2"/>
      <c r="V3" s="2" t="s">
        <v>178</v>
      </c>
      <c r="W3" s="2">
        <v>25</v>
      </c>
      <c r="X3" s="2" t="s">
        <v>179</v>
      </c>
      <c r="Y3" s="2">
        <f>W5*W9/(W5+W9)</f>
        <v>1735.7183422865414</v>
      </c>
      <c r="Z3" s="2"/>
    </row>
    <row r="4" ht="13.5" customHeight="1">
      <c r="A4" s="2" t="s">
        <v>180</v>
      </c>
      <c r="B4" s="2" t="s">
        <v>181</v>
      </c>
      <c r="C4" s="2" t="s">
        <v>182</v>
      </c>
      <c r="D4" s="2">
        <v>12</v>
      </c>
      <c r="E4" s="2">
        <v>25</v>
      </c>
      <c r="F4" s="2">
        <v>8</v>
      </c>
      <c r="G4" s="2">
        <v>83.900000000000006</v>
      </c>
      <c r="H4" s="2">
        <v>1.1699999999999999</v>
      </c>
      <c r="I4" s="2">
        <v>0.81000000000000005</v>
      </c>
      <c r="J4" s="2">
        <v>0</v>
      </c>
      <c r="K4" s="2">
        <v>1.5600000000000001</v>
      </c>
      <c r="L4" s="2">
        <v>0.82999999999999996</v>
      </c>
      <c r="M4" s="2">
        <v>18.600000000000001</v>
      </c>
      <c r="N4" s="2">
        <v>1.3300000000000001</v>
      </c>
      <c r="O4" s="2">
        <v>0.59999999999999998</v>
      </c>
      <c r="P4" s="2">
        <v>3.7000000000000002</v>
      </c>
      <c r="Q4" s="2">
        <v>1.23</v>
      </c>
      <c r="R4" s="2">
        <v>0.81000000000000005</v>
      </c>
      <c r="S4" s="2">
        <v>1.7</v>
      </c>
      <c r="T4" s="2"/>
      <c r="U4" s="2"/>
      <c r="V4" s="2" t="s">
        <v>183</v>
      </c>
      <c r="W4" s="2">
        <v>13</v>
      </c>
      <c r="X4" s="2" t="s">
        <v>184</v>
      </c>
      <c r="Y4" s="15">
        <f>Y3*W6/W5</f>
        <v>7.3764188439286587</v>
      </c>
      <c r="Z4" s="2"/>
    </row>
    <row r="5" ht="13.5" customHeight="1">
      <c r="A5" s="2" t="s">
        <v>185</v>
      </c>
      <c r="B5" s="2" t="s">
        <v>186</v>
      </c>
      <c r="C5" s="2" t="s">
        <v>187</v>
      </c>
      <c r="D5" s="2">
        <v>12</v>
      </c>
      <c r="E5" s="2">
        <v>26</v>
      </c>
      <c r="F5" s="2"/>
      <c r="G5" s="2">
        <v>53.700000000000003</v>
      </c>
      <c r="H5" s="2">
        <v>1.1699999999999999</v>
      </c>
      <c r="I5" s="2">
        <v>0.67000000000000004</v>
      </c>
      <c r="J5" s="2">
        <v>0.64000000000000001</v>
      </c>
      <c r="K5" s="2">
        <v>1.1699999999999999</v>
      </c>
      <c r="L5" s="2">
        <v>0.67000000000000004</v>
      </c>
      <c r="M5" s="2">
        <v>8.0199999999999996</v>
      </c>
      <c r="N5" s="2">
        <v>1.3400000000000001</v>
      </c>
      <c r="O5" s="2">
        <v>0.53000000000000003</v>
      </c>
      <c r="P5" s="2">
        <v>5.6900000000000004</v>
      </c>
      <c r="Q5" s="2">
        <v>0.96999999999999997</v>
      </c>
      <c r="R5" s="2">
        <v>0.58999999999999997</v>
      </c>
      <c r="S5" s="2">
        <v>1.3300000000000001</v>
      </c>
      <c r="T5" s="2"/>
      <c r="U5" s="2"/>
      <c r="V5" s="2" t="s">
        <v>188</v>
      </c>
      <c r="W5" s="2">
        <v>23271.799999999999</v>
      </c>
      <c r="X5" s="2" t="s">
        <v>189</v>
      </c>
      <c r="Y5" s="15">
        <f>Y4*W9/Y3</f>
        <v>7.9709274314835987</v>
      </c>
      <c r="Z5" s="2"/>
    </row>
    <row r="6" ht="13.5" customHeight="1">
      <c r="A6" s="2" t="s">
        <v>190</v>
      </c>
      <c r="B6" s="2" t="s">
        <v>191</v>
      </c>
      <c r="C6" s="2" t="s">
        <v>187</v>
      </c>
      <c r="D6" s="2">
        <v>12</v>
      </c>
      <c r="E6" s="2">
        <v>25</v>
      </c>
      <c r="F6" s="2"/>
      <c r="G6" s="2">
        <v>53.700000000000003</v>
      </c>
      <c r="H6" s="2">
        <v>1.1699999999999999</v>
      </c>
      <c r="I6" s="2">
        <v>0.67000000000000004</v>
      </c>
      <c r="J6" s="2">
        <v>0.64000000000000001</v>
      </c>
      <c r="K6" s="2">
        <v>1.1699999999999999</v>
      </c>
      <c r="L6" s="2">
        <v>0.67000000000000004</v>
      </c>
      <c r="M6" s="2">
        <v>8.0199999999999996</v>
      </c>
      <c r="N6" s="2">
        <v>1.3400000000000001</v>
      </c>
      <c r="O6" s="2">
        <v>0.53000000000000003</v>
      </c>
      <c r="P6" s="2">
        <v>5.6900000000000004</v>
      </c>
      <c r="Q6" s="2">
        <v>0.96999999999999997</v>
      </c>
      <c r="R6" s="2">
        <v>0.58999999999999997</v>
      </c>
      <c r="S6" s="2">
        <v>1.3300000000000001</v>
      </c>
      <c r="T6" s="2"/>
      <c r="U6" s="2"/>
      <c r="V6" s="2" t="s">
        <v>189</v>
      </c>
      <c r="W6" s="2">
        <v>98.900000000000006</v>
      </c>
      <c r="X6" s="2"/>
      <c r="Y6" s="2"/>
      <c r="Z6" s="2"/>
    </row>
    <row r="7" ht="13.5" customHeight="1">
      <c r="A7" s="2" t="s">
        <v>192</v>
      </c>
      <c r="B7" s="2" t="s">
        <v>193</v>
      </c>
      <c r="C7" s="2" t="s">
        <v>194</v>
      </c>
      <c r="D7" s="2">
        <v>12</v>
      </c>
      <c r="E7" s="2">
        <v>25</v>
      </c>
      <c r="F7" s="2"/>
      <c r="G7" s="2">
        <v>52.100000000000001</v>
      </c>
      <c r="H7" s="2">
        <v>1.1599999999999999</v>
      </c>
      <c r="I7" s="2">
        <v>0.64000000000000001</v>
      </c>
      <c r="J7" s="2" t="s">
        <v>195</v>
      </c>
      <c r="K7" s="2" t="s">
        <v>195</v>
      </c>
      <c r="L7" s="2" t="s">
        <v>195</v>
      </c>
      <c r="M7" s="2" t="s">
        <v>195</v>
      </c>
      <c r="N7" s="2" t="s">
        <v>195</v>
      </c>
      <c r="O7" s="2" t="s">
        <v>195</v>
      </c>
      <c r="P7" s="2">
        <v>5.5</v>
      </c>
      <c r="Q7" s="2">
        <v>0.95999999999999996</v>
      </c>
      <c r="R7" s="2">
        <v>0.58999999999999997</v>
      </c>
      <c r="S7" s="2">
        <v>1.26</v>
      </c>
      <c r="T7" s="2"/>
      <c r="U7" s="2"/>
      <c r="V7" s="2" t="s">
        <v>196</v>
      </c>
      <c r="W7" s="2">
        <v>2</v>
      </c>
      <c r="X7" s="2"/>
      <c r="Y7" s="2"/>
      <c r="Z7" s="2"/>
    </row>
    <row r="8" ht="13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 t="s">
        <v>197</v>
      </c>
      <c r="W8" s="2">
        <v>1</v>
      </c>
      <c r="X8" s="2"/>
      <c r="Y8" s="2"/>
      <c r="Z8" s="2"/>
    </row>
    <row r="9" ht="13.5" customHeight="1">
      <c r="A9" s="2"/>
      <c r="B9" s="2"/>
      <c r="C9" s="43" t="s">
        <v>198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 t="s">
        <v>199</v>
      </c>
      <c r="W9" s="2">
        <v>1875.6099999999999</v>
      </c>
      <c r="X9" s="2"/>
      <c r="Y9" s="2"/>
      <c r="Z9" s="2"/>
    </row>
    <row r="10" ht="13.5" customHeight="1">
      <c r="A10" s="2" t="s">
        <v>180</v>
      </c>
      <c r="B10" s="2" t="s">
        <v>181</v>
      </c>
      <c r="C10" s="2" t="s">
        <v>200</v>
      </c>
      <c r="D10" s="2">
        <v>12</v>
      </c>
      <c r="E10" s="2">
        <v>25</v>
      </c>
      <c r="F10" s="2">
        <v>13</v>
      </c>
      <c r="G10" s="2">
        <v>93.799999999999997</v>
      </c>
      <c r="H10" s="2">
        <v>1</v>
      </c>
      <c r="I10" s="2">
        <v>0.87</v>
      </c>
      <c r="J10" s="2" t="s">
        <v>195</v>
      </c>
      <c r="K10" s="2" t="s">
        <v>195</v>
      </c>
      <c r="L10" s="2" t="s">
        <v>195</v>
      </c>
      <c r="M10" s="2">
        <v>29.199999999999999</v>
      </c>
      <c r="N10" s="2">
        <v>1.3600000000000001</v>
      </c>
      <c r="O10" s="2">
        <v>0.60999999999999999</v>
      </c>
      <c r="P10" s="2">
        <v>12</v>
      </c>
      <c r="Q10" s="2">
        <v>1</v>
      </c>
      <c r="R10" s="2">
        <v>0.87</v>
      </c>
      <c r="S10" s="2">
        <v>1.3</v>
      </c>
      <c r="T10" s="2"/>
      <c r="U10" s="2"/>
      <c r="V10" s="2"/>
      <c r="W10" s="2"/>
      <c r="X10" s="2"/>
      <c r="Y10" s="2"/>
      <c r="Z10" s="2"/>
    </row>
    <row r="11" ht="13.5" customHeight="1">
      <c r="A11" s="2" t="s">
        <v>185</v>
      </c>
      <c r="B11" s="2" t="s">
        <v>186</v>
      </c>
      <c r="C11" s="2" t="s">
        <v>201</v>
      </c>
      <c r="D11" s="2">
        <v>12</v>
      </c>
      <c r="E11" s="2">
        <v>26</v>
      </c>
      <c r="F11" s="2"/>
      <c r="G11" s="2">
        <f>56.6-0.32*F10</f>
        <v>52.439999999999998</v>
      </c>
      <c r="H11" s="2">
        <v>1.1699999999999999</v>
      </c>
      <c r="I11" s="2">
        <v>0.75</v>
      </c>
      <c r="J11" s="2" t="s">
        <v>195</v>
      </c>
      <c r="K11" s="2" t="s">
        <v>195</v>
      </c>
      <c r="L11" s="2" t="s">
        <v>195</v>
      </c>
      <c r="M11" s="2">
        <f>12.3-0.25*F10</f>
        <v>9.0500000000000007</v>
      </c>
      <c r="N11" s="2">
        <v>1.3200000000000001</v>
      </c>
      <c r="O11" s="2">
        <v>0.54000000000000004</v>
      </c>
      <c r="P11" s="2">
        <v>6.2000000000000002</v>
      </c>
      <c r="Q11" s="2">
        <v>1.01</v>
      </c>
      <c r="R11" s="2">
        <v>0.75</v>
      </c>
      <c r="S11" s="2">
        <v>1.3700000000000001</v>
      </c>
      <c r="T11" s="2"/>
      <c r="U11" s="2"/>
      <c r="V11" s="2"/>
      <c r="W11" s="2"/>
      <c r="X11" s="2"/>
      <c r="Y11" s="2"/>
      <c r="Z11" s="2"/>
    </row>
    <row r="12" ht="13.5" customHeight="1">
      <c r="A12" s="2" t="s">
        <v>192</v>
      </c>
      <c r="B12" s="2" t="s">
        <v>193</v>
      </c>
      <c r="C12" s="2"/>
      <c r="D12" s="2">
        <v>12</v>
      </c>
      <c r="E12" s="2">
        <v>25</v>
      </c>
      <c r="F12" s="2"/>
      <c r="G12" s="2"/>
      <c r="H12" s="2">
        <v>1.25</v>
      </c>
      <c r="I12" s="2">
        <v>0.65000000000000002</v>
      </c>
      <c r="J12" s="2" t="s">
        <v>195</v>
      </c>
      <c r="K12" s="2" t="s">
        <v>195</v>
      </c>
      <c r="L12" s="2" t="s">
        <v>195</v>
      </c>
      <c r="M12" s="2">
        <v>0</v>
      </c>
      <c r="N12" s="2">
        <v>0</v>
      </c>
      <c r="O12" s="2">
        <v>0</v>
      </c>
      <c r="P12" s="2">
        <v>12.5</v>
      </c>
      <c r="Q12" s="2">
        <v>1.25</v>
      </c>
      <c r="R12" s="2">
        <v>0.65000000000000002</v>
      </c>
      <c r="S12" s="2">
        <v>1.25</v>
      </c>
      <c r="T12" s="2"/>
      <c r="U12" s="2"/>
      <c r="V12" s="2"/>
      <c r="W12" s="2"/>
      <c r="X12" s="2"/>
      <c r="Y12" s="2"/>
      <c r="Z12" s="2"/>
    </row>
    <row r="13" ht="13.5" customHeight="1">
      <c r="A13" s="2"/>
      <c r="B13" s="2"/>
      <c r="C13" s="43" t="s">
        <v>202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157</v>
      </c>
      <c r="W13" s="2"/>
      <c r="X13" s="2"/>
      <c r="Y13" s="2"/>
      <c r="Z13" s="2"/>
    </row>
    <row r="14" ht="13.5" customHeight="1">
      <c r="A14" s="2" t="s">
        <v>180</v>
      </c>
      <c r="B14" s="2" t="s">
        <v>181</v>
      </c>
      <c r="C14" s="2" t="s">
        <v>203</v>
      </c>
      <c r="D14" s="2">
        <v>12</v>
      </c>
      <c r="E14" s="2">
        <v>25</v>
      </c>
      <c r="F14" s="2">
        <v>16</v>
      </c>
      <c r="G14" s="2">
        <v>90.530000000000001</v>
      </c>
      <c r="H14" s="2">
        <v>1.149</v>
      </c>
      <c r="I14" s="2">
        <v>0.75600000000000001</v>
      </c>
      <c r="J14" s="2">
        <v>2.1000000000000001</v>
      </c>
      <c r="K14" s="2">
        <v>1.339</v>
      </c>
      <c r="L14" s="2">
        <v>0.56299999999999994</v>
      </c>
      <c r="M14" s="2">
        <v>10.34</v>
      </c>
      <c r="N14" s="2">
        <v>1.3859999999999999</v>
      </c>
      <c r="O14" s="2">
        <v>0.71199999999999997</v>
      </c>
      <c r="P14" s="2">
        <v>3.5600000000000001</v>
      </c>
      <c r="Q14" s="2">
        <v>0.97199999999999998</v>
      </c>
      <c r="R14" s="2">
        <v>1.0109999999999999</v>
      </c>
      <c r="S14" s="2">
        <v>1.3029999999999999</v>
      </c>
      <c r="T14" s="2"/>
      <c r="U14" s="2"/>
      <c r="V14" s="2" t="s">
        <v>178</v>
      </c>
      <c r="W14" s="2">
        <v>2</v>
      </c>
      <c r="X14" s="2" t="s">
        <v>179</v>
      </c>
      <c r="Y14" s="2">
        <f>W16*W20/(W16+W20)</f>
        <v>1735.6972002031528</v>
      </c>
      <c r="Z14" s="2"/>
    </row>
    <row r="15" ht="13.5" customHeight="1">
      <c r="A15" s="2" t="s">
        <v>185</v>
      </c>
      <c r="B15" s="2" t="s">
        <v>186</v>
      </c>
      <c r="C15" s="2" t="s">
        <v>204</v>
      </c>
      <c r="D15" s="2">
        <v>12</v>
      </c>
      <c r="E15" s="2">
        <v>26</v>
      </c>
      <c r="F15" s="2"/>
      <c r="G15" s="2">
        <v>49.25</v>
      </c>
      <c r="H15" s="2">
        <v>1.1499999999999999</v>
      </c>
      <c r="I15" s="2">
        <v>0.65000000000000002</v>
      </c>
      <c r="J15" s="2" t="s">
        <v>195</v>
      </c>
      <c r="K15" s="2" t="s">
        <v>195</v>
      </c>
      <c r="L15" s="2" t="s">
        <v>195</v>
      </c>
      <c r="M15" s="2">
        <v>4.4800000000000004</v>
      </c>
      <c r="N15" s="2">
        <v>1.1319999999999999</v>
      </c>
      <c r="O15" s="2">
        <v>0.59999999999999998</v>
      </c>
      <c r="P15" s="2">
        <v>5.5999999999999996</v>
      </c>
      <c r="Q15" s="2">
        <v>1.01</v>
      </c>
      <c r="R15" s="2">
        <v>0.59999999999999998</v>
      </c>
      <c r="S15" s="2">
        <v>1.2</v>
      </c>
      <c r="T15" s="2"/>
      <c r="U15" s="2"/>
      <c r="V15" s="2" t="s">
        <v>183</v>
      </c>
      <c r="W15" s="2">
        <v>1</v>
      </c>
      <c r="X15" s="2" t="s">
        <v>184</v>
      </c>
      <c r="Y15" s="15">
        <f>Y14*W17/W16</f>
        <v>14.806465738213406</v>
      </c>
      <c r="Z15" s="2"/>
    </row>
    <row r="16" ht="13.5" customHeight="1">
      <c r="A16" s="2"/>
      <c r="B16" s="2"/>
      <c r="C16" s="2" t="s">
        <v>205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188</v>
      </c>
      <c r="W16" s="2">
        <v>1875.6099999999999</v>
      </c>
      <c r="X16" s="2" t="s">
        <v>189</v>
      </c>
      <c r="Y16" s="15">
        <f>Y15*W20/Y14</f>
        <v>198.48902490389796</v>
      </c>
      <c r="Z16" s="2"/>
    </row>
    <row r="17" ht="13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 t="s">
        <v>189</v>
      </c>
      <c r="W17" s="2">
        <v>16</v>
      </c>
      <c r="X17" s="2"/>
      <c r="Y17" s="2"/>
      <c r="Z17" s="2"/>
    </row>
    <row r="18" ht="13.5" customHeight="1">
      <c r="A18" s="43"/>
      <c r="B18" s="43"/>
      <c r="C18" s="43" t="s">
        <v>206</v>
      </c>
      <c r="D18" s="2" t="s">
        <v>161</v>
      </c>
      <c r="E18" s="2" t="s">
        <v>162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 t="s">
        <v>196</v>
      </c>
      <c r="W18" s="2">
        <v>25</v>
      </c>
      <c r="X18" s="2"/>
      <c r="Y18" s="2"/>
      <c r="Z18" s="2"/>
    </row>
    <row r="19" ht="13.5" customHeight="1">
      <c r="A19" s="2" t="s">
        <v>207</v>
      </c>
      <c r="B19" s="2" t="s">
        <v>181</v>
      </c>
      <c r="C19" s="2" t="s">
        <v>203</v>
      </c>
      <c r="D19" s="2">
        <v>13</v>
      </c>
      <c r="E19" s="2">
        <v>25</v>
      </c>
      <c r="F19" s="2">
        <v>7.9710000000000001</v>
      </c>
      <c r="G19" s="18">
        <f>91.85 - 0.249*F19 + 0.000116*(F19)^2 + 0.642*D19*(E19)^(-1/3)</f>
        <v>92.726883123748735</v>
      </c>
      <c r="H19" s="15">
        <f>1.152 - 0.00776*(E19^(-1/3))</f>
        <v>1.1493461173307578</v>
      </c>
      <c r="I19" s="15">
        <f>0.719+0.0126*(E19^(1/3))</f>
        <v>0.75584262350148212</v>
      </c>
      <c r="J19" s="18">
        <f>1.104+0.0622*F19</f>
        <v>1.5997962000000001</v>
      </c>
      <c r="K19" s="15">
        <f>1.305+0.0997*(E19^(-1/3))</f>
        <v>1.3390969203767333</v>
      </c>
      <c r="L19" s="15">
        <f>0.855-0.1*(E19^(1/3))</f>
        <v>0.56259822617871347</v>
      </c>
      <c r="M19" s="18">
        <f>10.83-0.0306*F19</f>
        <v>10.5860874</v>
      </c>
      <c r="N19" s="15">
        <f>1.334+0.152*(E19^(-1/3))</f>
        <v>1.3859832687789717</v>
      </c>
      <c r="O19" s="15">
        <f>0.531+0.062*(E19^(1/3))</f>
        <v>0.71228909976919774</v>
      </c>
      <c r="P19" s="18">
        <v>3.5569999999999999</v>
      </c>
      <c r="Q19" s="2">
        <v>0.97199999999999998</v>
      </c>
      <c r="R19" s="2">
        <v>1.0109999999999999</v>
      </c>
      <c r="S19" s="2">
        <v>1.3029999999999999</v>
      </c>
      <c r="T19" s="2"/>
      <c r="U19" s="2"/>
      <c r="V19" s="2" t="s">
        <v>197</v>
      </c>
      <c r="W19" s="2">
        <v>12</v>
      </c>
      <c r="X19" s="2"/>
      <c r="Y19" s="2"/>
      <c r="Z19" s="2"/>
    </row>
    <row r="20" ht="13.5" customHeight="1">
      <c r="A20" s="2" t="s">
        <v>208</v>
      </c>
      <c r="B20" s="2" t="s">
        <v>186</v>
      </c>
      <c r="C20" s="2" t="s">
        <v>209</v>
      </c>
      <c r="D20" s="2">
        <v>14</v>
      </c>
      <c r="E20" s="2">
        <v>26</v>
      </c>
      <c r="F20" s="17">
        <v>0.29999999999999999</v>
      </c>
      <c r="G20" s="17">
        <f>G25*(1-G26*(F20-G38) + G27*(F20-G38)^2 - G28*(F20-G38)^3)</f>
        <v>55.707844255599397</v>
      </c>
      <c r="H20" s="46">
        <f>1.3039-0.405*E20^(-1/3)</f>
        <v>1.1671909578112194</v>
      </c>
      <c r="I20" s="46">
        <f>0.6778-0.0001487*E20</f>
        <v>0.67393379999999992</v>
      </c>
      <c r="J20" s="17">
        <f>G29*(F20-G38)^2/((F20-G38)^2 + G30^2)</f>
        <v>0.25677111730267227</v>
      </c>
      <c r="K20" s="46">
        <f t="shared" ref="K20:L20" si="38">H20</f>
        <v>1.1671909578112194</v>
      </c>
      <c r="L20" s="46">
        <f t="shared" si="38"/>
        <v>0.67393379999999992</v>
      </c>
      <c r="M20" s="17">
        <f>G31*(F20-G38)^2/((F20-G38)^2 + G33^2) * EXP(-G32*(F20-G38))</f>
        <v>6.4262882644048442</v>
      </c>
      <c r="N20" s="46">
        <f>1.3424-0.01585*E20^(1/3)</f>
        <v>1.2954444373157432</v>
      </c>
      <c r="O20" s="46">
        <f>0.5446-0.0001656*E20</f>
        <v>0.54029439999999995</v>
      </c>
      <c r="P20" s="17">
        <f>G34*EXP(-G35*(F20-G38))</f>
        <v>5.744171618821122</v>
      </c>
      <c r="Q20" s="46">
        <f>1.1854-0.647*E20^(-1/3)</f>
        <v>0.96700308568854054</v>
      </c>
      <c r="R20" s="46">
        <v>0.58999999999999997</v>
      </c>
      <c r="S20" s="17"/>
      <c r="T20" s="7">
        <f>G36*(F20-G38)^2/((F20-G38)^2 + G37^2)</f>
        <v>-0.014303533231448418</v>
      </c>
      <c r="U20" s="2"/>
      <c r="V20" s="2" t="s">
        <v>199</v>
      </c>
      <c r="W20" s="2">
        <v>23268</v>
      </c>
      <c r="X20" s="2"/>
      <c r="Y20" s="2"/>
      <c r="Z20" s="2"/>
    </row>
    <row r="21" ht="13.5" customHeight="1">
      <c r="A21" s="2"/>
      <c r="B21" s="2"/>
      <c r="C21" s="2" t="s">
        <v>205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2"/>
      <c r="B22" s="2"/>
      <c r="C22" s="2"/>
      <c r="D22" s="2"/>
      <c r="E22" s="2"/>
      <c r="F22" s="29" t="s">
        <v>187</v>
      </c>
      <c r="G22" s="29" t="s">
        <v>210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2"/>
      <c r="B23" s="2"/>
      <c r="C23" s="2"/>
      <c r="D23" s="15"/>
      <c r="E23" s="15"/>
      <c r="F23" s="29" t="s">
        <v>196</v>
      </c>
      <c r="G23" s="6">
        <v>26</v>
      </c>
      <c r="H23" s="15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2"/>
      <c r="B24" s="2"/>
      <c r="C24" s="2"/>
      <c r="D24" s="15"/>
      <c r="E24" s="15"/>
      <c r="F24" s="2" t="s">
        <v>197</v>
      </c>
      <c r="G24" s="6">
        <v>14</v>
      </c>
      <c r="H24" s="15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2"/>
      <c r="B25" s="2"/>
      <c r="C25" s="2"/>
      <c r="D25" s="15"/>
      <c r="E25" s="15"/>
      <c r="F25" s="29" t="s">
        <v>211</v>
      </c>
      <c r="G25" s="7">
        <f>59.3-21*(G23-2*G24)/G23 - 0.024*G23</f>
        <v>60.291384615384608</v>
      </c>
      <c r="H25" s="15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2"/>
      <c r="B26" s="2"/>
      <c r="C26" s="2"/>
      <c r="D26" s="15"/>
      <c r="E26" s="15"/>
      <c r="F26" s="29" t="s">
        <v>212</v>
      </c>
      <c r="G26" s="7">
        <f>0.007228-0.00000148*G23</f>
        <v>0.0071895200000000005</v>
      </c>
      <c r="H26" s="15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2"/>
      <c r="B27" s="2"/>
      <c r="C27" s="2"/>
      <c r="D27" s="15"/>
      <c r="E27" s="15"/>
      <c r="F27" s="29" t="s">
        <v>213</v>
      </c>
      <c r="G27" s="7">
        <f>0.00001994-0.00000002*G23</f>
        <v>1.942e-05</v>
      </c>
      <c r="H27" s="15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2"/>
      <c r="B28" s="2"/>
      <c r="C28" s="2"/>
      <c r="D28" s="15"/>
      <c r="E28" s="15"/>
      <c r="F28" s="29" t="s">
        <v>214</v>
      </c>
      <c r="G28" s="7">
        <f>0.000000007</f>
        <v>6.9999999999999998e-09</v>
      </c>
      <c r="H28" s="15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2"/>
      <c r="B29" s="2"/>
      <c r="C29" s="2"/>
      <c r="D29" s="15"/>
      <c r="E29" s="15"/>
      <c r="F29" s="29" t="s">
        <v>215</v>
      </c>
      <c r="G29" s="7">
        <f>12.195+0.0167*G23</f>
        <v>12.629200000000001</v>
      </c>
      <c r="H29" s="15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2"/>
      <c r="B30" s="2"/>
      <c r="C30" s="2"/>
      <c r="D30" s="15"/>
      <c r="E30" s="15"/>
      <c r="F30" s="29" t="s">
        <v>216</v>
      </c>
      <c r="G30" s="7">
        <f>73.55+0.0795*G23</f>
        <v>75.61699999999999</v>
      </c>
      <c r="H30" s="15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2"/>
      <c r="B31" s="2"/>
      <c r="C31" s="2"/>
      <c r="D31" s="15"/>
      <c r="E31" s="15"/>
      <c r="F31" s="29" t="s">
        <v>217</v>
      </c>
      <c r="G31" s="7">
        <f>16*(1-(G23-2*G24)/G23)</f>
        <v>17.23076923076923</v>
      </c>
      <c r="H31" s="15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2"/>
      <c r="B32" s="2"/>
      <c r="C32" s="2"/>
      <c r="D32" s="15"/>
      <c r="E32" s="15"/>
      <c r="F32" s="29" t="s">
        <v>218</v>
      </c>
      <c r="G32" s="7">
        <f>0.018+0.003802/(1+EXP((G23-156)/8))</f>
        <v>0.021801999666783312</v>
      </c>
      <c r="H32" s="15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2"/>
      <c r="B33" s="2"/>
      <c r="C33" s="2"/>
      <c r="D33" s="15"/>
      <c r="E33" s="15"/>
      <c r="F33" s="29" t="s">
        <v>219</v>
      </c>
      <c r="G33" s="7">
        <v>11.5</v>
      </c>
      <c r="H33" s="15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2"/>
      <c r="B34" s="2"/>
      <c r="C34" s="2"/>
      <c r="D34" s="15"/>
      <c r="E34" s="15"/>
      <c r="F34" s="29" t="s">
        <v>220</v>
      </c>
      <c r="G34" s="7">
        <f>5.922+0.003*G23</f>
        <v>6</v>
      </c>
      <c r="H34" s="15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2"/>
      <c r="B35" s="2"/>
      <c r="C35" s="2"/>
      <c r="D35" s="15"/>
      <c r="E35" s="15"/>
      <c r="F35" s="29" t="s">
        <v>221</v>
      </c>
      <c r="G35" s="7">
        <v>0.0040000000000000001</v>
      </c>
      <c r="H35" s="15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/>
      <c r="B36" s="2"/>
      <c r="C36" s="2"/>
      <c r="D36" s="15"/>
      <c r="E36" s="15"/>
      <c r="F36" s="15" t="s">
        <v>222</v>
      </c>
      <c r="G36" s="7">
        <v>-3.1000000000000001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/>
      <c r="B37" s="2"/>
      <c r="C37" s="2"/>
      <c r="D37" s="2"/>
      <c r="E37" s="2"/>
      <c r="F37" s="2" t="s">
        <v>223</v>
      </c>
      <c r="G37" s="7">
        <v>160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/>
      <c r="B38" s="2"/>
      <c r="C38" s="2"/>
      <c r="D38" s="2"/>
      <c r="E38" s="2"/>
      <c r="F38" s="2" t="s">
        <v>224</v>
      </c>
      <c r="G38" s="7">
        <f>-11.2814+0.02646*G23</f>
        <v>-10.593439999999999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/>
      <c r="B39" s="2"/>
      <c r="C39" s="2"/>
      <c r="D39" s="15"/>
      <c r="E39" s="2"/>
      <c r="F39" s="15"/>
      <c r="G39" s="29"/>
      <c r="H39" s="29"/>
      <c r="I39" s="15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2"/>
      <c r="C40" s="2"/>
      <c r="D40" s="15"/>
      <c r="E40" s="2"/>
      <c r="F40" s="15"/>
      <c r="G40" s="29"/>
      <c r="H40" s="29"/>
      <c r="I40" s="15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15"/>
      <c r="E41" s="2"/>
      <c r="F41" s="15"/>
      <c r="G41" s="29"/>
      <c r="H41" s="29"/>
      <c r="I41" s="15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15"/>
      <c r="E42" s="2"/>
      <c r="F42" s="15"/>
      <c r="G42" s="29"/>
      <c r="H42" s="29"/>
      <c r="I42" s="15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15"/>
      <c r="E43" s="2"/>
      <c r="F43" s="15"/>
      <c r="G43" s="29"/>
      <c r="H43" s="29"/>
      <c r="I43" s="15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15"/>
      <c r="E44" s="2"/>
      <c r="F44" s="15"/>
      <c r="G44" s="29"/>
      <c r="H44" s="29"/>
      <c r="I44" s="15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15"/>
      <c r="E45" s="2"/>
      <c r="F45" s="15"/>
      <c r="G45" s="29"/>
      <c r="H45" s="29"/>
      <c r="I45" s="15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15"/>
      <c r="E46" s="2"/>
      <c r="F46" s="15"/>
      <c r="G46" s="29"/>
      <c r="H46" s="29"/>
      <c r="I46" s="15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15"/>
      <c r="E47" s="2"/>
      <c r="F47" s="15"/>
      <c r="G47" s="29"/>
      <c r="H47" s="29"/>
      <c r="I47" s="15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15"/>
      <c r="E48" s="2"/>
      <c r="F48" s="15"/>
      <c r="G48" s="29"/>
      <c r="H48" s="29"/>
      <c r="I48" s="15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15"/>
      <c r="E49" s="2"/>
      <c r="F49" s="15"/>
      <c r="G49" s="29"/>
      <c r="H49" s="29"/>
      <c r="I49" s="15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15"/>
      <c r="E50" s="2"/>
      <c r="F50" s="15"/>
      <c r="G50" s="29"/>
      <c r="H50" s="29"/>
      <c r="I50" s="15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15"/>
      <c r="E51" s="2"/>
      <c r="F51" s="15"/>
      <c r="G51" s="29"/>
      <c r="H51" s="29"/>
      <c r="I51" s="15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 t="s">
        <v>225</v>
      </c>
      <c r="G55" s="2" t="s">
        <v>226</v>
      </c>
      <c r="H55" s="2" t="s">
        <v>227</v>
      </c>
      <c r="I55" s="2" t="s">
        <v>228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>
        <v>0.050000000000000003</v>
      </c>
      <c r="G56" s="2">
        <v>11.699999999999999</v>
      </c>
      <c r="H56" s="2">
        <v>10.686999999999999</v>
      </c>
      <c r="I56" s="2">
        <v>12.712999999999999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>
        <v>0.34999999999999998</v>
      </c>
      <c r="G57" s="2">
        <v>11.699999999999999</v>
      </c>
      <c r="H57" s="2">
        <v>10.686999999999999</v>
      </c>
      <c r="I57" s="2">
        <v>12.712999999999999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0" gridLines="0"/>
  <pageMargins left="0.78750000000000009" right="0.78750000000000009" top="0" bottom="0" header="0" footer="0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ColWidth="12.5703125" defaultRowHeight="15" customHeight="1"/>
  <cols>
    <col customWidth="1" min="1" max="1" width="29"/>
    <col customWidth="1" min="2" max="2" width="8"/>
    <col customWidth="1" min="3" max="3" width="11.42578125"/>
    <col customWidth="1" min="4" max="4" width="4.28515625"/>
    <col customWidth="1" min="5" max="5" width="11.85546875"/>
    <col customWidth="1" min="6" max="7" width="14.42578125"/>
    <col customWidth="1" min="8" max="8" width="3.42578125"/>
    <col customWidth="1" min="9" max="9" width="22.42578125"/>
    <col customWidth="1" min="10" max="10" width="10"/>
    <col customWidth="1" min="11" max="12" width="11.140625"/>
    <col customWidth="1" min="13" max="26" width="8.5703125"/>
  </cols>
  <sheetData>
    <row r="1" ht="13.5" customHeight="1">
      <c r="A1" s="2" t="s">
        <v>229</v>
      </c>
      <c r="B1" s="2">
        <v>0.66434899999999997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2" t="s">
        <v>230</v>
      </c>
      <c r="B2" s="2">
        <v>3.2013099999999999</v>
      </c>
      <c r="C2" s="2"/>
      <c r="D2" s="2" t="s">
        <v>165</v>
      </c>
      <c r="E2" s="2" t="s">
        <v>231</v>
      </c>
      <c r="F2" s="2" t="s">
        <v>232</v>
      </c>
      <c r="G2" s="2" t="s">
        <v>232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2" t="s">
        <v>233</v>
      </c>
      <c r="B3" s="2">
        <v>0.29357100000000003</v>
      </c>
      <c r="C3" s="2"/>
      <c r="D3" s="2">
        <v>1</v>
      </c>
      <c r="E3" s="2">
        <f t="shared" ref="E3:E11" si="39">D3*(25^(1/3) + 1)</f>
        <v>3.9240177382128656</v>
      </c>
      <c r="F3" s="59">
        <f t="shared" ref="F3:F9" si="40">1000000*G3</f>
        <v>16.029399999999999</v>
      </c>
      <c r="G3" s="7">
        <v>1.6029399999999999e-05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2" t="s">
        <v>234</v>
      </c>
      <c r="B4" s="7">
        <v>1.00375e-05</v>
      </c>
      <c r="C4" s="2"/>
      <c r="D4" s="2">
        <v>1.1000000000000001</v>
      </c>
      <c r="E4" s="2">
        <f t="shared" si="39"/>
        <v>4.3164195120341526</v>
      </c>
      <c r="F4" s="59">
        <f t="shared" si="40"/>
        <v>20.570399999999999</v>
      </c>
      <c r="G4" s="7">
        <v>2.0570399999999999e-05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2" t="s">
        <v>235</v>
      </c>
      <c r="B5" s="7">
        <v>1.51087e-05</v>
      </c>
      <c r="C5" s="2"/>
      <c r="D5" s="2">
        <v>1.2</v>
      </c>
      <c r="E5" s="2">
        <f t="shared" si="39"/>
        <v>4.7088212858554384</v>
      </c>
      <c r="F5" s="59">
        <f t="shared" si="40"/>
        <v>26.0641</v>
      </c>
      <c r="G5" s="7">
        <v>2.60641e-05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2" t="s">
        <v>236</v>
      </c>
      <c r="B6" s="7">
        <v>6.08484e-06</v>
      </c>
      <c r="C6" s="2"/>
      <c r="D6" s="2">
        <v>1.3</v>
      </c>
      <c r="E6" s="2">
        <f t="shared" si="39"/>
        <v>5.1012230596767258</v>
      </c>
      <c r="F6" s="59">
        <f t="shared" si="40"/>
        <v>32.668800000000005</v>
      </c>
      <c r="G6" s="7">
        <v>3.2668800000000001e-05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2" t="s">
        <v>237</v>
      </c>
      <c r="B7" s="7">
        <v>5.4035300000000001e-05</v>
      </c>
      <c r="C7" s="17"/>
      <c r="D7" s="2">
        <v>1.3999999999999999</v>
      </c>
      <c r="E7" s="2">
        <f t="shared" si="39"/>
        <v>5.4936248334980116</v>
      </c>
      <c r="F7" s="59">
        <f t="shared" si="40"/>
        <v>40.562400000000004</v>
      </c>
      <c r="G7" s="7">
        <v>4.0562400000000003e-05</v>
      </c>
      <c r="H7" s="2"/>
      <c r="I7" s="2"/>
      <c r="J7" s="7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2" t="s">
        <v>238</v>
      </c>
      <c r="B8" s="7">
        <v>1.9048599999999999e-05</v>
      </c>
      <c r="C8" s="17"/>
      <c r="D8" s="2">
        <v>1.5</v>
      </c>
      <c r="E8" s="2">
        <f t="shared" si="39"/>
        <v>5.8860266073192982</v>
      </c>
      <c r="F8" s="59">
        <f t="shared" si="40"/>
        <v>49.943899999999999</v>
      </c>
      <c r="G8" s="7">
        <v>4.9943900000000001e-05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2"/>
      <c r="B9" s="2"/>
      <c r="C9" s="2"/>
      <c r="D9" s="2">
        <v>1.6000000000000001</v>
      </c>
      <c r="E9" s="2">
        <f t="shared" si="39"/>
        <v>6.2784283811405857</v>
      </c>
      <c r="F9" s="59">
        <f t="shared" si="40"/>
        <v>61.035299999999992</v>
      </c>
      <c r="G9" s="7">
        <v>6.1035299999999995e-05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2" t="s">
        <v>229</v>
      </c>
      <c r="B10" s="2">
        <v>0.67911600000000005</v>
      </c>
      <c r="C10" s="2"/>
      <c r="D10" s="2">
        <v>1.3500000000000001</v>
      </c>
      <c r="E10" s="2">
        <f t="shared" si="39"/>
        <v>5.2974239465873687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2" t="s">
        <v>230</v>
      </c>
      <c r="B11" s="2">
        <v>3.1316999999999999</v>
      </c>
      <c r="C11" s="2"/>
      <c r="D11" s="2">
        <v>1.1499999999999999</v>
      </c>
      <c r="E11" s="2">
        <f t="shared" si="39"/>
        <v>4.5126203989447955</v>
      </c>
      <c r="F11" s="2"/>
      <c r="G11" s="2"/>
      <c r="H11" s="2"/>
      <c r="I11" s="2" t="s">
        <v>239</v>
      </c>
      <c r="J11" s="2"/>
      <c r="K11" s="2" t="s">
        <v>7</v>
      </c>
      <c r="L11" s="2" t="s">
        <v>240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2" t="s">
        <v>233</v>
      </c>
      <c r="B12" s="2">
        <v>0.29357100000000003</v>
      </c>
      <c r="C12" s="2"/>
      <c r="D12" s="2"/>
      <c r="E12" s="2"/>
      <c r="F12" s="2"/>
      <c r="G12" s="2"/>
      <c r="H12" s="2" t="s">
        <v>165</v>
      </c>
      <c r="I12" s="2" t="s">
        <v>241</v>
      </c>
      <c r="J12" s="2" t="s">
        <v>242</v>
      </c>
      <c r="K12" s="2" t="s">
        <v>243</v>
      </c>
      <c r="L12" s="2" t="s">
        <v>243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2" t="s">
        <v>234</v>
      </c>
      <c r="B13" s="7">
        <v>1.5395300000000001e-05</v>
      </c>
      <c r="C13" s="2"/>
      <c r="D13" s="2"/>
      <c r="E13" s="2"/>
      <c r="F13" s="2"/>
      <c r="G13" s="2"/>
      <c r="H13" s="2">
        <v>1</v>
      </c>
      <c r="I13" s="29">
        <v>1.0536958157851899</v>
      </c>
      <c r="J13" s="55">
        <v>5.9954275406430299e-06</v>
      </c>
      <c r="K13" s="7">
        <v>3.54253137605781e-05</v>
      </c>
      <c r="L13" s="17">
        <f t="shared" ref="L13:L22" si="41">1000000*K13</f>
        <v>35.425313760578099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2" t="s">
        <v>235</v>
      </c>
      <c r="B14" s="7">
        <v>2.2669700000000001e-05</v>
      </c>
      <c r="C14" s="2"/>
      <c r="D14" s="2"/>
      <c r="E14" s="2"/>
      <c r="F14" s="2"/>
      <c r="G14" s="2"/>
      <c r="H14" s="2">
        <v>1.2</v>
      </c>
      <c r="I14" s="29">
        <v>0.95273946157818801</v>
      </c>
      <c r="J14" s="55">
        <v>1.2880680726521699e-05</v>
      </c>
      <c r="K14" s="7">
        <v>4.7789090851054997e-05</v>
      </c>
      <c r="L14" s="17">
        <f t="shared" si="41"/>
        <v>47.789090851055001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2" t="s">
        <v>236</v>
      </c>
      <c r="B15" s="7">
        <v>9.3609500000000006e-06</v>
      </c>
      <c r="C15" s="2"/>
      <c r="D15" s="2"/>
      <c r="E15" s="2"/>
      <c r="F15" s="2"/>
      <c r="G15" s="2"/>
      <c r="H15" s="2">
        <v>1.3999999999999999</v>
      </c>
      <c r="I15" s="29">
        <v>0.64929279566966502</v>
      </c>
      <c r="J15" s="55">
        <v>2.5618449724788599e-05</v>
      </c>
      <c r="K15" s="7">
        <v>4.7589993938954498e-05</v>
      </c>
      <c r="L15" s="17">
        <f t="shared" si="41"/>
        <v>47.5899939389545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2" t="s">
        <v>237</v>
      </c>
      <c r="B16" s="7">
        <v>8.2878699999999996e-05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2" t="s">
        <v>238</v>
      </c>
      <c r="B17" s="7">
        <v>2.9216500000000001e-05</v>
      </c>
      <c r="C17" s="2"/>
      <c r="D17" s="2"/>
      <c r="E17" s="2"/>
      <c r="F17" s="2"/>
      <c r="G17" s="2"/>
      <c r="H17" s="2"/>
      <c r="I17" s="2" t="s">
        <v>244</v>
      </c>
      <c r="J17" s="2"/>
      <c r="K17" s="2" t="s">
        <v>7</v>
      </c>
      <c r="L17" s="2" t="s">
        <v>240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2"/>
      <c r="B18" s="2"/>
      <c r="C18" s="2"/>
      <c r="D18" s="2"/>
      <c r="E18" s="2"/>
      <c r="F18" s="2"/>
      <c r="G18" s="2"/>
      <c r="H18" s="2" t="s">
        <v>165</v>
      </c>
      <c r="I18" s="2" t="s">
        <v>241</v>
      </c>
      <c r="J18" s="2" t="s">
        <v>242</v>
      </c>
      <c r="K18" s="2" t="s">
        <v>243</v>
      </c>
      <c r="L18" s="2" t="s">
        <v>243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2"/>
      <c r="B19" s="2"/>
      <c r="C19" s="2"/>
      <c r="D19" s="2"/>
      <c r="E19" s="2"/>
      <c r="F19" s="2"/>
      <c r="G19" s="2"/>
      <c r="H19" s="2">
        <v>1</v>
      </c>
      <c r="I19" s="29">
        <v>0.511006328486179</v>
      </c>
      <c r="J19" s="55">
        <v>5.9954275406430299e-06</v>
      </c>
      <c r="K19" s="7">
        <v>1.7180062072064199e-05</v>
      </c>
      <c r="L19" s="17">
        <f t="shared" si="41"/>
        <v>17.180062072064199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2"/>
      <c r="B20" s="2"/>
      <c r="C20" s="2"/>
      <c r="D20" s="2"/>
      <c r="E20" s="2"/>
      <c r="F20" s="2"/>
      <c r="G20" s="2"/>
      <c r="H20" s="2">
        <v>1.2</v>
      </c>
      <c r="I20" s="29">
        <v>0.53247421154536101</v>
      </c>
      <c r="J20" s="55">
        <v>1.2880680726521699e-05</v>
      </c>
      <c r="K20" s="7">
        <v>2.67087273043501e-05</v>
      </c>
      <c r="L20" s="17">
        <f t="shared" si="41"/>
        <v>26.708727304350099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2"/>
      <c r="B21" s="2"/>
      <c r="C21" s="2"/>
      <c r="D21" s="2"/>
      <c r="E21" s="2"/>
      <c r="F21" s="2"/>
      <c r="G21" s="2"/>
      <c r="H21" s="2">
        <v>1.3999999999999999</v>
      </c>
      <c r="I21" s="29">
        <v>0.40647315269407802</v>
      </c>
      <c r="J21" s="55">
        <v>2.5618449724788599e-05</v>
      </c>
      <c r="K21" s="7">
        <v>2.9792498857326601e-05</v>
      </c>
      <c r="L21" s="17">
        <f t="shared" si="41"/>
        <v>29.792498857326599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2"/>
      <c r="B22" s="2"/>
      <c r="C22" s="2"/>
      <c r="D22" s="2"/>
      <c r="E22" s="2"/>
      <c r="F22" s="2"/>
      <c r="G22" s="2"/>
      <c r="H22" s="2">
        <v>1.6000000000000001</v>
      </c>
      <c r="I22" s="2">
        <v>0.28208122624582999</v>
      </c>
      <c r="J22" s="55">
        <v>4.7962994513617101e-05</v>
      </c>
      <c r="K22" s="7">
        <v>2.96359462849014e-05</v>
      </c>
      <c r="L22" s="17">
        <f t="shared" si="41"/>
        <v>29.635946284901401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0" gridLines="0"/>
  <pageMargins left="0" right="0" top="0" bottom="0" header="0" footer="0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1" zoomScale="100" workbookViewId="0">
      <selection activeCell="N31" activeCellId="0" sqref="N31"/>
    </sheetView>
  </sheetViews>
  <sheetFormatPr defaultColWidth="12.5703125" defaultRowHeight="15" customHeight="1"/>
  <cols>
    <col customWidth="1" min="1" max="1" width="6.42578125"/>
    <col customWidth="1" min="2" max="2" width="7"/>
    <col customWidth="1" min="3" max="3" width="6.140625"/>
    <col customWidth="1" min="4" max="5" width="7.42578125"/>
    <col customWidth="1" min="6" max="6" width="7"/>
    <col bestFit="1" customWidth="1" min="7" max="7" width="7"/>
    <col bestFit="1" customWidth="1" min="8" max="8" width="15.140625"/>
    <col bestFit="1" customWidth="1" min="9" max="9" width="23.7109375"/>
    <col customWidth="1" min="10" max="10" width="4.28515625"/>
    <col customWidth="1" min="11" max="12" width="11.42578125"/>
    <col customWidth="1" min="13" max="26" width="8.5703125"/>
  </cols>
  <sheetData>
    <row r="1" ht="13.5" customHeight="1">
      <c r="A1" s="2"/>
      <c r="B1" s="60" t="s">
        <v>245</v>
      </c>
      <c r="C1" s="60" t="s">
        <v>90</v>
      </c>
      <c r="D1" s="60" t="s">
        <v>246</v>
      </c>
      <c r="E1" s="61" t="s">
        <v>247</v>
      </c>
      <c r="F1" s="61" t="s">
        <v>248</v>
      </c>
      <c r="G1" s="61" t="s">
        <v>90</v>
      </c>
      <c r="H1" s="60" t="s">
        <v>249</v>
      </c>
      <c r="I1" s="62" t="s">
        <v>250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2" t="s">
        <v>81</v>
      </c>
      <c r="B2" s="15">
        <v>0.27000000000000002</v>
      </c>
      <c r="C2" s="2">
        <v>0.059999999999999998</v>
      </c>
      <c r="D2" s="29">
        <f t="shared" ref="D2:D9" si="42">SQRT(B2)</f>
        <v>0.51961524227066325</v>
      </c>
      <c r="E2" s="2">
        <v>0.33169999999999999</v>
      </c>
      <c r="F2" s="2">
        <v>0.11</v>
      </c>
      <c r="G2" s="2">
        <v>0.02</v>
      </c>
      <c r="H2" s="15">
        <f t="shared" ref="H2:H9" si="43">F2/B2</f>
        <v>0.40740740740740738</v>
      </c>
      <c r="I2" s="17">
        <v>8.7470999999999997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2" t="s">
        <v>251</v>
      </c>
      <c r="B3" s="15">
        <v>0.2336</v>
      </c>
      <c r="C3" s="2">
        <v>0.058599999999999999</v>
      </c>
      <c r="D3" s="29">
        <f t="shared" si="42"/>
        <v>0.48332183894378289</v>
      </c>
      <c r="E3" s="29">
        <f>SQRT(F3)</f>
        <v>0.41749251490296208</v>
      </c>
      <c r="F3" s="2">
        <v>0.17430000000000001</v>
      </c>
      <c r="G3" s="2">
        <v>0.043099999999999999</v>
      </c>
      <c r="H3" s="15">
        <f t="shared" si="43"/>
        <v>0.7461472602739726</v>
      </c>
      <c r="I3" s="17">
        <v>10.781000000000001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2"/>
      <c r="B4" s="2"/>
      <c r="C4" s="2"/>
      <c r="D4" s="2"/>
      <c r="E4" s="2"/>
      <c r="F4" s="2"/>
      <c r="G4" s="2"/>
      <c r="H4" s="2"/>
      <c r="I4" s="2"/>
      <c r="J4" s="7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15" t="s">
        <v>252</v>
      </c>
      <c r="B5" s="29">
        <f t="shared" ref="B5:B6" si="44">F5/H5</f>
        <v>0.067010900745840471</v>
      </c>
      <c r="C5" s="2"/>
      <c r="D5" s="29">
        <f t="shared" si="42"/>
        <v>0.25886463788211878</v>
      </c>
      <c r="E5" s="29">
        <f t="shared" ref="E5:E9" si="45">SQRT(F5)</f>
        <v>0.22360679774997896</v>
      </c>
      <c r="F5" s="2">
        <v>0.050000000000000003</v>
      </c>
      <c r="G5" s="2"/>
      <c r="H5" s="15">
        <v>0.74614726027397305</v>
      </c>
      <c r="I5" s="7">
        <v>2.8357000000000001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15"/>
      <c r="B6" s="29">
        <f t="shared" si="44"/>
        <v>0.26804360298336188</v>
      </c>
      <c r="C6" s="2"/>
      <c r="D6" s="29">
        <f t="shared" si="42"/>
        <v>0.51772927576423755</v>
      </c>
      <c r="E6" s="29">
        <f t="shared" si="45"/>
        <v>0.44721359549995793</v>
      </c>
      <c r="F6" s="2">
        <v>0.20000000000000001</v>
      </c>
      <c r="G6" s="2"/>
      <c r="H6" s="15">
        <v>0.74614726027397305</v>
      </c>
      <c r="I6" s="7">
        <v>11.340999999999999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15"/>
      <c r="B7" s="15"/>
      <c r="C7" s="15"/>
      <c r="D7" s="29"/>
      <c r="E7" s="15"/>
      <c r="F7" s="2"/>
      <c r="G7" s="2"/>
      <c r="H7" s="2"/>
      <c r="I7" s="2"/>
      <c r="J7" s="2"/>
      <c r="K7" s="2"/>
      <c r="L7" s="29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2" t="s">
        <v>253</v>
      </c>
      <c r="B8" s="15">
        <v>0.2336</v>
      </c>
      <c r="C8" s="2"/>
      <c r="D8" s="29">
        <f t="shared" si="42"/>
        <v>0.48332183894378289</v>
      </c>
      <c r="E8" s="29">
        <f t="shared" si="45"/>
        <v>0.22360679774997896</v>
      </c>
      <c r="F8" s="2">
        <v>0.050000000000000003</v>
      </c>
      <c r="G8" s="2"/>
      <c r="H8" s="15">
        <f t="shared" si="43"/>
        <v>0.21404109589041098</v>
      </c>
      <c r="I8" s="7">
        <v>5.4119000000000002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2"/>
      <c r="B9" s="15">
        <v>0.2336</v>
      </c>
      <c r="C9" s="2"/>
      <c r="D9" s="29">
        <f t="shared" si="42"/>
        <v>0.48332183894378289</v>
      </c>
      <c r="E9" s="29">
        <f t="shared" si="45"/>
        <v>0.44721359549995793</v>
      </c>
      <c r="F9" s="2">
        <v>0.20000000000000001</v>
      </c>
      <c r="G9" s="2"/>
      <c r="H9" s="15">
        <f t="shared" si="43"/>
        <v>0.85616438356164393</v>
      </c>
      <c r="I9" s="7">
        <v>10.808999999999999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2"/>
      <c r="B10" s="15"/>
      <c r="C10" s="15"/>
      <c r="D10" s="29"/>
      <c r="E10" s="1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2"/>
      <c r="B11" s="15"/>
      <c r="C11" s="15"/>
      <c r="D11" s="29"/>
      <c r="E11" s="1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2"/>
      <c r="B12" s="15"/>
      <c r="C12" s="15"/>
      <c r="D12" s="29"/>
      <c r="E12" s="1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2"/>
      <c r="B13" s="15"/>
      <c r="C13" s="15"/>
      <c r="D13" s="29"/>
      <c r="E13" s="1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2"/>
      <c r="B14" s="15"/>
      <c r="C14" s="15"/>
      <c r="D14" s="29"/>
      <c r="E14" s="15" t="s">
        <v>254</v>
      </c>
      <c r="F14" s="2" t="s">
        <v>255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2"/>
      <c r="B15" s="15">
        <v>0.5</v>
      </c>
      <c r="C15" s="15">
        <v>1</v>
      </c>
      <c r="D15" s="29">
        <v>0</v>
      </c>
      <c r="E15" s="15">
        <v>0</v>
      </c>
      <c r="F15" s="2">
        <v>1</v>
      </c>
      <c r="G15" s="2">
        <v>0</v>
      </c>
      <c r="H15" s="7">
        <v>3.5341999999999998</v>
      </c>
      <c r="I15" s="63">
        <f t="shared" ref="I15:I19" si="46">H15</f>
        <v>3.5341999999999998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2"/>
      <c r="B16" s="2">
        <v>0.5</v>
      </c>
      <c r="C16" s="2">
        <v>1</v>
      </c>
      <c r="D16" s="2">
        <v>0</v>
      </c>
      <c r="E16" s="2">
        <v>2</v>
      </c>
      <c r="F16" s="2">
        <v>1</v>
      </c>
      <c r="G16" s="2">
        <v>1.7969999999999999</v>
      </c>
      <c r="H16" s="7">
        <v>3.3616999999999999</v>
      </c>
      <c r="I16" s="63">
        <f t="shared" si="46"/>
        <v>3.3616999999999999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2"/>
      <c r="B17" s="2">
        <v>0.5</v>
      </c>
      <c r="C17" s="2">
        <v>1</v>
      </c>
      <c r="D17" s="2">
        <v>0</v>
      </c>
      <c r="E17" s="2">
        <v>3</v>
      </c>
      <c r="F17" s="2">
        <v>1</v>
      </c>
      <c r="G17" s="2">
        <v>5.9269999999999996</v>
      </c>
      <c r="H17" s="7">
        <v>8.1210000000000004</v>
      </c>
      <c r="I17" s="63">
        <f t="shared" si="46"/>
        <v>8.1210000000000004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2"/>
      <c r="B18" s="2">
        <v>0.5</v>
      </c>
      <c r="C18" s="2">
        <v>1</v>
      </c>
      <c r="D18" s="2">
        <v>0</v>
      </c>
      <c r="E18" s="2">
        <v>2</v>
      </c>
      <c r="F18" s="2">
        <v>1</v>
      </c>
      <c r="G18" s="2">
        <v>6.2949999999999999</v>
      </c>
      <c r="H18" s="7">
        <v>2.6166999999999998</v>
      </c>
      <c r="I18" s="63">
        <f t="shared" si="46"/>
        <v>2.6166999999999998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2"/>
      <c r="B19" s="2">
        <v>0.5</v>
      </c>
      <c r="C19" s="2">
        <v>1</v>
      </c>
      <c r="D19" s="2">
        <v>0</v>
      </c>
      <c r="E19" s="2">
        <v>3</v>
      </c>
      <c r="F19" s="2">
        <v>-1</v>
      </c>
      <c r="G19" s="2">
        <v>6.7869999999999999</v>
      </c>
      <c r="H19" s="7">
        <v>10.946</v>
      </c>
      <c r="I19" s="63">
        <f t="shared" si="46"/>
        <v>10.946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2"/>
      <c r="B24" s="60" t="s">
        <v>245</v>
      </c>
      <c r="C24" s="60" t="s">
        <v>90</v>
      </c>
      <c r="D24" s="60" t="s">
        <v>246</v>
      </c>
      <c r="E24" s="61" t="s">
        <v>247</v>
      </c>
      <c r="F24" s="61" t="s">
        <v>248</v>
      </c>
      <c r="G24" s="61" t="s">
        <v>90</v>
      </c>
      <c r="H24" s="60" t="s">
        <v>249</v>
      </c>
      <c r="I24" s="62" t="s">
        <v>250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2" t="s">
        <v>81</v>
      </c>
      <c r="B25" s="15">
        <v>0.27000000000000002</v>
      </c>
      <c r="C25" s="2">
        <v>0.059999999999999998</v>
      </c>
      <c r="D25" s="29">
        <f t="shared" ref="D25:D35" si="47">SQRT(B25)</f>
        <v>0.51961524227066325</v>
      </c>
      <c r="E25" s="29">
        <f t="shared" ref="E25:E35" si="48">SQRT(F25)</f>
        <v>0.33166247903553997</v>
      </c>
      <c r="F25" s="2">
        <v>0.11</v>
      </c>
      <c r="G25" s="2">
        <v>0.02</v>
      </c>
      <c r="H25" s="15">
        <f t="shared" ref="H25:H33" si="49">F25/B25</f>
        <v>0.40740740740740738</v>
      </c>
      <c r="I25" s="17">
        <v>8.0800000000000001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2" t="s">
        <v>256</v>
      </c>
      <c r="B26" s="15">
        <f>B25-C25</f>
        <v>0.21000000000000002</v>
      </c>
      <c r="C26" s="2" t="s">
        <v>30</v>
      </c>
      <c r="D26" s="29">
        <f t="shared" si="47"/>
        <v>0.45825756949558405</v>
      </c>
      <c r="E26" s="29">
        <f t="shared" si="48"/>
        <v>0.29999999999999999</v>
      </c>
      <c r="F26" s="2">
        <f>F25-G25</f>
        <v>0.089999999999999997</v>
      </c>
      <c r="G26" s="2" t="s">
        <v>30</v>
      </c>
      <c r="H26" s="15">
        <f t="shared" si="49"/>
        <v>0.42857142857142849</v>
      </c>
      <c r="I26" s="17">
        <v>6.4400000000000004</v>
      </c>
      <c r="J26" s="17">
        <f>I25-I26</f>
        <v>1.6399999999999997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2" t="s">
        <v>257</v>
      </c>
      <c r="B27" s="15">
        <f>B25+C25</f>
        <v>0.33000000000000002</v>
      </c>
      <c r="C27" s="2" t="s">
        <v>30</v>
      </c>
      <c r="D27" s="29">
        <f t="shared" si="47"/>
        <v>0.57445626465380284</v>
      </c>
      <c r="E27" s="29">
        <f t="shared" si="48"/>
        <v>0.36055512754639896</v>
      </c>
      <c r="F27" s="2">
        <f>F25+G25</f>
        <v>0.13</v>
      </c>
      <c r="G27" s="2" t="s">
        <v>30</v>
      </c>
      <c r="H27" s="15">
        <f t="shared" si="49"/>
        <v>0.39393939393939392</v>
      </c>
      <c r="I27" s="17">
        <v>9.7200000000000006</v>
      </c>
      <c r="J27" s="17">
        <f>I27-I25</f>
        <v>1.6400000000000006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15" t="s">
        <v>252</v>
      </c>
      <c r="B29" s="29">
        <f t="shared" ref="B29:B35" si="50">F29/H29</f>
        <v>0.12285012285012287</v>
      </c>
      <c r="C29" s="2"/>
      <c r="D29" s="29">
        <f t="shared" si="47"/>
        <v>0.35049981861639085</v>
      </c>
      <c r="E29" s="29">
        <f t="shared" si="48"/>
        <v>0.22360679774997896</v>
      </c>
      <c r="F29" s="2">
        <v>0.050000000000000003</v>
      </c>
      <c r="G29" s="2"/>
      <c r="H29" s="15">
        <v>0.40699999999999997</v>
      </c>
      <c r="I29" s="18">
        <v>3.6699999999999999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2"/>
      <c r="B30" s="29">
        <f t="shared" si="50"/>
        <v>0.49140049140049147</v>
      </c>
      <c r="C30" s="2"/>
      <c r="D30" s="29">
        <f t="shared" si="47"/>
        <v>0.70099963723278169</v>
      </c>
      <c r="E30" s="29">
        <f t="shared" si="48"/>
        <v>0.44721359549995793</v>
      </c>
      <c r="F30" s="2">
        <v>0.20000000000000001</v>
      </c>
      <c r="G30" s="2"/>
      <c r="H30" s="15">
        <v>0.40699999999999997</v>
      </c>
      <c r="I30" s="18">
        <v>14.69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2"/>
      <c r="B31" s="2"/>
      <c r="C31" s="2"/>
      <c r="D31" s="2"/>
      <c r="E31" s="2"/>
      <c r="F31" s="2"/>
      <c r="G31" s="2"/>
      <c r="H31" s="2"/>
      <c r="I31" s="18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2" t="s">
        <v>253</v>
      </c>
      <c r="B32" s="15">
        <v>0.27000000000000002</v>
      </c>
      <c r="C32" s="2"/>
      <c r="D32" s="29">
        <f t="shared" si="47"/>
        <v>0.51961524227066325</v>
      </c>
      <c r="E32" s="29">
        <f t="shared" si="48"/>
        <v>0.22360679774997896</v>
      </c>
      <c r="F32" s="2">
        <v>0.050000000000000003</v>
      </c>
      <c r="G32" s="2"/>
      <c r="H32" s="15">
        <f t="shared" si="49"/>
        <v>0.18518518518518517</v>
      </c>
      <c r="I32" s="18">
        <v>5.9299999999999997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2"/>
      <c r="B33" s="15">
        <v>0.27000000000000002</v>
      </c>
      <c r="C33" s="2"/>
      <c r="D33" s="29">
        <f t="shared" si="47"/>
        <v>0.51961524227066325</v>
      </c>
      <c r="E33" s="29">
        <f t="shared" si="48"/>
        <v>0.44721359549995793</v>
      </c>
      <c r="F33" s="2">
        <v>0.20000000000000001</v>
      </c>
      <c r="G33" s="2"/>
      <c r="H33" s="15">
        <f t="shared" si="49"/>
        <v>0.7407407407407407</v>
      </c>
      <c r="I33" s="18">
        <v>11.300000000000001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2" t="s">
        <v>258</v>
      </c>
      <c r="B35" s="29">
        <f t="shared" si="50"/>
        <v>0.19656019656019658</v>
      </c>
      <c r="C35" s="2"/>
      <c r="D35" s="29">
        <f t="shared" si="47"/>
        <v>0.4433510985214727</v>
      </c>
      <c r="E35" s="29">
        <f t="shared" si="48"/>
        <v>0.28284271247461901</v>
      </c>
      <c r="F35" s="2">
        <v>0.080000000000000002</v>
      </c>
      <c r="G35" s="2"/>
      <c r="H35" s="15">
        <v>0.40699999999999997</v>
      </c>
      <c r="I35" s="18">
        <v>5.8700000000000001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0" gridLines="0"/>
  <pageMargins left="0" right="0" top="0" bottom="0" header="0" footer="0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Base/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>2</cp:revision>
  <dcterms:created xsi:type="dcterms:W3CDTF">2023-03-09T21:59:49Z</dcterms:created>
  <dcterms:modified xsi:type="dcterms:W3CDTF">2023-05-16T12:00:06Z</dcterms:modified>
  <cp:category/>
  <cp:contentStatus/>
</cp:coreProperties>
</file>