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7b80aaa615dca77/Research/analysis_25Al-2H-final/spreadsheets/"/>
    </mc:Choice>
  </mc:AlternateContent>
  <xr:revisionPtr revIDLastSave="228" documentId="11_F25DC773A252ABDACC104887C11B48285BDE58EF" xr6:coauthVersionLast="47" xr6:coauthVersionMax="47" xr10:uidLastSave="{B088AAC5-83BC-40B3-BE74-426262D83813}"/>
  <bookViews>
    <workbookView xWindow="-120" yWindow="-120" windowWidth="20730" windowHeight="11040" activeTab="2" xr2:uid="{00000000-000D-0000-FFFF-FFFF00000000}"/>
  </bookViews>
  <sheets>
    <sheet name="normalization" sheetId="1" r:id="rId1"/>
    <sheet name="cross_section" sheetId="2" r:id="rId2"/>
    <sheet name="res-strength" sheetId="3" r:id="rId3"/>
    <sheet name="branching-ratio" sheetId="4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F2" i="4"/>
  <c r="E2" i="4"/>
  <c r="Q6" i="3"/>
  <c r="N6" i="3"/>
  <c r="K6" i="3"/>
  <c r="J6" i="3"/>
  <c r="B6" i="3"/>
  <c r="S4" i="3"/>
  <c r="S3" i="3"/>
  <c r="S2" i="3"/>
  <c r="P4" i="3"/>
  <c r="P3" i="3"/>
  <c r="P2" i="3"/>
  <c r="M4" i="3"/>
  <c r="M3" i="3"/>
  <c r="M2" i="3"/>
  <c r="J5" i="3"/>
  <c r="J4" i="3"/>
  <c r="J3" i="3"/>
  <c r="J2" i="3"/>
  <c r="G2" i="3"/>
  <c r="G3" i="3"/>
  <c r="G4" i="3"/>
  <c r="N5" i="3"/>
  <c r="K4" i="3"/>
  <c r="N4" i="3" s="1"/>
  <c r="F4" i="3"/>
  <c r="B4" i="3"/>
  <c r="K3" i="3"/>
  <c r="N3" i="3" s="1"/>
  <c r="B3" i="3"/>
  <c r="K2" i="3"/>
  <c r="N2" i="3" s="1"/>
  <c r="F2" i="3"/>
  <c r="B2" i="3"/>
  <c r="O3" i="2"/>
  <c r="O4" i="2"/>
  <c r="O5" i="2"/>
  <c r="O2" i="2"/>
  <c r="N3" i="2"/>
  <c r="N4" i="2"/>
  <c r="N5" i="2"/>
  <c r="N2" i="2"/>
  <c r="M3" i="2"/>
  <c r="M4" i="2"/>
  <c r="M5" i="2"/>
  <c r="M2" i="2"/>
  <c r="J5" i="2"/>
  <c r="J4" i="2"/>
  <c r="J3" i="2"/>
  <c r="J2" i="2"/>
  <c r="L10" i="1"/>
  <c r="K10" i="1"/>
  <c r="J10" i="1"/>
  <c r="H10" i="1"/>
  <c r="G10" i="1"/>
  <c r="D10" i="1"/>
  <c r="B7" i="1"/>
  <c r="C6" i="1"/>
  <c r="C7" i="1" s="1"/>
  <c r="B5" i="1"/>
  <c r="C5" i="1" s="1"/>
  <c r="C3" i="1"/>
  <c r="L6" i="3" l="1"/>
  <c r="M6" i="3" s="1"/>
  <c r="L4" i="3"/>
  <c r="O4" i="3" s="1"/>
  <c r="Q3" i="3"/>
  <c r="L3" i="3"/>
  <c r="O3" i="3" s="1"/>
  <c r="Q4" i="3"/>
  <c r="Q5" i="3"/>
  <c r="Q2" i="3"/>
  <c r="L2" i="3"/>
  <c r="O2" i="3" s="1"/>
  <c r="R6" i="3" l="1"/>
  <c r="S6" i="3" s="1"/>
  <c r="O6" i="3"/>
  <c r="P6" i="3" s="1"/>
  <c r="O5" i="3"/>
  <c r="P5" i="3" s="1"/>
  <c r="M5" i="3"/>
  <c r="R4" i="3"/>
  <c r="R3" i="3"/>
  <c r="R5" i="3"/>
  <c r="S5" i="3" s="1"/>
  <c r="R2" i="3"/>
  <c r="F3" i="2"/>
  <c r="F4" i="2"/>
  <c r="F2" i="2"/>
  <c r="F5" i="2"/>
</calcChain>
</file>

<file path=xl/sharedStrings.xml><?xml version="1.0" encoding="utf-8"?>
<sst xmlns="http://schemas.openxmlformats.org/spreadsheetml/2006/main" count="75" uniqueCount="65">
  <si>
    <t>Exp. Variable</t>
  </si>
  <si>
    <t>Val.</t>
  </si>
  <si>
    <t>Error</t>
  </si>
  <si>
    <t>Units</t>
  </si>
  <si>
    <t>Pervious Val</t>
  </si>
  <si>
    <t>Sp</t>
  </si>
  <si>
    <t>MeV</t>
  </si>
  <si>
    <t>DS Al25 Beam</t>
  </si>
  <si>
    <t>DS factor</t>
  </si>
  <si>
    <t>Total Al25</t>
  </si>
  <si>
    <t>CD2 Thickness</t>
  </si>
  <si>
    <t>g/cm^2</t>
  </si>
  <si>
    <t># 2H in target</t>
  </si>
  <si>
    <t>1/cm^2</t>
  </si>
  <si>
    <t>Sp_error</t>
  </si>
  <si>
    <t>DS_25Al</t>
  </si>
  <si>
    <t>DS_25Al_error</t>
  </si>
  <si>
    <t>Total_25Al</t>
  </si>
  <si>
    <t>DS_factor</t>
  </si>
  <si>
    <t>CD2_thickness</t>
  </si>
  <si>
    <t>total_2H</t>
  </si>
  <si>
    <t>CD2_thickness_error</t>
  </si>
  <si>
    <t>total_2H_error</t>
  </si>
  <si>
    <t>Total_25Al_error</t>
  </si>
  <si>
    <t>DS_factor_error</t>
  </si>
  <si>
    <t>Ex (MeV)</t>
  </si>
  <si>
    <t>Er  (MeV)</t>
  </si>
  <si>
    <t>dEr</t>
  </si>
  <si>
    <t>Jp</t>
  </si>
  <si>
    <t>eta(E)</t>
  </si>
  <si>
    <t>eta error</t>
  </si>
  <si>
    <t>Yield</t>
  </si>
  <si>
    <t>dYield</t>
  </si>
  <si>
    <t>Cross Section (mb)</t>
  </si>
  <si>
    <t>CS Error (syst)</t>
  </si>
  <si>
    <t>CS Error (stat)</t>
  </si>
  <si>
    <t>3+</t>
  </si>
  <si>
    <t>2+</t>
  </si>
  <si>
    <t>3-</t>
  </si>
  <si>
    <t>-</t>
  </si>
  <si>
    <t>Amp</t>
  </si>
  <si>
    <t>SF</t>
  </si>
  <si>
    <t>sp-Width (MeV)</t>
  </si>
  <si>
    <t>sp-Width error</t>
  </si>
  <si>
    <t>g/p error</t>
  </si>
  <si>
    <t>p-Width (MeV)</t>
  </si>
  <si>
    <t>p-Width error</t>
  </si>
  <si>
    <t>g-Width  (MeV)</t>
  </si>
  <si>
    <t>g-Width error</t>
  </si>
  <si>
    <t>res-strength (MeV)</t>
  </si>
  <si>
    <t>res-s error</t>
  </si>
  <si>
    <t>Comment</t>
  </si>
  <si>
    <t>Using Liang's Branching ratio with the correct SF</t>
  </si>
  <si>
    <t>Using Bennett's Branching ratio with the correct SF</t>
  </si>
  <si>
    <t>Incorrect SF</t>
  </si>
  <si>
    <t>g/p ratio</t>
  </si>
  <si>
    <t>C2S_error</t>
  </si>
  <si>
    <t>percent_error</t>
  </si>
  <si>
    <t>Using Liang's Branching ratio with Peplowski's Value</t>
  </si>
  <si>
    <t>Ig</t>
  </si>
  <si>
    <t>Ig_error</t>
  </si>
  <si>
    <t>Ip</t>
  </si>
  <si>
    <t>Ip_error</t>
  </si>
  <si>
    <t>Ig/Ip</t>
  </si>
  <si>
    <t>Ig/Ip_error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</si>
</sst>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1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K9" sqref="K9:L10"/>
    </sheetView>
  </sheetViews>
  <sheetFormatPr defaultRowHeight="15" x14ac:dyDescent="0.25"/>
  <cols>
    <col min="1" max="1" width="13.5703125" style="1" bestFit="1" customWidth="1"/>
    <col min="2" max="2" width="12" style="1" bestFit="1" customWidth="1"/>
    <col min="3" max="3" width="13.85546875" style="1" bestFit="1" customWidth="1"/>
    <col min="4" max="4" width="13.7109375" style="1" bestFit="1" customWidth="1"/>
    <col min="5" max="5" width="12.140625" style="1" bestFit="1" customWidth="1"/>
    <col min="6" max="6" width="15" style="1" bestFit="1" customWidth="1"/>
    <col min="7" max="7" width="12.140625" style="1" customWidth="1"/>
    <col min="8" max="8" width="15.85546875" style="1" bestFit="1" customWidth="1"/>
    <col min="9" max="9" width="13.85546875" style="1" bestFit="1" customWidth="1"/>
    <col min="10" max="10" width="19.42578125" style="1" bestFit="1" customWidth="1"/>
    <col min="11" max="11" width="12" style="1" bestFit="1" customWidth="1"/>
    <col min="12" max="12" width="14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1" t="s">
        <v>5</v>
      </c>
      <c r="B2" s="1">
        <v>5.5140000000000002</v>
      </c>
      <c r="C2" s="1">
        <v>1.1000000000000001E-3</v>
      </c>
      <c r="D2" s="1" t="s">
        <v>6</v>
      </c>
    </row>
    <row r="3" spans="1:12" x14ac:dyDescent="0.25">
      <c r="A3" s="1" t="s">
        <v>7</v>
      </c>
      <c r="B3" s="1">
        <v>1265657</v>
      </c>
      <c r="C3" s="1">
        <f>SQRT(B3)</f>
        <v>1125.0142221323249</v>
      </c>
      <c r="E3" s="1">
        <v>1302170</v>
      </c>
    </row>
    <row r="4" spans="1:12" x14ac:dyDescent="0.25">
      <c r="A4" s="1" t="s">
        <v>8</v>
      </c>
      <c r="B4" s="1">
        <v>1000</v>
      </c>
    </row>
    <row r="5" spans="1:12" x14ac:dyDescent="0.25">
      <c r="A5" s="1" t="s">
        <v>9</v>
      </c>
      <c r="B5" s="1">
        <f>B3*B4</f>
        <v>1265657000</v>
      </c>
      <c r="C5" s="1">
        <f>B5*SQRT( (C3/B3)^2 + (0.5/B4)^2)</f>
        <v>1290786.1598313837</v>
      </c>
    </row>
    <row r="6" spans="1:12" x14ac:dyDescent="0.25">
      <c r="A6" s="1" t="s">
        <v>10</v>
      </c>
      <c r="B6" s="1">
        <v>5.1599999999999997E-4</v>
      </c>
      <c r="C6" s="1">
        <f>B6*0.1</f>
        <v>5.1600000000000001E-5</v>
      </c>
      <c r="D6" s="1" t="s">
        <v>11</v>
      </c>
    </row>
    <row r="7" spans="1:12" x14ac:dyDescent="0.25">
      <c r="A7" s="1" t="s">
        <v>12</v>
      </c>
      <c r="B7" s="1">
        <f>2*(6.022E+23/16.03)*B6</f>
        <v>3.8769207735495942E+19</v>
      </c>
      <c r="C7" s="1">
        <f>SQRT((C6/B6)^2)*B7</f>
        <v>3.8769207735495946E+18</v>
      </c>
      <c r="D7" s="1" t="s">
        <v>13</v>
      </c>
    </row>
    <row r="9" spans="1:12" x14ac:dyDescent="0.25">
      <c r="A9" s="1" t="s">
        <v>5</v>
      </c>
      <c r="B9" s="1" t="s">
        <v>14</v>
      </c>
      <c r="C9" s="1" t="s">
        <v>15</v>
      </c>
      <c r="D9" s="1" t="s">
        <v>16</v>
      </c>
      <c r="E9" s="1" t="s">
        <v>18</v>
      </c>
      <c r="F9" s="1" t="s">
        <v>24</v>
      </c>
      <c r="G9" s="1" t="s">
        <v>17</v>
      </c>
      <c r="H9" s="1" t="s">
        <v>23</v>
      </c>
      <c r="I9" s="1" t="s">
        <v>19</v>
      </c>
      <c r="J9" s="1" t="s">
        <v>21</v>
      </c>
      <c r="K9" s="1" t="s">
        <v>20</v>
      </c>
      <c r="L9" s="1" t="s">
        <v>22</v>
      </c>
    </row>
    <row r="10" spans="1:12" x14ac:dyDescent="0.25">
      <c r="A10" s="1">
        <v>5.5140000000000002</v>
      </c>
      <c r="B10" s="1">
        <v>1.1000000000000001E-3</v>
      </c>
      <c r="C10" s="1">
        <v>1265657</v>
      </c>
      <c r="D10" s="1">
        <f>SQRT(C10)</f>
        <v>1125.0142221323249</v>
      </c>
      <c r="E10" s="1">
        <v>1000</v>
      </c>
      <c r="F10" s="1">
        <v>1</v>
      </c>
      <c r="G10" s="1">
        <f>C10*E10</f>
        <v>1265657000</v>
      </c>
      <c r="H10" s="1">
        <f>G10*SQRT((D10/C10)^2 + (F10/E10)^2)</f>
        <v>1693382.6034446557</v>
      </c>
      <c r="I10" s="1">
        <v>5.1599999999999997E-4</v>
      </c>
      <c r="J10" s="1">
        <f>I10*0.1</f>
        <v>5.1600000000000001E-5</v>
      </c>
      <c r="K10" s="1">
        <f>2*(6.022E+23/16.03)*I10</f>
        <v>3.8769207735495942E+19</v>
      </c>
      <c r="L10" s="1">
        <f>K10*J10/I10</f>
        <v>3.8769207735495946E+18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5389-A38A-4094-888F-22019A9B9288}">
  <dimension ref="A1:O5"/>
  <sheetViews>
    <sheetView workbookViewId="0">
      <selection activeCell="G14" sqref="G14"/>
    </sheetView>
  </sheetViews>
  <sheetFormatPr defaultColWidth="6.85546875" defaultRowHeight="15" x14ac:dyDescent="0.25"/>
  <cols>
    <col min="1" max="1" width="12" style="2" bestFit="1" customWidth="1"/>
    <col min="2" max="2" width="14" style="2" bestFit="1" customWidth="1"/>
    <col min="3" max="3" width="11" style="2" bestFit="1" customWidth="1"/>
    <col min="4" max="4" width="15.85546875" style="2" bestFit="1" customWidth="1"/>
    <col min="5" max="5" width="9" style="2" bestFit="1" customWidth="1"/>
    <col min="6" max="6" width="9.140625" style="2" bestFit="1" customWidth="1"/>
    <col min="7" max="7" width="11.5703125" style="2" bestFit="1" customWidth="1"/>
    <col min="8" max="8" width="5.28515625" style="2" customWidth="1"/>
    <col min="9" max="9" width="8.42578125" style="2" customWidth="1"/>
    <col min="10" max="10" width="13.42578125" style="2" customWidth="1"/>
    <col min="11" max="11" width="8" style="2" bestFit="1" customWidth="1"/>
    <col min="12" max="12" width="12" style="2" bestFit="1" customWidth="1"/>
    <col min="13" max="13" width="17.7109375" style="2" bestFit="1" customWidth="1"/>
    <col min="14" max="14" width="13.28515625" style="2" bestFit="1" customWidth="1"/>
    <col min="15" max="15" width="13.140625" style="2" bestFit="1" customWidth="1"/>
    <col min="16" max="16384" width="6.85546875" style="2"/>
  </cols>
  <sheetData>
    <row r="1" spans="1:15" x14ac:dyDescent="0.25">
      <c r="A1" s="2" t="s">
        <v>20</v>
      </c>
      <c r="B1" s="2" t="s">
        <v>22</v>
      </c>
      <c r="C1" s="1" t="s">
        <v>17</v>
      </c>
      <c r="D1" s="1" t="s">
        <v>23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</row>
    <row r="2" spans="1:15" x14ac:dyDescent="0.25">
      <c r="A2" s="2">
        <v>3.8769207735495942E+19</v>
      </c>
      <c r="B2" s="2">
        <v>3.8769207735495946E+18</v>
      </c>
      <c r="C2" s="1">
        <v>1265657000</v>
      </c>
      <c r="D2" s="1">
        <v>1693382.6034446557</v>
      </c>
      <c r="E2" s="3">
        <v>5.9226000000000001</v>
      </c>
      <c r="F2" s="3">
        <f t="shared" ref="F2:F5" ca="1" si="0">E2-$F$2</f>
        <v>0.40859999999999985</v>
      </c>
      <c r="G2" s="3">
        <v>6.3957299999999996E-3</v>
      </c>
      <c r="H2" s="2" t="s">
        <v>36</v>
      </c>
      <c r="I2" s="2">
        <v>0.45900000000000002</v>
      </c>
      <c r="J2" s="4">
        <f>I2*0.09</f>
        <v>4.1309999999999999E-2</v>
      </c>
      <c r="K2" s="5">
        <v>131.357</v>
      </c>
      <c r="L2" s="5">
        <v>11.4611</v>
      </c>
      <c r="M2" s="5">
        <f>(K2/(I2*C2*A2))*10^27</f>
        <v>5.8322695042697656</v>
      </c>
      <c r="N2" s="5">
        <f>M2*SQRT( (B2/A2)^2 +  (J2/I2)^2)</f>
        <v>0.784651612516584</v>
      </c>
      <c r="O2" s="5">
        <f>SQRT( (L2/K2)^2 + (D2/C2)^2 )</f>
        <v>8.7261793579853891E-2</v>
      </c>
    </row>
    <row r="3" spans="1:15" x14ac:dyDescent="0.25">
      <c r="A3" s="2">
        <v>3.8769207735495942E+19</v>
      </c>
      <c r="B3" s="2">
        <v>3.8769207735495946E+18</v>
      </c>
      <c r="C3" s="1">
        <v>1265657000</v>
      </c>
      <c r="D3" s="1">
        <v>1693382.6034446557</v>
      </c>
      <c r="E3" s="3">
        <v>6.3253500000000003</v>
      </c>
      <c r="F3" s="3">
        <f t="shared" ca="1" si="0"/>
        <v>0.81135000000000002</v>
      </c>
      <c r="G3" s="3">
        <v>6.3957299999999996E-3</v>
      </c>
      <c r="H3" s="2" t="s">
        <v>37</v>
      </c>
      <c r="I3" s="2">
        <v>0.26800000000000002</v>
      </c>
      <c r="J3" s="4">
        <f t="shared" ref="J3:J5" si="1">I3*0.1</f>
        <v>2.6800000000000004E-2</v>
      </c>
      <c r="K3" s="5">
        <v>131.71899999999999</v>
      </c>
      <c r="L3" s="5">
        <v>11.476900000000001</v>
      </c>
      <c r="M3" s="5">
        <f t="shared" ref="M3:M5" si="2">(K3/(I3*C3*A3))*10^27</f>
        <v>10.016377392983202</v>
      </c>
      <c r="N3" s="5">
        <f t="shared" ref="N3:N5" si="3">M3*SQRT( (B3/A3)^2 +  (J3/I3)^2)</f>
        <v>1.4165296755004111</v>
      </c>
      <c r="O3" s="5">
        <f t="shared" ref="O3:O5" si="4">SQRT( (L3/K3)^2 + (D3/C3)^2 )</f>
        <v>8.7141968817323931E-2</v>
      </c>
    </row>
    <row r="4" spans="1:15" x14ac:dyDescent="0.25">
      <c r="A4" s="2">
        <v>3.8769207735495942E+19</v>
      </c>
      <c r="B4" s="2">
        <v>3.8769207735495946E+18</v>
      </c>
      <c r="C4" s="1">
        <v>1265657000</v>
      </c>
      <c r="D4" s="1">
        <v>1693382.6034446557</v>
      </c>
      <c r="E4" s="3">
        <v>6.6989999999999998</v>
      </c>
      <c r="F4" s="3">
        <f t="shared" ca="1" si="0"/>
        <v>1.1849999999999996</v>
      </c>
      <c r="G4" s="3">
        <v>6.3957299999999996E-3</v>
      </c>
      <c r="H4" s="2" t="s">
        <v>38</v>
      </c>
      <c r="I4" s="2">
        <v>0.19600000000000001</v>
      </c>
      <c r="J4" s="4">
        <f t="shared" si="1"/>
        <v>1.9600000000000003E-2</v>
      </c>
      <c r="K4" s="5">
        <v>289.65499999999997</v>
      </c>
      <c r="L4" s="5">
        <v>17.019200000000001</v>
      </c>
      <c r="M4" s="5">
        <f t="shared" si="2"/>
        <v>30.11771412926262</v>
      </c>
      <c r="N4" s="5">
        <f t="shared" si="3"/>
        <v>4.2592879789278992</v>
      </c>
      <c r="O4" s="5">
        <f t="shared" si="4"/>
        <v>5.8772028065783945E-2</v>
      </c>
    </row>
    <row r="5" spans="1:15" x14ac:dyDescent="0.25">
      <c r="A5" s="2">
        <v>3.8769207735495942E+19</v>
      </c>
      <c r="B5" s="2">
        <v>3.8769207735495946E+18</v>
      </c>
      <c r="C5" s="1">
        <v>1265657000</v>
      </c>
      <c r="D5" s="1">
        <v>1693382.6034446557</v>
      </c>
      <c r="E5" s="3">
        <v>7.3490200000000003</v>
      </c>
      <c r="F5" s="3">
        <f t="shared" ca="1" si="0"/>
        <v>1.8350200000000001</v>
      </c>
      <c r="G5" s="3">
        <v>6.3957299999999996E-3</v>
      </c>
      <c r="H5" s="2" t="s">
        <v>39</v>
      </c>
      <c r="I5" s="2">
        <v>0.17599999999999999</v>
      </c>
      <c r="J5" s="4">
        <f t="shared" si="1"/>
        <v>1.7600000000000001E-2</v>
      </c>
      <c r="K5" s="5">
        <v>127.288</v>
      </c>
      <c r="L5" s="5">
        <v>11.2822</v>
      </c>
      <c r="M5" s="5">
        <f t="shared" si="2"/>
        <v>14.739129796120576</v>
      </c>
      <c r="N5" s="5">
        <f t="shared" si="3"/>
        <v>2.0844277255251114</v>
      </c>
      <c r="O5" s="5">
        <f t="shared" si="4"/>
        <v>8.8645318490992636E-2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FF46-E418-4DE0-865A-6DFC4F471038}">
  <dimension ref="A1:S13"/>
  <sheetViews>
    <sheetView tabSelected="1" zoomScaleNormal="100" workbookViewId="0">
      <selection activeCell="F7" sqref="F7"/>
    </sheetView>
  </sheetViews>
  <sheetFormatPr defaultRowHeight="15" x14ac:dyDescent="0.25"/>
  <cols>
    <col min="1" max="1" width="26.42578125" style="8" bestFit="1" customWidth="1"/>
    <col min="2" max="2" width="12.28515625" bestFit="1" customWidth="1"/>
    <col min="3" max="3" width="6.140625" bestFit="1" customWidth="1"/>
    <col min="4" max="4" width="9.5703125" bestFit="1" customWidth="1"/>
    <col min="5" max="5" width="15.5703125" bestFit="1" customWidth="1"/>
    <col min="6" max="6" width="14.5703125" bestFit="1" customWidth="1"/>
    <col min="7" max="7" width="13.5703125" bestFit="1" customWidth="1"/>
    <col min="8" max="9" width="9" bestFit="1" customWidth="1"/>
    <col min="10" max="10" width="13.5703125" bestFit="1" customWidth="1"/>
    <col min="11" max="11" width="14.5703125" bestFit="1" customWidth="1"/>
    <col min="12" max="13" width="13.5703125" bestFit="1" customWidth="1"/>
    <col min="14" max="14" width="15" bestFit="1" customWidth="1"/>
    <col min="15" max="15" width="13.42578125" bestFit="1" customWidth="1"/>
    <col min="16" max="16" width="13.5703125" bestFit="1" customWidth="1"/>
    <col min="17" max="17" width="18.42578125" bestFit="1" customWidth="1"/>
    <col min="18" max="18" width="12.28515625" bestFit="1" customWidth="1"/>
    <col min="19" max="19" width="13.5703125" bestFit="1" customWidth="1"/>
  </cols>
  <sheetData>
    <row r="1" spans="1:19" x14ac:dyDescent="0.25">
      <c r="A1" s="7" t="s">
        <v>51</v>
      </c>
      <c r="B1" s="2" t="s">
        <v>40</v>
      </c>
      <c r="C1" s="2" t="s">
        <v>41</v>
      </c>
      <c r="D1" s="2" t="s">
        <v>56</v>
      </c>
      <c r="E1" s="2" t="s">
        <v>42</v>
      </c>
      <c r="F1" s="2" t="s">
        <v>43</v>
      </c>
      <c r="G1" s="2" t="s">
        <v>57</v>
      </c>
      <c r="H1" s="2" t="s">
        <v>55</v>
      </c>
      <c r="I1" s="2" t="s">
        <v>44</v>
      </c>
      <c r="J1" s="2" t="s">
        <v>57</v>
      </c>
      <c r="K1" s="2" t="s">
        <v>45</v>
      </c>
      <c r="L1" s="2" t="s">
        <v>46</v>
      </c>
      <c r="M1" s="2" t="s">
        <v>57</v>
      </c>
      <c r="N1" s="2" t="s">
        <v>47</v>
      </c>
      <c r="O1" s="2" t="s">
        <v>48</v>
      </c>
      <c r="P1" s="2" t="s">
        <v>57</v>
      </c>
      <c r="Q1" s="2" t="s">
        <v>49</v>
      </c>
      <c r="R1" s="2" t="s">
        <v>50</v>
      </c>
      <c r="S1" s="2" t="s">
        <v>57</v>
      </c>
    </row>
    <row r="2" spans="1:19" x14ac:dyDescent="0.25">
      <c r="A2" s="8" t="s">
        <v>54</v>
      </c>
      <c r="B2" s="2">
        <f t="shared" ref="B2:B4" si="0">SQRT(C2)</f>
        <v>0.38078865529319539</v>
      </c>
      <c r="C2" s="2">
        <v>0.14499999999999999</v>
      </c>
      <c r="D2" s="2">
        <v>0.03</v>
      </c>
      <c r="E2" s="2">
        <v>2.7970000000000002E-5</v>
      </c>
      <c r="F2" s="2">
        <f>E2*0.15</f>
        <v>4.1954999999999999E-6</v>
      </c>
      <c r="G2" s="9">
        <f t="shared" ref="G2:G4" si="1">F2/E2</f>
        <v>0.15</v>
      </c>
      <c r="H2" s="2">
        <v>1.4E-2</v>
      </c>
      <c r="I2" s="2">
        <v>8.0000000000000002E-3</v>
      </c>
      <c r="J2" s="9">
        <f t="shared" ref="J2:J4" si="2">I2/H2</f>
        <v>0.5714285714285714</v>
      </c>
      <c r="K2" s="2">
        <f>C2*E2</f>
        <v>4.0556499999999999E-6</v>
      </c>
      <c r="L2" s="2">
        <f>K2*SQRT((D2/C2)^2 + (F2/E2)^2)</f>
        <v>1.0364243777315592E-6</v>
      </c>
      <c r="M2" s="9">
        <f t="shared" ref="M2:M4" si="3">L2/K2</f>
        <v>0.25555074469728878</v>
      </c>
      <c r="N2" s="2">
        <f t="shared" ref="N2:N4" si="4">K2*H2</f>
        <v>5.6779100000000001E-8</v>
      </c>
      <c r="O2" s="2">
        <f t="shared" ref="O2:O4" si="5">N2*SQRT((I2/H2)^2 + (L2/K2)^2)</f>
        <v>3.5541938596933971E-8</v>
      </c>
      <c r="P2" s="9">
        <f t="shared" ref="P2:P4" si="6">O2/N2</f>
        <v>0.62596868560674568</v>
      </c>
      <c r="Q2" s="2">
        <f t="shared" ref="Q2:Q4" si="7">(2*3+1)/((2*0.5+1)*(2*5/2+1)) * K2/(1/H2+1)</f>
        <v>3.2663847797501645E-8</v>
      </c>
      <c r="R2" s="2">
        <f t="shared" ref="R2:R4" si="8">Q2*SQRT((L2/K2)^2 + (I2/(1/H2+1))^2)</f>
        <v>8.3472714090174738E-9</v>
      </c>
      <c r="S2" s="9">
        <f t="shared" ref="S2:S4" si="9">R2/Q2</f>
        <v>0.25555076856731895</v>
      </c>
    </row>
    <row r="3" spans="1:19" x14ac:dyDescent="0.25">
      <c r="A3" s="8" t="s">
        <v>54</v>
      </c>
      <c r="B3" s="2">
        <f t="shared" si="0"/>
        <v>0.3872983346207417</v>
      </c>
      <c r="C3" s="2">
        <v>0.15</v>
      </c>
      <c r="D3" s="2">
        <v>0.02</v>
      </c>
      <c r="E3" s="2">
        <v>2.7455000000000001E-5</v>
      </c>
      <c r="F3" s="2">
        <v>5.2104999999999997E-7</v>
      </c>
      <c r="G3" s="9">
        <f t="shared" si="1"/>
        <v>1.8978328173374612E-2</v>
      </c>
      <c r="H3" s="2">
        <v>1.7999999999999999E-2</v>
      </c>
      <c r="I3" s="2">
        <v>5.0000000000000001E-3</v>
      </c>
      <c r="J3" s="9">
        <f t="shared" si="2"/>
        <v>0.27777777777777779</v>
      </c>
      <c r="K3" s="2">
        <f>C3*E3</f>
        <v>4.1182499999999999E-6</v>
      </c>
      <c r="L3" s="2">
        <f>K3*SQRT((D3/C3)^2 + (F3/E3)^2)</f>
        <v>5.546344785588523E-7</v>
      </c>
      <c r="M3" s="9">
        <f t="shared" si="3"/>
        <v>0.13467722419932066</v>
      </c>
      <c r="N3" s="2">
        <f t="shared" si="4"/>
        <v>7.4128499999999988E-8</v>
      </c>
      <c r="O3" s="2">
        <f t="shared" si="5"/>
        <v>2.2883799153980634E-8</v>
      </c>
      <c r="P3" s="9">
        <f t="shared" si="6"/>
        <v>0.30870446797089701</v>
      </c>
      <c r="Q3" s="2">
        <f t="shared" si="7"/>
        <v>4.2477038310412577E-8</v>
      </c>
      <c r="R3" s="2">
        <f t="shared" si="8"/>
        <v>5.7206908444469863E-9</v>
      </c>
      <c r="S3" s="9">
        <f t="shared" si="9"/>
        <v>0.13467725321717283</v>
      </c>
    </row>
    <row r="4" spans="1:19" ht="30" x14ac:dyDescent="0.25">
      <c r="A4" s="8" t="s">
        <v>53</v>
      </c>
      <c r="B4" s="2">
        <f t="shared" si="0"/>
        <v>0.28284271247461901</v>
      </c>
      <c r="C4" s="2">
        <v>0.08</v>
      </c>
      <c r="D4" s="2">
        <v>0.02</v>
      </c>
      <c r="E4" s="2">
        <v>2.758E-5</v>
      </c>
      <c r="F4" s="2">
        <f>0.000005</f>
        <v>5.0000000000000004E-6</v>
      </c>
      <c r="G4" s="9">
        <f t="shared" si="1"/>
        <v>0.18129079042784627</v>
      </c>
      <c r="H4" s="2">
        <v>1.4E-2</v>
      </c>
      <c r="I4" s="2">
        <v>8.0000000000000002E-3</v>
      </c>
      <c r="J4" s="9">
        <f t="shared" si="2"/>
        <v>0.5714285714285714</v>
      </c>
      <c r="K4" s="2">
        <f>C4*E4</f>
        <v>2.2064000000000002E-6</v>
      </c>
      <c r="L4" s="2">
        <f>K4*SQRT((D4/C4)^2 + (F4/E4)^2)</f>
        <v>6.8136815305677454E-7</v>
      </c>
      <c r="M4" s="9">
        <f t="shared" si="3"/>
        <v>0.30881442760006095</v>
      </c>
      <c r="N4" s="2">
        <f t="shared" si="4"/>
        <v>3.0889600000000005E-8</v>
      </c>
      <c r="O4" s="2">
        <f t="shared" si="5"/>
        <v>2.0063905980640959E-8</v>
      </c>
      <c r="P4" s="9">
        <f t="shared" si="6"/>
        <v>0.64953595969649836</v>
      </c>
      <c r="Q4" s="2">
        <f t="shared" si="7"/>
        <v>1.7770151216305065E-8</v>
      </c>
      <c r="R4" s="2">
        <f t="shared" si="8"/>
        <v>5.4876794272431526E-9</v>
      </c>
      <c r="S4" s="9">
        <f t="shared" si="9"/>
        <v>0.30881444735303731</v>
      </c>
    </row>
    <row r="5" spans="1:19" ht="30" x14ac:dyDescent="0.25">
      <c r="A5" s="8" t="s">
        <v>58</v>
      </c>
      <c r="B5" s="2"/>
      <c r="C5" s="2"/>
      <c r="D5" s="2"/>
      <c r="E5" s="2"/>
      <c r="F5" s="2"/>
      <c r="G5" s="9"/>
      <c r="H5" s="2">
        <v>2.07E-2</v>
      </c>
      <c r="I5" s="2">
        <v>7.5399999999999998E-3</v>
      </c>
      <c r="J5" s="9">
        <f>I5/H5</f>
        <v>0.36425120772946862</v>
      </c>
      <c r="K5" s="10">
        <v>2.9000000000000002E-6</v>
      </c>
      <c r="L5" s="10">
        <v>9.9999999999999995E-7</v>
      </c>
      <c r="M5" s="9">
        <f>L5/K5</f>
        <v>0.34482758620689652</v>
      </c>
      <c r="N5" s="2">
        <f t="shared" ref="N5" si="10">K5*H5</f>
        <v>6.0030000000000002E-8</v>
      </c>
      <c r="O5" s="2">
        <f t="shared" ref="O5" si="11">N5*SQRT((I5/H5)^2 + (L5/K5)^2)</f>
        <v>3.0109997608767759E-8</v>
      </c>
      <c r="P5" s="9">
        <f>O5/N5</f>
        <v>0.50158250222834844</v>
      </c>
      <c r="Q5" s="2">
        <f t="shared" ref="Q5" si="12">(2*3+1)/((2*0.5+1)*(2*5/2+1)) * K5/(1/H5+1)</f>
        <v>3.4307338101303029E-8</v>
      </c>
      <c r="R5" s="2">
        <f t="shared" ref="R5" si="13">Q5*SQRT((L5/K5)^2 + (I5/(1/H5+1))^2)</f>
        <v>1.1830117749823441E-8</v>
      </c>
      <c r="S5" s="9">
        <f>R5/Q5</f>
        <v>0.34482762011122398</v>
      </c>
    </row>
    <row r="6" spans="1:19" ht="30" x14ac:dyDescent="0.25">
      <c r="A6" s="8" t="s">
        <v>52</v>
      </c>
      <c r="B6" s="2">
        <f t="shared" ref="B6" si="14">SQRT(C6)</f>
        <v>0.28284271247461901</v>
      </c>
      <c r="C6" s="2">
        <v>0.08</v>
      </c>
      <c r="D6" s="2">
        <v>0.02</v>
      </c>
      <c r="E6" s="2">
        <v>2.758E-5</v>
      </c>
      <c r="F6" s="2">
        <f>E6*0.05</f>
        <v>1.3790000000000001E-6</v>
      </c>
      <c r="G6" s="9">
        <f>F6/E6</f>
        <v>0.05</v>
      </c>
      <c r="H6" s="2">
        <v>2.07E-2</v>
      </c>
      <c r="I6" s="2">
        <v>7.5399999999999998E-3</v>
      </c>
      <c r="J6" s="9">
        <f>I6/H6</f>
        <v>0.36425120772946862</v>
      </c>
      <c r="K6" s="2">
        <f>C6*E6</f>
        <v>2.2064000000000002E-6</v>
      </c>
      <c r="L6" s="2">
        <f>K6*SQRT((D6/C6)^2 + (F6/E6)^2)</f>
        <v>5.6252383273955607E-7</v>
      </c>
      <c r="M6" s="9">
        <f>L6/K6</f>
        <v>0.25495097567963926</v>
      </c>
      <c r="N6" s="2">
        <f t="shared" ref="N6" si="15">K6*H6</f>
        <v>4.5672480000000001E-8</v>
      </c>
      <c r="O6" s="2">
        <f t="shared" ref="O6" si="16">N6*SQRT((I6/H6)^2 + (L6/K6)^2)</f>
        <v>2.0306487057226614E-8</v>
      </c>
      <c r="P6" s="9">
        <f>O6/N6</f>
        <v>0.44461100113737229</v>
      </c>
      <c r="Q6" s="2">
        <f t="shared" ref="Q6" si="17">(2*3+1)/((2*0.5+1)*(2*5/2+1)) * K6/(1/H6+1)</f>
        <v>2.6101969236798282E-8</v>
      </c>
      <c r="R6" s="2">
        <f t="shared" ref="R6" si="18">Q6*SQRT((L6/K6)^2 + (I6/(1/H6+1))^2)</f>
        <v>6.6547237210253234E-9</v>
      </c>
      <c r="S6" s="9">
        <f>R6/Q6</f>
        <v>0.25495102153609023</v>
      </c>
    </row>
    <row r="10" spans="1:19" x14ac:dyDescent="0.25">
      <c r="H10" s="2"/>
      <c r="I10" s="2"/>
      <c r="J10" s="2"/>
      <c r="K10" s="2"/>
      <c r="L10" s="2"/>
      <c r="M10" s="2"/>
    </row>
    <row r="11" spans="1:19" x14ac:dyDescent="0.25">
      <c r="H11" s="2"/>
      <c r="I11" s="2"/>
      <c r="J11" s="2"/>
      <c r="K11" s="2"/>
      <c r="L11" s="3"/>
      <c r="M11" s="3"/>
    </row>
    <row r="12" spans="1:19" x14ac:dyDescent="0.25">
      <c r="H12" s="2"/>
      <c r="I12" s="2"/>
      <c r="J12" s="2"/>
      <c r="K12" s="2"/>
      <c r="L12" s="2"/>
      <c r="M12" s="2"/>
    </row>
    <row r="13" spans="1:19" x14ac:dyDescent="0.25">
      <c r="I1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3F36-312B-4742-B3B1-60013EC4D47F}">
  <dimension ref="A1:F3"/>
  <sheetViews>
    <sheetView workbookViewId="0">
      <selection activeCell="H10" sqref="H10"/>
    </sheetView>
  </sheetViews>
  <sheetFormatPr defaultRowHeight="15" x14ac:dyDescent="0.25"/>
  <cols>
    <col min="6" max="6" width="10.5703125" bestFit="1" customWidth="1"/>
  </cols>
  <sheetData>
    <row r="1" spans="1:6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x14ac:dyDescent="0.25">
      <c r="A2" s="2">
        <v>0.23</v>
      </c>
      <c r="B2" s="2">
        <v>0.08</v>
      </c>
      <c r="C2" s="2">
        <v>11.1</v>
      </c>
      <c r="D2" s="2">
        <v>1.2</v>
      </c>
      <c r="E2" s="3">
        <f>A2/C2</f>
        <v>2.0720720720720721E-2</v>
      </c>
      <c r="F2" s="3">
        <f>E2*SQRT((D2/C2)^2+(B2/A2)^2)</f>
        <v>7.5473031472352067E-3</v>
      </c>
    </row>
    <row r="3" spans="1:6" x14ac:dyDescent="0.25">
      <c r="A3" s="2"/>
      <c r="B3" s="2"/>
      <c r="C3" s="2"/>
      <c r="D3" s="2"/>
      <c r="E3" s="2">
        <v>2.0799999999999999E-2</v>
      </c>
      <c r="F3" s="2">
        <v>1.26E-2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normalization</vt:lpstr>
      <vt:lpstr>cross_section</vt:lpstr>
      <vt:lpstr>res-strength</vt:lpstr>
      <vt:lpstr>branching-ratio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Temanson</dc:creator>
  <cp:lastModifiedBy>eli temanson</cp:lastModifiedBy>
  <dcterms:created xsi:type="dcterms:W3CDTF">2015-06-05T18:17:20Z</dcterms:created>
  <dcterms:modified xsi:type="dcterms:W3CDTF">2023-03-14T17:04:41Z</dcterms:modified>
</cp:coreProperties>
</file>