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  <sheet name="review" sheetId="3" state="visible" r:id="rId3"/>
    <sheet name="calc" sheetId="4" state="visible" r:id="rId4"/>
    <sheet name="Nucracker" sheetId="5" state="visible" r:id="rId5"/>
    <sheet name="Optical Model" sheetId="6" state="visible" r:id="rId6"/>
    <sheet name="Single Particle" sheetId="7" state="visible" r:id="rId7"/>
    <sheet name="Fresco_3p" sheetId="8" state="visible" r:id="rId8"/>
  </sheets>
  <calcPr/>
</workbook>
</file>

<file path=xl/sharedStrings.xml><?xml version="1.0" encoding="utf-8"?>
<sst xmlns="http://schemas.openxmlformats.org/spreadsheetml/2006/main" count="255" uniqueCount="255">
  <si>
    <t xml:space="preserve">Exp. Variable</t>
  </si>
  <si>
    <t>Val.</t>
  </si>
  <si>
    <t>Error</t>
  </si>
  <si>
    <t>Units</t>
  </si>
  <si>
    <t xml:space="preserve">Pervious Val</t>
  </si>
  <si>
    <t xml:space="preserve">Eff. Sim N</t>
  </si>
  <si>
    <t>Sp</t>
  </si>
  <si>
    <t>MeV</t>
  </si>
  <si>
    <t xml:space="preserve">Eff. Sim Err</t>
  </si>
  <si>
    <t xml:space="preserve">DS Al25 Beam</t>
  </si>
  <si>
    <t xml:space="preserve">DS factor</t>
  </si>
  <si>
    <t xml:space="preserve">Total Al25</t>
  </si>
  <si>
    <t xml:space="preserve">CD2 Thickness</t>
  </si>
  <si>
    <t>g/cm^2</t>
  </si>
  <si>
    <t xml:space="preserve"># 2H in target</t>
  </si>
  <si>
    <t>1/cm^2</t>
  </si>
  <si>
    <t xml:space="preserve">Ex (MeV)</t>
  </si>
  <si>
    <t xml:space="preserve">Er  (MeV)</t>
  </si>
  <si>
    <t>dEr</t>
  </si>
  <si>
    <t>Jp</t>
  </si>
  <si>
    <t>eta(E)</t>
  </si>
  <si>
    <t xml:space="preserve">eta error</t>
  </si>
  <si>
    <t>Yield</t>
  </si>
  <si>
    <t>dYield</t>
  </si>
  <si>
    <t xml:space="preserve">Cross Section (mb)</t>
  </si>
  <si>
    <t xml:space="preserve">CS Error (syst)</t>
  </si>
  <si>
    <t xml:space="preserve">CS Error (stat)</t>
  </si>
  <si>
    <t>3+</t>
  </si>
  <si>
    <t>2+</t>
  </si>
  <si>
    <t>3-</t>
  </si>
  <si>
    <t>-</t>
  </si>
  <si>
    <t xml:space="preserve">* changed from 15% to 9%</t>
  </si>
  <si>
    <t>Amp</t>
  </si>
  <si>
    <t>SF</t>
  </si>
  <si>
    <t xml:space="preserve">C2S Uncertainty</t>
  </si>
  <si>
    <t xml:space="preserve">sp-Width (MeV)</t>
  </si>
  <si>
    <t xml:space="preserve">sp-Width error</t>
  </si>
  <si>
    <t xml:space="preserve">g/p width ratio</t>
  </si>
  <si>
    <t xml:space="preserve">g/p error</t>
  </si>
  <si>
    <t xml:space="preserve">p-Width (MeV)</t>
  </si>
  <si>
    <t xml:space="preserve">p-Width error</t>
  </si>
  <si>
    <t xml:space="preserve">g-Width  (MeV)</t>
  </si>
  <si>
    <t xml:space="preserve">g-Width error</t>
  </si>
  <si>
    <t xml:space="preserve">res-strength (MeV)</t>
  </si>
  <si>
    <t xml:space="preserve">res-s error</t>
  </si>
  <si>
    <t>Bennett</t>
  </si>
  <si>
    <t>Liang</t>
  </si>
  <si>
    <t>Perrello</t>
  </si>
  <si>
    <t xml:space="preserve">pep </t>
  </si>
  <si>
    <t>et</t>
  </si>
  <si>
    <t xml:space="preserve">A. Matic</t>
  </si>
  <si>
    <t xml:space="preserve">C2S (d,p)</t>
  </si>
  <si>
    <t xml:space="preserve">C2S (4He,3He)</t>
  </si>
  <si>
    <t xml:space="preserve">Shell model</t>
  </si>
  <si>
    <t xml:space="preserve">26Mg Ex</t>
  </si>
  <si>
    <t xml:space="preserve">Mirror 26Si Ex</t>
  </si>
  <si>
    <t xml:space="preserve">L transfer</t>
  </si>
  <si>
    <t xml:space="preserve">M. Burlein 1984</t>
  </si>
  <si>
    <t xml:space="preserve">H.F. Arciszewski 1984</t>
  </si>
  <si>
    <t xml:space="preserve">M. Yasue 1990</t>
  </si>
  <si>
    <t xml:space="preserve">Hamill 2021</t>
  </si>
  <si>
    <t xml:space="preserve">W.A. Richter 2012</t>
  </si>
  <si>
    <t xml:space="preserve">Peplowski 2009</t>
  </si>
  <si>
    <t xml:space="preserve">This work</t>
  </si>
  <si>
    <t>Ref.</t>
  </si>
  <si>
    <t>Ex</t>
  </si>
  <si>
    <t>Er</t>
  </si>
  <si>
    <t>C2S</t>
  </si>
  <si>
    <t>Gamma_sp</t>
  </si>
  <si>
    <t>Gamma_p</t>
  </si>
  <si>
    <t>Gamma_g</t>
  </si>
  <si>
    <t>Strength</t>
  </si>
  <si>
    <t>1+</t>
  </si>
  <si>
    <t>Peplowski</t>
  </si>
  <si>
    <t>Bardayan</t>
  </si>
  <si>
    <t>Wrede</t>
  </si>
  <si>
    <t>0+</t>
  </si>
  <si>
    <t>Hamill</t>
  </si>
  <si>
    <t xml:space="preserve">C2S l=0/l=2</t>
  </si>
  <si>
    <t>M(26Si)</t>
  </si>
  <si>
    <t>M(25Al)</t>
  </si>
  <si>
    <t>(4+,0+)</t>
  </si>
  <si>
    <t>mp</t>
  </si>
  <si>
    <t>Ratio</t>
  </si>
  <si>
    <t>l=2</t>
  </si>
  <si>
    <t>l=0</t>
  </si>
  <si>
    <t>error</t>
  </si>
  <si>
    <t xml:space="preserve">Previous Yield</t>
  </si>
  <si>
    <t>peak</t>
  </si>
  <si>
    <t>peak-error</t>
  </si>
  <si>
    <t>FWHM</t>
  </si>
  <si>
    <t>integral</t>
  </si>
  <si>
    <t>integral-error</t>
  </si>
  <si>
    <t xml:space="preserve"> peak-error</t>
  </si>
  <si>
    <t xml:space="preserve"> FWHM</t>
  </si>
  <si>
    <t xml:space="preserve"> integral</t>
  </si>
  <si>
    <t xml:space="preserve"> integral-error </t>
  </si>
  <si>
    <t>eta</t>
  </si>
  <si>
    <t xml:space="preserve"> integral-error</t>
  </si>
  <si>
    <t>max</t>
  </si>
  <si>
    <t>min</t>
  </si>
  <si>
    <t>avg</t>
  </si>
  <si>
    <t xml:space="preserve">Mass (micro-u)</t>
  </si>
  <si>
    <t xml:space="preserve">Mass (MeV)</t>
  </si>
  <si>
    <t xml:space="preserve">Ex Energy</t>
  </si>
  <si>
    <t xml:space="preserve">Central Potential Depth</t>
  </si>
  <si>
    <t xml:space="preserve">Width_SP (MeV)</t>
  </si>
  <si>
    <t xml:space="preserve">Width_SP (eV)</t>
  </si>
  <si>
    <t>Al25</t>
  </si>
  <si>
    <t xml:space="preserve">1 1/2 E= 0.4138 gamma= 1.24336e-05 [MeV]</t>
  </si>
  <si>
    <t>2H</t>
  </si>
  <si>
    <t xml:space="preserve">2 5/2 E= 4.13467 gamma= 0.531395 [MeV]</t>
  </si>
  <si>
    <t>n</t>
  </si>
  <si>
    <t xml:space="preserve">1 1/2 E= 0.4149 gamma= 1.27358e-05 [MeV]</t>
  </si>
  <si>
    <t>26Si</t>
  </si>
  <si>
    <t xml:space="preserve">2 5/2 E= 4.13547 gamma= 0.531683 [MeV]</t>
  </si>
  <si>
    <t>p</t>
  </si>
  <si>
    <t xml:space="preserve">1 1/2 E= 0.4127 gamma= 1.21374e-05 [MeV]</t>
  </si>
  <si>
    <t xml:space="preserve">2 5/2 E= 4.13387 gamma= 0.531107 [MeV]</t>
  </si>
  <si>
    <t>Q-Rxn</t>
  </si>
  <si>
    <t>Q-2H</t>
  </si>
  <si>
    <t xml:space="preserve">1 3/2 E= 0.3672 gamma= 4.70783e-06 [MeV]</t>
  </si>
  <si>
    <t>Element</t>
  </si>
  <si>
    <t xml:space="preserve">1 3/2 E= 0.1614 gamma= 2.6506e-10 [MeV]</t>
  </si>
  <si>
    <t xml:space="preserve">Element Name</t>
  </si>
  <si>
    <t>silicon</t>
  </si>
  <si>
    <t>N=12</t>
  </si>
  <si>
    <t>Z=14</t>
  </si>
  <si>
    <t xml:space="preserve">1 1/2 E= 0.3672 gamma= 4.07698e-06 [MeV]</t>
  </si>
  <si>
    <t xml:space="preserve">Reduced Mass</t>
  </si>
  <si>
    <t xml:space="preserve">2 5/2 E= 4.10078 gamma= 0.519309 [MeV]</t>
  </si>
  <si>
    <t xml:space="preserve">Central Potential Radius</t>
  </si>
  <si>
    <t xml:space="preserve">1 1/2 E= 0.1614 gamma= 2.28783e-10 [MeV]</t>
  </si>
  <si>
    <t xml:space="preserve">Central Potential Diffuseness</t>
  </si>
  <si>
    <t xml:space="preserve">2 5/2 E= 3.95354 gamma= 0.468555 [MeV]</t>
  </si>
  <si>
    <t xml:space="preserve">Spin Orbit Potential Radius</t>
  </si>
  <si>
    <t xml:space="preserve">Spin Orbit Potential Diffuseness</t>
  </si>
  <si>
    <t xml:space="preserve">Spin Orbit Potential Depth</t>
  </si>
  <si>
    <t xml:space="preserve">Coulomb Potential Radius</t>
  </si>
  <si>
    <t xml:space="preserve">Coulomb Potential Diffuseness</t>
  </si>
  <si>
    <t>Charge</t>
  </si>
  <si>
    <t>At</t>
  </si>
  <si>
    <t>Ap</t>
  </si>
  <si>
    <t xml:space="preserve">central potential radius</t>
  </si>
  <si>
    <t xml:space="preserve">central potential diffuseness</t>
  </si>
  <si>
    <t xml:space="preserve">central potential depth</t>
  </si>
  <si>
    <t xml:space="preserve">spin orbit potential radius</t>
  </si>
  <si>
    <t xml:space="preserve">spin orbit diffuseness</t>
  </si>
  <si>
    <t xml:space="preserve">spin orbit potential depth</t>
  </si>
  <si>
    <t xml:space="preserve">coulomb potential radius</t>
  </si>
  <si>
    <t xml:space="preserve">coulomb potential diffuseness</t>
  </si>
  <si>
    <t xml:space="preserve">Hamill et al. (2020)</t>
  </si>
  <si>
    <t xml:space="preserve">Inverse Kinematics</t>
  </si>
  <si>
    <t xml:space="preserve">Normal Kinematics</t>
  </si>
  <si>
    <t>Potential</t>
  </si>
  <si>
    <t>Type</t>
  </si>
  <si>
    <t>Ref</t>
  </si>
  <si>
    <t>Z</t>
  </si>
  <si>
    <t>A</t>
  </si>
  <si>
    <t xml:space="preserve">Lab Beam Energy (MeV)</t>
  </si>
  <si>
    <t>V0</t>
  </si>
  <si>
    <t>r0</t>
  </si>
  <si>
    <t>a0</t>
  </si>
  <si>
    <t>Wv</t>
  </si>
  <si>
    <t>rv</t>
  </si>
  <si>
    <t>av</t>
  </si>
  <si>
    <t>Ws</t>
  </si>
  <si>
    <t>rs</t>
  </si>
  <si>
    <t>as</t>
  </si>
  <si>
    <t>Vso</t>
  </si>
  <si>
    <t>rso</t>
  </si>
  <si>
    <t>aso</t>
  </si>
  <si>
    <t>rc</t>
  </si>
  <si>
    <t>Wso</t>
  </si>
  <si>
    <t xml:space="preserve">Beam A</t>
  </si>
  <si>
    <t xml:space="preserve">reduced mass </t>
  </si>
  <si>
    <t>25Mg+d</t>
  </si>
  <si>
    <t>Entrance</t>
  </si>
  <si>
    <t xml:space="preserve">Y. Han (2006)</t>
  </si>
  <si>
    <t xml:space="preserve">Beam Z</t>
  </si>
  <si>
    <t xml:space="preserve">C.O.M Energy</t>
  </si>
  <si>
    <t>26Mg+p</t>
  </si>
  <si>
    <t>Exit</t>
  </si>
  <si>
    <t xml:space="preserve">A.J. Koning (2003)</t>
  </si>
  <si>
    <t xml:space="preserve">Beam M (MeV)</t>
  </si>
  <si>
    <t xml:space="preserve">Beam TKE</t>
  </si>
  <si>
    <t>25Mg+p</t>
  </si>
  <si>
    <t>Core-core</t>
  </si>
  <si>
    <t>25Mg+n</t>
  </si>
  <si>
    <t>Binding-pot</t>
  </si>
  <si>
    <t xml:space="preserve">E.S. Soukhovitski (2005)</t>
  </si>
  <si>
    <t>–</t>
  </si>
  <si>
    <t xml:space="preserve">Target A</t>
  </si>
  <si>
    <t xml:space="preserve">Target Z</t>
  </si>
  <si>
    <t xml:space="preserve">Arciszewski et al. (1984)</t>
  </si>
  <si>
    <t xml:space="preserve">Target Mass</t>
  </si>
  <si>
    <t xml:space="preserve">C. M. Perey (1976)</t>
  </si>
  <si>
    <t xml:space="preserve">F. D. Becchetti (1969)</t>
  </si>
  <si>
    <t xml:space="preserve">This Work (d,p)</t>
  </si>
  <si>
    <t xml:space="preserve">Haixia An (2006)</t>
  </si>
  <si>
    <t xml:space="preserve">F. Sciucatti (1984)</t>
  </si>
  <si>
    <t xml:space="preserve">Reid Soft-core</t>
  </si>
  <si>
    <t xml:space="preserve">This Work (d,n)</t>
  </si>
  <si>
    <t>25Al+d</t>
  </si>
  <si>
    <t>26Si+n</t>
  </si>
  <si>
    <t xml:space="preserve">A.J Koning (2003)</t>
  </si>
  <si>
    <t>n-GOMP</t>
  </si>
  <si>
    <t>vn1</t>
  </si>
  <si>
    <t>vn2</t>
  </si>
  <si>
    <t>vn3</t>
  </si>
  <si>
    <t>vn4</t>
  </si>
  <si>
    <t>wn1</t>
  </si>
  <si>
    <t>wn2</t>
  </si>
  <si>
    <t>dn1</t>
  </si>
  <si>
    <t>dn2</t>
  </si>
  <si>
    <t>dn3</t>
  </si>
  <si>
    <t>vnso1</t>
  </si>
  <si>
    <t>vnso2</t>
  </si>
  <si>
    <t>wnso1</t>
  </si>
  <si>
    <t>wnso2</t>
  </si>
  <si>
    <t>Enf</t>
  </si>
  <si>
    <t xml:space="preserve">x </t>
  </si>
  <si>
    <t>y</t>
  </si>
  <si>
    <t>ylow</t>
  </si>
  <si>
    <t>yhigh</t>
  </si>
  <si>
    <t xml:space="preserve">Wavelength-to-size ratio (kR)</t>
  </si>
  <si>
    <t xml:space="preserve">Sommerfeld parameter (Coulomb eta)</t>
  </si>
  <si>
    <t xml:space="preserve">channel radius</t>
  </si>
  <si>
    <t xml:space="preserve">square-well decay</t>
  </si>
  <si>
    <t xml:space="preserve">Coulomb Barrier VC at R [MeV]</t>
  </si>
  <si>
    <t>Penetrability</t>
  </si>
  <si>
    <t xml:space="preserve">Transmission Factor</t>
  </si>
  <si>
    <t xml:space="preserve">WKB Transmission Factor</t>
  </si>
  <si>
    <t xml:space="preserve">Wigner Decay Width Limit [MeV]</t>
  </si>
  <si>
    <t xml:space="preserve">Square-Well Decay Width [MeV]</t>
  </si>
  <si>
    <t xml:space="preserve">fresco norm 2 channel radius</t>
  </si>
  <si>
    <t>eV</t>
  </si>
  <si>
    <t xml:space="preserve">Dim-less reduced width</t>
  </si>
  <si>
    <t>penetrability</t>
  </si>
  <si>
    <t xml:space="preserve">single p-width</t>
  </si>
  <si>
    <t xml:space="preserve">fresco no normalize</t>
  </si>
  <si>
    <t xml:space="preserve">C2S l=2</t>
  </si>
  <si>
    <t xml:space="preserve">AMP l=2</t>
  </si>
  <si>
    <t xml:space="preserve">AMP l=0</t>
  </si>
  <si>
    <t xml:space="preserve">C2S l=0</t>
  </si>
  <si>
    <t xml:space="preserve">C2S l=0/l=2 ratio</t>
  </si>
  <si>
    <t xml:space="preserve">Cross Section, theory (mb)</t>
  </si>
  <si>
    <t>FSU</t>
  </si>
  <si>
    <t xml:space="preserve">fix ratio</t>
  </si>
  <si>
    <t xml:space="preserve">fix l=2</t>
  </si>
  <si>
    <t>J</t>
  </si>
  <si>
    <t>pty</t>
  </si>
  <si>
    <t>low</t>
  </si>
  <si>
    <t>high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</si>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</sst>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2">
    <numFmt numFmtId="160" formatCode="0.00000000"/>
    <numFmt numFmtId="161" formatCode="0.000E+00"/>
    <numFmt numFmtId="162" formatCode="0.000"/>
    <numFmt numFmtId="163" formatCode="0.0000"/>
    <numFmt numFmtId="164" formatCode="0.0000E+00"/>
    <numFmt numFmtId="165" formatCode="#,##0.000"/>
    <numFmt numFmtId="166" formatCode="0.00000"/>
    <numFmt numFmtId="167" formatCode="0.0%"/>
    <numFmt numFmtId="168" formatCode="0.0"/>
    <numFmt numFmtId="169" formatCode="#,##0.00000"/>
    <numFmt numFmtId="170" formatCode="#,##0.0"/>
    <numFmt numFmtId="171" formatCode="#,##0.00\ ;[Red]\(#,##0.00\)"/>
  </numFmts>
  <fonts count="8">
    <font>
      <sz val="10.000000"/>
      <color indexed="64"/>
      <name val="Arial"/>
      <scheme val="minor"/>
    </font>
    <font>
      <sz val="11.000000"/>
      <color rgb="FF9C0006"/>
      <name val="Arial"/>
      <scheme val="minor"/>
    </font>
    <font>
      <sz val="11.000000"/>
      <color rgb="FF006100"/>
      <name val="Arial"/>
      <scheme val="minor"/>
    </font>
    <font>
      <b/>
      <sz val="10.000000"/>
      <color indexed="64"/>
      <name val="Arial"/>
      <scheme val="minor"/>
    </font>
    <font>
      <strike/>
      <sz val="10.000000"/>
      <color indexed="64"/>
      <name val="Arial"/>
      <scheme val="minor"/>
    </font>
    <font>
      <sz val="10.000000"/>
      <color theme="1"/>
      <name val="Arial"/>
      <scheme val="minor"/>
    </font>
    <font>
      <sz val="10.000000"/>
      <color indexed="2"/>
      <name val="Arial"/>
      <scheme val="minor"/>
    </font>
    <font>
      <b/>
      <strike/>
      <sz val="10.000000"/>
      <color indexed="64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F2CC"/>
        <bgColor rgb="FFFFF2CC"/>
      </patternFill>
    </fill>
    <fill>
      <patternFill patternType="solid">
        <fgColor indexed="7"/>
        <bgColor indexed="7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64">
    <xf fontId="0" fillId="0" borderId="0" numFmtId="0" xfId="0"/>
    <xf fontId="3" fillId="4" borderId="0" numFmtId="0" xfId="0" applyFont="1" applyFill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160" xfId="0" applyNumberFormat="1" applyAlignment="1">
      <alignment horizontal="center" vertical="center"/>
    </xf>
    <xf fontId="0" fillId="5" borderId="0" numFmtId="0" xfId="0" applyFill="1" applyAlignment="1">
      <alignment horizontal="center" vertical="center"/>
    </xf>
    <xf fontId="0" fillId="5" borderId="0" numFmtId="161" xfId="0" applyNumberFormat="1" applyFill="1" applyAlignment="1">
      <alignment horizontal="center" vertical="center"/>
    </xf>
    <xf fontId="0" fillId="0" borderId="0" numFmtId="1" xfId="0" applyNumberFormat="1" applyAlignment="1">
      <alignment horizontal="center" vertical="center"/>
    </xf>
    <xf fontId="0" fillId="0" borderId="0" numFmtId="11" xfId="0" applyNumberFormat="1" applyAlignment="1">
      <alignment horizontal="center" vertical="center"/>
    </xf>
    <xf fontId="0" fillId="5" borderId="0" numFmtId="11" xfId="0" applyNumberFormat="1" applyFill="1" applyAlignment="1">
      <alignment horizontal="center" vertical="center"/>
    </xf>
    <xf fontId="0" fillId="0" borderId="0" numFmtId="161" xfId="0" applyNumberFormat="1" applyAlignment="1">
      <alignment horizontal="center" vertical="center"/>
    </xf>
    <xf fontId="4" fillId="0" borderId="0" numFmtId="162" xfId="0" applyNumberFormat="1" applyFont="1" applyAlignment="1">
      <alignment horizontal="center" vertical="center"/>
    </xf>
    <xf fontId="4" fillId="0" borderId="0" numFmtId="49" xfId="0" applyNumberFormat="1" applyFont="1" applyAlignment="1">
      <alignment horizontal="center" vertical="center"/>
    </xf>
    <xf fontId="4" fillId="0" borderId="0" numFmtId="2" xfId="0" applyNumberFormat="1" applyFont="1" applyAlignment="1">
      <alignment horizontal="center" vertical="center"/>
    </xf>
    <xf fontId="4" fillId="0" borderId="0" numFmtId="4" xfId="0" applyNumberFormat="1" applyFont="1" applyAlignment="1">
      <alignment horizontal="center" vertical="center"/>
    </xf>
    <xf fontId="3" fillId="4" borderId="0" numFmtId="162" xfId="0" applyNumberFormat="1" applyFont="1" applyFill="1" applyAlignment="1">
      <alignment horizontal="center" vertical="center"/>
    </xf>
    <xf fontId="0" fillId="0" borderId="0" numFmtId="162" xfId="0" applyNumberFormat="1" applyAlignment="1">
      <alignment horizontal="center" vertical="center"/>
    </xf>
    <xf fontId="0" fillId="0" borderId="0" numFmtId="49" xfId="0" applyNumberFormat="1" applyAlignment="1">
      <alignment horizontal="center" vertical="center"/>
    </xf>
    <xf fontId="0" fillId="0" borderId="0" numFmtId="4" xfId="0" applyNumberFormat="1" applyAlignment="1">
      <alignment horizontal="center" vertical="center"/>
    </xf>
    <xf fontId="0" fillId="0" borderId="0" numFmtId="2" xfId="0" applyNumberFormat="1" applyAlignment="1">
      <alignment horizontal="center" vertical="center"/>
    </xf>
    <xf fontId="0" fillId="0" borderId="0" numFmtId="10" xfId="0" applyNumberFormat="1" applyAlignment="1">
      <alignment horizontal="center" vertical="center"/>
    </xf>
    <xf fontId="3" fillId="0" borderId="1" numFmtId="0" xfId="0" applyFont="1" applyBorder="1" applyAlignment="1">
      <alignment horizontal="center" vertical="center"/>
    </xf>
    <xf fontId="3" fillId="0" borderId="2" numFmtId="0" xfId="0" applyFont="1" applyBorder="1" applyAlignment="1">
      <alignment horizontal="center" vertical="center"/>
    </xf>
    <xf fontId="3" fillId="0" borderId="3" numFmtId="0" xfId="0" applyFont="1" applyBorder="1" applyAlignment="1">
      <alignment horizontal="center" vertical="center"/>
    </xf>
    <xf fontId="5" fillId="0" borderId="0" numFmtId="0" xfId="0" applyFont="1" applyAlignment="1">
      <alignment horizontal="center"/>
    </xf>
    <xf fontId="4" fillId="0" borderId="0" numFmtId="163" xfId="0" applyNumberFormat="1" applyFont="1" applyAlignment="1">
      <alignment horizontal="center" vertical="center"/>
    </xf>
    <xf fontId="4" fillId="0" borderId="0" numFmtId="0" xfId="0" applyFont="1" applyAlignment="1">
      <alignment horizontal="center" vertical="center"/>
    </xf>
    <xf fontId="4" fillId="0" borderId="0" numFmtId="164" xfId="0" applyNumberFormat="1" applyFont="1" applyAlignment="1">
      <alignment horizontal="center" vertical="center"/>
    </xf>
    <xf fontId="4" fillId="0" borderId="0" numFmtId="161" xfId="0" applyNumberFormat="1" applyFont="1" applyAlignment="1">
      <alignment horizontal="center" vertical="center"/>
    </xf>
    <xf fontId="4" fillId="0" borderId="0" numFmtId="11" xfId="0" applyNumberFormat="1" applyFont="1" applyAlignment="1">
      <alignment horizontal="center" vertical="center"/>
    </xf>
    <xf fontId="0" fillId="0" borderId="0" numFmtId="163" xfId="0" applyNumberFormat="1" applyAlignment="1">
      <alignment horizontal="center" vertical="center"/>
    </xf>
    <xf fontId="2" fillId="3" borderId="0" numFmtId="0" xfId="2" applyFont="1" applyFill="1"/>
    <xf fontId="2" fillId="3" borderId="0" numFmtId="163" xfId="2" applyNumberFormat="1" applyFont="1" applyFill="1" applyAlignment="1">
      <alignment horizontal="center" vertical="center"/>
    </xf>
    <xf fontId="2" fillId="3" borderId="0" numFmtId="0" xfId="2" applyFont="1" applyFill="1" applyAlignment="1">
      <alignment horizontal="center" vertical="center"/>
    </xf>
    <xf fontId="2" fillId="3" borderId="0" numFmtId="161" xfId="2" applyNumberFormat="1" applyFont="1" applyFill="1" applyAlignment="1">
      <alignment horizontal="center" vertical="center"/>
    </xf>
    <xf fontId="2" fillId="3" borderId="0" numFmtId="11" xfId="2" applyNumberFormat="1" applyFont="1" applyFill="1" applyAlignment="1">
      <alignment horizontal="center" vertical="center"/>
    </xf>
    <xf fontId="2" fillId="3" borderId="0" numFmtId="0" xfId="2" applyFont="1" applyFill="1" applyAlignment="1">
      <alignment horizontal="center"/>
    </xf>
    <xf fontId="1" fillId="2" borderId="0" numFmtId="0" xfId="1" applyFont="1" applyFill="1"/>
    <xf fontId="1" fillId="2" borderId="0" numFmtId="163" xfId="1" applyNumberFormat="1" applyFont="1" applyFill="1" applyAlignment="1">
      <alignment horizontal="center" vertical="center"/>
    </xf>
    <xf fontId="1" fillId="2" borderId="0" numFmtId="0" xfId="1" applyFont="1" applyFill="1" applyAlignment="1">
      <alignment horizontal="center" vertical="center"/>
    </xf>
    <xf fontId="1" fillId="2" borderId="0" numFmtId="161" xfId="1" applyNumberFormat="1" applyFont="1" applyFill="1" applyAlignment="1">
      <alignment horizontal="center" vertical="center"/>
    </xf>
    <xf fontId="1" fillId="2" borderId="0" numFmtId="11" xfId="1" applyNumberFormat="1" applyFont="1" applyFill="1" applyAlignment="1">
      <alignment horizontal="center" vertical="center"/>
    </xf>
    <xf fontId="1" fillId="2" borderId="0" numFmtId="0" xfId="1" applyFont="1" applyFill="1" applyAlignment="1">
      <alignment horizontal="center"/>
    </xf>
    <xf fontId="0" fillId="0" borderId="0" numFmtId="163" xfId="0" applyNumberFormat="1"/>
    <xf fontId="3" fillId="0" borderId="0" numFmtId="0" xfId="0" applyFont="1" applyAlignment="1">
      <alignment horizontal="center" vertical="center"/>
    </xf>
    <xf fontId="3" fillId="0" borderId="0" numFmtId="163" xfId="0" applyNumberFormat="1" applyFont="1" applyAlignment="1">
      <alignment horizontal="center" vertical="center"/>
    </xf>
    <xf fontId="3" fillId="0" borderId="4" numFmtId="0" xfId="0" applyFont="1" applyBorder="1" applyAlignment="1">
      <alignment horizontal="center" vertical="center"/>
    </xf>
    <xf fontId="0" fillId="0" borderId="0" numFmtId="165" xfId="0" applyNumberFormat="1" applyAlignment="1">
      <alignment horizontal="center" vertical="center"/>
    </xf>
    <xf fontId="6" fillId="0" borderId="0" numFmtId="165" xfId="0" applyNumberFormat="1" applyFont="1" applyAlignment="1">
      <alignment horizontal="center" vertical="center"/>
    </xf>
    <xf fontId="6" fillId="0" borderId="0" numFmtId="0" xfId="0" applyFont="1" applyAlignment="1">
      <alignment horizontal="center" vertical="center"/>
    </xf>
    <xf fontId="0" fillId="0" borderId="0" numFmtId="166" xfId="0" applyNumberFormat="1" applyAlignment="1">
      <alignment horizontal="center" vertical="center"/>
    </xf>
    <xf fontId="7" fillId="0" borderId="0" numFmtId="0" xfId="0" applyFont="1" applyAlignment="1">
      <alignment horizontal="center" vertical="center"/>
    </xf>
    <xf fontId="4" fillId="0" borderId="0" numFmtId="9" xfId="0" applyNumberFormat="1" applyFont="1" applyAlignment="1">
      <alignment horizontal="center" vertical="center"/>
    </xf>
    <xf fontId="4" fillId="0" borderId="0" numFmtId="10" xfId="0" applyNumberFormat="1" applyFont="1" applyAlignment="1">
      <alignment horizontal="center" vertical="center"/>
    </xf>
    <xf fontId="4" fillId="0" borderId="0" numFmtId="167" xfId="0" applyNumberFormat="1" applyFont="1" applyAlignment="1">
      <alignment horizontal="center" vertical="center"/>
    </xf>
    <xf fontId="0" fillId="0" borderId="0" numFmtId="168" xfId="0" applyNumberFormat="1" applyAlignment="1">
      <alignment horizontal="center" vertical="center"/>
    </xf>
    <xf fontId="0" fillId="0" borderId="0" numFmtId="164" xfId="0" applyNumberFormat="1" applyAlignment="1">
      <alignment horizontal="center" vertical="center"/>
    </xf>
    <xf fontId="6" fillId="0" borderId="0" numFmtId="11" xfId="0" applyNumberFormat="1" applyFont="1" applyAlignment="1">
      <alignment horizontal="center" vertical="center"/>
    </xf>
    <xf fontId="0" fillId="0" borderId="0" numFmtId="0" xfId="0" applyAlignment="1">
      <alignment horizontal="center" vertical="center" wrapText="1"/>
    </xf>
    <xf fontId="0" fillId="0" borderId="0" numFmtId="169" xfId="0" applyNumberFormat="1" applyAlignment="1">
      <alignment horizontal="center" vertical="center"/>
    </xf>
    <xf fontId="0" fillId="0" borderId="0" numFmtId="170" xfId="0" applyNumberFormat="1" applyAlignment="1">
      <alignment horizontal="center" vertical="center"/>
    </xf>
    <xf fontId="0" fillId="6" borderId="0" numFmtId="0" xfId="0" applyFill="1" applyAlignment="1">
      <alignment horizontal="center" vertical="center"/>
    </xf>
    <xf fontId="0" fillId="7" borderId="0" numFmtId="0" xfId="0" applyFill="1" applyAlignment="1">
      <alignment horizontal="center" vertical="center"/>
    </xf>
    <xf fontId="0" fillId="8" borderId="0" numFmtId="0" xfId="0" applyFill="1" applyAlignment="1">
      <alignment horizontal="center" vertical="center"/>
    </xf>
    <xf fontId="0" fillId="0" borderId="0" numFmtId="171" xfId="0" applyNumberFormat="1" applyAlignment="1">
      <alignment horizontal="center" vertical="center"/>
    </xf>
  </cellXfs>
  <cellStyles count="3">
    <cellStyle name="Normal" xfId="0" builtinId="0"/>
    <cellStyle name="Bad" xfId="1" builtinId="27"/>
    <cellStyle name="Good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1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6870693691885699"/>
          <c:y val="0.14470576152819101"/>
          <c:w val="0.78085490668272095"/>
          <c:h val="0.72897196261682196"/>
        </c:manualLayout>
      </c:layout>
      <c:scatterChart>
        <c:scatterStyle val="lineMarker"/>
        <c:varyColors val="0"/>
        <c:ser>
          <c:idx val="0"/>
          <c:order val="0"/>
          <c:tx>
            <c:v xml:space="preserve">square-well decay</c:v>
          </c:tx>
          <c:spPr bwMode="auto">
            <a:prstGeom prst="rect">
              <a:avLst/>
            </a:prstGeom>
            <a:ln>
              <a:noFill/>
            </a:ln>
          </c:spPr>
          <c:marker>
            <c:symbol val="circle"/>
            <c:size val="7"/>
            <c:spPr bwMode="auto">
              <a:prstGeom prst="rect">
                <a:avLst/>
              </a:prstGeom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 xml:space="preserve">Expon. (square-well decay)</c:name>
            <c:spPr bwMode="auto">
              <a:prstGeom prst="rect">
                <a:avLst/>
              </a:prstGeom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 xml:space="preserve">'Single Particle'!$D$3:$D$11</c:f>
              <c:numCache>
                <c:formatCode>General</c:formatCode>
                <c:ptCount val="9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1.35</c:v>
                </c:pt>
                <c:pt idx="8">
                  <c:v>1.15</c:v>
                </c:pt>
              </c:numCache>
            </c:numRef>
          </c:xVal>
          <c:yVal>
            <c:numRef>
              <c:f xml:space="preserve">'Single Particle'!$F$3:$F$9</c:f>
              <c:numCache>
                <c:formatCode>#,##0.0</c:formatCode>
                <c:ptCount val="7"/>
                <c:pt idx="0">
                  <c:v>16.0294</c:v>
                </c:pt>
                <c:pt idx="1">
                  <c:v>20.5704</c:v>
                </c:pt>
                <c:pt idx="2">
                  <c:v>26.0641</c:v>
                </c:pt>
                <c:pt idx="3">
                  <c:v>32.668800000000005</c:v>
                </c:pt>
                <c:pt idx="4">
                  <c:v>40.562400000000004</c:v>
                </c:pt>
                <c:pt idx="5">
                  <c:v>49.9439</c:v>
                </c:pt>
                <c:pt idx="6">
                  <c:v>61.03529999999999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743609028"/>
        <c:axId val="670012788"/>
      </c:scatterChart>
      <c:valAx>
        <c:axId val="1743609028"/>
        <c:scaling>
          <c:orientation val="minMax"/>
          <c:min val="0.90000000000000002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Channel Radius (fm)</a:t>
                </a:r>
                <a:endParaRPr/>
              </a:p>
            </c:rich>
          </c:tx>
          <c:layout>
            <c:manualLayout>
              <c:xMode val="edge"/>
              <c:yMode val="edge"/>
              <c:x val="0.11913840390661599"/>
              <c:y val="0.9512170072917740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0012788"/>
        <c:crosses val="autoZero"/>
        <c:crossBetween val="midCat"/>
        <c:majorUnit val="0.10000000000000001"/>
      </c:valAx>
      <c:valAx>
        <c:axId val="670012788"/>
        <c:scaling>
          <c:orientation val="minMax"/>
          <c:max val="65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Square-Well Decay Wdith (MeV)</a:t>
                </a:r>
                <a:endParaRPr/>
              </a:p>
            </c:rich>
          </c:tx>
          <c:layout>
            <c:manualLayout>
              <c:xMode val="edge"/>
              <c:yMode val="edge"/>
              <c:x val="0.0122416215131447"/>
              <c:y val="0.69056177467392399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436090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1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0" i="0">
                <a:solidFill>
                  <a:srgbClr val="757575"/>
                </a:solidFill>
                <a:latin typeface="Calibri"/>
              </a:defRPr>
            </a:pPr>
            <a:r>
              <a:rPr lang="en-US" sz="1800" b="0" i="0">
                <a:solidFill>
                  <a:srgbClr val="757575"/>
                </a:solidFill>
                <a:latin typeface="Calibri"/>
              </a:rPr>
              <a:t>Wave function normalized over entire range </a:t>
            </a:r>
            <a:endParaRPr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10723571564462"/>
          <c:y val="0.17387285611584699"/>
          <c:w val="0.84139767899042395"/>
          <c:h val="0.66026496867618401"/>
        </c:manualLayout>
      </c:layout>
      <c:scatterChart>
        <c:scatterStyle val="lineMarker"/>
        <c:varyColors val="0"/>
        <c:ser>
          <c:idx val="0"/>
          <c:order val="0"/>
          <c:tx>
            <c:v xml:space="preserve">single p-width</c:v>
          </c:tx>
          <c:spPr bwMode="auto">
            <a:prstGeom prst="rect">
              <a:avLst/>
            </a:prstGeom>
            <a:ln>
              <a:noFill/>
            </a:ln>
          </c:spPr>
          <c:marker>
            <c:symbol val="circle"/>
            <c:size val="7"/>
            <c:spPr bwMode="auto">
              <a:prstGeom prst="rect">
                <a:avLst/>
              </a:prstGeom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 xml:space="preserve">'Single Particle'!$H$19:$H$22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</c:numCache>
            </c:numRef>
          </c:xVal>
          <c:yVal>
            <c:numRef>
              <c:f xml:space="preserve">'Single Particle'!$L$19:$L$22</c:f>
              <c:numCache>
                <c:formatCode>#,##0.00</c:formatCode>
                <c:ptCount val="4"/>
                <c:pt idx="0">
                  <c:v>17.1800620720642</c:v>
                </c:pt>
                <c:pt idx="1">
                  <c:v>26.7087273043501</c:v>
                </c:pt>
                <c:pt idx="2">
                  <c:v>29.7924988573266</c:v>
                </c:pt>
                <c:pt idx="3">
                  <c:v>29.6359462849014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593903705"/>
        <c:axId val="504437512"/>
      </c:scatterChart>
      <c:valAx>
        <c:axId val="1593903705"/>
        <c:scaling>
          <c:orientation val="minMax"/>
          <c:max val="1.7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r0 (fm)</a:t>
                </a:r>
                <a:endParaRPr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04437512"/>
        <c:crosses val="autoZero"/>
        <c:crossBetween val="midCat"/>
      </c:valAx>
      <c:valAx>
        <c:axId val="504437512"/>
        <c:scaling>
          <c:orientation val="minMax"/>
          <c:max val="35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single p-width (eV)</a:t>
                </a:r>
                <a:endParaRPr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93903705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1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0" i="0">
                <a:solidFill>
                  <a:srgbClr val="757575"/>
                </a:solidFill>
                <a:latin typeface="Calibri"/>
              </a:defRPr>
            </a:pPr>
            <a:r>
              <a:rPr lang="en-US" sz="1800" b="0" i="0">
                <a:solidFill>
                  <a:srgbClr val="757575"/>
                </a:solidFill>
                <a:latin typeface="Calibri"/>
              </a:rPr>
              <a:t>Wave function normalized up to channel radius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 xml:space="preserve">single p-width</c:v>
          </c:tx>
          <c:spPr bwMode="auto">
            <a:prstGeom prst="rect">
              <a:avLst/>
            </a:prstGeom>
            <a:ln>
              <a:noFill/>
            </a:ln>
          </c:spPr>
          <c:marker>
            <c:symbol val="circle"/>
            <c:size val="7"/>
            <c:spPr bwMode="auto">
              <a:prstGeom prst="rect">
                <a:avLst/>
              </a:prstGeom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 xml:space="preserve">'Single Particle'!$H$13:$H$15</c:f>
              <c:numCache>
                <c:formatCode>General</c:formatCode>
                <c:ptCount val="3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</c:numCache>
            </c:numRef>
          </c:xVal>
          <c:yVal>
            <c:numRef>
              <c:f xml:space="preserve">'Single Particle'!$L$13:$L$15</c:f>
              <c:numCache>
                <c:formatCode>#,##0.00</c:formatCode>
                <c:ptCount val="3"/>
                <c:pt idx="0">
                  <c:v>35.4253137605781</c:v>
                </c:pt>
                <c:pt idx="1">
                  <c:v>47.789090851055</c:v>
                </c:pt>
                <c:pt idx="2">
                  <c:v>47.5899939389545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079675007"/>
        <c:axId val="1424459993"/>
      </c:scatterChart>
      <c:valAx>
        <c:axId val="2079675007"/>
        <c:scaling>
          <c:orientation val="minMax"/>
          <c:max val="1.7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r0 (fm)</a:t>
                </a:r>
                <a:endParaRPr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24459993"/>
        <c:crosses val="autoZero"/>
        <c:crossBetween val="midCat"/>
      </c:valAx>
      <c:valAx>
        <c:axId val="1424459993"/>
        <c:scaling>
          <c:orientation val="minMax"/>
          <c:max val="5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single p-width (eV)</a:t>
                </a:r>
                <a:endParaRPr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9675007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17</xdr:row>
      <xdr:rowOff>76200</xdr:rowOff>
    </xdr:from>
    <xdr:ext cx="5753100" cy="3429000"/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38100</xdr:rowOff>
    </xdr:from>
    <xdr:ext cx="6048375" cy="3429000"/>
    <xdr:graphicFrame>
      <xdr:nvGraphicFramePr>
        <xdr:cNvPr id="3" name="Chart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847725</xdr:colOff>
      <xdr:row>25</xdr:row>
      <xdr:rowOff>9525</xdr:rowOff>
    </xdr:from>
    <xdr:ext cx="6067425" cy="3448050"/>
    <xdr:graphicFrame>
      <xdr:nvGraphicFramePr>
        <xdr:cNvPr id="4" name="Chart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F24" activeCellId="0" sqref="F24"/>
    </sheetView>
  </sheetViews>
  <sheetFormatPr defaultColWidth="12.5703125" defaultRowHeight="15" customHeight="1"/>
  <cols>
    <col bestFit="1" customWidth="1" min="1" max="1" width="13.7109375"/>
    <col bestFit="1" customWidth="1" min="2" max="2" width="10"/>
    <col bestFit="1" customWidth="1" min="3" max="3" width="13.7109375"/>
    <col bestFit="1" customWidth="1" min="4" max="4" width="6.85546875"/>
    <col bestFit="1" customWidth="1" min="5" max="5" width="11.28515625"/>
    <col bestFit="1" customWidth="1" min="6" max="6" width="23.5703125"/>
    <col bestFit="1" customWidth="1" min="7" max="7" width="10.5703125"/>
    <col bestFit="1" customWidth="1" min="8" max="8" width="8"/>
    <col bestFit="1" customWidth="1" min="9" max="9" width="18.140625"/>
    <col bestFit="1" customWidth="1" min="10" max="10" width="13.7109375"/>
    <col bestFit="1" customWidth="1" min="11" max="11" width="13.5703125"/>
    <col customWidth="1" min="12" max="12" width="6.425781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2" t="s">
        <v>5</v>
      </c>
      <c r="H1" s="2">
        <v>1000000</v>
      </c>
      <c r="L1" s="2"/>
    </row>
    <row r="2">
      <c r="A2" s="2" t="s">
        <v>6</v>
      </c>
      <c r="B2" s="2">
        <v>5.5140000000000002</v>
      </c>
      <c r="C2" s="2">
        <v>0.0011000000000000001</v>
      </c>
      <c r="D2" s="2" t="s">
        <v>7</v>
      </c>
      <c r="E2" s="2"/>
      <c r="G2" s="2" t="s">
        <v>8</v>
      </c>
      <c r="H2" s="2">
        <f>SQRT(H1)/H1</f>
        <v>0.001</v>
      </c>
      <c r="L2" s="2"/>
    </row>
    <row r="3">
      <c r="A3" s="2" t="s">
        <v>9</v>
      </c>
      <c r="B3" s="2">
        <v>1265657</v>
      </c>
      <c r="C3" s="3">
        <f>SQRT(B3)</f>
        <v>1125.0142221323249</v>
      </c>
      <c r="D3" s="2"/>
      <c r="E3" s="2">
        <v>1302170</v>
      </c>
      <c r="L3" s="2"/>
    </row>
    <row r="4">
      <c r="A4" s="2" t="s">
        <v>10</v>
      </c>
      <c r="B4" s="2">
        <v>1000</v>
      </c>
      <c r="C4" s="3"/>
      <c r="D4" s="2"/>
      <c r="E4" s="2"/>
      <c r="L4" s="2"/>
    </row>
    <row r="5">
      <c r="A5" s="4" t="s">
        <v>11</v>
      </c>
      <c r="B5" s="5">
        <f>B3*B4</f>
        <v>1265657000</v>
      </c>
      <c r="C5" s="6">
        <f>B5*SQRT( (C3/B3)^2 + (0.5/B4)^2)</f>
        <v>1290786.1598313837</v>
      </c>
      <c r="D5" s="2"/>
      <c r="E5" s="2"/>
      <c r="L5" s="2"/>
    </row>
    <row r="6">
      <c r="A6" s="2" t="s">
        <v>12</v>
      </c>
      <c r="B6" s="7">
        <v>0.00051599999999999997</v>
      </c>
      <c r="C6" s="7">
        <f>B6*0.1</f>
        <v>5.1600000000000001e-05</v>
      </c>
      <c r="D6" s="2" t="s">
        <v>13</v>
      </c>
      <c r="E6" s="2"/>
      <c r="L6" s="2"/>
    </row>
    <row r="7">
      <c r="A7" s="4" t="s">
        <v>14</v>
      </c>
      <c r="B7" s="8">
        <f>2*(6.022E+23/16.03)*B6</f>
        <v>3.8769207735495942e+19</v>
      </c>
      <c r="C7" s="9">
        <f>SQRT((C6/B6)^2)*B7</f>
        <v>3.8769207735495946e+18</v>
      </c>
      <c r="D7" s="4" t="s">
        <v>15</v>
      </c>
      <c r="E7" s="2"/>
      <c r="L7" s="2"/>
    </row>
    <row r="8">
      <c r="A8" s="10"/>
      <c r="B8" s="10"/>
      <c r="C8" s="10"/>
      <c r="D8" s="11"/>
      <c r="E8" s="10"/>
      <c r="F8" s="10"/>
      <c r="G8" s="2"/>
      <c r="H8" s="12"/>
      <c r="I8" s="13"/>
      <c r="J8" s="12"/>
      <c r="K8" s="12"/>
      <c r="L8" s="2"/>
      <c r="M8" s="2"/>
      <c r="N8" s="2"/>
      <c r="O8" s="2"/>
      <c r="P8" s="2"/>
      <c r="Q8" s="2"/>
    </row>
    <row r="9">
      <c r="A9" s="1" t="s">
        <v>16</v>
      </c>
      <c r="B9" s="1" t="s">
        <v>17</v>
      </c>
      <c r="C9" s="1" t="s">
        <v>18</v>
      </c>
      <c r="D9" s="1" t="s">
        <v>19</v>
      </c>
      <c r="E9" s="14" t="s">
        <v>20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1" t="s">
        <v>26</v>
      </c>
      <c r="L9" s="2"/>
      <c r="O9" s="2"/>
      <c r="P9" s="2"/>
      <c r="Q9" s="2"/>
    </row>
    <row r="10">
      <c r="A10" s="15">
        <v>5.9226000000000001</v>
      </c>
      <c r="B10" s="15">
        <f t="shared" ref="B10:B13" si="0">A10-$B$2</f>
        <v>0.40859999999999985</v>
      </c>
      <c r="C10" s="15">
        <v>0.0063957299999999996</v>
      </c>
      <c r="D10" s="16" t="s">
        <v>27</v>
      </c>
      <c r="E10" s="15">
        <v>0.45900000000000002</v>
      </c>
      <c r="F10" s="15">
        <f>E10*0.09</f>
        <v>0.041309999999999999</v>
      </c>
      <c r="G10" s="6">
        <v>131.357</v>
      </c>
      <c r="H10" s="6">
        <v>11.4611</v>
      </c>
      <c r="I10" s="17">
        <f t="shared" ref="I10:I14" si="1">(G10/(E10*$B$7*$B$5))*10^27</f>
        <v>5.8322695042697656</v>
      </c>
      <c r="J10" s="18">
        <f t="shared" ref="J10:J14" si="2">I10*SQRT(($C$7/$B$7)^2 + (F10/E10)^2)</f>
        <v>0.784651612516584</v>
      </c>
      <c r="K10" s="18">
        <f t="shared" ref="K10:K14" si="3">SQRT((H10/G10)^2 + ($C$5/$B$5)^2)</f>
        <v>0.087257496060642439</v>
      </c>
      <c r="L10" s="2"/>
      <c r="O10" s="2"/>
      <c r="P10" s="2"/>
      <c r="Q10" s="2"/>
    </row>
    <row r="11">
      <c r="A11" s="15">
        <v>6.3253500000000003</v>
      </c>
      <c r="B11" s="15">
        <f t="shared" si="0"/>
        <v>0.81135000000000002</v>
      </c>
      <c r="C11" s="15">
        <v>0.0063957299999999996</v>
      </c>
      <c r="D11" s="16" t="s">
        <v>28</v>
      </c>
      <c r="E11" s="15">
        <v>0.26800000000000002</v>
      </c>
      <c r="F11" s="15">
        <f t="shared" ref="F11:F13" si="4">E11*0.1</f>
        <v>0.026800000000000004</v>
      </c>
      <c r="G11" s="6">
        <v>131.71899999999999</v>
      </c>
      <c r="H11" s="6">
        <v>11.476900000000001</v>
      </c>
      <c r="I11" s="17">
        <f t="shared" si="1"/>
        <v>10.016377392983202</v>
      </c>
      <c r="J11" s="18">
        <f t="shared" si="2"/>
        <v>1.4165296755004111</v>
      </c>
      <c r="K11" s="18">
        <f t="shared" si="3"/>
        <v>0.087137665388507257</v>
      </c>
    </row>
    <row r="12">
      <c r="A12" s="15">
        <v>6.6989999999999998</v>
      </c>
      <c r="B12" s="15">
        <f t="shared" si="0"/>
        <v>1.1849999999999996</v>
      </c>
      <c r="C12" s="15">
        <v>0.0063957299999999996</v>
      </c>
      <c r="D12" s="2" t="s">
        <v>29</v>
      </c>
      <c r="E12" s="15">
        <v>0.19600000000000001</v>
      </c>
      <c r="F12" s="15">
        <f t="shared" si="4"/>
        <v>0.019600000000000003</v>
      </c>
      <c r="G12" s="6">
        <v>289.65499999999997</v>
      </c>
      <c r="H12" s="6">
        <v>17.019200000000001</v>
      </c>
      <c r="I12" s="17">
        <f t="shared" si="1"/>
        <v>30.11771412926262</v>
      </c>
      <c r="J12" s="18">
        <f t="shared" si="2"/>
        <v>4.2592879789278992</v>
      </c>
      <c r="K12" s="18">
        <f t="shared" si="3"/>
        <v>0.058765647133042755</v>
      </c>
    </row>
    <row r="13">
      <c r="A13" s="15">
        <v>7.3490200000000003</v>
      </c>
      <c r="B13" s="15">
        <f t="shared" si="0"/>
        <v>1.8350200000000001</v>
      </c>
      <c r="C13" s="15">
        <v>0.0063957299999999996</v>
      </c>
      <c r="D13" s="16" t="s">
        <v>30</v>
      </c>
      <c r="E13" s="15">
        <v>0.17599999999999999</v>
      </c>
      <c r="F13" s="15">
        <f t="shared" si="4"/>
        <v>0.017600000000000001</v>
      </c>
      <c r="G13" s="6">
        <v>127.288</v>
      </c>
      <c r="H13" s="6">
        <v>11.2822</v>
      </c>
      <c r="I13" s="17">
        <f t="shared" si="1"/>
        <v>14.739129796120579</v>
      </c>
      <c r="J13" s="18">
        <f t="shared" si="2"/>
        <v>2.0844277255251118</v>
      </c>
      <c r="K13" s="18">
        <f t="shared" si="3"/>
        <v>0.088641088048204378</v>
      </c>
    </row>
    <row r="14">
      <c r="A14" s="15"/>
      <c r="B14" s="2"/>
      <c r="C14" s="15"/>
      <c r="D14" s="16" t="s">
        <v>27</v>
      </c>
      <c r="E14" s="15">
        <v>0.46999999999999997</v>
      </c>
      <c r="F14" s="15">
        <f>E14*0.09</f>
        <v>0.042299999999999997</v>
      </c>
      <c r="G14" s="6">
        <v>209.791</v>
      </c>
      <c r="H14" s="18">
        <f>SQRT(G14)</f>
        <v>14.484163765989392</v>
      </c>
      <c r="I14" s="17">
        <f t="shared" si="1"/>
        <v>9.096745479077704</v>
      </c>
      <c r="J14" s="18">
        <f t="shared" si="2"/>
        <v>1.2238419372742888</v>
      </c>
      <c r="K14" s="18">
        <f t="shared" si="3"/>
        <v>0.069048452667454505</v>
      </c>
    </row>
    <row r="15">
      <c r="A15" s="2"/>
      <c r="B15" s="2"/>
      <c r="C15" s="2"/>
      <c r="D15" s="2"/>
      <c r="E15" s="15"/>
      <c r="F15" s="2" t="s">
        <v>31</v>
      </c>
      <c r="G15" s="2"/>
      <c r="H15" s="2"/>
      <c r="I15" s="2"/>
      <c r="J15" s="19">
        <f>J10/I10</f>
        <v>0.13453624047073712</v>
      </c>
      <c r="K15" s="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K4" activeCellId="0" sqref="K4"/>
    </sheetView>
  </sheetViews>
  <sheetFormatPr defaultColWidth="12.5703125" defaultRowHeight="15" customHeight="1"/>
  <cols>
    <col bestFit="1" customWidth="1" min="2" max="2" width="7.00390625"/>
    <col bestFit="1" customWidth="1" min="3" max="3" width="6"/>
    <col bestFit="1" customWidth="1" min="4" max="4" width="15.5703125"/>
    <col bestFit="1" customWidth="1" min="5" max="5" width="14.7109375"/>
    <col bestFit="1" customWidth="1" min="6" max="6" width="14"/>
    <col bestFit="1" customWidth="1" min="7" max="7" width="14.28515625"/>
    <col bestFit="1" customWidth="1" min="8" max="8" width="8.85546875"/>
    <col bestFit="1" customWidth="1" min="9" max="9" width="13.85546875"/>
    <col bestFit="1" customWidth="1" min="10" max="10" width="13.140625"/>
    <col bestFit="1" customWidth="1" min="11" max="11" width="14.42578125"/>
    <col bestFit="1" customWidth="1" min="12" max="12" width="13.140625"/>
    <col bestFit="1" customWidth="1" min="13" max="13" width="17.5703125"/>
    <col bestFit="1" customWidth="1" min="14" max="14" width="10.140625"/>
  </cols>
  <sheetData>
    <row r="1">
      <c r="B1" s="20" t="s">
        <v>32</v>
      </c>
      <c r="C1" s="21" t="s">
        <v>33</v>
      </c>
      <c r="D1" s="21" t="s">
        <v>34</v>
      </c>
      <c r="E1" s="21" t="s">
        <v>35</v>
      </c>
      <c r="F1" s="21" t="s">
        <v>36</v>
      </c>
      <c r="G1" s="21" t="s">
        <v>37</v>
      </c>
      <c r="H1" s="21" t="s">
        <v>38</v>
      </c>
      <c r="I1" s="21" t="s">
        <v>39</v>
      </c>
      <c r="J1" s="21" t="s">
        <v>40</v>
      </c>
      <c r="K1" s="21" t="s">
        <v>41</v>
      </c>
      <c r="L1" s="21" t="s">
        <v>42</v>
      </c>
      <c r="M1" s="21" t="s">
        <v>43</v>
      </c>
      <c r="N1" s="22" t="s">
        <v>44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B2" s="24">
        <f t="shared" ref="B2:B8" si="5">SQRT(C2)</f>
        <v>0.38078865529319539</v>
      </c>
      <c r="C2" s="25">
        <v>0.14499999999999999</v>
      </c>
      <c r="D2" s="25">
        <v>0.029999999999999999</v>
      </c>
      <c r="E2" s="26">
        <v>2.7970000000000002e-05</v>
      </c>
      <c r="F2" s="27">
        <f>E2*0.15</f>
        <v>4.1954999999999999e-06</v>
      </c>
      <c r="G2" s="25">
        <v>0.014</v>
      </c>
      <c r="H2" s="25">
        <v>0.0080000000000000002</v>
      </c>
      <c r="I2" s="28">
        <f t="shared" ref="I2:I8" si="6">C2*E2</f>
        <v>4.0556499999999999e-06</v>
      </c>
      <c r="J2" s="28">
        <f t="shared" ref="J2:J8" si="7">I2*SQRT((D2/C2)^2 + (F2/E2)^2)</f>
        <v>1.0364243777315592e-06</v>
      </c>
      <c r="K2" s="28">
        <f t="shared" ref="K2:K8" si="8">I2*G2</f>
        <v>5.6779100000000001e-08</v>
      </c>
      <c r="L2" s="28">
        <f t="shared" ref="L2:L8" si="9">K2*SQRT((H2/G2)^2 + (J2/I2)^2)</f>
        <v>3.5541938596933971e-08</v>
      </c>
      <c r="M2" s="28">
        <f t="shared" ref="M2:M8" si="10">(2*3+1)/((2*0.5+1)*(2*5/2+1)) * I2/(1/G2+1)</f>
        <v>3.2663847797501645e-08</v>
      </c>
      <c r="N2" s="28">
        <f t="shared" ref="N2:N8" si="11">M2*SQRT((J2/I2)^2 + (H2/(1/G2+1))^2)</f>
        <v>8.3472714090174738e-09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B3" s="24">
        <f t="shared" si="5"/>
        <v>0.3872983346207417</v>
      </c>
      <c r="C3" s="25">
        <v>0.14999999999999999</v>
      </c>
      <c r="D3" s="25">
        <v>0.02</v>
      </c>
      <c r="E3" s="26">
        <v>2.7455000000000001e-05</v>
      </c>
      <c r="F3" s="27">
        <v>5.2104999999999997e-07</v>
      </c>
      <c r="G3" s="25">
        <v>0.017999999999999999</v>
      </c>
      <c r="H3" s="25">
        <v>0.0050000000000000001</v>
      </c>
      <c r="I3" s="28">
        <f t="shared" si="6"/>
        <v>4.1182499999999999e-06</v>
      </c>
      <c r="J3" s="28">
        <f t="shared" si="7"/>
        <v>5.546344785588523e-07</v>
      </c>
      <c r="K3" s="28">
        <f t="shared" si="8"/>
        <v>7.4128499999999988e-08</v>
      </c>
      <c r="L3" s="28">
        <f t="shared" si="9"/>
        <v>2.2883799153980634e-08</v>
      </c>
      <c r="M3" s="28">
        <f t="shared" si="10"/>
        <v>4.2477038310412577e-08</v>
      </c>
      <c r="N3" s="28">
        <f t="shared" si="11"/>
        <v>5.7206908444469863e-09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t="s">
        <v>45</v>
      </c>
      <c r="B4" s="29">
        <f t="shared" si="5"/>
        <v>0.28284271247461901</v>
      </c>
      <c r="C4" s="2">
        <v>0.080000000000000002</v>
      </c>
      <c r="D4" s="2">
        <v>0.02</v>
      </c>
      <c r="E4" s="9">
        <v>2.758e-05</v>
      </c>
      <c r="F4" s="9">
        <f t="shared" ref="F4:F8" si="12">0.000005</f>
        <v>5.0000000000000004e-06</v>
      </c>
      <c r="G4" s="2">
        <v>0.014</v>
      </c>
      <c r="H4" s="2">
        <v>0.0080000000000000002</v>
      </c>
      <c r="I4" s="7">
        <f t="shared" si="6"/>
        <v>2.2064000000000002e-06</v>
      </c>
      <c r="J4" s="7">
        <f t="shared" si="7"/>
        <v>6.8136815305677454e-07</v>
      </c>
      <c r="K4" s="7">
        <f t="shared" si="8"/>
        <v>3.0889600000000005e-08</v>
      </c>
      <c r="L4" s="7">
        <f t="shared" si="9"/>
        <v>2.0063905980640959e-08</v>
      </c>
      <c r="M4" s="7">
        <f t="shared" si="10"/>
        <v>1.7770151216305065e-08</v>
      </c>
      <c r="N4" s="7">
        <f t="shared" si="11"/>
        <v>5.4876794272431526e-09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="30" customFormat="1">
      <c r="A5" s="30" t="s">
        <v>46</v>
      </c>
      <c r="B5" s="31">
        <f t="shared" si="5"/>
        <v>0.28284271247461901</v>
      </c>
      <c r="C5" s="32">
        <v>0.080000000000000002</v>
      </c>
      <c r="D5" s="32">
        <v>0.02</v>
      </c>
      <c r="E5" s="33">
        <v>2.758e-05</v>
      </c>
      <c r="F5" s="33">
        <f t="shared" si="12"/>
        <v>5.0000000000000004e-06</v>
      </c>
      <c r="G5" s="32">
        <v>0.020799999999999999</v>
      </c>
      <c r="H5" s="32">
        <v>0.0080000000000000002</v>
      </c>
      <c r="I5" s="34">
        <f t="shared" si="6"/>
        <v>2.2064000000000002e-06</v>
      </c>
      <c r="J5" s="34">
        <f t="shared" si="7"/>
        <v>6.8136815305677454e-07</v>
      </c>
      <c r="K5" s="34">
        <f t="shared" si="8"/>
        <v>4.5893120000000005e-08</v>
      </c>
      <c r="L5" s="34">
        <f t="shared" si="9"/>
        <v>2.2636771311262571e-08</v>
      </c>
      <c r="M5" s="34">
        <f t="shared" si="10"/>
        <v>2.6225496342737725e-08</v>
      </c>
      <c r="N5" s="34">
        <f t="shared" si="11"/>
        <v>8.0988127699018375e-09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>
      <c r="A6" t="s">
        <v>47</v>
      </c>
      <c r="B6" s="29">
        <f t="shared" si="5"/>
        <v>0.28284271247461901</v>
      </c>
      <c r="C6" s="2">
        <v>0.080000000000000002</v>
      </c>
      <c r="D6" s="2">
        <v>0.02</v>
      </c>
      <c r="E6" s="9">
        <v>2.758e-05</v>
      </c>
      <c r="F6" s="9">
        <f t="shared" si="12"/>
        <v>5.0000000000000004e-06</v>
      </c>
      <c r="G6" s="2">
        <v>0.024500000000000001</v>
      </c>
      <c r="H6" s="2">
        <v>0.0080000000000000002</v>
      </c>
      <c r="I6" s="7">
        <f t="shared" si="6"/>
        <v>2.2064000000000002e-06</v>
      </c>
      <c r="J6" s="7">
        <f t="shared" si="7"/>
        <v>6.8136815305677454e-07</v>
      </c>
      <c r="K6" s="7">
        <f t="shared" si="8"/>
        <v>5.4056800000000008e-08</v>
      </c>
      <c r="L6" s="7">
        <f t="shared" si="9"/>
        <v>2.4294823791910905e-08</v>
      </c>
      <c r="M6" s="7">
        <f t="shared" si="10"/>
        <v>3.0779046689442013e-08</v>
      </c>
      <c r="N6" s="7">
        <f t="shared" si="11"/>
        <v>9.5050155094374853e-09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="36" customFormat="1">
      <c r="B7" s="37">
        <f>SQRT(C7)</f>
        <v>0.28284271247461901</v>
      </c>
      <c r="C7" s="38">
        <v>0.080000000000000002</v>
      </c>
      <c r="D7" s="38">
        <v>0.02</v>
      </c>
      <c r="E7" s="39">
        <v>2.9300000000000001e-05</v>
      </c>
      <c r="F7" s="39">
        <f>0.000005</f>
        <v>5.0000000000000004e-06</v>
      </c>
      <c r="G7" s="38">
        <v>0.020799999999999999</v>
      </c>
      <c r="H7" s="38">
        <v>0.0080000000000000002</v>
      </c>
      <c r="I7" s="40">
        <f>C7*E7</f>
        <v>2.3439999999999999e-06</v>
      </c>
      <c r="J7" s="40">
        <f>I7*SQRT((D7/C7)^2+(F7/E7)^2)</f>
        <v>7.0950405213782955e-07</v>
      </c>
      <c r="K7" s="40">
        <f>I7*G7</f>
        <v>4.8755199999999993e-08</v>
      </c>
      <c r="L7" s="40">
        <f>K7*SQRT((H7/G7)^2+(J7/I7)^2)</f>
        <v>2.3862664340764632e-08</v>
      </c>
      <c r="M7" s="40">
        <f>(2*3+1)/((2*0.5+1)*(2*5/2+1))*I7/(1/G7+1)</f>
        <v>2.7861024033437828e-08</v>
      </c>
      <c r="N7" s="40">
        <f>M7*SQRT((J7/I7)^2+(H7/(1/G7+1))^2)</f>
        <v>8.4332390422092981e-09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>
      <c r="B8" s="29">
        <f t="shared" si="5"/>
        <v>0.28284271247461901</v>
      </c>
      <c r="C8" s="2">
        <v>0.080000000000000002</v>
      </c>
      <c r="D8" s="2">
        <v>0.02</v>
      </c>
      <c r="E8" s="9">
        <v>2.758e-05</v>
      </c>
      <c r="F8" s="9">
        <f t="shared" si="12"/>
        <v>5.0000000000000004e-06</v>
      </c>
      <c r="G8" s="2">
        <v>0.014</v>
      </c>
      <c r="H8" s="2">
        <v>0.0080000000000000002</v>
      </c>
      <c r="I8" s="7">
        <f t="shared" si="6"/>
        <v>2.2064000000000002e-06</v>
      </c>
      <c r="J8" s="7">
        <f t="shared" si="7"/>
        <v>6.8136815305677454e-07</v>
      </c>
      <c r="K8" s="7">
        <f t="shared" si="8"/>
        <v>3.0889600000000005e-08</v>
      </c>
      <c r="L8" s="7">
        <f t="shared" si="9"/>
        <v>2.0063905980640959e-08</v>
      </c>
      <c r="M8" s="7">
        <f t="shared" si="10"/>
        <v>1.7770151216305065e-08</v>
      </c>
      <c r="N8" s="7">
        <f t="shared" si="11"/>
        <v>5.4876794272431526e-09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B9" s="2"/>
      <c r="C9" s="2"/>
      <c r="D9" s="19">
        <f>D8/C8</f>
        <v>0.25</v>
      </c>
      <c r="E9" s="2"/>
      <c r="F9" s="19">
        <f>F8/E8</f>
        <v>0.18129079042784627</v>
      </c>
      <c r="G9" s="2"/>
      <c r="H9" s="19">
        <f>H8/G8</f>
        <v>0.5714285714285714</v>
      </c>
      <c r="I9" s="2"/>
      <c r="J9" s="19">
        <f>J8/I8</f>
        <v>0.30881442760006095</v>
      </c>
      <c r="K9" s="2"/>
      <c r="L9" s="19">
        <f>L8/K8</f>
        <v>0.64953595969649836</v>
      </c>
      <c r="M9" s="2"/>
      <c r="N9" s="19">
        <f>N8/M8</f>
        <v>0.30881444735303731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B10" s="29"/>
      <c r="C10" s="2"/>
      <c r="D10" s="2"/>
      <c r="E10" s="9"/>
      <c r="F10" s="9"/>
      <c r="G10" s="2"/>
      <c r="H10" s="2"/>
      <c r="I10" s="7">
        <v>2.9000000000000002e-06</v>
      </c>
      <c r="J10" s="7">
        <v>9.9999999999999995e-07</v>
      </c>
      <c r="K10" s="7">
        <v>9.2000000000000003e-08</v>
      </c>
      <c r="L10" s="7"/>
      <c r="M10" s="7">
        <f t="shared" ref="M10:M12" si="13">(2*3+1)/((2*0.5+1)*(2*5/2+1)) * I10*K10/(I10+K10)</f>
        <v>5.2016488413547237e-08</v>
      </c>
      <c r="N10" s="7" t="s">
        <v>48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B11" s="2"/>
      <c r="C11" s="2"/>
      <c r="D11" s="19"/>
      <c r="E11" s="2"/>
      <c r="F11" s="19"/>
      <c r="G11" s="2"/>
      <c r="H11" s="19"/>
      <c r="I11" s="7">
        <v>2.9000000000000002e-06</v>
      </c>
      <c r="J11" s="7">
        <v>9.9999999999999995e-07</v>
      </c>
      <c r="K11" s="7">
        <v>3.2999999999999998e-08</v>
      </c>
      <c r="L11" s="7"/>
      <c r="M11" s="7">
        <f t="shared" si="13"/>
        <v>1.9033412887828163e-08</v>
      </c>
      <c r="N11" s="2" t="s">
        <v>48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B12" s="23"/>
      <c r="C12" s="23"/>
      <c r="D12" s="23"/>
      <c r="E12" s="23"/>
      <c r="F12" s="23"/>
      <c r="G12" s="23"/>
      <c r="H12" s="23"/>
      <c r="I12" s="7">
        <v>2.2064000000000002e-06</v>
      </c>
      <c r="J12" s="7">
        <v>6.8136815305677454e-07</v>
      </c>
      <c r="K12" s="7">
        <v>3.0889600000000005e-08</v>
      </c>
      <c r="L12" s="7"/>
      <c r="M12" s="7">
        <f t="shared" si="13"/>
        <v>1.7770151216305068e-08</v>
      </c>
      <c r="N12" s="23" t="s">
        <v>49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B13" s="23"/>
      <c r="C13" s="23"/>
      <c r="D13" s="23"/>
      <c r="E13" s="23"/>
      <c r="F13" s="23"/>
      <c r="G13" s="23"/>
      <c r="H13" s="23"/>
      <c r="I13" s="7"/>
      <c r="J13" s="7"/>
      <c r="K13" s="7"/>
      <c r="L13" s="7"/>
      <c r="M13" s="7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  <row r="1002"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</row>
    <row r="1003"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</row>
    <row r="1004"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" zoomScale="100" workbookViewId="0">
      <selection activeCell="C30" activeCellId="0" sqref="C30"/>
    </sheetView>
  </sheetViews>
  <sheetFormatPr defaultColWidth="12.5703125" defaultRowHeight="15" customHeight="1"/>
  <cols>
    <col customWidth="1" min="1" max="1" style="42" width="10.42578125"/>
    <col customWidth="1" min="2" max="2" width="12.28515625"/>
    <col customWidth="1" min="3" max="3" width="11.5703125"/>
    <col customWidth="1" min="4" max="4" width="14.140625"/>
    <col customWidth="1" min="5" max="5" width="13.28515625"/>
    <col customWidth="1" min="6" max="6" width="11.42578125"/>
    <col customWidth="1" min="7" max="7" width="18.140625"/>
    <col customWidth="1" min="8" max="8" width="5.140625"/>
    <col customWidth="1" min="9" max="9" width="12.42578125"/>
    <col customWidth="1" min="10" max="10" width="5.140625"/>
    <col customWidth="1" min="11" max="11" width="10.140625"/>
    <col customWidth="1" min="12" max="12" width="5.140625"/>
    <col customWidth="1" min="13" max="13" width="15"/>
    <col customWidth="1" min="14" max="14" width="11.42578125"/>
    <col customWidth="1" min="15" max="15" width="13.42578125"/>
    <col customWidth="1" min="16" max="16" width="11.42578125"/>
    <col customWidth="1" min="17" max="17" width="8.7109375"/>
    <col customWidth="1" min="18" max="18" width="6.140625"/>
    <col customWidth="1" min="19" max="19" width="11.42578125"/>
    <col customWidth="1" min="20" max="20" width="8.42578125"/>
    <col customWidth="1" min="21" max="21" width="5.140625"/>
    <col customWidth="1" min="22" max="22" width="6.140625"/>
    <col customWidth="1" min="23" max="23" width="6.42578125"/>
    <col customWidth="1" min="24" max="24" width="4.28515625"/>
    <col customWidth="1" min="25" max="25" width="10"/>
    <col customWidth="1" min="26" max="27" width="9"/>
    <col customWidth="1" min="28" max="28" width="7.85546875"/>
  </cols>
  <sheetData>
    <row r="1" ht="15.75" customHeight="1">
      <c r="A1" s="29"/>
      <c r="B1" s="2" t="s">
        <v>50</v>
      </c>
      <c r="C1" s="2"/>
      <c r="D1" s="2"/>
      <c r="E1" s="43" t="s">
        <v>51</v>
      </c>
      <c r="F1" s="2"/>
      <c r="G1" s="43" t="s">
        <v>51</v>
      </c>
      <c r="H1" s="2"/>
      <c r="I1" s="43" t="s">
        <v>52</v>
      </c>
      <c r="J1" s="2"/>
      <c r="K1" s="43" t="s">
        <v>51</v>
      </c>
      <c r="L1" s="2"/>
      <c r="M1" s="43" t="s">
        <v>53</v>
      </c>
      <c r="N1" s="2"/>
      <c r="O1" s="43" t="s">
        <v>53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44" t="s">
        <v>54</v>
      </c>
      <c r="B2" s="43" t="s">
        <v>55</v>
      </c>
      <c r="C2" s="43" t="s">
        <v>19</v>
      </c>
      <c r="D2" s="43" t="s">
        <v>56</v>
      </c>
      <c r="E2" s="43" t="s">
        <v>57</v>
      </c>
      <c r="F2" s="43"/>
      <c r="G2" s="43" t="s">
        <v>58</v>
      </c>
      <c r="H2" s="43"/>
      <c r="I2" s="43" t="s">
        <v>59</v>
      </c>
      <c r="J2" s="43"/>
      <c r="K2" s="43" t="s">
        <v>60</v>
      </c>
      <c r="L2" s="43"/>
      <c r="M2" s="43" t="s">
        <v>61</v>
      </c>
      <c r="N2" s="43"/>
      <c r="O2" s="43" t="s">
        <v>62</v>
      </c>
      <c r="P2" s="43"/>
      <c r="Q2" s="43" t="s">
        <v>63</v>
      </c>
      <c r="R2" s="43"/>
      <c r="S2" s="2"/>
      <c r="T2" s="45" t="s">
        <v>64</v>
      </c>
      <c r="U2" s="45" t="s">
        <v>65</v>
      </c>
      <c r="V2" s="45" t="s">
        <v>66</v>
      </c>
      <c r="W2" s="45" t="s">
        <v>19</v>
      </c>
      <c r="X2" s="45" t="s">
        <v>67</v>
      </c>
      <c r="Y2" s="45" t="s">
        <v>68</v>
      </c>
      <c r="Z2" s="45" t="s">
        <v>69</v>
      </c>
      <c r="AA2" s="45" t="s">
        <v>70</v>
      </c>
      <c r="AB2" s="45" t="s">
        <v>71</v>
      </c>
    </row>
    <row r="3" ht="15.75" customHeight="1">
      <c r="A3" s="29">
        <v>5.6900000000000004</v>
      </c>
      <c r="B3" s="2">
        <v>5.6749000000000001</v>
      </c>
      <c r="C3" s="2" t="s">
        <v>72</v>
      </c>
      <c r="D3" s="2">
        <v>2</v>
      </c>
      <c r="E3" s="2"/>
      <c r="F3" s="46"/>
      <c r="G3" s="2"/>
      <c r="H3" s="46"/>
      <c r="I3" s="2">
        <v>0.20000000000000001</v>
      </c>
      <c r="J3" s="46">
        <v>0.040000000000000001</v>
      </c>
      <c r="K3" s="7">
        <v>0.0057000000000000002</v>
      </c>
      <c r="L3" s="46"/>
      <c r="M3" s="7">
        <v>0.0035000000000000001</v>
      </c>
      <c r="N3" s="46"/>
      <c r="O3" s="2"/>
      <c r="P3" s="46"/>
      <c r="Q3" s="2"/>
      <c r="R3" s="46"/>
      <c r="S3" s="2"/>
      <c r="T3" s="2" t="s">
        <v>73</v>
      </c>
      <c r="U3" s="2">
        <v>5.6749999999999998</v>
      </c>
      <c r="V3" s="2">
        <v>0.161</v>
      </c>
      <c r="W3" s="16" t="s">
        <v>72</v>
      </c>
      <c r="X3" s="2"/>
      <c r="Y3" s="2"/>
      <c r="Z3" s="7">
        <v>1.3e-15</v>
      </c>
      <c r="AA3" s="7">
        <v>1.1999999999999999e-07</v>
      </c>
      <c r="AB3" s="7">
        <f t="shared" ref="AB3:AB8" si="14">Z3*AA3/(Z3+AA3)</f>
        <v>1.299999985916667e-15</v>
      </c>
    </row>
    <row r="4" ht="15.75" customHeight="1">
      <c r="A4" s="29">
        <v>6.125</v>
      </c>
      <c r="B4" s="2">
        <v>5.915</v>
      </c>
      <c r="C4" s="2" t="s">
        <v>27</v>
      </c>
      <c r="D4" s="2">
        <v>0</v>
      </c>
      <c r="E4" s="2">
        <v>0.121</v>
      </c>
      <c r="F4" s="46"/>
      <c r="G4" s="2">
        <v>0.106</v>
      </c>
      <c r="H4" s="47">
        <v>0.012999999999999999</v>
      </c>
      <c r="I4" s="2">
        <v>0.14000000000000001</v>
      </c>
      <c r="J4" s="47">
        <v>0.029999999999999999</v>
      </c>
      <c r="K4" s="2">
        <v>0.11</v>
      </c>
      <c r="L4" s="47">
        <v>0.02</v>
      </c>
      <c r="M4" s="2">
        <v>0.14000000000000001</v>
      </c>
      <c r="N4" s="46"/>
      <c r="O4" s="2">
        <v>0.14999999999999999</v>
      </c>
      <c r="P4" s="46"/>
      <c r="Q4" s="15">
        <v>0.17430625</v>
      </c>
      <c r="R4" s="48">
        <v>0.043099999999999999</v>
      </c>
      <c r="S4" s="2"/>
      <c r="T4" s="2" t="s">
        <v>74</v>
      </c>
      <c r="U4" s="2"/>
      <c r="V4" s="2"/>
      <c r="W4" s="2"/>
      <c r="X4" s="2"/>
      <c r="Y4" s="2"/>
      <c r="Z4" s="7">
        <v>1.3e-15</v>
      </c>
      <c r="AA4" s="7">
        <v>1.1000000000000001e-07</v>
      </c>
      <c r="AB4" s="7">
        <f t="shared" si="14"/>
        <v>1.2999999846363637e-15</v>
      </c>
    </row>
    <row r="5" ht="15.75" customHeight="1">
      <c r="A5" s="29"/>
      <c r="B5" s="2"/>
      <c r="C5" s="2"/>
      <c r="D5" s="2">
        <v>2</v>
      </c>
      <c r="E5" s="2">
        <v>0.20599999999999999</v>
      </c>
      <c r="F5" s="46"/>
      <c r="G5" s="2">
        <v>0.59999999999999998</v>
      </c>
      <c r="H5" s="47">
        <v>0.14000000000000001</v>
      </c>
      <c r="I5" s="2">
        <v>0.29999999999999999</v>
      </c>
      <c r="J5" s="47">
        <v>0.059999999999999998</v>
      </c>
      <c r="K5" s="2">
        <v>0.27000000000000002</v>
      </c>
      <c r="L5" s="47">
        <v>0.059999999999999998</v>
      </c>
      <c r="M5" s="2">
        <v>0.33000000000000002</v>
      </c>
      <c r="N5" s="46"/>
      <c r="O5" s="2">
        <v>0.27000000000000002</v>
      </c>
      <c r="P5" s="46"/>
      <c r="Q5" s="15">
        <v>0.23357889000000001</v>
      </c>
      <c r="R5" s="48">
        <v>0.058599999999999999</v>
      </c>
      <c r="S5" s="2"/>
      <c r="T5" s="2" t="s">
        <v>75</v>
      </c>
      <c r="U5" s="2"/>
      <c r="V5" s="2"/>
      <c r="W5" s="2"/>
      <c r="X5" s="2"/>
      <c r="Y5" s="2"/>
      <c r="Z5" s="7">
        <v>1.3e-15</v>
      </c>
      <c r="AA5" s="7">
        <v>1.1000000000000001e-07</v>
      </c>
      <c r="AB5" s="7">
        <f t="shared" si="14"/>
        <v>1.2999999846363637e-15</v>
      </c>
    </row>
    <row r="6" ht="15.75" customHeight="1">
      <c r="A6" s="29">
        <v>6.2560000000000002</v>
      </c>
      <c r="B6" s="2">
        <v>5.9459999999999997</v>
      </c>
      <c r="C6" s="2" t="s">
        <v>76</v>
      </c>
      <c r="D6" s="2">
        <v>2</v>
      </c>
      <c r="E6" s="2"/>
      <c r="F6" s="46"/>
      <c r="G6" s="2">
        <v>0.053999999999999999</v>
      </c>
      <c r="H6" s="46">
        <v>0.010999999999999999</v>
      </c>
      <c r="I6" s="2">
        <v>0.042000000000000003</v>
      </c>
      <c r="J6" s="46">
        <v>0.01</v>
      </c>
      <c r="K6" s="2">
        <v>0.039</v>
      </c>
      <c r="L6" s="46"/>
      <c r="M6" s="2"/>
      <c r="N6" s="46"/>
      <c r="O6" s="2"/>
      <c r="P6" s="46"/>
      <c r="Q6" s="2"/>
      <c r="R6" s="46"/>
      <c r="S6" s="2"/>
      <c r="T6" s="2" t="s">
        <v>77</v>
      </c>
      <c r="U6" s="2"/>
      <c r="V6" s="2"/>
      <c r="W6" s="2"/>
      <c r="X6" s="2"/>
      <c r="Y6" s="2"/>
      <c r="Z6" s="7">
        <v>1e-14</v>
      </c>
      <c r="AA6" s="7">
        <v>1.1999999999999999e-07</v>
      </c>
      <c r="AB6" s="7">
        <f t="shared" si="14"/>
        <v>9.9999991666667362e-15</v>
      </c>
    </row>
    <row r="7" ht="15.75" customHeight="1">
      <c r="A7" s="2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9"/>
      <c r="B8" s="2"/>
      <c r="C8" s="2"/>
      <c r="D8" s="2" t="s">
        <v>78</v>
      </c>
      <c r="E8" s="49">
        <f>E4/E5</f>
        <v>0.58737864077669899</v>
      </c>
      <c r="F8" s="49"/>
      <c r="G8" s="49">
        <f>G4/G5</f>
        <v>0.17666666666666667</v>
      </c>
      <c r="H8" s="49"/>
      <c r="I8" s="49">
        <f>I4/I5</f>
        <v>0.46666666666666673</v>
      </c>
      <c r="J8" s="49"/>
      <c r="K8" s="49">
        <f>K4/K5</f>
        <v>0.40740740740740738</v>
      </c>
      <c r="L8" s="49"/>
      <c r="M8" s="49">
        <f>M4/M5</f>
        <v>0.42424242424242425</v>
      </c>
      <c r="N8" s="49"/>
      <c r="O8" s="49">
        <f>O4/O5</f>
        <v>0.55555555555555547</v>
      </c>
      <c r="P8" s="49"/>
      <c r="Q8" s="49">
        <f>Q4/Q5</f>
        <v>0.74624145187092883</v>
      </c>
      <c r="R8" s="2"/>
      <c r="S8" s="2"/>
      <c r="T8" s="2" t="s">
        <v>77</v>
      </c>
      <c r="U8" s="2">
        <v>5.8899999999999997</v>
      </c>
      <c r="V8" s="2">
        <v>0.376</v>
      </c>
      <c r="W8" s="16" t="s">
        <v>76</v>
      </c>
      <c r="X8" s="2"/>
      <c r="Y8" s="2"/>
      <c r="Z8" s="7">
        <v>4.2000000000000004e-09</v>
      </c>
      <c r="AA8" s="7">
        <v>8.7999999999999994e-09</v>
      </c>
      <c r="AB8" s="7">
        <f t="shared" si="14"/>
        <v>2.8430769230769229e-09</v>
      </c>
    </row>
    <row r="9" ht="15.75" customHeight="1">
      <c r="A9" s="29"/>
      <c r="B9" s="2"/>
      <c r="C9" s="2"/>
      <c r="D9" s="2"/>
      <c r="E9" s="49"/>
      <c r="F9" s="2"/>
      <c r="G9" s="49"/>
      <c r="H9" s="2"/>
      <c r="I9" s="49"/>
      <c r="J9" s="2"/>
      <c r="K9" s="49"/>
      <c r="L9" s="2"/>
      <c r="M9" s="49"/>
      <c r="N9" s="2"/>
      <c r="O9" s="49"/>
      <c r="P9" s="2"/>
      <c r="Q9" s="49"/>
      <c r="R9" s="2"/>
      <c r="S9" s="2"/>
      <c r="T9" s="45" t="s">
        <v>64</v>
      </c>
      <c r="U9" s="45" t="s">
        <v>65</v>
      </c>
      <c r="V9" s="45" t="s">
        <v>66</v>
      </c>
      <c r="W9" s="45" t="s">
        <v>19</v>
      </c>
      <c r="X9" s="45" t="s">
        <v>67</v>
      </c>
      <c r="Y9" s="45" t="s">
        <v>68</v>
      </c>
      <c r="Z9" s="45" t="s">
        <v>69</v>
      </c>
      <c r="AA9" s="45" t="s">
        <v>70</v>
      </c>
      <c r="AB9" s="45" t="s">
        <v>71</v>
      </c>
    </row>
    <row r="10" ht="15.75" customHeight="1">
      <c r="A10" s="29"/>
      <c r="B10" s="2"/>
      <c r="C10" s="2"/>
      <c r="D10" s="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2"/>
      <c r="Q10" s="2"/>
      <c r="R10" s="2"/>
      <c r="S10" s="2"/>
      <c r="T10" s="2" t="s">
        <v>73</v>
      </c>
      <c r="U10" s="2">
        <v>5.9269999999999996</v>
      </c>
      <c r="V10" s="2">
        <v>0.4138</v>
      </c>
      <c r="W10" s="16" t="s">
        <v>27</v>
      </c>
      <c r="X10" s="2"/>
      <c r="Y10" s="2"/>
      <c r="Z10" s="7">
        <v>2.9000000000000002e-06</v>
      </c>
      <c r="AA10" s="7">
        <v>9.2000000000000003e-08</v>
      </c>
      <c r="AB10" s="7">
        <f t="shared" ref="AB10:AB17" si="15">Z10*AA10/(Z10+AA10)</f>
        <v>8.9171122994652411e-08</v>
      </c>
    </row>
    <row r="11" ht="15.75" customHeight="1">
      <c r="A11" s="29"/>
      <c r="B11" s="2"/>
      <c r="C11" s="2"/>
      <c r="D11" s="2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49"/>
      <c r="Q11" s="49"/>
      <c r="R11" s="2"/>
      <c r="S11" s="2"/>
      <c r="T11" s="2" t="s">
        <v>74</v>
      </c>
      <c r="U11" s="2"/>
      <c r="V11" s="2"/>
      <c r="W11" s="2"/>
      <c r="X11" s="2"/>
      <c r="Y11" s="2"/>
      <c r="Z11" s="7">
        <v>2.3e-06</v>
      </c>
      <c r="AA11" s="7">
        <v>3.2999999999999998e-08</v>
      </c>
      <c r="AB11" s="7">
        <f t="shared" si="15"/>
        <v>3.2533219031290182e-08</v>
      </c>
    </row>
    <row r="12" ht="15.75" customHeight="1">
      <c r="A12" s="29"/>
      <c r="B12" s="2"/>
      <c r="C12" s="2"/>
      <c r="D12" s="2"/>
      <c r="E12" s="2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2"/>
      <c r="S12" s="2"/>
      <c r="T12" s="2" t="s">
        <v>75</v>
      </c>
      <c r="U12" s="2"/>
      <c r="V12" s="2"/>
      <c r="W12" s="2"/>
      <c r="X12" s="2"/>
      <c r="Y12" s="2"/>
      <c r="Z12" s="7">
        <v>2.3e-06</v>
      </c>
      <c r="AA12" s="7">
        <v>3.2999999999999998e-08</v>
      </c>
      <c r="AB12" s="7">
        <f t="shared" si="15"/>
        <v>3.2533219031290182e-08</v>
      </c>
    </row>
    <row r="13" ht="15.75" customHeight="1">
      <c r="A13" s="29"/>
      <c r="B13" s="2"/>
      <c r="C13" s="2"/>
      <c r="D13" s="2"/>
      <c r="E13" s="49">
        <v>0.58738000000000001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 t="s">
        <v>77</v>
      </c>
      <c r="U13" s="2"/>
      <c r="V13" s="2"/>
      <c r="W13" s="2"/>
      <c r="X13" s="2"/>
      <c r="Y13" s="2"/>
      <c r="Z13" s="7">
        <v>2.9000000000000002e-06</v>
      </c>
      <c r="AA13" s="7">
        <v>4.0000000000000001e-08</v>
      </c>
      <c r="AB13" s="7">
        <f t="shared" si="15"/>
        <v>3.9455782312925168e-08</v>
      </c>
    </row>
    <row r="14" ht="15.75" customHeight="1">
      <c r="A14" s="29" t="s">
        <v>79</v>
      </c>
      <c r="B14">
        <v>25992333.82</v>
      </c>
      <c r="C14">
        <v>0.12</v>
      </c>
      <c r="D14" s="2"/>
      <c r="E14" s="2">
        <v>0.46666666666666701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5.75" customHeight="1">
      <c r="A15" s="29" t="s">
        <v>80</v>
      </c>
      <c r="B15">
        <v>24990428.309999999</v>
      </c>
      <c r="C15">
        <v>0.070000000000000007</v>
      </c>
      <c r="D15" s="2"/>
      <c r="E15" s="2">
        <v>0.407407407407407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 t="s">
        <v>73</v>
      </c>
      <c r="U15" s="2">
        <v>5.9489999999999998</v>
      </c>
      <c r="V15" s="2">
        <v>0.43590000000000001</v>
      </c>
      <c r="W15" s="16" t="s">
        <v>81</v>
      </c>
      <c r="X15" s="2"/>
      <c r="Y15" s="2"/>
      <c r="Z15" s="7">
        <v>1.9000000000000001e-08</v>
      </c>
      <c r="AA15" s="7">
        <v>5.6999999999999998e-09</v>
      </c>
      <c r="AB15" s="7">
        <f t="shared" si="15"/>
        <v>4.3846153846153843e-09</v>
      </c>
    </row>
    <row r="16" ht="15.75" customHeight="1">
      <c r="A16" s="29" t="s">
        <v>82</v>
      </c>
      <c r="B16">
        <v>1007825.0318999999</v>
      </c>
      <c r="C16">
        <v>1.0000000000000001e-05</v>
      </c>
      <c r="D16" s="2"/>
      <c r="E16" s="2">
        <v>0.42424242424242398</v>
      </c>
      <c r="F16" s="2"/>
      <c r="G16" s="2" t="s">
        <v>83</v>
      </c>
      <c r="H16" s="2"/>
      <c r="I16" s="2" t="s">
        <v>84</v>
      </c>
      <c r="J16" s="2"/>
      <c r="K16" s="2" t="s">
        <v>85</v>
      </c>
      <c r="L16" s="2"/>
      <c r="M16" s="2"/>
      <c r="N16" s="2"/>
      <c r="O16" s="2"/>
      <c r="P16" s="2"/>
      <c r="Q16" s="2"/>
      <c r="R16" s="2"/>
      <c r="S16" s="2"/>
      <c r="T16" s="2" t="s">
        <v>74</v>
      </c>
      <c r="U16" s="2"/>
      <c r="V16" s="2"/>
      <c r="W16" s="2"/>
      <c r="X16" s="2"/>
      <c r="Y16" s="2"/>
      <c r="Z16" s="7">
        <v>1.9000000000000001e-08</v>
      </c>
      <c r="AA16" s="7">
        <v>8.7999999999999994e-09</v>
      </c>
      <c r="AB16" s="7">
        <f t="shared" si="15"/>
        <v>6.014388489208633e-09</v>
      </c>
    </row>
    <row r="17" ht="15.75" customHeight="1">
      <c r="A17" s="29" t="s">
        <v>6</v>
      </c>
      <c r="B17" s="2">
        <f>B15+B16-B14</f>
        <v>5919.521899998188</v>
      </c>
      <c r="C17" s="2">
        <f>SQRT(C16^2+C15^2+C14^2)</f>
        <v>0.13892444025440592</v>
      </c>
      <c r="D17" s="2"/>
      <c r="E17" s="2">
        <v>0.55555555555555503</v>
      </c>
      <c r="F17" s="2"/>
      <c r="G17" s="49">
        <f>AVERAGE(E13:E17)</f>
        <v>0.48825041077441061</v>
      </c>
      <c r="H17" s="2"/>
      <c r="I17" s="2">
        <v>0.27000000000000002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 t="s">
        <v>75</v>
      </c>
      <c r="U17" s="2"/>
      <c r="V17" s="2"/>
      <c r="W17" s="2"/>
      <c r="X17" s="2"/>
      <c r="Y17" s="2"/>
      <c r="Z17" s="7">
        <v>1.9000000000000001e-08</v>
      </c>
      <c r="AA17" s="7">
        <v>8.7999999999999994e-09</v>
      </c>
      <c r="AB17" s="7">
        <f t="shared" si="15"/>
        <v>6.014388489208633e-09</v>
      </c>
    </row>
    <row r="18" ht="15.75" customHeight="1">
      <c r="A18" s="29"/>
      <c r="B18" s="29">
        <f>B17*931.49410242*0.000001</f>
        <v>5.5139997389943449</v>
      </c>
      <c r="C18" s="29">
        <f>C17*931.49410242*0.000001</f>
        <v>0.00012940729677897873</v>
      </c>
      <c r="D18" s="2"/>
      <c r="E18" s="2">
        <v>0.74624145187092905</v>
      </c>
      <c r="F18" s="2"/>
      <c r="G18" s="49">
        <f>AVERAGE(E13:E18)</f>
        <v>0.53124891762383031</v>
      </c>
      <c r="H18" s="2"/>
      <c r="I18" s="2">
        <v>0.23400000000000001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5.75" customHeight="1">
      <c r="A19" s="2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5.75" customHeight="1">
      <c r="A20" s="29" t="s">
        <v>65</v>
      </c>
      <c r="B20" s="2" t="s">
        <v>86</v>
      </c>
      <c r="C20" s="2" t="s">
        <v>6</v>
      </c>
      <c r="D20" s="2" t="s">
        <v>86</v>
      </c>
      <c r="E20" s="2" t="s">
        <v>66</v>
      </c>
      <c r="F20" s="2" t="s">
        <v>86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5.75" customHeight="1">
      <c r="A21" s="29">
        <v>5.9294000000000002</v>
      </c>
      <c r="B21" s="2">
        <v>8</v>
      </c>
      <c r="C21" s="29">
        <v>5.5140000000000002</v>
      </c>
      <c r="D21" s="2">
        <v>1</v>
      </c>
      <c r="E21" s="29">
        <f t="shared" ref="E21:E26" si="16">A21-C21</f>
        <v>0.41539999999999999</v>
      </c>
      <c r="F21" s="6">
        <f t="shared" ref="F21:F26" si="17">SQRT((D21)^2+(B21)^2)</f>
        <v>8.0622577482985491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A22" s="29">
        <v>6.2953000000000001</v>
      </c>
      <c r="B22" s="2">
        <v>24</v>
      </c>
      <c r="C22" s="29">
        <v>5.5140000000000002</v>
      </c>
      <c r="D22" s="2">
        <v>1</v>
      </c>
      <c r="E22" s="29">
        <f t="shared" si="16"/>
        <v>0.78129999999999988</v>
      </c>
      <c r="F22" s="6">
        <f t="shared" si="17"/>
        <v>24.020824298928627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A23" s="29">
        <v>6.3826999999999998</v>
      </c>
      <c r="B23" s="2">
        <v>29</v>
      </c>
      <c r="C23" s="29">
        <v>5.5140000000000002</v>
      </c>
      <c r="D23" s="2">
        <v>1</v>
      </c>
      <c r="E23" s="29">
        <f t="shared" si="16"/>
        <v>0.86869999999999958</v>
      </c>
      <c r="F23" s="6">
        <f t="shared" si="17"/>
        <v>29.017236257093817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75" customHeight="1">
      <c r="A24" s="29">
        <v>6.7649999999999997</v>
      </c>
      <c r="B24" s="2">
        <v>50</v>
      </c>
      <c r="C24" s="29">
        <v>5.5140000000000002</v>
      </c>
      <c r="D24" s="2">
        <v>1</v>
      </c>
      <c r="E24" s="29">
        <f t="shared" si="16"/>
        <v>1.2509999999999994</v>
      </c>
      <c r="F24" s="6">
        <f t="shared" si="17"/>
        <v>50.009999000199947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75" customHeight="1">
      <c r="A25" s="29">
        <v>6.7869999999999999</v>
      </c>
      <c r="B25" s="2">
        <v>40</v>
      </c>
      <c r="C25" s="29">
        <v>5.5140000000000002</v>
      </c>
      <c r="D25" s="2">
        <v>1</v>
      </c>
      <c r="E25" s="29">
        <f t="shared" si="16"/>
        <v>1.2729999999999997</v>
      </c>
      <c r="F25" s="6">
        <f t="shared" si="17"/>
        <v>40.01249804748511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75" customHeight="1">
      <c r="A26" s="29">
        <v>6.8099999999999996</v>
      </c>
      <c r="B26" s="2">
        <v>80</v>
      </c>
      <c r="C26" s="29">
        <v>5.5140000000000002</v>
      </c>
      <c r="D26" s="2">
        <v>1</v>
      </c>
      <c r="E26" s="29">
        <f t="shared" si="16"/>
        <v>1.2959999999999994</v>
      </c>
      <c r="F26" s="6">
        <f t="shared" si="17"/>
        <v>80.006249755878443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A27" s="2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A28" s="2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75" customHeight="1">
      <c r="A29" s="2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2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2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2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2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2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2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2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2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2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2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2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2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2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2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2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2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2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2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2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2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2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2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2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2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2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2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2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2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2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2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2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2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2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2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2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2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2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2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2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2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2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2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2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2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2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2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2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2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2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2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2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2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2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2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2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2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2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2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2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2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2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2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2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2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2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2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2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2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2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2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2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2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2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2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2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2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2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2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2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2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2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2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2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2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2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2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2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2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2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2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2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2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2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2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2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2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2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2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2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2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2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2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2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2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2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2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2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2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2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2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2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2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2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2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2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2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2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2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2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2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2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2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2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2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2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2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2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2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2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2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2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2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2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2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2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2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2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2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2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2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2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2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2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2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2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2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2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2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2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2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2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2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2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2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2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2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2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2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2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2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2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2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2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2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2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2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2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2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2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2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2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2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2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2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2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2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2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2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2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2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2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2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2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2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2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2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2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2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2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2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2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2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2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2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2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2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2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2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2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2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2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2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2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2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2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2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2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2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2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2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2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2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2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2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2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2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2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2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2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2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2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2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2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2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2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2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2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2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2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2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2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2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2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2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2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2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2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2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2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2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2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2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2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2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2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2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2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2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2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2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2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2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2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2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2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2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2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2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2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2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2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2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2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2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2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2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2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2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2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2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2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2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2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2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2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2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2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2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2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2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2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2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2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2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2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2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2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2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2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2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2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2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2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2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2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2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2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2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2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2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2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2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2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2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2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2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2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2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2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2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2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2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2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2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2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2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2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2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2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2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2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2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2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2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2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2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2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2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2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2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2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2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2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2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2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2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2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2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2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2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2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2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2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2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2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2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2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2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2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2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2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2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2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2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2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2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2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2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2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2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2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2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2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2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2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2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2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2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2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2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2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2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2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2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2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2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2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2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2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2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2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2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2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2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2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2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2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2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2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2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2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2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2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2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2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2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2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2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2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2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2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2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2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2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2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2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2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2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2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2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2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2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2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2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2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2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2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2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2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2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2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2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2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2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2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2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2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2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2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2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2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2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2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2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2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2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2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2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2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2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2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2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2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2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2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2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2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2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2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2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2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2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2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2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2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2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2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2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2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2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2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2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2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2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2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2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2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2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2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2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2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2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2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2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2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2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2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2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2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2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2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2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2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2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2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2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2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2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2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2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2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2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2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2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2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2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2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2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2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2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2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2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2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2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2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2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2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2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2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2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2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2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2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2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2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2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2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2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2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2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2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2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2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2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2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2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2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2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2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2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2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2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2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2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2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2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2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2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2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2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2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2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2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2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2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2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2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2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2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2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2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2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2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2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2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2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2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2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2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2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2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2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2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2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2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2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2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2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2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2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2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2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2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2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2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2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2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2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2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2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2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2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2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2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2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2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2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2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2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2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2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2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2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2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2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2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2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2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2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2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2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2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2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2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2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2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2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2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2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2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2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2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2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2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2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2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2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2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2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2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2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2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2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2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2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2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2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2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2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2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2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2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2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2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2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2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2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2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2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2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2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2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2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2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2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2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2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2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2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2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2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2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2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2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2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2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2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2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2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2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2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2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2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2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2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2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2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2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2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2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2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2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2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2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2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2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2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2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2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2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2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2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2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2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2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2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2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2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2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2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2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2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2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2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2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2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2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2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2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2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2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2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2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2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2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2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2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2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2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2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2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2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2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2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2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2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2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2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2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2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2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2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2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2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2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2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2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2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2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2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2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2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2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2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2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2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2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2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2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2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2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A964" s="2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A965" s="2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A966" s="2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A967" s="2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A968" s="2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A969" s="2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A970" s="2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A971" s="2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A972" s="2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A973" s="2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A974" s="2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A975" s="2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A976" s="2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A977" s="2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A978" s="2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A979" s="2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75" customHeight="1">
      <c r="A980" s="2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75" customHeight="1">
      <c r="A981" s="2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75" customHeight="1">
      <c r="A982" s="2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75" customHeight="1">
      <c r="A983" s="2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75" customHeight="1">
      <c r="A984" s="2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75" customHeight="1">
      <c r="A985" s="2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75" customHeight="1">
      <c r="A986" s="2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75" customHeight="1">
      <c r="A987" s="2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75" customHeight="1">
      <c r="A988" s="2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75" customHeight="1">
      <c r="A989" s="2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75" customHeight="1">
      <c r="A990" s="2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75" customHeight="1">
      <c r="A991" s="2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75" customHeight="1">
      <c r="A992" s="2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75" customHeight="1">
      <c r="A993" s="2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75" customHeight="1">
      <c r="A994" s="2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75" customHeight="1">
      <c r="A995" s="2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75" customHeight="1">
      <c r="A996" s="2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75" customHeight="1">
      <c r="A997" s="2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75" customHeight="1">
      <c r="A998" s="2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75" customHeight="1">
      <c r="A999" s="2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75" customHeight="1">
      <c r="A1000" s="2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rintOptions headings="0" gridLines="0"/>
  <pageMargins left="0.78750000000000009" right="0.78750000000000009" top="0" bottom="0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1" activeCellId="0" sqref="G11"/>
    </sheetView>
  </sheetViews>
  <sheetFormatPr defaultColWidth="12.5703125" defaultRowHeight="15" customHeight="1"/>
  <cols>
    <col bestFit="1" customWidth="1" min="1" max="1" width="9"/>
    <col bestFit="1" customWidth="1" min="2" max="2" width="9.140625"/>
    <col bestFit="1" customWidth="1" min="3" max="3" width="6.5703125"/>
    <col bestFit="1" customWidth="1" min="4" max="4" width="15.5703125"/>
    <col bestFit="1" customWidth="1" min="5" max="5" width="14.7109375"/>
    <col bestFit="1" customWidth="1" min="6" max="6" width="23.5703125"/>
    <col bestFit="1" customWidth="1" min="7" max="7" width="14.42578125"/>
    <col bestFit="1" customWidth="1" min="8" max="8" width="13.140625"/>
    <col bestFit="1" customWidth="1" min="9" max="9" width="18.140625"/>
    <col bestFit="1" customWidth="1" min="10" max="10" width="13.7109375"/>
    <col bestFit="1" customWidth="1" min="11" max="11" width="14.42578125"/>
    <col bestFit="1" customWidth="1" min="12" max="12" width="13.140625"/>
    <col bestFit="1" customWidth="1" min="13" max="13" width="17.5703125"/>
    <col bestFit="1" customWidth="1" min="14" max="14" width="10.140625"/>
    <col bestFit="1" customWidth="1" min="15" max="15" width="13.7109375"/>
    <col bestFit="1" customWidth="1" min="16" max="16" width="11"/>
    <col bestFit="1" customWidth="1" min="17" max="17" width="11.28515625"/>
    <col bestFit="1" customWidth="1" min="18" max="18" width="8"/>
    <col bestFit="1" customWidth="1" min="19" max="19" width="12.42578125"/>
    <col customWidth="1" min="20" max="26" width="8.5703125"/>
  </cols>
  <sheetData>
    <row r="1" ht="15.75" customHeight="1">
      <c r="A1" s="1" t="s">
        <v>16</v>
      </c>
      <c r="B1" s="1" t="s">
        <v>17</v>
      </c>
      <c r="C1" s="1" t="s">
        <v>18</v>
      </c>
      <c r="D1" s="1" t="s">
        <v>19</v>
      </c>
      <c r="E1" s="14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2" t="s">
        <v>4</v>
      </c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5">
        <v>5.9226000000000001</v>
      </c>
      <c r="B2" s="15">
        <f t="shared" ref="B2:B5" si="18">A2-$N$2</f>
        <v>0.40859999999999985</v>
      </c>
      <c r="C2" s="15">
        <v>0.0063957299999999996</v>
      </c>
      <c r="D2" s="16" t="s">
        <v>27</v>
      </c>
      <c r="E2" s="15">
        <v>0.45900000000000002</v>
      </c>
      <c r="F2" s="15">
        <f>E2*0.09</f>
        <v>0.041309999999999999</v>
      </c>
      <c r="G2" s="6">
        <v>131.357</v>
      </c>
      <c r="H2" s="6">
        <v>11.4611</v>
      </c>
      <c r="I2" s="17">
        <f t="shared" ref="I2:I6" si="19">(G2/(E2*$N$7*$N$5))*10^27</f>
        <v>5.8322695042697656</v>
      </c>
      <c r="J2" s="18">
        <f t="shared" ref="J2:J6" si="20">I2*SQRT(($O$7/$N$7)^2 + (F2/E2)^2)</f>
        <v>0.784651612516584</v>
      </c>
      <c r="K2" s="18">
        <f t="shared" ref="K2:K6" si="21">SQRT((H2/G2)^2 + ($O$5/$N$5)^2)</f>
        <v>0.087257496060642439</v>
      </c>
      <c r="L2" s="2"/>
      <c r="M2" s="2" t="s">
        <v>6</v>
      </c>
      <c r="N2" s="2">
        <v>5.5140000000000002</v>
      </c>
      <c r="O2" s="2">
        <v>0.0011000000000000001</v>
      </c>
      <c r="P2" s="2" t="s">
        <v>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5">
        <v>6.3253500000000003</v>
      </c>
      <c r="B3" s="15">
        <f t="shared" si="18"/>
        <v>0.81135000000000002</v>
      </c>
      <c r="C3" s="15">
        <v>0.0063957299999999996</v>
      </c>
      <c r="D3" s="16" t="s">
        <v>28</v>
      </c>
      <c r="E3" s="15">
        <v>0.26800000000000002</v>
      </c>
      <c r="F3" s="15">
        <f t="shared" ref="F3:F5" si="22">E3*0.1</f>
        <v>0.026800000000000004</v>
      </c>
      <c r="G3" s="6">
        <v>131.71899999999999</v>
      </c>
      <c r="H3" s="6">
        <v>11.476900000000001</v>
      </c>
      <c r="I3" s="17">
        <f t="shared" si="19"/>
        <v>10.016377392983202</v>
      </c>
      <c r="J3" s="18">
        <f t="shared" si="20"/>
        <v>1.4165296755004111</v>
      </c>
      <c r="K3" s="18">
        <f t="shared" si="21"/>
        <v>0.087137665388507257</v>
      </c>
      <c r="L3" s="2"/>
      <c r="M3" s="2" t="s">
        <v>9</v>
      </c>
      <c r="N3" s="2">
        <v>1265657</v>
      </c>
      <c r="O3" s="3">
        <f>SQRT(N3)</f>
        <v>1125.0142221323249</v>
      </c>
      <c r="P3" s="2"/>
      <c r="Q3" s="2">
        <v>1302170</v>
      </c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5">
        <v>6.6989999999999998</v>
      </c>
      <c r="B4" s="15">
        <f t="shared" si="18"/>
        <v>1.1849999999999996</v>
      </c>
      <c r="C4" s="15">
        <v>0.0063957299999999996</v>
      </c>
      <c r="D4" s="2" t="s">
        <v>29</v>
      </c>
      <c r="E4" s="15">
        <v>0.19600000000000001</v>
      </c>
      <c r="F4" s="15">
        <f t="shared" si="22"/>
        <v>0.019600000000000003</v>
      </c>
      <c r="G4" s="6">
        <v>289.65499999999997</v>
      </c>
      <c r="H4" s="6">
        <v>17.019200000000001</v>
      </c>
      <c r="I4" s="17">
        <f t="shared" si="19"/>
        <v>30.11771412926262</v>
      </c>
      <c r="J4" s="18">
        <f t="shared" si="20"/>
        <v>4.2592879789278992</v>
      </c>
      <c r="K4" s="18">
        <f t="shared" si="21"/>
        <v>0.058765647133042755</v>
      </c>
      <c r="L4" s="2"/>
      <c r="M4" s="2" t="s">
        <v>10</v>
      </c>
      <c r="N4" s="2">
        <v>1000</v>
      </c>
      <c r="O4" s="3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5">
        <v>7.3490200000000003</v>
      </c>
      <c r="B5" s="15">
        <f t="shared" si="18"/>
        <v>1.8350200000000001</v>
      </c>
      <c r="C5" s="15">
        <v>0.0063957299999999996</v>
      </c>
      <c r="D5" s="16" t="s">
        <v>30</v>
      </c>
      <c r="E5" s="15">
        <v>0.17599999999999999</v>
      </c>
      <c r="F5" s="15">
        <f t="shared" si="22"/>
        <v>0.017600000000000001</v>
      </c>
      <c r="G5" s="6">
        <v>127.288</v>
      </c>
      <c r="H5" s="6">
        <v>11.2822</v>
      </c>
      <c r="I5" s="17">
        <f t="shared" si="19"/>
        <v>14.739129796120579</v>
      </c>
      <c r="J5" s="18">
        <f t="shared" si="20"/>
        <v>2.0844277255251118</v>
      </c>
      <c r="K5" s="18">
        <f t="shared" si="21"/>
        <v>0.088641088048204378</v>
      </c>
      <c r="L5" s="2"/>
      <c r="M5" s="4" t="s">
        <v>11</v>
      </c>
      <c r="N5" s="5">
        <f>N3*N4</f>
        <v>1265657000</v>
      </c>
      <c r="O5" s="6">
        <f>N5*SQRT( (O3/N3)^2 + (0.5/N4)^2)</f>
        <v>1290786.1598313837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5"/>
      <c r="B6" s="2"/>
      <c r="C6" s="15"/>
      <c r="D6" s="16" t="s">
        <v>27</v>
      </c>
      <c r="E6" s="15">
        <v>0.46999999999999997</v>
      </c>
      <c r="F6" s="15">
        <f>E6*0.09</f>
        <v>0.042299999999999997</v>
      </c>
      <c r="G6" s="6">
        <v>209.791</v>
      </c>
      <c r="H6" s="18">
        <f>SQRT(G6)</f>
        <v>14.484163765989392</v>
      </c>
      <c r="I6" s="17">
        <f t="shared" si="19"/>
        <v>9.096745479077704</v>
      </c>
      <c r="J6" s="18">
        <f t="shared" si="20"/>
        <v>1.2238419372742888</v>
      </c>
      <c r="K6" s="18">
        <f t="shared" si="21"/>
        <v>0.069048452667454505</v>
      </c>
      <c r="L6" s="2"/>
      <c r="M6" s="2" t="s">
        <v>12</v>
      </c>
      <c r="N6" s="7">
        <v>0.00051599999999999997</v>
      </c>
      <c r="O6" s="7">
        <f>N6*0.1</f>
        <v>5.1600000000000001e-05</v>
      </c>
      <c r="P6" s="2" t="s">
        <v>13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2"/>
      <c r="E7" s="15"/>
      <c r="F7" s="2" t="s">
        <v>31</v>
      </c>
      <c r="G7" s="2"/>
      <c r="H7" s="2"/>
      <c r="I7" s="2"/>
      <c r="J7" s="19">
        <f>J2/I2</f>
        <v>0.13453624047073712</v>
      </c>
      <c r="K7" s="2"/>
      <c r="L7" s="2"/>
      <c r="M7" s="4" t="s">
        <v>14</v>
      </c>
      <c r="N7" s="8">
        <f>2*(6.022E+23/16.03)*N6</f>
        <v>3.8769207735495942e+19</v>
      </c>
      <c r="O7" s="9">
        <f>SQRT((O6/N6)^2)*N7</f>
        <v>3.8769207735495946e+18</v>
      </c>
      <c r="P7" s="4" t="s">
        <v>15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0"/>
      <c r="B8" s="10"/>
      <c r="C8" s="10"/>
      <c r="D8" s="11"/>
      <c r="E8" s="10"/>
      <c r="F8" s="10"/>
      <c r="G8" s="2"/>
      <c r="H8" s="12"/>
      <c r="I8" s="13"/>
      <c r="J8" s="12"/>
      <c r="K8" s="1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5"/>
      <c r="C9" s="25"/>
      <c r="D9" s="10"/>
      <c r="E9" s="50" t="s">
        <v>35</v>
      </c>
      <c r="F9" s="27">
        <v>2.758e-05</v>
      </c>
      <c r="G9" s="28" t="s">
        <v>86</v>
      </c>
      <c r="H9" s="25"/>
      <c r="I9" s="25"/>
      <c r="J9" s="25"/>
      <c r="K9" s="2"/>
      <c r="L9" s="2"/>
      <c r="M9" s="2" t="s">
        <v>5</v>
      </c>
      <c r="N9" s="2">
        <v>1000000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5"/>
      <c r="C10" s="25"/>
      <c r="D10" s="25"/>
      <c r="E10" s="50" t="s">
        <v>36</v>
      </c>
      <c r="F10" s="27">
        <f>0.000005</f>
        <v>5.0000000000000004e-06</v>
      </c>
      <c r="G10" s="51">
        <f>F10/F9</f>
        <v>0.18129079042784627</v>
      </c>
      <c r="H10" s="25"/>
      <c r="I10" s="25"/>
      <c r="J10" s="25"/>
      <c r="K10" s="2"/>
      <c r="L10" s="2"/>
      <c r="M10" s="2"/>
      <c r="N10" s="2">
        <f>SQRT(N9)/N9</f>
        <v>0.001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5"/>
      <c r="C11" s="25"/>
      <c r="D11" s="25"/>
      <c r="E11" s="50" t="s">
        <v>37</v>
      </c>
      <c r="F11" s="25">
        <v>0.014</v>
      </c>
      <c r="G11" s="25" t="s">
        <v>86</v>
      </c>
      <c r="H11" s="25"/>
      <c r="I11" s="25"/>
      <c r="J11" s="25"/>
      <c r="K11" s="2"/>
      <c r="L11" s="2"/>
      <c r="M11" s="2" t="s">
        <v>87</v>
      </c>
      <c r="N11" s="2"/>
      <c r="O11" s="25" t="s">
        <v>88</v>
      </c>
      <c r="P11" s="25" t="s">
        <v>89</v>
      </c>
      <c r="Q11" s="25" t="s">
        <v>90</v>
      </c>
      <c r="R11" s="25" t="s">
        <v>91</v>
      </c>
      <c r="S11" s="25" t="s">
        <v>92</v>
      </c>
      <c r="T11" s="2"/>
      <c r="U11" s="2"/>
      <c r="V11" s="2"/>
      <c r="W11" s="2"/>
      <c r="X11" s="2"/>
      <c r="Y11" s="2"/>
      <c r="Z11" s="2"/>
    </row>
    <row r="12" ht="15.75" customHeight="1">
      <c r="A12" s="2"/>
      <c r="B12" s="25"/>
      <c r="C12" s="25"/>
      <c r="D12" s="25"/>
      <c r="E12" s="50" t="s">
        <v>38</v>
      </c>
      <c r="F12" s="25">
        <v>0.0080000000000000002</v>
      </c>
      <c r="G12" s="52">
        <f>F12/F11</f>
        <v>0.5714285714285714</v>
      </c>
      <c r="H12" s="25"/>
      <c r="I12" s="25"/>
      <c r="J12" s="25"/>
      <c r="K12" s="2"/>
      <c r="L12" s="2"/>
      <c r="M12" s="6">
        <v>209.791</v>
      </c>
      <c r="N12" s="2"/>
      <c r="O12" s="25">
        <v>5.9015500000000003</v>
      </c>
      <c r="P12" s="25">
        <v>0.0045974099999999997</v>
      </c>
      <c r="Q12" s="25">
        <v>0.14916299999999999</v>
      </c>
      <c r="R12" s="25">
        <v>209.791</v>
      </c>
      <c r="S12" s="25">
        <v>14.4841</v>
      </c>
      <c r="T12" s="2"/>
      <c r="U12" s="2"/>
      <c r="V12" s="2"/>
      <c r="W12" s="2"/>
      <c r="X12" s="2"/>
      <c r="Y12" s="2"/>
      <c r="Z12" s="2"/>
    </row>
    <row r="13" ht="15.75" customHeight="1">
      <c r="A13" s="2"/>
      <c r="B13" s="50" t="s">
        <v>32</v>
      </c>
      <c r="C13" s="50" t="s">
        <v>33</v>
      </c>
      <c r="D13" s="50" t="s">
        <v>34</v>
      </c>
      <c r="E13" s="50" t="s">
        <v>39</v>
      </c>
      <c r="F13" s="50" t="s">
        <v>40</v>
      </c>
      <c r="G13" s="50" t="s">
        <v>41</v>
      </c>
      <c r="H13" s="50" t="s">
        <v>42</v>
      </c>
      <c r="I13" s="50" t="s">
        <v>43</v>
      </c>
      <c r="J13" s="50" t="s">
        <v>44</v>
      </c>
      <c r="K13" s="2"/>
      <c r="L13" s="2"/>
      <c r="M13" s="6">
        <v>249.20400000000001</v>
      </c>
      <c r="N13" s="2"/>
      <c r="O13" s="25">
        <v>6.3014900000000003</v>
      </c>
      <c r="P13" s="25">
        <v>0.0045974099999999997</v>
      </c>
      <c r="Q13" s="25">
        <v>0.20919599999999999</v>
      </c>
      <c r="R13" s="25">
        <v>249.20400000000001</v>
      </c>
      <c r="S13" s="25">
        <v>15.786199999999999</v>
      </c>
      <c r="T13" s="2"/>
      <c r="U13" s="2"/>
      <c r="V13" s="2"/>
      <c r="W13" s="2"/>
      <c r="X13" s="2"/>
      <c r="Y13" s="2"/>
      <c r="Z13" s="2"/>
    </row>
    <row r="14" ht="15.75" customHeight="1">
      <c r="A14" s="2"/>
      <c r="B14" s="25">
        <v>0.41749999999999998</v>
      </c>
      <c r="C14" s="24">
        <f>B14^2</f>
        <v>0.17430625</v>
      </c>
      <c r="D14" s="25">
        <v>0.040000000000000001</v>
      </c>
      <c r="E14" s="28">
        <f t="shared" ref="E14:E17" si="23">C14*$F$9</f>
        <v>4.8073663749999996e-06</v>
      </c>
      <c r="F14" s="28">
        <f t="shared" ref="F14:F17" si="24">E14*SQRT((D14/C14)^2 + ($F$10/$F$9)^2)</f>
        <v>1.4059221030080445e-06</v>
      </c>
      <c r="G14" s="28">
        <f t="shared" ref="G14:G17" si="25">E14*$F$11</f>
        <v>6.7303129249999996e-08</v>
      </c>
      <c r="H14" s="28">
        <f t="shared" ref="H14:H17" si="26">G14*SQRT(($F$12/$F$11)^2 + (F14/E14)^2)</f>
        <v>4.3203082040164297e-08</v>
      </c>
      <c r="I14" s="28">
        <f t="shared" ref="I14:I15" si="27">(2*3+1)/((2*0.5+1)*(2*5/2+1)) * E14*G14/(E14+G14)</f>
        <v>3.8718105255588427e-08</v>
      </c>
      <c r="J14" s="28">
        <f t="shared" ref="J14:J15" si="28">I14*SQRT((H14/G14)^2 + (F14/E14)^2)</f>
        <v>2.731167890914769e-08</v>
      </c>
      <c r="K14" s="17"/>
      <c r="L14" s="46"/>
      <c r="M14" s="6">
        <v>361.77999999999997</v>
      </c>
      <c r="N14" s="2"/>
      <c r="O14" s="25">
        <v>6.6535599999999997</v>
      </c>
      <c r="P14" s="25">
        <v>0.0045974099999999997</v>
      </c>
      <c r="Q14" s="25">
        <v>0.30464400000000003</v>
      </c>
      <c r="R14" s="25">
        <v>361.77999999999997</v>
      </c>
      <c r="S14" s="25">
        <v>19.020499999999998</v>
      </c>
      <c r="T14" s="2"/>
      <c r="U14" s="2"/>
      <c r="V14" s="2"/>
      <c r="W14" s="2"/>
      <c r="X14" s="2"/>
      <c r="Y14" s="2"/>
      <c r="Z14" s="2"/>
    </row>
    <row r="15" ht="15.75" customHeight="1">
      <c r="A15" s="2"/>
      <c r="B15" s="24">
        <f t="shared" ref="B15:B25" si="29">SQRT(C15)</f>
        <v>0.37148351242013422</v>
      </c>
      <c r="C15" s="25">
        <v>0.13800000000000001</v>
      </c>
      <c r="D15" s="25">
        <v>0.029999999999999999</v>
      </c>
      <c r="E15" s="28">
        <f t="shared" si="23"/>
        <v>3.8060400000000003e-06</v>
      </c>
      <c r="F15" s="28">
        <f t="shared" si="24"/>
        <v>1.0773535909811598e-06</v>
      </c>
      <c r="G15" s="28">
        <f t="shared" si="25"/>
        <v>5.3284560000000002e-08</v>
      </c>
      <c r="H15" s="28">
        <f t="shared" si="26"/>
        <v>3.3979340484806354e-08</v>
      </c>
      <c r="I15" s="28">
        <f t="shared" si="27"/>
        <v>3.0653510848126236e-08</v>
      </c>
      <c r="J15" s="28">
        <f t="shared" si="28"/>
        <v>2.138686625395029e-08</v>
      </c>
      <c r="K15" s="17"/>
      <c r="L15" s="46"/>
      <c r="M15" s="6">
        <v>322.27699999999999</v>
      </c>
      <c r="N15" s="2"/>
      <c r="O15" s="25">
        <v>7.2990500000000003</v>
      </c>
      <c r="P15" s="25">
        <v>0.0045974099999999997</v>
      </c>
      <c r="Q15" s="25">
        <v>0.60695399999999999</v>
      </c>
      <c r="R15" s="25">
        <v>322.27699999999999</v>
      </c>
      <c r="S15" s="25">
        <v>17.952100000000002</v>
      </c>
      <c r="T15" s="2"/>
      <c r="U15" s="2"/>
      <c r="V15" s="2"/>
      <c r="W15" s="2"/>
      <c r="X15" s="2"/>
      <c r="Y15" s="2"/>
      <c r="Z15" s="2"/>
    </row>
    <row r="16" ht="15.75" customHeight="1">
      <c r="A16" s="2"/>
      <c r="B16" s="24">
        <f t="shared" si="29"/>
        <v>0.38078865529319539</v>
      </c>
      <c r="C16" s="25">
        <v>0.14499999999999999</v>
      </c>
      <c r="D16" s="25">
        <v>0.029999999999999999</v>
      </c>
      <c r="E16" s="28">
        <f t="shared" si="23"/>
        <v>3.9990999999999995e-06</v>
      </c>
      <c r="F16" s="28">
        <f t="shared" si="24"/>
        <v>1.1000980683557259e-06</v>
      </c>
      <c r="G16" s="28">
        <f t="shared" si="25"/>
        <v>5.5987399999999992e-08</v>
      </c>
      <c r="H16" s="28">
        <f t="shared" si="26"/>
        <v>3.5506922434928088e-08</v>
      </c>
      <c r="I16" s="28">
        <f>(2*3+1)/((2*0.5+1)*(2*5/2+1)) * E16/(1/F11+1)</f>
        <v>3.2208399079552922e-08</v>
      </c>
      <c r="J16" s="28">
        <f>I16*SQRT((F16/E16)^2 + (F12/(1/F11+1))^2)</f>
        <v>8.8600936381864221e-09</v>
      </c>
      <c r="K16" s="17"/>
      <c r="L16" s="4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4">
        <f t="shared" si="29"/>
        <v>0.28284271247461901</v>
      </c>
      <c r="C17" s="25">
        <v>0.080000000000000002</v>
      </c>
      <c r="D17" s="25">
        <v>0.02</v>
      </c>
      <c r="E17" s="28">
        <f t="shared" si="23"/>
        <v>2.2064000000000002e-06</v>
      </c>
      <c r="F17" s="28">
        <f t="shared" si="24"/>
        <v>6.8136815305677454e-07</v>
      </c>
      <c r="G17" s="28">
        <f t="shared" si="25"/>
        <v>3.0889600000000005e-08</v>
      </c>
      <c r="H17" s="28">
        <f t="shared" si="26"/>
        <v>2.0063905980640959e-08</v>
      </c>
      <c r="I17" s="28">
        <f>(2*3+1)/((2*0.5+1)*(2*5/2+1)) * E17/(1/F11+1)</f>
        <v>1.7770151216305065e-08</v>
      </c>
      <c r="J17" s="28">
        <f>I17*SQRT((F17/E17)^2 + ($F$12/(1/$F$11+1))^2)</f>
        <v>5.4876794272431526e-09</v>
      </c>
      <c r="K17" s="17"/>
      <c r="L17" s="4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5"/>
      <c r="C18" s="25" t="s">
        <v>86</v>
      </c>
      <c r="D18" s="53">
        <f>D17/C17</f>
        <v>0.25</v>
      </c>
      <c r="E18" s="25" t="s">
        <v>86</v>
      </c>
      <c r="F18" s="52">
        <f>F17/E17</f>
        <v>0.30881442760006095</v>
      </c>
      <c r="G18" s="25" t="s">
        <v>86</v>
      </c>
      <c r="H18" s="52">
        <f>H17/G17</f>
        <v>0.64953595969649836</v>
      </c>
      <c r="I18" s="28" t="s">
        <v>86</v>
      </c>
      <c r="J18" s="52">
        <f>J17/I17</f>
        <v>0.30881444735303731</v>
      </c>
      <c r="K18" s="19"/>
      <c r="L18" s="2"/>
      <c r="M18" s="2"/>
      <c r="N18" s="2"/>
      <c r="O18" s="25" t="s">
        <v>88</v>
      </c>
      <c r="P18" s="25" t="s">
        <v>93</v>
      </c>
      <c r="Q18" s="25" t="s">
        <v>94</v>
      </c>
      <c r="R18" s="25" t="s">
        <v>95</v>
      </c>
      <c r="S18" s="25" t="s">
        <v>96</v>
      </c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15"/>
      <c r="F19" s="2"/>
      <c r="G19" s="2"/>
      <c r="H19" s="2"/>
      <c r="I19" s="2"/>
      <c r="J19" s="54"/>
      <c r="K19" s="2"/>
      <c r="L19" s="2"/>
      <c r="M19" s="2"/>
      <c r="N19" s="2"/>
      <c r="O19" s="25">
        <v>5.9204999999999997</v>
      </c>
      <c r="P19" s="25">
        <v>0.0049150299999999999</v>
      </c>
      <c r="Q19" s="25">
        <v>0.15592800000000001</v>
      </c>
      <c r="R19" s="25">
        <v>199.286</v>
      </c>
      <c r="S19" s="25">
        <v>14.116899999999999</v>
      </c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5">
        <v>6.3373400000000002</v>
      </c>
      <c r="P20" s="25">
        <v>0.0049150299999999999</v>
      </c>
      <c r="Q20" s="25">
        <v>0.180843</v>
      </c>
      <c r="R20" s="25">
        <v>202.55500000000001</v>
      </c>
      <c r="S20" s="25">
        <v>14.232200000000001</v>
      </c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15"/>
      <c r="E21" s="2"/>
      <c r="F21" s="2"/>
      <c r="G21" s="7"/>
      <c r="H21" s="2"/>
      <c r="I21" s="2"/>
      <c r="J21" s="2"/>
      <c r="K21" s="2"/>
      <c r="L21" s="2"/>
      <c r="M21" s="2"/>
      <c r="N21" s="2"/>
      <c r="O21" s="25">
        <v>6.7041500000000003</v>
      </c>
      <c r="P21" s="25">
        <v>0.0049150299999999999</v>
      </c>
      <c r="Q21" s="25">
        <v>0.34013599999999999</v>
      </c>
      <c r="R21" s="25">
        <v>415.31799999999998</v>
      </c>
      <c r="S21" s="25">
        <v>20.3794</v>
      </c>
      <c r="T21" s="2"/>
      <c r="U21" s="2"/>
      <c r="V21" s="2"/>
      <c r="W21" s="2"/>
      <c r="X21" s="2"/>
      <c r="Y21" s="2"/>
      <c r="Z21" s="2"/>
    </row>
    <row r="22" ht="15.75" customHeight="1">
      <c r="A22" s="2"/>
      <c r="B22" s="1" t="s">
        <v>32</v>
      </c>
      <c r="C22" s="1" t="s">
        <v>33</v>
      </c>
      <c r="D22" s="1" t="s">
        <v>34</v>
      </c>
      <c r="E22" s="1" t="s">
        <v>35</v>
      </c>
      <c r="F22" s="1" t="s">
        <v>36</v>
      </c>
      <c r="G22" s="1" t="s">
        <v>37</v>
      </c>
      <c r="H22" s="1" t="s">
        <v>38</v>
      </c>
      <c r="I22" s="1" t="s">
        <v>39</v>
      </c>
      <c r="J22" s="1" t="s">
        <v>40</v>
      </c>
      <c r="K22" s="1" t="s">
        <v>41</v>
      </c>
      <c r="L22" s="1" t="s">
        <v>42</v>
      </c>
      <c r="M22" s="1" t="s">
        <v>43</v>
      </c>
      <c r="N22" s="1" t="s">
        <v>44</v>
      </c>
      <c r="O22" s="25">
        <v>7.4089299999999998</v>
      </c>
      <c r="P22" s="25">
        <v>0.0049150299999999999</v>
      </c>
      <c r="Q22" s="25">
        <v>0.56013800000000002</v>
      </c>
      <c r="R22" s="25">
        <v>316.47800000000001</v>
      </c>
      <c r="S22" s="25">
        <v>17.7898</v>
      </c>
      <c r="T22" s="2"/>
      <c r="U22" s="2"/>
      <c r="V22" s="2"/>
      <c r="W22" s="2"/>
      <c r="X22" s="2"/>
      <c r="Y22" s="2"/>
      <c r="Z22" s="2"/>
    </row>
    <row r="23" ht="15.75" customHeight="1">
      <c r="A23" s="2"/>
      <c r="B23" s="24">
        <f t="shared" si="29"/>
        <v>0.38078865529319539</v>
      </c>
      <c r="C23" s="25">
        <v>0.14499999999999999</v>
      </c>
      <c r="D23" s="25">
        <v>0.029999999999999999</v>
      </c>
      <c r="E23" s="26">
        <v>2.7970000000000002e-05</v>
      </c>
      <c r="F23" s="27">
        <f>E23*0.15</f>
        <v>4.1954999999999999e-06</v>
      </c>
      <c r="G23" s="25">
        <v>0.014</v>
      </c>
      <c r="H23" s="25">
        <v>0.0080000000000000002</v>
      </c>
      <c r="I23" s="28">
        <f t="shared" ref="I23:I25" si="30">C23*E23</f>
        <v>4.0556499999999999e-06</v>
      </c>
      <c r="J23" s="28">
        <f t="shared" ref="J23:J25" si="31">I23*SQRT((D23/C23)^2 + (F23/E23)^2)</f>
        <v>1.0364243777315592e-06</v>
      </c>
      <c r="K23" s="28">
        <f t="shared" ref="K23:K25" si="32">I23*G23</f>
        <v>5.6779100000000001e-08</v>
      </c>
      <c r="L23" s="28">
        <f t="shared" ref="L23:L25" si="33">K23*SQRT((H23/G23)^2 + (J23/I23)^2)</f>
        <v>3.5541938596933971e-08</v>
      </c>
      <c r="M23" s="28">
        <f t="shared" ref="M23:M25" si="34">(2*3+1)/((2*0.5+1)*(2*5/2+1)) * I23/(1/G23+1)</f>
        <v>3.2663847797501645e-08</v>
      </c>
      <c r="N23" s="28">
        <f t="shared" ref="N23:N25" si="35">M23*SQRT((J23/I23)^2 + (H23/(1/G23+1))^2)</f>
        <v>8.3472714090174738e-09</v>
      </c>
      <c r="O23" s="25"/>
      <c r="P23" s="25"/>
      <c r="Q23" s="25"/>
      <c r="R23" s="25"/>
      <c r="S23" s="25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4">
        <f t="shared" si="29"/>
        <v>0.3872983346207417</v>
      </c>
      <c r="C24" s="25">
        <v>0.14999999999999999</v>
      </c>
      <c r="D24" s="25">
        <v>0.02</v>
      </c>
      <c r="E24" s="26">
        <v>2.7455000000000001e-05</v>
      </c>
      <c r="F24" s="27">
        <v>5.2104999999999997e-07</v>
      </c>
      <c r="G24" s="25">
        <v>0.017999999999999999</v>
      </c>
      <c r="H24" s="25">
        <v>0.0050000000000000001</v>
      </c>
      <c r="I24" s="28">
        <f t="shared" si="30"/>
        <v>4.1182499999999999e-06</v>
      </c>
      <c r="J24" s="28">
        <f t="shared" si="31"/>
        <v>5.546344785588523e-07</v>
      </c>
      <c r="K24" s="28">
        <f t="shared" si="32"/>
        <v>7.4128499999999988e-08</v>
      </c>
      <c r="L24" s="28">
        <f t="shared" si="33"/>
        <v>2.2883799153980634e-08</v>
      </c>
      <c r="M24" s="28">
        <f t="shared" si="34"/>
        <v>4.2477038310412577e-08</v>
      </c>
      <c r="N24" s="28">
        <f t="shared" si="35"/>
        <v>5.7206908444469863e-09</v>
      </c>
      <c r="O24" s="25"/>
      <c r="P24" s="25"/>
      <c r="Q24" s="25"/>
      <c r="R24" s="25"/>
      <c r="S24" s="25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9">
        <f t="shared" si="29"/>
        <v>0.28284271247461901</v>
      </c>
      <c r="C25" s="2">
        <v>0.080000000000000002</v>
      </c>
      <c r="D25" s="2">
        <v>0.02</v>
      </c>
      <c r="E25" s="9">
        <v>2.758e-05</v>
      </c>
      <c r="F25" s="9">
        <f>0.000005</f>
        <v>5.0000000000000004e-06</v>
      </c>
      <c r="G25" s="2">
        <v>0.014</v>
      </c>
      <c r="H25" s="2">
        <v>0.0080000000000000002</v>
      </c>
      <c r="I25" s="7">
        <f t="shared" si="30"/>
        <v>2.2064000000000002e-06</v>
      </c>
      <c r="J25" s="7">
        <f t="shared" si="31"/>
        <v>6.8136815305677454e-07</v>
      </c>
      <c r="K25" s="7">
        <f t="shared" si="32"/>
        <v>3.0889600000000005e-08</v>
      </c>
      <c r="L25" s="7">
        <f t="shared" si="33"/>
        <v>2.0063905980640959e-08</v>
      </c>
      <c r="M25" s="7">
        <f t="shared" si="34"/>
        <v>1.7770151216305065e-08</v>
      </c>
      <c r="N25" s="7">
        <f t="shared" si="35"/>
        <v>5.4876794272431526e-09</v>
      </c>
      <c r="O25" s="25" t="s">
        <v>88</v>
      </c>
      <c r="P25" s="25" t="s">
        <v>93</v>
      </c>
      <c r="Q25" s="25" t="s">
        <v>94</v>
      </c>
      <c r="R25" s="25" t="s">
        <v>95</v>
      </c>
      <c r="S25" s="25" t="s">
        <v>96</v>
      </c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19">
        <f>D25/C25</f>
        <v>0.25</v>
      </c>
      <c r="E26" s="2"/>
      <c r="F26" s="19">
        <f>F25/E25</f>
        <v>0.18129079042784627</v>
      </c>
      <c r="G26" s="2"/>
      <c r="H26" s="19">
        <f>H25/G25</f>
        <v>0.5714285714285714</v>
      </c>
      <c r="I26" s="2"/>
      <c r="J26" s="19">
        <f>J25/I25</f>
        <v>0.30881442760006095</v>
      </c>
      <c r="K26" s="2"/>
      <c r="L26" s="19">
        <f>L25/K25</f>
        <v>0.64953595969649836</v>
      </c>
      <c r="M26" s="2"/>
      <c r="N26" s="19">
        <f>N25/M25</f>
        <v>0.30881444735303731</v>
      </c>
      <c r="O26" s="25">
        <v>5.9175899999999997</v>
      </c>
      <c r="P26" s="25">
        <v>0.0057597200000000003</v>
      </c>
      <c r="Q26" s="25">
        <v>0.16203899999999999</v>
      </c>
      <c r="R26" s="25">
        <v>156.38300000000001</v>
      </c>
      <c r="S26" s="25">
        <v>12.5053</v>
      </c>
      <c r="T26" s="2"/>
      <c r="U26" s="2"/>
      <c r="V26" s="2"/>
      <c r="W26" s="2"/>
      <c r="X26" s="2"/>
      <c r="Y26" s="2"/>
      <c r="Z26" s="2"/>
    </row>
    <row r="27" ht="15.75" customHeight="1">
      <c r="A27" s="2"/>
      <c r="B27" s="24"/>
      <c r="C27" s="55"/>
      <c r="D27" s="55"/>
      <c r="E27" s="55"/>
      <c r="F27" s="28"/>
      <c r="G27" s="28"/>
      <c r="H27" s="28"/>
      <c r="I27" s="28"/>
      <c r="J27" s="28"/>
      <c r="K27" s="2"/>
      <c r="L27" s="2"/>
      <c r="M27" s="56"/>
      <c r="N27" s="55"/>
      <c r="O27" s="25">
        <v>6.3246500000000001</v>
      </c>
      <c r="P27" s="25">
        <v>0.0057597200000000003</v>
      </c>
      <c r="Q27" s="25">
        <v>0.17474899999999999</v>
      </c>
      <c r="R27" s="25">
        <v>112.422</v>
      </c>
      <c r="S27" s="25">
        <v>10.6029</v>
      </c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55"/>
      <c r="D28" s="2"/>
      <c r="E28" s="55"/>
      <c r="F28" s="19"/>
      <c r="G28" s="2"/>
      <c r="H28" s="2"/>
      <c r="I28" s="2"/>
      <c r="J28" s="2"/>
      <c r="K28" s="2"/>
      <c r="L28" s="2"/>
      <c r="M28" s="55"/>
      <c r="N28" s="2"/>
      <c r="O28" s="25">
        <v>6.68926</v>
      </c>
      <c r="P28" s="25">
        <v>0.0057597200000000003</v>
      </c>
      <c r="Q28" s="25">
        <v>0.34110099999999999</v>
      </c>
      <c r="R28" s="25">
        <v>194.608</v>
      </c>
      <c r="S28" s="25">
        <v>13.950200000000001</v>
      </c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15"/>
      <c r="F29" s="2" t="s">
        <v>97</v>
      </c>
      <c r="G29" s="2"/>
      <c r="H29" s="2"/>
      <c r="I29" s="2"/>
      <c r="J29" s="2"/>
      <c r="K29" s="2"/>
      <c r="L29" s="2"/>
      <c r="M29" s="2"/>
      <c r="N29" s="2"/>
      <c r="O29" s="25">
        <v>7.4395199999999999</v>
      </c>
      <c r="P29" s="25">
        <v>0.0057597200000000003</v>
      </c>
      <c r="Q29" s="25">
        <v>0.46063700000000002</v>
      </c>
      <c r="R29" s="25">
        <v>137.79900000000001</v>
      </c>
      <c r="S29" s="25">
        <v>11.738799999999999</v>
      </c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9">
        <v>0.46999999999999997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9">
        <v>0.47549999999999998</v>
      </c>
      <c r="G31" s="2"/>
      <c r="H31" s="2"/>
      <c r="I31" s="2"/>
      <c r="J31" s="2"/>
      <c r="K31" s="2"/>
      <c r="L31" s="2"/>
      <c r="M31" s="2"/>
      <c r="N31" s="2"/>
      <c r="O31" s="25" t="s">
        <v>88</v>
      </c>
      <c r="P31" s="25" t="s">
        <v>93</v>
      </c>
      <c r="Q31" s="25" t="s">
        <v>94</v>
      </c>
      <c r="R31" s="25" t="s">
        <v>95</v>
      </c>
      <c r="S31" s="25" t="s">
        <v>98</v>
      </c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9">
        <v>0.46110000000000001</v>
      </c>
      <c r="G32" s="2"/>
      <c r="H32" s="2"/>
      <c r="I32" s="2"/>
      <c r="J32" s="2"/>
      <c r="K32" s="2"/>
      <c r="L32" s="2"/>
      <c r="M32" s="2"/>
      <c r="N32" s="2"/>
      <c r="O32" s="25">
        <v>5.9226000000000001</v>
      </c>
      <c r="P32" s="25">
        <v>0.0051155599999999999</v>
      </c>
      <c r="Q32" s="25">
        <v>0.15490899999999999</v>
      </c>
      <c r="R32" s="25">
        <v>178.26499999999999</v>
      </c>
      <c r="S32" s="25">
        <v>13.351599999999999</v>
      </c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9">
        <v>0.46390999999999999</v>
      </c>
      <c r="G33" s="2"/>
      <c r="H33" s="19"/>
      <c r="I33" s="2"/>
      <c r="J33" s="2"/>
      <c r="K33" s="2"/>
      <c r="L33" s="2"/>
      <c r="M33" s="2"/>
      <c r="N33" s="2"/>
      <c r="O33" s="25">
        <v>6.3253500000000003</v>
      </c>
      <c r="P33" s="25">
        <v>0.0051155599999999999</v>
      </c>
      <c r="Q33" s="25">
        <v>0.20575399999999999</v>
      </c>
      <c r="R33" s="25">
        <v>196.46899999999999</v>
      </c>
      <c r="S33" s="25">
        <v>14.0167</v>
      </c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9">
        <v>0.45484999999999998</v>
      </c>
      <c r="G34" s="2"/>
      <c r="H34" s="2"/>
      <c r="I34" s="2"/>
      <c r="J34" s="2"/>
      <c r="K34" s="2"/>
      <c r="L34" s="2"/>
      <c r="M34" s="2"/>
      <c r="N34" s="2"/>
      <c r="O34" s="25">
        <v>6.6989999999999998</v>
      </c>
      <c r="P34" s="25">
        <v>0.0051155599999999999</v>
      </c>
      <c r="Q34" s="25">
        <v>0.33987800000000001</v>
      </c>
      <c r="R34" s="25">
        <v>372.56700000000001</v>
      </c>
      <c r="S34" s="25">
        <v>19.302</v>
      </c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15"/>
      <c r="F35" s="29">
        <v>0.46923999999999999</v>
      </c>
      <c r="G35" s="2"/>
      <c r="H35" s="2"/>
      <c r="I35" s="2"/>
      <c r="J35" s="2"/>
      <c r="K35" s="2"/>
      <c r="L35" s="2"/>
      <c r="M35" s="2"/>
      <c r="N35" s="2"/>
      <c r="O35" s="25">
        <v>7.3490200000000003</v>
      </c>
      <c r="P35" s="25">
        <v>0.0051155599999999999</v>
      </c>
      <c r="Q35" s="25">
        <v>0.56927000000000005</v>
      </c>
      <c r="R35" s="25">
        <v>243.50299999999999</v>
      </c>
      <c r="S35" s="25">
        <v>15.6046</v>
      </c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15"/>
      <c r="F36" s="29">
        <v>0.43818000000000001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15"/>
      <c r="F37" s="29">
        <v>0.44334800000000002</v>
      </c>
      <c r="G37" s="2"/>
      <c r="H37" s="2"/>
      <c r="I37" s="2"/>
      <c r="J37" s="2"/>
      <c r="K37" s="2"/>
      <c r="L37" s="2"/>
      <c r="M37" s="2"/>
      <c r="N37" s="2"/>
      <c r="O37" s="2" t="s">
        <v>88</v>
      </c>
      <c r="P37" s="2" t="s">
        <v>93</v>
      </c>
      <c r="Q37" s="2" t="s">
        <v>94</v>
      </c>
      <c r="R37" s="2" t="s">
        <v>95</v>
      </c>
      <c r="S37" s="2" t="s">
        <v>96</v>
      </c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15"/>
      <c r="F38" s="29">
        <v>0.46997</v>
      </c>
      <c r="G38" s="2"/>
      <c r="H38" s="2"/>
      <c r="I38" s="2"/>
      <c r="J38" s="2"/>
      <c r="K38" s="2"/>
      <c r="L38" s="2"/>
      <c r="M38" s="2"/>
      <c r="N38" s="2"/>
      <c r="O38" s="2">
        <v>5.9264599999999996</v>
      </c>
      <c r="P38" s="2">
        <v>0.0063957299999999996</v>
      </c>
      <c r="Q38" s="2">
        <v>0.166661</v>
      </c>
      <c r="R38" s="2">
        <v>131.357</v>
      </c>
      <c r="S38" s="2">
        <v>11.4611</v>
      </c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9">
        <v>0.43448999999999999</v>
      </c>
      <c r="G39" s="2"/>
      <c r="H39" s="2"/>
      <c r="I39" s="2"/>
      <c r="J39" s="2"/>
      <c r="K39" s="2"/>
      <c r="L39" s="2"/>
      <c r="M39" s="2"/>
      <c r="N39" s="2"/>
      <c r="O39" s="2">
        <v>6.3299099999999999</v>
      </c>
      <c r="P39" s="2">
        <v>0.0063957299999999996</v>
      </c>
      <c r="Q39" s="2">
        <v>0.15929499999999999</v>
      </c>
      <c r="R39" s="2">
        <v>131.71899999999999</v>
      </c>
      <c r="S39" s="2">
        <v>11.476900000000001</v>
      </c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9">
        <v>0.47089999999999999</v>
      </c>
      <c r="G40" s="2"/>
      <c r="H40" s="2"/>
      <c r="I40" s="2"/>
      <c r="J40" s="2"/>
      <c r="K40" s="2"/>
      <c r="L40" s="2"/>
      <c r="M40" s="2"/>
      <c r="N40" s="2"/>
      <c r="O40" s="2">
        <v>6.6958500000000001</v>
      </c>
      <c r="P40" s="2">
        <v>0.0063957299999999996</v>
      </c>
      <c r="Q40" s="2">
        <v>0.37057000000000001</v>
      </c>
      <c r="R40" s="2">
        <v>289.65499999999997</v>
      </c>
      <c r="S40" s="2">
        <v>17.019200000000001</v>
      </c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9"/>
      <c r="G41" s="2"/>
      <c r="H41" s="2"/>
      <c r="I41" s="2"/>
      <c r="J41" s="2"/>
      <c r="K41" s="2"/>
      <c r="L41" s="2"/>
      <c r="M41" s="2"/>
      <c r="N41" s="2"/>
      <c r="O41" s="2">
        <v>7.3732600000000001</v>
      </c>
      <c r="P41" s="2">
        <v>0.0063957299999999996</v>
      </c>
      <c r="Q41" s="2">
        <v>0.44437300000000002</v>
      </c>
      <c r="R41" s="2">
        <v>127.288</v>
      </c>
      <c r="S41" s="2">
        <v>11.2822</v>
      </c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15"/>
      <c r="F42" s="2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 t="s">
        <v>99</v>
      </c>
      <c r="F43" s="15">
        <f>MAX(F30:F42)</f>
        <v>0.47549999999999998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 t="s">
        <v>100</v>
      </c>
      <c r="F44" s="15">
        <f>MIN(F30:F42)</f>
        <v>0.43448999999999999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15" t="s">
        <v>101</v>
      </c>
      <c r="F45" s="15">
        <f>AVERAGE(F30:F42)</f>
        <v>0.45922618181818192</v>
      </c>
      <c r="G45" s="19">
        <f>(F43-F44)/F45</f>
        <v>0.089302399609778302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0" gridLines="0"/>
  <pageMargins left="0.78750000000000009" right="0.78750000000000009" top="0" bottom="0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12.5703125" defaultRowHeight="15" customHeight="1"/>
  <cols>
    <col bestFit="1" customWidth="1" min="1" max="1" width="27.85546875"/>
    <col customWidth="1" min="2" max="2" width="12.85546875"/>
    <col customWidth="1" min="3" max="3" width="10.7109375"/>
    <col customWidth="1" min="4" max="4" width="9.140625"/>
    <col customWidth="1" min="5" max="5" width="11.42578125"/>
    <col customWidth="1" min="6" max="6" width="10.7109375"/>
    <col customWidth="1" min="7" max="7" width="18.28515625"/>
    <col customWidth="1" min="8" max="8" width="34.42578125"/>
    <col customWidth="1" min="9" max="9" width="13.42578125"/>
    <col customWidth="1" min="10" max="10" width="12"/>
    <col customWidth="1" min="11" max="11" width="11.42578125"/>
    <col customWidth="1" min="12" max="12" width="7.5703125"/>
    <col customWidth="1" min="13" max="26" width="8.5703125"/>
  </cols>
  <sheetData>
    <row r="1" ht="13.5" customHeight="1">
      <c r="A1" s="2"/>
      <c r="B1" s="43" t="s">
        <v>102</v>
      </c>
      <c r="C1" s="43" t="s">
        <v>103</v>
      </c>
      <c r="D1" s="43" t="s">
        <v>104</v>
      </c>
      <c r="E1" s="2"/>
      <c r="F1" s="2" t="s">
        <v>66</v>
      </c>
      <c r="G1" s="2" t="s">
        <v>105</v>
      </c>
      <c r="H1" s="2"/>
      <c r="I1" s="2" t="s">
        <v>106</v>
      </c>
      <c r="J1" s="2" t="s">
        <v>107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43" t="s">
        <v>108</v>
      </c>
      <c r="B2" s="57">
        <v>24990428.307999998</v>
      </c>
      <c r="C2" s="2">
        <f t="shared" ref="C2:C6" si="36">B2*10^-6*931.494</f>
        <v>23278.43402633215</v>
      </c>
      <c r="D2" s="2"/>
      <c r="E2" s="2"/>
      <c r="F2" s="2">
        <v>0.4138</v>
      </c>
      <c r="G2" s="2">
        <v>-29.737687000000001</v>
      </c>
      <c r="H2" s="2" t="s">
        <v>109</v>
      </c>
      <c r="I2" s="9">
        <v>1.2433600000000001e-05</v>
      </c>
      <c r="J2" s="58">
        <f>I2*1000000</f>
        <v>12.4336</v>
      </c>
      <c r="K2" s="2"/>
      <c r="L2" s="58">
        <f>J2-J4</f>
        <v>-0.30219999999999914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43" t="s">
        <v>110</v>
      </c>
      <c r="B3" s="2">
        <v>2014101.7778439999</v>
      </c>
      <c r="C3" s="2">
        <f t="shared" si="36"/>
        <v>1876.123721451019</v>
      </c>
      <c r="D3" s="2"/>
      <c r="E3" s="2"/>
      <c r="F3" s="2"/>
      <c r="G3" s="2"/>
      <c r="H3" s="2" t="s">
        <v>111</v>
      </c>
      <c r="I3" s="9"/>
      <c r="J3" s="58"/>
      <c r="K3" s="2"/>
      <c r="L3" s="58">
        <f>J2-J6</f>
        <v>0.29660000000000153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43" t="s">
        <v>112</v>
      </c>
      <c r="B4" s="2">
        <v>1008664.9159</v>
      </c>
      <c r="C4" s="2">
        <f t="shared" si="36"/>
        <v>939.56531717135465</v>
      </c>
      <c r="D4" s="2"/>
      <c r="E4" s="2"/>
      <c r="F4" s="2">
        <f>0.4138+0.0011</f>
        <v>0.41489999999999999</v>
      </c>
      <c r="G4" s="2">
        <v>-29.735599000000001</v>
      </c>
      <c r="H4" s="2" t="s">
        <v>113</v>
      </c>
      <c r="I4" s="9">
        <v>1.2735799999999999e-05</v>
      </c>
      <c r="J4" s="58">
        <f>I4*1000000</f>
        <v>12.735799999999999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43" t="s">
        <v>114</v>
      </c>
      <c r="B5" s="2">
        <v>25992333.818</v>
      </c>
      <c r="C5" s="2">
        <f t="shared" si="36"/>
        <v>24211.70299746409</v>
      </c>
      <c r="D5" s="2">
        <v>5.9269999999999996</v>
      </c>
      <c r="E5" s="2"/>
      <c r="F5" s="2"/>
      <c r="G5" s="2"/>
      <c r="H5" s="2" t="s">
        <v>115</v>
      </c>
      <c r="I5" s="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43" t="s">
        <v>116</v>
      </c>
      <c r="B6" s="2">
        <v>1007825.031898</v>
      </c>
      <c r="C6" s="2">
        <f t="shared" si="36"/>
        <v>938.78297026279563</v>
      </c>
      <c r="D6" s="2"/>
      <c r="E6" s="2"/>
      <c r="F6" s="2">
        <f>0.4138-0.0011</f>
        <v>0.41270000000000001</v>
      </c>
      <c r="G6" s="2">
        <v>-29.739775000000002</v>
      </c>
      <c r="H6" s="2" t="s">
        <v>117</v>
      </c>
      <c r="I6" s="9">
        <v>1.2136999999999999e-05</v>
      </c>
      <c r="J6" s="58">
        <f>I6*1000000</f>
        <v>12.136999999999999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 t="s">
        <v>118</v>
      </c>
      <c r="I7" s="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 t="s">
        <v>119</v>
      </c>
      <c r="C8" s="29">
        <f>C2+C3-(C4+C5+D5)</f>
        <v>-2.6375668522741762</v>
      </c>
      <c r="D8" s="2"/>
      <c r="E8" s="2"/>
      <c r="F8" s="2"/>
      <c r="G8" s="2"/>
      <c r="H8" s="2"/>
      <c r="I8" s="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 t="s">
        <v>120</v>
      </c>
      <c r="C9" s="29">
        <f>C3-C6-C4</f>
        <v>-2.2245659831312423</v>
      </c>
      <c r="D9" s="2"/>
      <c r="E9" s="2"/>
      <c r="F9" s="2">
        <v>0.36720000000000003</v>
      </c>
      <c r="G9" s="2">
        <v>-23.404859999999999</v>
      </c>
      <c r="H9" s="2" t="s">
        <v>121</v>
      </c>
      <c r="I9" s="9">
        <v>4.7078299999999996e-06</v>
      </c>
      <c r="J9" s="58">
        <f>I9*1000000</f>
        <v>4.7078299999999995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9"/>
      <c r="D10" s="2"/>
      <c r="E10" s="2"/>
      <c r="F10" s="2"/>
      <c r="G10" s="2"/>
      <c r="H10" s="2"/>
      <c r="I10" s="9"/>
      <c r="J10" s="5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 t="s">
        <v>122</v>
      </c>
      <c r="B11" s="2" t="s">
        <v>114</v>
      </c>
      <c r="C11" s="2"/>
      <c r="D11" s="2"/>
      <c r="E11" s="2"/>
      <c r="F11" s="2">
        <v>0.16139999999999999</v>
      </c>
      <c r="G11" s="2">
        <v>-23.822903</v>
      </c>
      <c r="H11" s="2" t="s">
        <v>123</v>
      </c>
      <c r="I11" s="9">
        <v>2.6506000000000001e-10</v>
      </c>
      <c r="J11" s="58">
        <f>I11*1000000</f>
        <v>0.00026506000000000001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 t="s">
        <v>124</v>
      </c>
      <c r="B12" s="2" t="s">
        <v>125</v>
      </c>
      <c r="C12" s="2"/>
      <c r="D12" s="2"/>
      <c r="E12" s="2"/>
      <c r="F12" s="2"/>
      <c r="G12" s="2"/>
      <c r="H12" s="2"/>
      <c r="I12" s="9"/>
      <c r="J12" s="5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 t="s">
        <v>126</v>
      </c>
      <c r="B13" s="2" t="s">
        <v>127</v>
      </c>
      <c r="C13" s="2"/>
      <c r="D13" s="2"/>
      <c r="E13" s="2"/>
      <c r="F13" s="2">
        <v>0.36720000000000003</v>
      </c>
      <c r="G13" s="2">
        <v>-29.825945000000001</v>
      </c>
      <c r="H13" s="2" t="s">
        <v>128</v>
      </c>
      <c r="I13" s="9">
        <v>4.0769800000000004e-06</v>
      </c>
      <c r="J13" s="58">
        <f>I13*1000000</f>
        <v>4.0769800000000007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 t="s">
        <v>129</v>
      </c>
      <c r="B14" s="2">
        <v>901.90899999999999</v>
      </c>
      <c r="C14" s="2"/>
      <c r="D14" s="2"/>
      <c r="E14" s="2"/>
      <c r="F14" s="2"/>
      <c r="G14" s="2"/>
      <c r="H14" s="2" t="s">
        <v>130</v>
      </c>
      <c r="I14" s="9"/>
      <c r="J14" s="5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 t="s">
        <v>131</v>
      </c>
      <c r="B15" s="2">
        <v>3.7327499999999998</v>
      </c>
      <c r="C15" s="2"/>
      <c r="D15" s="2"/>
      <c r="E15" s="2"/>
      <c r="F15" s="2">
        <v>0.16139999999999999</v>
      </c>
      <c r="G15" s="2">
        <v>-30.210792999999999</v>
      </c>
      <c r="H15" s="2" t="s">
        <v>132</v>
      </c>
      <c r="I15" s="9">
        <v>2.2878300000000001e-10</v>
      </c>
      <c r="J15" s="58">
        <f>I15*1000000</f>
        <v>0.00022878300000000001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 t="s">
        <v>133</v>
      </c>
      <c r="B16" s="2">
        <v>0.64417400000000002</v>
      </c>
      <c r="C16" s="2"/>
      <c r="D16" s="2"/>
      <c r="E16" s="2"/>
      <c r="F16" s="2"/>
      <c r="G16" s="2"/>
      <c r="H16" s="2" t="s">
        <v>134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 t="s">
        <v>105</v>
      </c>
      <c r="B17" s="2">
        <v>-50.517000000000003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 t="s">
        <v>135</v>
      </c>
      <c r="B18" s="2">
        <v>3.5535100000000002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 t="s">
        <v>136</v>
      </c>
      <c r="B19" s="2">
        <v>0.64417400000000002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 t="s">
        <v>137</v>
      </c>
      <c r="B20" s="2">
        <v>31.453199999999999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 t="s">
        <v>138</v>
      </c>
      <c r="B21" s="2">
        <v>3.7327499999999998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 t="s">
        <v>139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 t="s">
        <v>140</v>
      </c>
      <c r="B23" s="2">
        <v>13</v>
      </c>
      <c r="C23" s="2"/>
      <c r="D23" s="2"/>
      <c r="E23" s="2"/>
      <c r="F23" s="2">
        <f>C2*C6/(C2+C6)</f>
        <v>902.39094943813382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 t="s">
        <v>141</v>
      </c>
      <c r="B25" s="2">
        <v>25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 t="s">
        <v>142</v>
      </c>
      <c r="B26" s="2">
        <v>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 t="s">
        <v>143</v>
      </c>
      <c r="B28" s="2">
        <v>1.25</v>
      </c>
      <c r="C28" s="2">
        <f>B28*(B25^(1/3))</f>
        <v>3.6550221727660821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 t="s">
        <v>144</v>
      </c>
      <c r="B29" s="2">
        <v>0.65000000000000002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 t="s">
        <v>145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 t="s">
        <v>146</v>
      </c>
      <c r="B32" s="2">
        <v>1.25</v>
      </c>
      <c r="C32" s="2">
        <f>B32*(B25^(1/3))</f>
        <v>3.6550221727660821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 t="s">
        <v>147</v>
      </c>
      <c r="B33" s="2">
        <v>0.65000000000000002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 t="s">
        <v>148</v>
      </c>
      <c r="B34" s="2">
        <v>-6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 t="s">
        <v>149</v>
      </c>
      <c r="B36" s="2">
        <v>1.25</v>
      </c>
      <c r="C36" s="2">
        <f t="shared" ref="C36:C37" si="37">B36*(B25^(1/3))</f>
        <v>3.6550221727660821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 t="s">
        <v>150</v>
      </c>
      <c r="B37" s="2">
        <v>0</v>
      </c>
      <c r="C37" s="2">
        <f t="shared" si="37"/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0" gridLines="0"/>
  <pageMargins left="0.78750000000000009" right="0.78750000000000009" top="0" bottom="0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12.5703125" defaultRowHeight="15" customHeight="1"/>
  <cols>
    <col customWidth="1" min="1" max="1" width="8"/>
    <col customWidth="1" min="2" max="2" width="9.42578125"/>
    <col customWidth="1" min="3" max="3" width="20.140625"/>
    <col customWidth="1" min="4" max="5" width="2.85546875"/>
    <col customWidth="1" min="6" max="6" width="20.140625"/>
    <col customWidth="1" min="7" max="7" width="8.7109375"/>
    <col customWidth="1" min="8" max="9" width="6.140625"/>
    <col customWidth="1" min="10" max="10" width="4.28515625"/>
    <col customWidth="1" min="11" max="15" width="5.140625"/>
    <col customWidth="1" min="16" max="16" width="4.28515625"/>
    <col customWidth="1" min="17" max="19" width="5.140625"/>
    <col customWidth="1" min="20" max="20" width="8.42578125"/>
    <col customWidth="1" min="21" max="21" width="11.42578125"/>
    <col customWidth="1" min="22" max="22" width="16.140625"/>
    <col customWidth="1" min="23" max="23" width="7"/>
    <col customWidth="1" min="24" max="24" width="16.140625"/>
    <col customWidth="1" min="25" max="25" width="10.7109375"/>
    <col customWidth="1" min="26" max="26" width="8.5703125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43"/>
      <c r="B2" s="43"/>
      <c r="C2" s="43" t="s">
        <v>151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43" t="s">
        <v>152</v>
      </c>
      <c r="W2" s="2"/>
      <c r="X2" s="43" t="s">
        <v>153</v>
      </c>
      <c r="Y2" s="2"/>
      <c r="Z2" s="2"/>
    </row>
    <row r="3" ht="13.5" customHeight="1">
      <c r="A3" s="43" t="s">
        <v>154</v>
      </c>
      <c r="B3" s="43" t="s">
        <v>155</v>
      </c>
      <c r="C3" s="43" t="s">
        <v>156</v>
      </c>
      <c r="D3" s="43" t="s">
        <v>157</v>
      </c>
      <c r="E3" s="43" t="s">
        <v>158</v>
      </c>
      <c r="F3" s="43" t="s">
        <v>159</v>
      </c>
      <c r="G3" s="43" t="s">
        <v>160</v>
      </c>
      <c r="H3" s="43" t="s">
        <v>161</v>
      </c>
      <c r="I3" s="43" t="s">
        <v>162</v>
      </c>
      <c r="J3" s="43" t="s">
        <v>163</v>
      </c>
      <c r="K3" s="43" t="s">
        <v>164</v>
      </c>
      <c r="L3" s="43" t="s">
        <v>165</v>
      </c>
      <c r="M3" s="43" t="s">
        <v>166</v>
      </c>
      <c r="N3" s="43" t="s">
        <v>167</v>
      </c>
      <c r="O3" s="43" t="s">
        <v>168</v>
      </c>
      <c r="P3" s="43" t="s">
        <v>169</v>
      </c>
      <c r="Q3" s="43" t="s">
        <v>170</v>
      </c>
      <c r="R3" s="43" t="s">
        <v>171</v>
      </c>
      <c r="S3" s="43" t="s">
        <v>172</v>
      </c>
      <c r="T3" s="43" t="s">
        <v>173</v>
      </c>
      <c r="U3" s="2"/>
      <c r="V3" s="2" t="s">
        <v>174</v>
      </c>
      <c r="W3" s="2">
        <v>25</v>
      </c>
      <c r="X3" s="2" t="s">
        <v>175</v>
      </c>
      <c r="Y3" s="2">
        <f>W5*W9/(W5+W9)</f>
        <v>1735.7183422865414</v>
      </c>
      <c r="Z3" s="2"/>
    </row>
    <row r="4" ht="13.5" customHeight="1">
      <c r="A4" s="2" t="s">
        <v>176</v>
      </c>
      <c r="B4" s="2" t="s">
        <v>177</v>
      </c>
      <c r="C4" s="2" t="s">
        <v>178</v>
      </c>
      <c r="D4" s="2">
        <v>12</v>
      </c>
      <c r="E4" s="2">
        <v>25</v>
      </c>
      <c r="F4" s="2">
        <v>8</v>
      </c>
      <c r="G4" s="2">
        <v>83.900000000000006</v>
      </c>
      <c r="H4" s="2">
        <v>1.1699999999999999</v>
      </c>
      <c r="I4" s="2">
        <v>0.81000000000000005</v>
      </c>
      <c r="J4" s="2">
        <v>0</v>
      </c>
      <c r="K4" s="2">
        <v>1.5600000000000001</v>
      </c>
      <c r="L4" s="2">
        <v>0.82999999999999996</v>
      </c>
      <c r="M4" s="2">
        <v>18.600000000000001</v>
      </c>
      <c r="N4" s="2">
        <v>1.3300000000000001</v>
      </c>
      <c r="O4" s="2">
        <v>0.59999999999999998</v>
      </c>
      <c r="P4" s="2">
        <v>3.7000000000000002</v>
      </c>
      <c r="Q4" s="2">
        <v>1.23</v>
      </c>
      <c r="R4" s="2">
        <v>0.81000000000000005</v>
      </c>
      <c r="S4" s="2">
        <v>1.7</v>
      </c>
      <c r="T4" s="2"/>
      <c r="U4" s="2"/>
      <c r="V4" s="2" t="s">
        <v>179</v>
      </c>
      <c r="W4" s="2">
        <v>13</v>
      </c>
      <c r="X4" s="2" t="s">
        <v>180</v>
      </c>
      <c r="Y4" s="15">
        <f>Y3*W6/W5</f>
        <v>7.3764188439286587</v>
      </c>
      <c r="Z4" s="2"/>
    </row>
    <row r="5" ht="13.5" customHeight="1">
      <c r="A5" s="2" t="s">
        <v>181</v>
      </c>
      <c r="B5" s="2" t="s">
        <v>182</v>
      </c>
      <c r="C5" s="2" t="s">
        <v>183</v>
      </c>
      <c r="D5" s="2">
        <v>12</v>
      </c>
      <c r="E5" s="2">
        <v>26</v>
      </c>
      <c r="F5" s="2"/>
      <c r="G5" s="2">
        <v>53.700000000000003</v>
      </c>
      <c r="H5" s="2">
        <v>1.1699999999999999</v>
      </c>
      <c r="I5" s="2">
        <v>0.67000000000000004</v>
      </c>
      <c r="J5" s="2">
        <v>0.64000000000000001</v>
      </c>
      <c r="K5" s="2">
        <v>1.1699999999999999</v>
      </c>
      <c r="L5" s="2">
        <v>0.67000000000000004</v>
      </c>
      <c r="M5" s="2">
        <v>8.0199999999999996</v>
      </c>
      <c r="N5" s="2">
        <v>1.3400000000000001</v>
      </c>
      <c r="O5" s="2">
        <v>0.53000000000000003</v>
      </c>
      <c r="P5" s="2">
        <v>5.6900000000000004</v>
      </c>
      <c r="Q5" s="2">
        <v>0.96999999999999997</v>
      </c>
      <c r="R5" s="2">
        <v>0.58999999999999997</v>
      </c>
      <c r="S5" s="2">
        <v>1.3300000000000001</v>
      </c>
      <c r="T5" s="2"/>
      <c r="U5" s="2"/>
      <c r="V5" s="2" t="s">
        <v>184</v>
      </c>
      <c r="W5" s="2">
        <v>23271.799999999999</v>
      </c>
      <c r="X5" s="2" t="s">
        <v>185</v>
      </c>
      <c r="Y5" s="15">
        <f>Y4*W9/Y3</f>
        <v>7.9709274314835987</v>
      </c>
      <c r="Z5" s="2"/>
    </row>
    <row r="6" ht="13.5" customHeight="1">
      <c r="A6" s="2" t="s">
        <v>186</v>
      </c>
      <c r="B6" s="2" t="s">
        <v>187</v>
      </c>
      <c r="C6" s="2" t="s">
        <v>183</v>
      </c>
      <c r="D6" s="2">
        <v>12</v>
      </c>
      <c r="E6" s="2">
        <v>25</v>
      </c>
      <c r="F6" s="2"/>
      <c r="G6" s="2">
        <v>53.700000000000003</v>
      </c>
      <c r="H6" s="2">
        <v>1.1699999999999999</v>
      </c>
      <c r="I6" s="2">
        <v>0.67000000000000004</v>
      </c>
      <c r="J6" s="2">
        <v>0.64000000000000001</v>
      </c>
      <c r="K6" s="2">
        <v>1.1699999999999999</v>
      </c>
      <c r="L6" s="2">
        <v>0.67000000000000004</v>
      </c>
      <c r="M6" s="2">
        <v>8.0199999999999996</v>
      </c>
      <c r="N6" s="2">
        <v>1.3400000000000001</v>
      </c>
      <c r="O6" s="2">
        <v>0.53000000000000003</v>
      </c>
      <c r="P6" s="2">
        <v>5.6900000000000004</v>
      </c>
      <c r="Q6" s="2">
        <v>0.96999999999999997</v>
      </c>
      <c r="R6" s="2">
        <v>0.58999999999999997</v>
      </c>
      <c r="S6" s="2">
        <v>1.3300000000000001</v>
      </c>
      <c r="T6" s="2"/>
      <c r="U6" s="2"/>
      <c r="V6" s="2" t="s">
        <v>185</v>
      </c>
      <c r="W6" s="2">
        <v>98.900000000000006</v>
      </c>
      <c r="X6" s="2"/>
      <c r="Y6" s="2"/>
      <c r="Z6" s="2"/>
    </row>
    <row r="7" ht="13.5" customHeight="1">
      <c r="A7" s="2" t="s">
        <v>188</v>
      </c>
      <c r="B7" s="2" t="s">
        <v>189</v>
      </c>
      <c r="C7" s="2" t="s">
        <v>190</v>
      </c>
      <c r="D7" s="2">
        <v>12</v>
      </c>
      <c r="E7" s="2">
        <v>25</v>
      </c>
      <c r="F7" s="2"/>
      <c r="G7" s="2">
        <v>52.100000000000001</v>
      </c>
      <c r="H7" s="2">
        <v>1.1599999999999999</v>
      </c>
      <c r="I7" s="2">
        <v>0.64000000000000001</v>
      </c>
      <c r="J7" s="2" t="s">
        <v>191</v>
      </c>
      <c r="K7" s="2" t="s">
        <v>191</v>
      </c>
      <c r="L7" s="2" t="s">
        <v>191</v>
      </c>
      <c r="M7" s="2" t="s">
        <v>191</v>
      </c>
      <c r="N7" s="2" t="s">
        <v>191</v>
      </c>
      <c r="O7" s="2" t="s">
        <v>191</v>
      </c>
      <c r="P7" s="2">
        <v>5.5</v>
      </c>
      <c r="Q7" s="2">
        <v>0.95999999999999996</v>
      </c>
      <c r="R7" s="2">
        <v>0.58999999999999997</v>
      </c>
      <c r="S7" s="2">
        <v>1.26</v>
      </c>
      <c r="T7" s="2"/>
      <c r="U7" s="2"/>
      <c r="V7" s="2" t="s">
        <v>192</v>
      </c>
      <c r="W7" s="2">
        <v>2</v>
      </c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193</v>
      </c>
      <c r="W8" s="2">
        <v>1</v>
      </c>
      <c r="X8" s="2"/>
      <c r="Y8" s="2"/>
      <c r="Z8" s="2"/>
    </row>
    <row r="9" ht="13.5" customHeight="1">
      <c r="A9" s="2"/>
      <c r="B9" s="2"/>
      <c r="C9" s="43" t="s">
        <v>194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 t="s">
        <v>195</v>
      </c>
      <c r="W9" s="2">
        <v>1875.6099999999999</v>
      </c>
      <c r="X9" s="2"/>
      <c r="Y9" s="2"/>
      <c r="Z9" s="2"/>
    </row>
    <row r="10" ht="13.5" customHeight="1">
      <c r="A10" s="2" t="s">
        <v>176</v>
      </c>
      <c r="B10" s="2" t="s">
        <v>177</v>
      </c>
      <c r="C10" s="2" t="s">
        <v>196</v>
      </c>
      <c r="D10" s="2">
        <v>12</v>
      </c>
      <c r="E10" s="2">
        <v>25</v>
      </c>
      <c r="F10" s="2">
        <v>13</v>
      </c>
      <c r="G10" s="2">
        <v>93.799999999999997</v>
      </c>
      <c r="H10" s="2">
        <v>1</v>
      </c>
      <c r="I10" s="2">
        <v>0.87</v>
      </c>
      <c r="J10" s="2" t="s">
        <v>191</v>
      </c>
      <c r="K10" s="2" t="s">
        <v>191</v>
      </c>
      <c r="L10" s="2" t="s">
        <v>191</v>
      </c>
      <c r="M10" s="2">
        <v>29.199999999999999</v>
      </c>
      <c r="N10" s="2">
        <v>1.3600000000000001</v>
      </c>
      <c r="O10" s="2">
        <v>0.60999999999999999</v>
      </c>
      <c r="P10" s="2">
        <v>12</v>
      </c>
      <c r="Q10" s="2">
        <v>1</v>
      </c>
      <c r="R10" s="2">
        <v>0.87</v>
      </c>
      <c r="S10" s="2">
        <v>1.3</v>
      </c>
      <c r="T10" s="2"/>
      <c r="U10" s="2"/>
      <c r="V10" s="2"/>
      <c r="W10" s="2"/>
      <c r="X10" s="2"/>
      <c r="Y10" s="2"/>
      <c r="Z10" s="2"/>
    </row>
    <row r="11" ht="13.5" customHeight="1">
      <c r="A11" s="2" t="s">
        <v>181</v>
      </c>
      <c r="B11" s="2" t="s">
        <v>182</v>
      </c>
      <c r="C11" s="2" t="s">
        <v>197</v>
      </c>
      <c r="D11" s="2">
        <v>12</v>
      </c>
      <c r="E11" s="2">
        <v>26</v>
      </c>
      <c r="F11" s="2"/>
      <c r="G11" s="2">
        <f>56.6-0.32*F10</f>
        <v>52.439999999999998</v>
      </c>
      <c r="H11" s="2">
        <v>1.1699999999999999</v>
      </c>
      <c r="I11" s="2">
        <v>0.75</v>
      </c>
      <c r="J11" s="2" t="s">
        <v>191</v>
      </c>
      <c r="K11" s="2" t="s">
        <v>191</v>
      </c>
      <c r="L11" s="2" t="s">
        <v>191</v>
      </c>
      <c r="M11" s="2">
        <f>12.3-0.25*F10</f>
        <v>9.0500000000000007</v>
      </c>
      <c r="N11" s="2">
        <v>1.3200000000000001</v>
      </c>
      <c r="O11" s="2">
        <v>0.54000000000000004</v>
      </c>
      <c r="P11" s="2">
        <v>6.2000000000000002</v>
      </c>
      <c r="Q11" s="2">
        <v>1.01</v>
      </c>
      <c r="R11" s="2">
        <v>0.75</v>
      </c>
      <c r="S11" s="2">
        <v>1.3700000000000001</v>
      </c>
      <c r="T11" s="2"/>
      <c r="U11" s="2"/>
      <c r="V11" s="2"/>
      <c r="W11" s="2"/>
      <c r="X11" s="2"/>
      <c r="Y11" s="2"/>
      <c r="Z11" s="2"/>
    </row>
    <row r="12" ht="13.5" customHeight="1">
      <c r="A12" s="2" t="s">
        <v>188</v>
      </c>
      <c r="B12" s="2" t="s">
        <v>189</v>
      </c>
      <c r="C12" s="2"/>
      <c r="D12" s="2">
        <v>12</v>
      </c>
      <c r="E12" s="2">
        <v>25</v>
      </c>
      <c r="F12" s="2"/>
      <c r="G12" s="2"/>
      <c r="H12" s="2">
        <v>1.25</v>
      </c>
      <c r="I12" s="2">
        <v>0.65000000000000002</v>
      </c>
      <c r="J12" s="2" t="s">
        <v>191</v>
      </c>
      <c r="K12" s="2" t="s">
        <v>191</v>
      </c>
      <c r="L12" s="2" t="s">
        <v>191</v>
      </c>
      <c r="M12" s="2">
        <v>0</v>
      </c>
      <c r="N12" s="2">
        <v>0</v>
      </c>
      <c r="O12" s="2">
        <v>0</v>
      </c>
      <c r="P12" s="2">
        <v>12.5</v>
      </c>
      <c r="Q12" s="2">
        <v>1.25</v>
      </c>
      <c r="R12" s="2">
        <v>0.65000000000000002</v>
      </c>
      <c r="S12" s="2">
        <v>1.25</v>
      </c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43" t="s">
        <v>198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153</v>
      </c>
      <c r="W13" s="2"/>
      <c r="X13" s="2"/>
      <c r="Y13" s="2"/>
      <c r="Z13" s="2"/>
    </row>
    <row r="14" ht="13.5" customHeight="1">
      <c r="A14" s="2" t="s">
        <v>176</v>
      </c>
      <c r="B14" s="2" t="s">
        <v>177</v>
      </c>
      <c r="C14" s="2" t="s">
        <v>199</v>
      </c>
      <c r="D14" s="2">
        <v>12</v>
      </c>
      <c r="E14" s="2">
        <v>25</v>
      </c>
      <c r="F14" s="2">
        <v>16</v>
      </c>
      <c r="G14" s="2">
        <v>90.530000000000001</v>
      </c>
      <c r="H14" s="2">
        <v>1.149</v>
      </c>
      <c r="I14" s="2">
        <v>0.75600000000000001</v>
      </c>
      <c r="J14" s="2">
        <v>2.1000000000000001</v>
      </c>
      <c r="K14" s="2">
        <v>1.339</v>
      </c>
      <c r="L14" s="2">
        <v>0.56299999999999994</v>
      </c>
      <c r="M14" s="2">
        <v>10.34</v>
      </c>
      <c r="N14" s="2">
        <v>1.3859999999999999</v>
      </c>
      <c r="O14" s="2">
        <v>0.71199999999999997</v>
      </c>
      <c r="P14" s="2">
        <v>3.5600000000000001</v>
      </c>
      <c r="Q14" s="2">
        <v>0.97199999999999998</v>
      </c>
      <c r="R14" s="2">
        <v>1.0109999999999999</v>
      </c>
      <c r="S14" s="2">
        <v>1.3029999999999999</v>
      </c>
      <c r="T14" s="2"/>
      <c r="U14" s="2"/>
      <c r="V14" s="2" t="s">
        <v>174</v>
      </c>
      <c r="W14" s="2">
        <v>2</v>
      </c>
      <c r="X14" s="2" t="s">
        <v>175</v>
      </c>
      <c r="Y14" s="2">
        <f>W16*W20/(W16+W20)</f>
        <v>1735.6972002031528</v>
      </c>
      <c r="Z14" s="2"/>
    </row>
    <row r="15" ht="13.5" customHeight="1">
      <c r="A15" s="2" t="s">
        <v>181</v>
      </c>
      <c r="B15" s="2" t="s">
        <v>182</v>
      </c>
      <c r="C15" s="2" t="s">
        <v>200</v>
      </c>
      <c r="D15" s="2">
        <v>12</v>
      </c>
      <c r="E15" s="2">
        <v>26</v>
      </c>
      <c r="F15" s="2"/>
      <c r="G15" s="2">
        <v>49.25</v>
      </c>
      <c r="H15" s="2">
        <v>1.1499999999999999</v>
      </c>
      <c r="I15" s="2">
        <v>0.65000000000000002</v>
      </c>
      <c r="J15" s="2" t="s">
        <v>191</v>
      </c>
      <c r="K15" s="2" t="s">
        <v>191</v>
      </c>
      <c r="L15" s="2" t="s">
        <v>191</v>
      </c>
      <c r="M15" s="2">
        <v>4.4800000000000004</v>
      </c>
      <c r="N15" s="2">
        <v>1.1319999999999999</v>
      </c>
      <c r="O15" s="2">
        <v>0.59999999999999998</v>
      </c>
      <c r="P15" s="2">
        <v>5.5999999999999996</v>
      </c>
      <c r="Q15" s="2">
        <v>1.01</v>
      </c>
      <c r="R15" s="2">
        <v>0.59999999999999998</v>
      </c>
      <c r="S15" s="2">
        <v>1.2</v>
      </c>
      <c r="T15" s="2"/>
      <c r="U15" s="2"/>
      <c r="V15" s="2" t="s">
        <v>179</v>
      </c>
      <c r="W15" s="2">
        <v>1</v>
      </c>
      <c r="X15" s="2" t="s">
        <v>180</v>
      </c>
      <c r="Y15" s="15">
        <f>Y14*W17/W16</f>
        <v>14.806465738213406</v>
      </c>
      <c r="Z15" s="2"/>
    </row>
    <row r="16" ht="13.5" customHeight="1">
      <c r="A16" s="2"/>
      <c r="B16" s="2"/>
      <c r="C16" s="2" t="s">
        <v>201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184</v>
      </c>
      <c r="W16" s="2">
        <v>1875.6099999999999</v>
      </c>
      <c r="X16" s="2" t="s">
        <v>185</v>
      </c>
      <c r="Y16" s="15">
        <f>Y15*W20/Y14</f>
        <v>198.48902490389796</v>
      </c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 t="s">
        <v>185</v>
      </c>
      <c r="W17" s="2">
        <v>16</v>
      </c>
      <c r="X17" s="2"/>
      <c r="Y17" s="2"/>
      <c r="Z17" s="2"/>
    </row>
    <row r="18" ht="13.5" customHeight="1">
      <c r="A18" s="43"/>
      <c r="B18" s="43"/>
      <c r="C18" s="43" t="s">
        <v>202</v>
      </c>
      <c r="D18" s="2" t="s">
        <v>157</v>
      </c>
      <c r="E18" s="2" t="s">
        <v>158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 t="s">
        <v>192</v>
      </c>
      <c r="W18" s="2">
        <v>25</v>
      </c>
      <c r="X18" s="2"/>
      <c r="Y18" s="2"/>
      <c r="Z18" s="2"/>
    </row>
    <row r="19" ht="13.5" customHeight="1">
      <c r="A19" s="2" t="s">
        <v>203</v>
      </c>
      <c r="B19" s="2" t="s">
        <v>177</v>
      </c>
      <c r="C19" s="2" t="s">
        <v>199</v>
      </c>
      <c r="D19" s="2">
        <v>13</v>
      </c>
      <c r="E19" s="2">
        <v>25</v>
      </c>
      <c r="F19" s="2">
        <v>7.9710000000000001</v>
      </c>
      <c r="G19" s="18">
        <f>91.85 - 0.249*F19 + 0.000116*(F19)^2 + 0.642*D19*(E19)^(-1/3)</f>
        <v>92.726883123748735</v>
      </c>
      <c r="H19" s="15">
        <f>1.152 - 0.00776*(E19^(-1/3))</f>
        <v>1.1493461173307578</v>
      </c>
      <c r="I19" s="15">
        <f>0.719+0.0126*(E19^(1/3))</f>
        <v>0.75584262350148212</v>
      </c>
      <c r="J19" s="18">
        <f>1.104+0.0622*F19</f>
        <v>1.5997962000000001</v>
      </c>
      <c r="K19" s="15">
        <f>1.305+0.0997*(E19^(-1/3))</f>
        <v>1.3390969203767333</v>
      </c>
      <c r="L19" s="15">
        <f>0.855-0.1*(E19^(1/3))</f>
        <v>0.56259822617871347</v>
      </c>
      <c r="M19" s="18">
        <f>10.83-0.0306*F19</f>
        <v>10.5860874</v>
      </c>
      <c r="N19" s="15">
        <f>1.334+0.152*(E19^(-1/3))</f>
        <v>1.3859832687789717</v>
      </c>
      <c r="O19" s="15">
        <f>0.531+0.062*(E19^(1/3))</f>
        <v>0.71228909976919774</v>
      </c>
      <c r="P19" s="18">
        <v>3.5569999999999999</v>
      </c>
      <c r="Q19" s="2">
        <v>0.97199999999999998</v>
      </c>
      <c r="R19" s="2">
        <v>1.0109999999999999</v>
      </c>
      <c r="S19" s="2">
        <v>1.3029999999999999</v>
      </c>
      <c r="T19" s="2"/>
      <c r="U19" s="2"/>
      <c r="V19" s="2" t="s">
        <v>193</v>
      </c>
      <c r="W19" s="2">
        <v>12</v>
      </c>
      <c r="X19" s="2"/>
      <c r="Y19" s="2"/>
      <c r="Z19" s="2"/>
    </row>
    <row r="20" ht="13.5" customHeight="1">
      <c r="A20" s="2" t="s">
        <v>204</v>
      </c>
      <c r="B20" s="2" t="s">
        <v>182</v>
      </c>
      <c r="C20" s="2" t="s">
        <v>205</v>
      </c>
      <c r="D20" s="2">
        <v>14</v>
      </c>
      <c r="E20" s="2">
        <v>26</v>
      </c>
      <c r="F20" s="17">
        <v>0.29999999999999999</v>
      </c>
      <c r="G20" s="17">
        <f>G25*(1-G26*(F20-G38) + G27*(F20-G38)^2 - G28*(F20-G38)^3)</f>
        <v>55.707844255599397</v>
      </c>
      <c r="H20" s="46">
        <f>1.3039-0.405*E20^(-1/3)</f>
        <v>1.1671909578112194</v>
      </c>
      <c r="I20" s="46">
        <f>0.6778-0.0001487*E20</f>
        <v>0.67393379999999992</v>
      </c>
      <c r="J20" s="17">
        <f>G29*(F20-G38)^2/((F20-G38)^2 + G30^2)</f>
        <v>0.25677111730267227</v>
      </c>
      <c r="K20" s="46">
        <f t="shared" ref="K20:L20" si="38">H20</f>
        <v>1.1671909578112194</v>
      </c>
      <c r="L20" s="46">
        <f t="shared" si="38"/>
        <v>0.67393379999999992</v>
      </c>
      <c r="M20" s="17">
        <f>G31*(F20-G38)^2/((F20-G38)^2 + G33^2) * EXP(-G32*(F20-G38))</f>
        <v>6.4262882644048442</v>
      </c>
      <c r="N20" s="46">
        <f>1.3424-0.01585*E20^(1/3)</f>
        <v>1.2954444373157432</v>
      </c>
      <c r="O20" s="46">
        <f>0.5446-0.0001656*E20</f>
        <v>0.54029439999999995</v>
      </c>
      <c r="P20" s="17">
        <f>G34*EXP(-G35*(F20-G38))</f>
        <v>5.744171618821122</v>
      </c>
      <c r="Q20" s="46">
        <f>1.1854-0.647*E20^(-1/3)</f>
        <v>0.96700308568854054</v>
      </c>
      <c r="R20" s="46">
        <v>0.58999999999999997</v>
      </c>
      <c r="S20" s="17"/>
      <c r="T20" s="7">
        <f>G36*(F20-G38)^2/((F20-G38)^2 + G37^2)</f>
        <v>-0.014303533231448418</v>
      </c>
      <c r="U20" s="2"/>
      <c r="V20" s="2" t="s">
        <v>195</v>
      </c>
      <c r="W20" s="2">
        <v>23268</v>
      </c>
      <c r="X20" s="2"/>
      <c r="Y20" s="2"/>
      <c r="Z20" s="2"/>
    </row>
    <row r="21" ht="13.5" customHeight="1">
      <c r="A21" s="2"/>
      <c r="B21" s="2"/>
      <c r="C21" s="2" t="s">
        <v>201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9" t="s">
        <v>183</v>
      </c>
      <c r="G22" s="29" t="s">
        <v>206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15"/>
      <c r="E23" s="15"/>
      <c r="F23" s="29" t="s">
        <v>192</v>
      </c>
      <c r="G23" s="6">
        <v>26</v>
      </c>
      <c r="H23" s="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15"/>
      <c r="E24" s="15"/>
      <c r="F24" s="2" t="s">
        <v>193</v>
      </c>
      <c r="G24" s="6">
        <v>14</v>
      </c>
      <c r="H24" s="1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15"/>
      <c r="E25" s="15"/>
      <c r="F25" s="29" t="s">
        <v>207</v>
      </c>
      <c r="G25" s="7">
        <f>59.3-21*(G23-2*G24)/G23 - 0.024*G23</f>
        <v>60.291384615384608</v>
      </c>
      <c r="H25" s="1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15"/>
      <c r="E26" s="15"/>
      <c r="F26" s="29" t="s">
        <v>208</v>
      </c>
      <c r="G26" s="7">
        <f>0.007228-0.00000148*G23</f>
        <v>0.0071895200000000005</v>
      </c>
      <c r="H26" s="1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15"/>
      <c r="E27" s="15"/>
      <c r="F27" s="29" t="s">
        <v>209</v>
      </c>
      <c r="G27" s="7">
        <f>0.00001994-0.00000002*G23</f>
        <v>1.942e-05</v>
      </c>
      <c r="H27" s="1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15"/>
      <c r="E28" s="15"/>
      <c r="F28" s="29" t="s">
        <v>210</v>
      </c>
      <c r="G28" s="7">
        <f>0.000000007</f>
        <v>6.9999999999999998e-09</v>
      </c>
      <c r="H28" s="1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15"/>
      <c r="E29" s="15"/>
      <c r="F29" s="29" t="s">
        <v>211</v>
      </c>
      <c r="G29" s="7">
        <f>12.195+0.0167*G23</f>
        <v>12.629200000000001</v>
      </c>
      <c r="H29" s="1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15"/>
      <c r="E30" s="15"/>
      <c r="F30" s="29" t="s">
        <v>212</v>
      </c>
      <c r="G30" s="7">
        <f>73.55+0.0795*G23</f>
        <v>75.61699999999999</v>
      </c>
      <c r="H30" s="1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15"/>
      <c r="E31" s="15"/>
      <c r="F31" s="29" t="s">
        <v>213</v>
      </c>
      <c r="G31" s="7">
        <f>16*(1-(G23-2*G24)/G23)</f>
        <v>17.23076923076923</v>
      </c>
      <c r="H31" s="1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15"/>
      <c r="E32" s="15"/>
      <c r="F32" s="29" t="s">
        <v>214</v>
      </c>
      <c r="G32" s="7">
        <f>0.018+0.003802/(1+EXP((G23-156)/8))</f>
        <v>0.021801999666783312</v>
      </c>
      <c r="H32" s="1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15"/>
      <c r="E33" s="15"/>
      <c r="F33" s="29" t="s">
        <v>215</v>
      </c>
      <c r="G33" s="7">
        <v>11.5</v>
      </c>
      <c r="H33" s="1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15"/>
      <c r="E34" s="15"/>
      <c r="F34" s="29" t="s">
        <v>216</v>
      </c>
      <c r="G34" s="7">
        <f>5.922+0.003*G23</f>
        <v>6</v>
      </c>
      <c r="H34" s="1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15"/>
      <c r="E35" s="15"/>
      <c r="F35" s="29" t="s">
        <v>217</v>
      </c>
      <c r="G35" s="7">
        <v>0.0040000000000000001</v>
      </c>
      <c r="H35" s="1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15"/>
      <c r="E36" s="15"/>
      <c r="F36" s="15" t="s">
        <v>218</v>
      </c>
      <c r="G36" s="7">
        <v>-3.1000000000000001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 t="s">
        <v>219</v>
      </c>
      <c r="G37" s="7">
        <v>160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 t="s">
        <v>220</v>
      </c>
      <c r="G38" s="7">
        <f>-11.2814+0.02646*G23</f>
        <v>-10.593439999999999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15"/>
      <c r="E39" s="2"/>
      <c r="F39" s="15"/>
      <c r="G39" s="29"/>
      <c r="H39" s="29"/>
      <c r="I39" s="1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15"/>
      <c r="E40" s="2"/>
      <c r="F40" s="15"/>
      <c r="G40" s="29"/>
      <c r="H40" s="29"/>
      <c r="I40" s="1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15"/>
      <c r="E41" s="2"/>
      <c r="F41" s="15"/>
      <c r="G41" s="29"/>
      <c r="H41" s="29"/>
      <c r="I41" s="1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15"/>
      <c r="E42" s="2"/>
      <c r="F42" s="15"/>
      <c r="G42" s="29"/>
      <c r="H42" s="29"/>
      <c r="I42" s="1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15"/>
      <c r="E43" s="2"/>
      <c r="F43" s="15"/>
      <c r="G43" s="29"/>
      <c r="H43" s="29"/>
      <c r="I43" s="1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15"/>
      <c r="E44" s="2"/>
      <c r="F44" s="15"/>
      <c r="G44" s="29"/>
      <c r="H44" s="29"/>
      <c r="I44" s="1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15"/>
      <c r="E45" s="2"/>
      <c r="F45" s="15"/>
      <c r="G45" s="29"/>
      <c r="H45" s="29"/>
      <c r="I45" s="1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15"/>
      <c r="E46" s="2"/>
      <c r="F46" s="15"/>
      <c r="G46" s="29"/>
      <c r="H46" s="29"/>
      <c r="I46" s="1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15"/>
      <c r="E47" s="2"/>
      <c r="F47" s="15"/>
      <c r="G47" s="29"/>
      <c r="H47" s="29"/>
      <c r="I47" s="1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15"/>
      <c r="E48" s="2"/>
      <c r="F48" s="15"/>
      <c r="G48" s="29"/>
      <c r="H48" s="29"/>
      <c r="I48" s="1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15"/>
      <c r="E49" s="2"/>
      <c r="F49" s="15"/>
      <c r="G49" s="29"/>
      <c r="H49" s="29"/>
      <c r="I49" s="1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15"/>
      <c r="E50" s="2"/>
      <c r="F50" s="15"/>
      <c r="G50" s="29"/>
      <c r="H50" s="29"/>
      <c r="I50" s="1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15"/>
      <c r="E51" s="2"/>
      <c r="F51" s="15"/>
      <c r="G51" s="29"/>
      <c r="H51" s="29"/>
      <c r="I51" s="1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 t="s">
        <v>221</v>
      </c>
      <c r="G55" s="2" t="s">
        <v>222</v>
      </c>
      <c r="H55" s="2" t="s">
        <v>223</v>
      </c>
      <c r="I55" s="2" t="s">
        <v>224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>
        <v>0.050000000000000003</v>
      </c>
      <c r="G56" s="2">
        <v>11.699999999999999</v>
      </c>
      <c r="H56" s="2">
        <v>10.686999999999999</v>
      </c>
      <c r="I56" s="2">
        <v>12.712999999999999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>
        <v>0.34999999999999998</v>
      </c>
      <c r="G57" s="2">
        <v>11.699999999999999</v>
      </c>
      <c r="H57" s="2">
        <v>10.686999999999999</v>
      </c>
      <c r="I57" s="2">
        <v>12.712999999999999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0" gridLines="0"/>
  <pageMargins left="0.78750000000000009" right="0.78750000000000009" top="0" bottom="0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12.5703125" defaultRowHeight="15" customHeight="1"/>
  <cols>
    <col customWidth="1" min="1" max="1" width="29"/>
    <col customWidth="1" min="2" max="2" width="8"/>
    <col customWidth="1" min="3" max="3" width="11.42578125"/>
    <col customWidth="1" min="4" max="4" width="4.28515625"/>
    <col customWidth="1" min="5" max="5" width="11.85546875"/>
    <col customWidth="1" min="6" max="7" width="14.42578125"/>
    <col customWidth="1" min="8" max="8" width="3.42578125"/>
    <col customWidth="1" min="9" max="9" width="22.42578125"/>
    <col customWidth="1" min="10" max="10" width="10"/>
    <col customWidth="1" min="11" max="12" width="11.140625"/>
    <col customWidth="1" min="13" max="26" width="8.5703125"/>
  </cols>
  <sheetData>
    <row r="1" ht="13.5" customHeight="1">
      <c r="A1" s="2" t="s">
        <v>225</v>
      </c>
      <c r="B1" s="2">
        <v>0.66434899999999997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 t="s">
        <v>226</v>
      </c>
      <c r="B2" s="2">
        <v>3.2013099999999999</v>
      </c>
      <c r="C2" s="2"/>
      <c r="D2" s="2" t="s">
        <v>161</v>
      </c>
      <c r="E2" s="2" t="s">
        <v>227</v>
      </c>
      <c r="F2" s="2" t="s">
        <v>228</v>
      </c>
      <c r="G2" s="2" t="s">
        <v>228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 t="s">
        <v>229</v>
      </c>
      <c r="B3" s="2">
        <v>0.29357100000000003</v>
      </c>
      <c r="C3" s="2"/>
      <c r="D3" s="2">
        <v>1</v>
      </c>
      <c r="E3" s="2">
        <f t="shared" ref="E3:E11" si="39">D3*(25^(1/3) + 1)</f>
        <v>3.9240177382128656</v>
      </c>
      <c r="F3" s="59">
        <f t="shared" ref="F3:F9" si="40">1000000*G3</f>
        <v>16.029399999999999</v>
      </c>
      <c r="G3" s="7">
        <v>1.6029399999999999e-05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 t="s">
        <v>230</v>
      </c>
      <c r="B4" s="7">
        <v>1.00375e-05</v>
      </c>
      <c r="C4" s="2"/>
      <c r="D4" s="2">
        <v>1.1000000000000001</v>
      </c>
      <c r="E4" s="2">
        <f t="shared" si="39"/>
        <v>4.3164195120341526</v>
      </c>
      <c r="F4" s="59">
        <f t="shared" si="40"/>
        <v>20.570399999999999</v>
      </c>
      <c r="G4" s="7">
        <v>2.0570399999999999e-05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 t="s">
        <v>231</v>
      </c>
      <c r="B5" s="7">
        <v>1.51087e-05</v>
      </c>
      <c r="C5" s="2"/>
      <c r="D5" s="2">
        <v>1.2</v>
      </c>
      <c r="E5" s="2">
        <f t="shared" si="39"/>
        <v>4.7088212858554384</v>
      </c>
      <c r="F5" s="59">
        <f t="shared" si="40"/>
        <v>26.0641</v>
      </c>
      <c r="G5" s="7">
        <v>2.60641e-05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 t="s">
        <v>232</v>
      </c>
      <c r="B6" s="7">
        <v>6.08484e-06</v>
      </c>
      <c r="C6" s="2"/>
      <c r="D6" s="2">
        <v>1.3</v>
      </c>
      <c r="E6" s="2">
        <f t="shared" si="39"/>
        <v>5.1012230596767258</v>
      </c>
      <c r="F6" s="59">
        <f t="shared" si="40"/>
        <v>32.668800000000005</v>
      </c>
      <c r="G6" s="7">
        <v>3.2668800000000001e-05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 t="s">
        <v>233</v>
      </c>
      <c r="B7" s="7">
        <v>5.4035300000000001e-05</v>
      </c>
      <c r="C7" s="17"/>
      <c r="D7" s="2">
        <v>1.3999999999999999</v>
      </c>
      <c r="E7" s="2">
        <f t="shared" si="39"/>
        <v>5.4936248334980116</v>
      </c>
      <c r="F7" s="59">
        <f t="shared" si="40"/>
        <v>40.562400000000004</v>
      </c>
      <c r="G7" s="7">
        <v>4.0562400000000003e-05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 t="s">
        <v>234</v>
      </c>
      <c r="B8" s="7">
        <v>1.9048599999999999e-05</v>
      </c>
      <c r="C8" s="17"/>
      <c r="D8" s="2">
        <v>1.5</v>
      </c>
      <c r="E8" s="2">
        <f t="shared" si="39"/>
        <v>5.8860266073192982</v>
      </c>
      <c r="F8" s="59">
        <f t="shared" si="40"/>
        <v>49.943899999999999</v>
      </c>
      <c r="G8" s="7">
        <v>4.9943900000000001e-05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>
        <v>1.6000000000000001</v>
      </c>
      <c r="E9" s="2">
        <f t="shared" si="39"/>
        <v>6.2784283811405857</v>
      </c>
      <c r="F9" s="59">
        <f t="shared" si="40"/>
        <v>61.035299999999992</v>
      </c>
      <c r="G9" s="7">
        <v>6.1035299999999995e-05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 t="s">
        <v>225</v>
      </c>
      <c r="B10" s="2">
        <v>0.67911600000000005</v>
      </c>
      <c r="C10" s="2"/>
      <c r="D10" s="2">
        <v>1.3500000000000001</v>
      </c>
      <c r="E10" s="2">
        <f t="shared" si="39"/>
        <v>5.2974239465873687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 t="s">
        <v>226</v>
      </c>
      <c r="B11" s="2">
        <v>3.1316999999999999</v>
      </c>
      <c r="C11" s="2"/>
      <c r="D11" s="2">
        <v>1.1499999999999999</v>
      </c>
      <c r="E11" s="2">
        <f t="shared" si="39"/>
        <v>4.5126203989447955</v>
      </c>
      <c r="F11" s="2"/>
      <c r="G11" s="2"/>
      <c r="H11" s="2"/>
      <c r="I11" s="2" t="s">
        <v>235</v>
      </c>
      <c r="J11" s="2"/>
      <c r="K11" s="2" t="s">
        <v>7</v>
      </c>
      <c r="L11" s="2" t="s">
        <v>236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 t="s">
        <v>229</v>
      </c>
      <c r="B12" s="2">
        <v>0.29357100000000003</v>
      </c>
      <c r="C12" s="2"/>
      <c r="D12" s="2"/>
      <c r="E12" s="2"/>
      <c r="F12" s="2"/>
      <c r="G12" s="2"/>
      <c r="H12" s="2" t="s">
        <v>161</v>
      </c>
      <c r="I12" s="2" t="s">
        <v>237</v>
      </c>
      <c r="J12" s="2" t="s">
        <v>238</v>
      </c>
      <c r="K12" s="2" t="s">
        <v>239</v>
      </c>
      <c r="L12" s="2" t="s">
        <v>239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 t="s">
        <v>230</v>
      </c>
      <c r="B13" s="7">
        <v>1.5395300000000001e-05</v>
      </c>
      <c r="C13" s="2"/>
      <c r="D13" s="2"/>
      <c r="E13" s="2"/>
      <c r="F13" s="2"/>
      <c r="G13" s="2"/>
      <c r="H13" s="2">
        <v>1</v>
      </c>
      <c r="I13" s="29">
        <v>1.0536958157851899</v>
      </c>
      <c r="J13" s="55">
        <v>5.9954275406430299e-06</v>
      </c>
      <c r="K13" s="7">
        <v>3.54253137605781e-05</v>
      </c>
      <c r="L13" s="17">
        <f t="shared" ref="L13:L22" si="41">1000000*K13</f>
        <v>35.425313760578099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 t="s">
        <v>231</v>
      </c>
      <c r="B14" s="7">
        <v>2.2669700000000001e-05</v>
      </c>
      <c r="C14" s="2"/>
      <c r="D14" s="2"/>
      <c r="E14" s="2"/>
      <c r="F14" s="2"/>
      <c r="G14" s="2"/>
      <c r="H14" s="2">
        <v>1.2</v>
      </c>
      <c r="I14" s="29">
        <v>0.95273946157818801</v>
      </c>
      <c r="J14" s="55">
        <v>1.2880680726521699e-05</v>
      </c>
      <c r="K14" s="7">
        <v>4.7789090851054997e-05</v>
      </c>
      <c r="L14" s="17">
        <f t="shared" si="41"/>
        <v>47.789090851055001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 t="s">
        <v>232</v>
      </c>
      <c r="B15" s="7">
        <v>9.3609500000000006e-06</v>
      </c>
      <c r="C15" s="2"/>
      <c r="D15" s="2"/>
      <c r="E15" s="2"/>
      <c r="F15" s="2"/>
      <c r="G15" s="2"/>
      <c r="H15" s="2">
        <v>1.3999999999999999</v>
      </c>
      <c r="I15" s="29">
        <v>0.64929279566966502</v>
      </c>
      <c r="J15" s="55">
        <v>2.5618449724788599e-05</v>
      </c>
      <c r="K15" s="7">
        <v>4.7589993938954498e-05</v>
      </c>
      <c r="L15" s="17">
        <f t="shared" si="41"/>
        <v>47.5899939389545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 t="s">
        <v>233</v>
      </c>
      <c r="B16" s="7">
        <v>8.2878699999999996e-05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 t="s">
        <v>234</v>
      </c>
      <c r="B17" s="7">
        <v>2.9216500000000001e-05</v>
      </c>
      <c r="C17" s="2"/>
      <c r="D17" s="2"/>
      <c r="E17" s="2"/>
      <c r="F17" s="2"/>
      <c r="G17" s="2"/>
      <c r="H17" s="2"/>
      <c r="I17" s="2" t="s">
        <v>240</v>
      </c>
      <c r="J17" s="2"/>
      <c r="K17" s="2" t="s">
        <v>7</v>
      </c>
      <c r="L17" s="2" t="s">
        <v>236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 t="s">
        <v>161</v>
      </c>
      <c r="I18" s="2" t="s">
        <v>237</v>
      </c>
      <c r="J18" s="2" t="s">
        <v>238</v>
      </c>
      <c r="K18" s="2" t="s">
        <v>239</v>
      </c>
      <c r="L18" s="2" t="s">
        <v>239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>
        <v>1</v>
      </c>
      <c r="I19" s="29">
        <v>0.511006328486179</v>
      </c>
      <c r="J19" s="55">
        <v>5.9954275406430299e-06</v>
      </c>
      <c r="K19" s="7">
        <v>1.7180062072064199e-05</v>
      </c>
      <c r="L19" s="17">
        <f t="shared" si="41"/>
        <v>17.180062072064199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>
        <v>1.2</v>
      </c>
      <c r="I20" s="29">
        <v>0.53247421154536101</v>
      </c>
      <c r="J20" s="55">
        <v>1.2880680726521699e-05</v>
      </c>
      <c r="K20" s="7">
        <v>2.67087273043501e-05</v>
      </c>
      <c r="L20" s="17">
        <f t="shared" si="41"/>
        <v>26.708727304350099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>
        <v>1.3999999999999999</v>
      </c>
      <c r="I21" s="29">
        <v>0.40647315269407802</v>
      </c>
      <c r="J21" s="55">
        <v>2.5618449724788599e-05</v>
      </c>
      <c r="K21" s="7">
        <v>2.9792498857326601e-05</v>
      </c>
      <c r="L21" s="17">
        <f t="shared" si="41"/>
        <v>29.792498857326599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>
        <v>1.6000000000000001</v>
      </c>
      <c r="I22" s="2">
        <v>0.28208122624582999</v>
      </c>
      <c r="J22" s="55">
        <v>4.7962994513617101e-05</v>
      </c>
      <c r="K22" s="7">
        <v>2.96359462849014e-05</v>
      </c>
      <c r="L22" s="17">
        <f t="shared" si="41"/>
        <v>29.635946284901401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0" gridLines="0"/>
  <pageMargins left="0" right="0" top="0" bottom="0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" zoomScale="100" workbookViewId="0">
      <selection activeCell="N31" activeCellId="0" sqref="N31"/>
    </sheetView>
  </sheetViews>
  <sheetFormatPr defaultColWidth="12.5703125" defaultRowHeight="15" customHeight="1"/>
  <cols>
    <col customWidth="1" min="1" max="1" width="6.42578125"/>
    <col customWidth="1" min="2" max="2" width="7"/>
    <col customWidth="1" min="3" max="3" width="6.140625"/>
    <col customWidth="1" min="4" max="5" width="7.42578125"/>
    <col customWidth="1" min="6" max="6" width="7"/>
    <col bestFit="1" customWidth="1" min="7" max="7" width="7"/>
    <col bestFit="1" customWidth="1" min="8" max="8" width="15.140625"/>
    <col bestFit="1" customWidth="1" min="9" max="9" width="23.7109375"/>
    <col customWidth="1" min="10" max="10" width="4.28515625"/>
    <col customWidth="1" min="11" max="12" width="11.42578125"/>
    <col customWidth="1" min="13" max="26" width="8.5703125"/>
  </cols>
  <sheetData>
    <row r="1" ht="13.5" customHeight="1">
      <c r="A1" s="2"/>
      <c r="B1" s="60" t="s">
        <v>241</v>
      </c>
      <c r="C1" s="60" t="s">
        <v>86</v>
      </c>
      <c r="D1" s="60" t="s">
        <v>242</v>
      </c>
      <c r="E1" s="61" t="s">
        <v>243</v>
      </c>
      <c r="F1" s="61" t="s">
        <v>244</v>
      </c>
      <c r="G1" s="61" t="s">
        <v>86</v>
      </c>
      <c r="H1" s="60" t="s">
        <v>245</v>
      </c>
      <c r="I1" s="62" t="s">
        <v>246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 t="s">
        <v>77</v>
      </c>
      <c r="B2" s="15">
        <v>0.27000000000000002</v>
      </c>
      <c r="C2" s="2">
        <v>0.059999999999999998</v>
      </c>
      <c r="D2" s="29">
        <f t="shared" ref="D2:D9" si="42">SQRT(B2)</f>
        <v>0.51961524227066325</v>
      </c>
      <c r="E2" s="2">
        <v>0.33169999999999999</v>
      </c>
      <c r="F2" s="2">
        <v>0.11</v>
      </c>
      <c r="G2" s="2">
        <v>0.02</v>
      </c>
      <c r="H2" s="15">
        <f t="shared" ref="H2:H9" si="43">F2/B2</f>
        <v>0.40740740740740738</v>
      </c>
      <c r="I2" s="17">
        <v>8.7470999999999997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 t="s">
        <v>247</v>
      </c>
      <c r="B3" s="15">
        <v>0.2336</v>
      </c>
      <c r="C3" s="2">
        <v>0.058599999999999999</v>
      </c>
      <c r="D3" s="29">
        <f t="shared" si="42"/>
        <v>0.48332183894378289</v>
      </c>
      <c r="E3" s="29">
        <f>SQRT(F3)</f>
        <v>0.41749251490296208</v>
      </c>
      <c r="F3" s="2">
        <v>0.17430000000000001</v>
      </c>
      <c r="G3" s="2">
        <v>0.043099999999999999</v>
      </c>
      <c r="H3" s="15">
        <f t="shared" si="43"/>
        <v>0.7461472602739726</v>
      </c>
      <c r="I3" s="17">
        <v>10.781000000000001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5" t="s">
        <v>248</v>
      </c>
      <c r="B5" s="29">
        <f t="shared" ref="B5:B6" si="44">F5/H5</f>
        <v>0.067010900745840471</v>
      </c>
      <c r="C5" s="2"/>
      <c r="D5" s="29">
        <f t="shared" si="42"/>
        <v>0.25886463788211878</v>
      </c>
      <c r="E5" s="29">
        <f t="shared" ref="E5:E9" si="45">SQRT(F5)</f>
        <v>0.22360679774997896</v>
      </c>
      <c r="F5" s="2">
        <v>0.050000000000000003</v>
      </c>
      <c r="G5" s="2"/>
      <c r="H5" s="15">
        <v>0.74614726027397305</v>
      </c>
      <c r="I5" s="7">
        <v>2.8357000000000001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5"/>
      <c r="B6" s="29">
        <f t="shared" si="44"/>
        <v>0.26804360298336188</v>
      </c>
      <c r="C6" s="2"/>
      <c r="D6" s="29">
        <f t="shared" si="42"/>
        <v>0.51772927576423755</v>
      </c>
      <c r="E6" s="29">
        <f t="shared" si="45"/>
        <v>0.44721359549995793</v>
      </c>
      <c r="F6" s="2">
        <v>0.20000000000000001</v>
      </c>
      <c r="G6" s="2"/>
      <c r="H6" s="15">
        <v>0.74614726027397305</v>
      </c>
      <c r="I6" s="7">
        <v>11.340999999999999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5"/>
      <c r="B7" s="15"/>
      <c r="C7" s="15"/>
      <c r="D7" s="29"/>
      <c r="E7" s="15"/>
      <c r="F7" s="2"/>
      <c r="G7" s="2"/>
      <c r="H7" s="2"/>
      <c r="I7" s="2"/>
      <c r="J7" s="2"/>
      <c r="K7" s="2"/>
      <c r="L7" s="2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 t="s">
        <v>249</v>
      </c>
      <c r="B8" s="15">
        <v>0.2336</v>
      </c>
      <c r="C8" s="2"/>
      <c r="D8" s="29">
        <f t="shared" si="42"/>
        <v>0.48332183894378289</v>
      </c>
      <c r="E8" s="29">
        <f t="shared" si="45"/>
        <v>0.22360679774997896</v>
      </c>
      <c r="F8" s="2">
        <v>0.050000000000000003</v>
      </c>
      <c r="G8" s="2"/>
      <c r="H8" s="15">
        <f t="shared" si="43"/>
        <v>0.21404109589041098</v>
      </c>
      <c r="I8" s="7">
        <v>5.4119000000000002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15">
        <v>0.2336</v>
      </c>
      <c r="C9" s="2"/>
      <c r="D9" s="29">
        <f t="shared" si="42"/>
        <v>0.48332183894378289</v>
      </c>
      <c r="E9" s="29">
        <f t="shared" si="45"/>
        <v>0.44721359549995793</v>
      </c>
      <c r="F9" s="2">
        <v>0.20000000000000001</v>
      </c>
      <c r="G9" s="2"/>
      <c r="H9" s="15">
        <f t="shared" si="43"/>
        <v>0.85616438356164393</v>
      </c>
      <c r="I9" s="7">
        <v>10.808999999999999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15"/>
      <c r="C10" s="15"/>
      <c r="D10" s="29"/>
      <c r="E10" s="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15"/>
      <c r="C11" s="15"/>
      <c r="D11" s="29"/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15"/>
      <c r="C12" s="15"/>
      <c r="D12" s="29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15"/>
      <c r="C13" s="15"/>
      <c r="D13" s="29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15"/>
      <c r="C14" s="15"/>
      <c r="D14" s="29"/>
      <c r="E14" s="15" t="s">
        <v>250</v>
      </c>
      <c r="F14" s="2" t="s">
        <v>251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15">
        <v>0.5</v>
      </c>
      <c r="C15" s="15">
        <v>1</v>
      </c>
      <c r="D15" s="29">
        <v>0</v>
      </c>
      <c r="E15" s="15">
        <v>0</v>
      </c>
      <c r="F15" s="2">
        <v>1</v>
      </c>
      <c r="G15" s="2">
        <v>0</v>
      </c>
      <c r="H15" s="7">
        <v>3.5341999999999998</v>
      </c>
      <c r="I15" s="63">
        <f t="shared" ref="I15:I19" si="46">H15</f>
        <v>3.5341999999999998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>
        <v>0.5</v>
      </c>
      <c r="C16" s="2">
        <v>1</v>
      </c>
      <c r="D16" s="2">
        <v>0</v>
      </c>
      <c r="E16" s="2">
        <v>2</v>
      </c>
      <c r="F16" s="2">
        <v>1</v>
      </c>
      <c r="G16" s="2">
        <v>1.7969999999999999</v>
      </c>
      <c r="H16" s="7">
        <v>3.3616999999999999</v>
      </c>
      <c r="I16" s="63">
        <f t="shared" si="46"/>
        <v>3.3616999999999999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>
        <v>0.5</v>
      </c>
      <c r="C17" s="2">
        <v>1</v>
      </c>
      <c r="D17" s="2">
        <v>0</v>
      </c>
      <c r="E17" s="2">
        <v>3</v>
      </c>
      <c r="F17" s="2">
        <v>1</v>
      </c>
      <c r="G17" s="2">
        <v>5.9269999999999996</v>
      </c>
      <c r="H17" s="7">
        <v>8.1210000000000004</v>
      </c>
      <c r="I17" s="63">
        <f t="shared" si="46"/>
        <v>8.1210000000000004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>
        <v>0.5</v>
      </c>
      <c r="C18" s="2">
        <v>1</v>
      </c>
      <c r="D18" s="2">
        <v>0</v>
      </c>
      <c r="E18" s="2">
        <v>2</v>
      </c>
      <c r="F18" s="2">
        <v>1</v>
      </c>
      <c r="G18" s="2">
        <v>6.2949999999999999</v>
      </c>
      <c r="H18" s="7">
        <v>2.6166999999999998</v>
      </c>
      <c r="I18" s="63">
        <f t="shared" si="46"/>
        <v>2.6166999999999998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>
        <v>0.5</v>
      </c>
      <c r="C19" s="2">
        <v>1</v>
      </c>
      <c r="D19" s="2">
        <v>0</v>
      </c>
      <c r="E19" s="2">
        <v>3</v>
      </c>
      <c r="F19" s="2">
        <v>-1</v>
      </c>
      <c r="G19" s="2">
        <v>6.7869999999999999</v>
      </c>
      <c r="H19" s="7">
        <v>10.946</v>
      </c>
      <c r="I19" s="63">
        <f t="shared" si="46"/>
        <v>10.946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60" t="s">
        <v>241</v>
      </c>
      <c r="C24" s="60" t="s">
        <v>86</v>
      </c>
      <c r="D24" s="60" t="s">
        <v>242</v>
      </c>
      <c r="E24" s="61" t="s">
        <v>243</v>
      </c>
      <c r="F24" s="61" t="s">
        <v>244</v>
      </c>
      <c r="G24" s="61" t="s">
        <v>86</v>
      </c>
      <c r="H24" s="60" t="s">
        <v>245</v>
      </c>
      <c r="I24" s="62" t="s">
        <v>246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 t="s">
        <v>77</v>
      </c>
      <c r="B25" s="15">
        <v>0.27000000000000002</v>
      </c>
      <c r="C25" s="2">
        <v>0.059999999999999998</v>
      </c>
      <c r="D25" s="29">
        <f t="shared" ref="D25:D35" si="47">SQRT(B25)</f>
        <v>0.51961524227066325</v>
      </c>
      <c r="E25" s="29">
        <f t="shared" ref="E25:E35" si="48">SQRT(F25)</f>
        <v>0.33166247903553997</v>
      </c>
      <c r="F25" s="2">
        <v>0.11</v>
      </c>
      <c r="G25" s="2">
        <v>0.02</v>
      </c>
      <c r="H25" s="15">
        <f t="shared" ref="H25:H33" si="49">F25/B25</f>
        <v>0.40740740740740738</v>
      </c>
      <c r="I25" s="17">
        <v>8.0800000000000001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 t="s">
        <v>252</v>
      </c>
      <c r="B26" s="15">
        <f>B25-C25</f>
        <v>0.21000000000000002</v>
      </c>
      <c r="C26" s="2" t="s">
        <v>30</v>
      </c>
      <c r="D26" s="29">
        <f t="shared" si="47"/>
        <v>0.45825756949558405</v>
      </c>
      <c r="E26" s="29">
        <f t="shared" si="48"/>
        <v>0.29999999999999999</v>
      </c>
      <c r="F26" s="2">
        <f>F25-G25</f>
        <v>0.089999999999999997</v>
      </c>
      <c r="G26" s="2" t="s">
        <v>30</v>
      </c>
      <c r="H26" s="15">
        <f t="shared" si="49"/>
        <v>0.42857142857142849</v>
      </c>
      <c r="I26" s="17">
        <v>6.4400000000000004</v>
      </c>
      <c r="J26" s="17">
        <f>I25-I26</f>
        <v>1.6399999999999997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 t="s">
        <v>253</v>
      </c>
      <c r="B27" s="15">
        <f>B25+C25</f>
        <v>0.33000000000000002</v>
      </c>
      <c r="C27" s="2" t="s">
        <v>30</v>
      </c>
      <c r="D27" s="29">
        <f t="shared" si="47"/>
        <v>0.57445626465380284</v>
      </c>
      <c r="E27" s="29">
        <f t="shared" si="48"/>
        <v>0.36055512754639896</v>
      </c>
      <c r="F27" s="2">
        <f>F25+G25</f>
        <v>0.13</v>
      </c>
      <c r="G27" s="2" t="s">
        <v>30</v>
      </c>
      <c r="H27" s="15">
        <f t="shared" si="49"/>
        <v>0.39393939393939392</v>
      </c>
      <c r="I27" s="17">
        <v>9.7200000000000006</v>
      </c>
      <c r="J27" s="17">
        <f>I27-I25</f>
        <v>1.6400000000000006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15" t="s">
        <v>248</v>
      </c>
      <c r="B29" s="29">
        <f t="shared" ref="B29:B35" si="50">F29/H29</f>
        <v>0.12285012285012287</v>
      </c>
      <c r="C29" s="2"/>
      <c r="D29" s="29">
        <f t="shared" si="47"/>
        <v>0.35049981861639085</v>
      </c>
      <c r="E29" s="29">
        <f t="shared" si="48"/>
        <v>0.22360679774997896</v>
      </c>
      <c r="F29" s="2">
        <v>0.050000000000000003</v>
      </c>
      <c r="G29" s="2"/>
      <c r="H29" s="15">
        <v>0.40699999999999997</v>
      </c>
      <c r="I29" s="18">
        <v>3.6699999999999999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9">
        <f t="shared" si="50"/>
        <v>0.49140049140049147</v>
      </c>
      <c r="C30" s="2"/>
      <c r="D30" s="29">
        <f t="shared" si="47"/>
        <v>0.70099963723278169</v>
      </c>
      <c r="E30" s="29">
        <f t="shared" si="48"/>
        <v>0.44721359549995793</v>
      </c>
      <c r="F30" s="2">
        <v>0.20000000000000001</v>
      </c>
      <c r="G30" s="2"/>
      <c r="H30" s="15">
        <v>0.40699999999999997</v>
      </c>
      <c r="I30" s="18">
        <v>14.69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1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 t="s">
        <v>249</v>
      </c>
      <c r="B32" s="15">
        <v>0.27000000000000002</v>
      </c>
      <c r="C32" s="2"/>
      <c r="D32" s="29">
        <f t="shared" si="47"/>
        <v>0.51961524227066325</v>
      </c>
      <c r="E32" s="29">
        <f t="shared" si="48"/>
        <v>0.22360679774997896</v>
      </c>
      <c r="F32" s="2">
        <v>0.050000000000000003</v>
      </c>
      <c r="G32" s="2"/>
      <c r="H32" s="15">
        <f t="shared" si="49"/>
        <v>0.18518518518518517</v>
      </c>
      <c r="I32" s="18">
        <v>5.9299999999999997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15">
        <v>0.27000000000000002</v>
      </c>
      <c r="C33" s="2"/>
      <c r="D33" s="29">
        <f t="shared" si="47"/>
        <v>0.51961524227066325</v>
      </c>
      <c r="E33" s="29">
        <f t="shared" si="48"/>
        <v>0.44721359549995793</v>
      </c>
      <c r="F33" s="2">
        <v>0.20000000000000001</v>
      </c>
      <c r="G33" s="2"/>
      <c r="H33" s="15">
        <f t="shared" si="49"/>
        <v>0.7407407407407407</v>
      </c>
      <c r="I33" s="18">
        <v>11.300000000000001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 t="s">
        <v>254</v>
      </c>
      <c r="B35" s="29">
        <f t="shared" si="50"/>
        <v>0.19656019656019658</v>
      </c>
      <c r="C35" s="2"/>
      <c r="D35" s="29">
        <f t="shared" si="47"/>
        <v>0.4433510985214727</v>
      </c>
      <c r="E35" s="29">
        <f t="shared" si="48"/>
        <v>0.28284271247461901</v>
      </c>
      <c r="F35" s="2">
        <v>0.080000000000000002</v>
      </c>
      <c r="G35" s="2"/>
      <c r="H35" s="15">
        <v>0.40699999999999997</v>
      </c>
      <c r="I35" s="18">
        <v>5.8700000000000001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0" gridLines="0"/>
  <pageMargins left="0" right="0" top="0" bottom="0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2023-03-09T21:59:49Z</dcterms:created>
  <dcterms:modified xsi:type="dcterms:W3CDTF">2023-04-06T16:51:54Z</dcterms:modified>
  <cp:category/>
  <cp:contentStatus/>
</cp:coreProperties>
</file>