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C:\Users\Admin\Desktop\"/>
    </mc:Choice>
  </mc:AlternateContent>
  <xr:revisionPtr revIDLastSave="0" documentId="8_{9E7940DD-E929-4811-928A-D07281E6AF56}" xr6:coauthVersionLast="47" xr6:coauthVersionMax="47" xr10:uidLastSave="{00000000-0000-0000-0000-000000000000}"/>
  <bookViews>
    <workbookView xWindow="-120" yWindow="-120" windowWidth="29040" windowHeight="15840" tabRatio="930" xr2:uid="{00000000-000D-0000-FFFF-FFFF00000000}"/>
  </bookViews>
  <sheets>
    <sheet name="Analiza_KPA" sheetId="62" r:id="rId1"/>
    <sheet name="05.10.2007" sheetId="71" r:id="rId2"/>
    <sheet name="KK" sheetId="3" r:id="rId3"/>
    <sheet name="ID" sheetId="2" r:id="rId4"/>
    <sheet name="Analiza " sheetId="21" r:id="rId5"/>
    <sheet name=" Likujditete" sheetId="6" r:id="rId6"/>
    <sheet name="Analiza fin. 2005-2008" sheetId="59" r:id="rId7"/>
    <sheet name="Anal.fin.shly.pjes." sheetId="60" r:id="rId8"/>
    <sheet name="Te Ardhurat " sheetId="5" r:id="rId9"/>
    <sheet name="Të ardh_.S.Sharra" sheetId="63" r:id="rId10"/>
    <sheet name="Të ardh.prind." sheetId="64" r:id="rId11"/>
    <sheet name="Kredi ne NBG " sheetId="44" r:id="rId12"/>
    <sheet name="KPA_apart 05 10 2007" sheetId="65" r:id="rId13"/>
    <sheet name="KPA_ndërt.2 kate+ papaf. (2)" sheetId="69" r:id="rId14"/>
    <sheet name="ndertesa 2 kate+papafingo" sheetId="58" r:id="rId15"/>
    <sheet name="KPA_ndërt.2 kate+ papaf." sheetId="66" r:id="rId16"/>
    <sheet name="lik këst. 5,000 eur-19.10.2012" sheetId="61" r:id="rId17"/>
    <sheet name="anal.fin.2015" sheetId="68" r:id="rId18"/>
    <sheet name="Automjeti ne 14.11.2008" sheetId="49" r:id="rId19"/>
    <sheet name="Apartamenti " sheetId="43" r:id="rId20"/>
    <sheet name="Garazhd " sheetId="45" r:id="rId21"/>
    <sheet name="Garazh_KPA" sheetId="70" r:id="rId22"/>
    <sheet name="Automjeti 2017" sheetId="56" r:id="rId23"/>
    <sheet name="Automjeti 2017 KPA" sheetId="67" r:id="rId24"/>
    <sheet name="Sheet1" sheetId="72" r:id="rId25"/>
    <sheet name="Te ardhura S Sharra" sheetId="46" r:id="rId26"/>
    <sheet name="TIMS" sheetId="10" r:id="rId27"/>
    <sheet name="E.Islamaj" sheetId="4" r:id="rId28"/>
    <sheet name="Sheet2" sheetId="73"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xlnm._FilterDatabase" localSheetId="5" hidden="1">' Likujditete'!$B$3:$AE$71</definedName>
    <definedName name="_xlnm._FilterDatabase" localSheetId="26" hidden="1">TIMS!$A$10:$AA$10</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71" l="1"/>
  <c r="E22" i="71"/>
  <c r="E10" i="71"/>
  <c r="E6" i="71"/>
  <c r="E25" i="71"/>
  <c r="D25" i="71"/>
  <c r="X33" i="3"/>
  <c r="X32" i="3"/>
  <c r="K42" i="66" l="1"/>
  <c r="E19" i="71" s="1"/>
  <c r="D47" i="66"/>
  <c r="D39" i="66"/>
  <c r="G24" i="70"/>
  <c r="F24" i="70"/>
  <c r="F31" i="70" s="1"/>
  <c r="G17" i="70"/>
  <c r="G31" i="70" s="1"/>
  <c r="G33" i="70" s="1"/>
  <c r="F17" i="70"/>
  <c r="G10" i="70"/>
  <c r="F10" i="70"/>
  <c r="G6" i="70"/>
  <c r="F6" i="70"/>
  <c r="F33" i="70" s="1"/>
  <c r="O16" i="69"/>
  <c r="P16" i="69" s="1"/>
  <c r="Q16" i="69" s="1"/>
  <c r="AI15" i="69"/>
  <c r="AH15" i="69"/>
  <c r="AG15" i="69"/>
  <c r="AF15" i="69"/>
  <c r="AE15" i="69"/>
  <c r="AD15" i="69"/>
  <c r="AC15" i="69"/>
  <c r="AB15" i="69"/>
  <c r="AA15" i="69"/>
  <c r="Z15" i="69"/>
  <c r="Y15" i="69"/>
  <c r="X15" i="69"/>
  <c r="P15" i="69"/>
  <c r="K15" i="69"/>
  <c r="K14" i="69" s="1"/>
  <c r="K20" i="69" s="1"/>
  <c r="N14" i="69"/>
  <c r="N20" i="69" s="1"/>
  <c r="M14" i="69"/>
  <c r="J14" i="69"/>
  <c r="J20" i="69" s="1"/>
  <c r="I14" i="69"/>
  <c r="I20" i="69" s="1"/>
  <c r="H14" i="69"/>
  <c r="H20" i="69" s="1"/>
  <c r="G14" i="69"/>
  <c r="G20" i="69" s="1"/>
  <c r="F14" i="69"/>
  <c r="F20" i="69" s="1"/>
  <c r="E14" i="69"/>
  <c r="E20" i="69" s="1"/>
  <c r="D14" i="69"/>
  <c r="D20" i="69" s="1"/>
  <c r="AK12" i="69"/>
  <c r="AK11" i="69" s="1"/>
  <c r="AB12" i="69"/>
  <c r="AA12" i="69"/>
  <c r="AA11" i="69" s="1"/>
  <c r="Z12" i="69"/>
  <c r="Z11" i="69" s="1"/>
  <c r="Y12" i="69"/>
  <c r="Y11" i="69" s="1"/>
  <c r="X12" i="69"/>
  <c r="U12" i="69"/>
  <c r="AJ11" i="69"/>
  <c r="AI11" i="69"/>
  <c r="AH11" i="69"/>
  <c r="AG11" i="69"/>
  <c r="AF11" i="69"/>
  <c r="AE11" i="69"/>
  <c r="AD11" i="69"/>
  <c r="AC11" i="69"/>
  <c r="AB11" i="69"/>
  <c r="X11" i="69"/>
  <c r="AK9" i="69"/>
  <c r="AJ9" i="69"/>
  <c r="AI9" i="69"/>
  <c r="AI7" i="69" s="1"/>
  <c r="AH9" i="69"/>
  <c r="AG9" i="69"/>
  <c r="AF9" i="69"/>
  <c r="AE9" i="69"/>
  <c r="AD9" i="69"/>
  <c r="AC9" i="69"/>
  <c r="AC7" i="69" s="1"/>
  <c r="AB9" i="69"/>
  <c r="AA9" i="69"/>
  <c r="Z9" i="69"/>
  <c r="Y9" i="69"/>
  <c r="X9" i="69"/>
  <c r="O9" i="69"/>
  <c r="O7" i="69" s="1"/>
  <c r="O12" i="69" s="1"/>
  <c r="O11" i="69" s="1"/>
  <c r="N9" i="69"/>
  <c r="P9" i="69" s="1"/>
  <c r="M9" i="69"/>
  <c r="K9" i="69"/>
  <c r="J9" i="69"/>
  <c r="I9" i="69"/>
  <c r="AK8" i="69"/>
  <c r="AJ8" i="69"/>
  <c r="AI8" i="69"/>
  <c r="AH8" i="69"/>
  <c r="AG8" i="69"/>
  <c r="AG7" i="69" s="1"/>
  <c r="AF8" i="69"/>
  <c r="AE8" i="69"/>
  <c r="AE7" i="69" s="1"/>
  <c r="AD8" i="69"/>
  <c r="AC8" i="69"/>
  <c r="AB8" i="69"/>
  <c r="AA8" i="69"/>
  <c r="Z8" i="69"/>
  <c r="Y8" i="69"/>
  <c r="X8" i="69"/>
  <c r="O8" i="69"/>
  <c r="N8" i="69"/>
  <c r="M8" i="69"/>
  <c r="P8" i="69" s="1"/>
  <c r="K8" i="69"/>
  <c r="K7" i="69" s="1"/>
  <c r="K12" i="69" s="1"/>
  <c r="K11" i="69" s="1"/>
  <c r="J8" i="69"/>
  <c r="I8" i="69"/>
  <c r="I7" i="69" s="1"/>
  <c r="I12" i="69" s="1"/>
  <c r="I11" i="69" s="1"/>
  <c r="H8" i="69"/>
  <c r="G8" i="69"/>
  <c r="F8" i="69"/>
  <c r="F7" i="69" s="1"/>
  <c r="E8" i="69"/>
  <c r="E7" i="69" s="1"/>
  <c r="E12" i="69" s="1"/>
  <c r="E11" i="69" s="1"/>
  <c r="D8" i="69"/>
  <c r="AK7" i="69"/>
  <c r="AA7" i="69"/>
  <c r="Y7" i="69"/>
  <c r="H7" i="69"/>
  <c r="G7" i="69"/>
  <c r="G12" i="69" s="1"/>
  <c r="G11" i="69" s="1"/>
  <c r="L8" i="69" l="1"/>
  <c r="Q8" i="69" s="1"/>
  <c r="D7" i="69"/>
  <c r="D12" i="69" s="1"/>
  <c r="D11" i="69" s="1"/>
  <c r="M7" i="69"/>
  <c r="M12" i="69" s="1"/>
  <c r="L15" i="69"/>
  <c r="Q15" i="69" s="1"/>
  <c r="O14" i="69"/>
  <c r="O20" i="69" s="1"/>
  <c r="P7" i="69"/>
  <c r="AD7" i="69"/>
  <c r="L9" i="69"/>
  <c r="Q9" i="69" s="1"/>
  <c r="Z7" i="69"/>
  <c r="AH7" i="69"/>
  <c r="H12" i="69"/>
  <c r="H11" i="69" s="1"/>
  <c r="H22" i="69" s="1"/>
  <c r="X7" i="69"/>
  <c r="AB7" i="69"/>
  <c r="AF7" i="69"/>
  <c r="AJ7" i="69"/>
  <c r="AJ15" i="69" s="1"/>
  <c r="F12" i="69"/>
  <c r="F11" i="69" s="1"/>
  <c r="F22" i="69" s="1"/>
  <c r="M11" i="69"/>
  <c r="AK15" i="69"/>
  <c r="M20" i="69"/>
  <c r="G22" i="69"/>
  <c r="K22" i="69"/>
  <c r="O22" i="69"/>
  <c r="J7" i="69"/>
  <c r="N7" i="69"/>
  <c r="E22" i="69"/>
  <c r="I22" i="69"/>
  <c r="L14" i="69"/>
  <c r="Q7" i="69" l="1"/>
  <c r="M22" i="69"/>
  <c r="D22" i="69"/>
  <c r="P20" i="69"/>
  <c r="P14" i="69"/>
  <c r="Q14" i="69" s="1"/>
  <c r="Q20" i="69" s="1"/>
  <c r="AL15" i="69"/>
  <c r="N12" i="69"/>
  <c r="J12" i="69"/>
  <c r="L20" i="69"/>
  <c r="L7" i="69"/>
  <c r="N11" i="69" l="1"/>
  <c r="P12" i="69"/>
  <c r="J11" i="69"/>
  <c r="L12" i="69"/>
  <c r="L11" i="69" l="1"/>
  <c r="J22" i="69"/>
  <c r="P11" i="69"/>
  <c r="P22" i="69" s="1"/>
  <c r="N22" i="69"/>
  <c r="Q12" i="69"/>
  <c r="Q22" i="69" l="1"/>
  <c r="L22" i="69"/>
  <c r="Q11" i="69"/>
  <c r="R22" i="69" s="1"/>
  <c r="L24" i="69"/>
  <c r="Q26" i="69" l="1"/>
  <c r="Q28" i="69" s="1"/>
  <c r="Q24" i="69"/>
  <c r="E26" i="68" l="1"/>
  <c r="D26" i="68"/>
  <c r="E24" i="68"/>
  <c r="D24" i="68"/>
  <c r="E23" i="68"/>
  <c r="D23" i="68"/>
  <c r="E20" i="68"/>
  <c r="E15" i="68"/>
  <c r="E13" i="68"/>
  <c r="E12" i="68"/>
  <c r="E8" i="68"/>
  <c r="E7" i="68"/>
  <c r="E6" i="68"/>
  <c r="E5" i="68" s="1"/>
  <c r="E10" i="68" l="1"/>
  <c r="D22" i="68"/>
  <c r="E22" i="68"/>
  <c r="E21" i="68" s="1"/>
  <c r="E19" i="68" s="1"/>
  <c r="E31" i="68" s="1"/>
  <c r="E49" i="68" l="1"/>
  <c r="D20" i="67"/>
  <c r="D19" i="67"/>
  <c r="D14" i="67"/>
  <c r="D13" i="67" s="1"/>
  <c r="D9" i="67"/>
  <c r="D8" i="67" s="1"/>
  <c r="D6" i="67"/>
  <c r="D5" i="67"/>
  <c r="D4" i="67"/>
  <c r="D17" i="67" l="1"/>
  <c r="D22" i="67" s="1"/>
  <c r="D24" i="67" s="1"/>
  <c r="L45" i="66" l="1"/>
  <c r="K43" i="66"/>
  <c r="L43" i="66" s="1"/>
  <c r="L42" i="66"/>
  <c r="L41" i="66"/>
  <c r="L40" i="66"/>
  <c r="K39" i="66"/>
  <c r="K47" i="66" s="1"/>
  <c r="J39" i="66"/>
  <c r="J47" i="66" s="1"/>
  <c r="I39" i="66"/>
  <c r="I47" i="66" s="1"/>
  <c r="H39" i="66"/>
  <c r="H47" i="66" s="1"/>
  <c r="G39" i="66"/>
  <c r="G47" i="66" s="1"/>
  <c r="F39" i="66"/>
  <c r="F47" i="66" s="1"/>
  <c r="E39" i="66"/>
  <c r="E47" i="66" s="1"/>
  <c r="K34" i="66"/>
  <c r="J34" i="66"/>
  <c r="I34" i="66"/>
  <c r="H34" i="66"/>
  <c r="G34" i="66"/>
  <c r="F34" i="66"/>
  <c r="F32" i="66" s="1"/>
  <c r="E34" i="66"/>
  <c r="K33" i="66"/>
  <c r="K37" i="66" s="1"/>
  <c r="K36" i="66" s="1"/>
  <c r="J33" i="66"/>
  <c r="I33" i="66"/>
  <c r="H33" i="66"/>
  <c r="H37" i="66" s="1"/>
  <c r="H36" i="66" s="1"/>
  <c r="G33" i="66"/>
  <c r="G32" i="66" s="1"/>
  <c r="F33" i="66"/>
  <c r="E33" i="66"/>
  <c r="J32" i="66"/>
  <c r="O16" i="66"/>
  <c r="P16" i="66" s="1"/>
  <c r="Q16" i="66" s="1"/>
  <c r="AI15" i="66"/>
  <c r="AH15" i="66"/>
  <c r="AG15" i="66"/>
  <c r="AF15" i="66"/>
  <c r="AE15" i="66"/>
  <c r="AD15" i="66"/>
  <c r="AC15" i="66"/>
  <c r="AB15" i="66"/>
  <c r="AA15" i="66"/>
  <c r="Z15" i="66"/>
  <c r="Y15" i="66"/>
  <c r="X15" i="66"/>
  <c r="P15" i="66"/>
  <c r="K15" i="66"/>
  <c r="L15" i="66" s="1"/>
  <c r="Q15" i="66" s="1"/>
  <c r="N14" i="66"/>
  <c r="N20" i="66" s="1"/>
  <c r="M14" i="66"/>
  <c r="M20" i="66" s="1"/>
  <c r="J14" i="66"/>
  <c r="J20" i="66" s="1"/>
  <c r="I14" i="66"/>
  <c r="I20" i="66" s="1"/>
  <c r="H14" i="66"/>
  <c r="H20" i="66" s="1"/>
  <c r="G14" i="66"/>
  <c r="G20" i="66" s="1"/>
  <c r="F14" i="66"/>
  <c r="F20" i="66" s="1"/>
  <c r="E14" i="66"/>
  <c r="E20" i="66" s="1"/>
  <c r="D14" i="66"/>
  <c r="AK12" i="66"/>
  <c r="AB12" i="66"/>
  <c r="AB11" i="66" s="1"/>
  <c r="AA12" i="66"/>
  <c r="AA11" i="66" s="1"/>
  <c r="Z12" i="66"/>
  <c r="Z11" i="66" s="1"/>
  <c r="Y12" i="66"/>
  <c r="X12" i="66"/>
  <c r="U12" i="66"/>
  <c r="AK11" i="66"/>
  <c r="AJ11" i="66"/>
  <c r="AI11" i="66"/>
  <c r="AH11" i="66"/>
  <c r="AG11" i="66"/>
  <c r="AF11" i="66"/>
  <c r="AE11" i="66"/>
  <c r="AD11" i="66"/>
  <c r="AC11" i="66"/>
  <c r="Y11" i="66"/>
  <c r="X11" i="66"/>
  <c r="AK9" i="66"/>
  <c r="AK7" i="66" s="1"/>
  <c r="AK15" i="66" s="1"/>
  <c r="AJ9" i="66"/>
  <c r="AI9" i="66"/>
  <c r="AH9" i="66"/>
  <c r="AG9" i="66"/>
  <c r="AF9" i="66"/>
  <c r="AE9" i="66"/>
  <c r="AD9" i="66"/>
  <c r="AD7" i="66" s="1"/>
  <c r="AC9" i="66"/>
  <c r="AB9" i="66"/>
  <c r="AA9" i="66"/>
  <c r="Z9" i="66"/>
  <c r="Y9" i="66"/>
  <c r="Y7" i="66" s="1"/>
  <c r="X9" i="66"/>
  <c r="D34" i="66" s="1"/>
  <c r="O9" i="66"/>
  <c r="N9" i="66"/>
  <c r="M9" i="66"/>
  <c r="K9" i="66"/>
  <c r="J9" i="66"/>
  <c r="I9" i="66"/>
  <c r="AK8" i="66"/>
  <c r="AJ8" i="66"/>
  <c r="AI8" i="66"/>
  <c r="AH8" i="66"/>
  <c r="AH7" i="66" s="1"/>
  <c r="AG8" i="66"/>
  <c r="AG7" i="66" s="1"/>
  <c r="AF8" i="66"/>
  <c r="AF7" i="66" s="1"/>
  <c r="AE8" i="66"/>
  <c r="AD8" i="66"/>
  <c r="AC8" i="66"/>
  <c r="AB8" i="66"/>
  <c r="AB7" i="66" s="1"/>
  <c r="AA8" i="66"/>
  <c r="Z8" i="66"/>
  <c r="Z7" i="66" s="1"/>
  <c r="Y8" i="66"/>
  <c r="X8" i="66"/>
  <c r="O8" i="66"/>
  <c r="N8" i="66"/>
  <c r="M8" i="66"/>
  <c r="P8" i="66" s="1"/>
  <c r="K8" i="66"/>
  <c r="J8" i="66"/>
  <c r="I8" i="66"/>
  <c r="H8" i="66"/>
  <c r="G8" i="66"/>
  <c r="G7" i="66" s="1"/>
  <c r="G12" i="66" s="1"/>
  <c r="G11" i="66" s="1"/>
  <c r="F8" i="66"/>
  <c r="F7" i="66" s="1"/>
  <c r="F12" i="66" s="1"/>
  <c r="F11" i="66" s="1"/>
  <c r="F22" i="66" s="1"/>
  <c r="E8" i="66"/>
  <c r="E7" i="66" s="1"/>
  <c r="E12" i="66" s="1"/>
  <c r="E11" i="66" s="1"/>
  <c r="D8" i="66"/>
  <c r="AC7" i="66"/>
  <c r="O7" i="66"/>
  <c r="O12" i="66" s="1"/>
  <c r="O11" i="66" s="1"/>
  <c r="N7" i="66"/>
  <c r="N12" i="66" s="1"/>
  <c r="N11" i="66" s="1"/>
  <c r="J7" i="66"/>
  <c r="J12" i="66" s="1"/>
  <c r="J11" i="66" s="1"/>
  <c r="J22" i="66" s="1"/>
  <c r="H7" i="66"/>
  <c r="H12" i="66" s="1"/>
  <c r="H11" i="66" s="1"/>
  <c r="D7" i="66"/>
  <c r="D12" i="66" s="1"/>
  <c r="O16" i="65"/>
  <c r="P16" i="65" s="1"/>
  <c r="Q16" i="65" s="1"/>
  <c r="AI15" i="65"/>
  <c r="AH15" i="65"/>
  <c r="AG15" i="65"/>
  <c r="AF15" i="65"/>
  <c r="AE15" i="65"/>
  <c r="AD15" i="65"/>
  <c r="AC15" i="65"/>
  <c r="AB15" i="65"/>
  <c r="AA15" i="65"/>
  <c r="Z15" i="65"/>
  <c r="Y15" i="65"/>
  <c r="X15" i="65"/>
  <c r="P15" i="65"/>
  <c r="K15" i="65"/>
  <c r="L15" i="65" s="1"/>
  <c r="N14" i="65"/>
  <c r="N20" i="65" s="1"/>
  <c r="M14" i="65"/>
  <c r="J14" i="65"/>
  <c r="J20" i="65" s="1"/>
  <c r="I14" i="65"/>
  <c r="I20" i="65" s="1"/>
  <c r="H14" i="65"/>
  <c r="H20" i="65" s="1"/>
  <c r="G14" i="65"/>
  <c r="G20" i="65" s="1"/>
  <c r="F14" i="65"/>
  <c r="F20" i="65" s="1"/>
  <c r="E14" i="65"/>
  <c r="E20" i="65" s="1"/>
  <c r="D14" i="65"/>
  <c r="D20" i="65" s="1"/>
  <c r="AK12" i="65"/>
  <c r="AB12" i="65"/>
  <c r="AB11" i="65" s="1"/>
  <c r="AA12" i="65"/>
  <c r="AA11" i="65" s="1"/>
  <c r="Z12" i="65"/>
  <c r="Y12" i="65"/>
  <c r="X12" i="65"/>
  <c r="U12" i="65"/>
  <c r="AK11" i="65"/>
  <c r="AJ11" i="65"/>
  <c r="AI11" i="65"/>
  <c r="AH11" i="65"/>
  <c r="AG11" i="65"/>
  <c r="AF11" i="65"/>
  <c r="AE11" i="65"/>
  <c r="AD11" i="65"/>
  <c r="AC11" i="65"/>
  <c r="Z11" i="65"/>
  <c r="Y11" i="65"/>
  <c r="X11" i="65"/>
  <c r="AK9" i="65"/>
  <c r="AJ9" i="65"/>
  <c r="AI9" i="65"/>
  <c r="AH9" i="65"/>
  <c r="AG9" i="65"/>
  <c r="AF9" i="65"/>
  <c r="AE9" i="65"/>
  <c r="AD9" i="65"/>
  <c r="AC9" i="65"/>
  <c r="AB9" i="65"/>
  <c r="AA9" i="65"/>
  <c r="Z9" i="65"/>
  <c r="Y9" i="65"/>
  <c r="X9" i="65"/>
  <c r="O9" i="65"/>
  <c r="N9" i="65"/>
  <c r="M9" i="65"/>
  <c r="M7" i="65" s="1"/>
  <c r="M12" i="65" s="1"/>
  <c r="K9" i="65"/>
  <c r="J9" i="65"/>
  <c r="I9" i="65"/>
  <c r="AK8" i="65"/>
  <c r="AJ8" i="65"/>
  <c r="AI8" i="65"/>
  <c r="AI7" i="65" s="1"/>
  <c r="AH8" i="65"/>
  <c r="AH7" i="65" s="1"/>
  <c r="AG8" i="65"/>
  <c r="AF8" i="65"/>
  <c r="AE8" i="65"/>
  <c r="AD8" i="65"/>
  <c r="AD7" i="65" s="1"/>
  <c r="AC8" i="65"/>
  <c r="AB8" i="65"/>
  <c r="AA8" i="65"/>
  <c r="Z8" i="65"/>
  <c r="Y8" i="65"/>
  <c r="X8" i="65"/>
  <c r="O8" i="65"/>
  <c r="N8" i="65"/>
  <c r="M8" i="65"/>
  <c r="K8" i="65"/>
  <c r="J8" i="65"/>
  <c r="I8" i="65"/>
  <c r="I7" i="65" s="1"/>
  <c r="I12" i="65" s="1"/>
  <c r="I11" i="65" s="1"/>
  <c r="H8" i="65"/>
  <c r="H7" i="65" s="1"/>
  <c r="H12" i="65" s="1"/>
  <c r="H11" i="65" s="1"/>
  <c r="G8" i="65"/>
  <c r="G7" i="65" s="1"/>
  <c r="G12" i="65" s="1"/>
  <c r="G11" i="65" s="1"/>
  <c r="F8" i="65"/>
  <c r="E8" i="65"/>
  <c r="E7" i="65" s="1"/>
  <c r="E12" i="65" s="1"/>
  <c r="E11" i="65" s="1"/>
  <c r="D8" i="65"/>
  <c r="D7" i="65" s="1"/>
  <c r="AE7" i="65"/>
  <c r="AA7" i="65"/>
  <c r="F7" i="65"/>
  <c r="H119" i="64"/>
  <c r="H121" i="64" s="1"/>
  <c r="G119" i="64"/>
  <c r="N118" i="64"/>
  <c r="N119" i="64" s="1"/>
  <c r="L118" i="64"/>
  <c r="K119" i="64" s="1"/>
  <c r="N114" i="64"/>
  <c r="N115" i="64" s="1"/>
  <c r="L114" i="64"/>
  <c r="N110" i="64"/>
  <c r="N112" i="64" s="1"/>
  <c r="L110" i="64"/>
  <c r="AI106" i="64"/>
  <c r="AI108" i="64" s="1"/>
  <c r="AG106" i="64"/>
  <c r="N106" i="64"/>
  <c r="N108" i="64" s="1"/>
  <c r="L106" i="64"/>
  <c r="AI102" i="64"/>
  <c r="AI104" i="64" s="1"/>
  <c r="AG102" i="64"/>
  <c r="AF104" i="64" s="1"/>
  <c r="N102" i="64"/>
  <c r="N104" i="64" s="1"/>
  <c r="L102" i="64"/>
  <c r="AI98" i="64"/>
  <c r="AI100" i="64" s="1"/>
  <c r="AG98" i="64"/>
  <c r="N98" i="64"/>
  <c r="N100" i="64" s="1"/>
  <c r="L98" i="64"/>
  <c r="AI94" i="64"/>
  <c r="AI96" i="64" s="1"/>
  <c r="AG94" i="64"/>
  <c r="N94" i="64"/>
  <c r="N96" i="64" s="1"/>
  <c r="L94" i="64"/>
  <c r="AI90" i="64"/>
  <c r="AI92" i="64" s="1"/>
  <c r="AG90" i="64"/>
  <c r="AF92" i="64" s="1"/>
  <c r="N90" i="64"/>
  <c r="N92" i="64" s="1"/>
  <c r="L90" i="64"/>
  <c r="AI86" i="64"/>
  <c r="AI88" i="64" s="1"/>
  <c r="AG86" i="64"/>
  <c r="N86" i="64"/>
  <c r="N88" i="64" s="1"/>
  <c r="L86" i="64"/>
  <c r="AI82" i="64"/>
  <c r="AI84" i="64" s="1"/>
  <c r="AG82" i="64"/>
  <c r="N82" i="64"/>
  <c r="N84" i="64" s="1"/>
  <c r="L82" i="64"/>
  <c r="AI78" i="64"/>
  <c r="AI80" i="64" s="1"/>
  <c r="AG78" i="64"/>
  <c r="AF80" i="64" s="1"/>
  <c r="N78" i="64"/>
  <c r="N80" i="64" s="1"/>
  <c r="L78" i="64"/>
  <c r="AI74" i="64"/>
  <c r="AI76" i="64" s="1"/>
  <c r="AG74" i="64"/>
  <c r="N74" i="64"/>
  <c r="N76" i="64" s="1"/>
  <c r="L74" i="64"/>
  <c r="AI70" i="64"/>
  <c r="AI72" i="64" s="1"/>
  <c r="AG70" i="64"/>
  <c r="N70" i="64"/>
  <c r="N72" i="64" s="1"/>
  <c r="L70" i="64"/>
  <c r="AI66" i="64"/>
  <c r="AI68" i="64" s="1"/>
  <c r="AG66" i="64"/>
  <c r="AF68" i="64" s="1"/>
  <c r="N66" i="64"/>
  <c r="N68" i="64" s="1"/>
  <c r="L66" i="64"/>
  <c r="AI62" i="64"/>
  <c r="AI64" i="64" s="1"/>
  <c r="AG62" i="64"/>
  <c r="N62" i="64"/>
  <c r="N64" i="64" s="1"/>
  <c r="L62" i="64"/>
  <c r="AI59" i="64"/>
  <c r="AI60" i="64" s="1"/>
  <c r="AG59" i="64"/>
  <c r="N58" i="64"/>
  <c r="N60" i="64" s="1"/>
  <c r="L58" i="64"/>
  <c r="AI55" i="64"/>
  <c r="AI57" i="64" s="1"/>
  <c r="AG55" i="64"/>
  <c r="N54" i="64"/>
  <c r="N56" i="64" s="1"/>
  <c r="L54" i="64"/>
  <c r="AI51" i="64"/>
  <c r="AI53" i="64" s="1"/>
  <c r="AG51" i="64"/>
  <c r="N50" i="64"/>
  <c r="N52" i="64" s="1"/>
  <c r="L50" i="64"/>
  <c r="AI48" i="64"/>
  <c r="AI49" i="64" s="1"/>
  <c r="AG48" i="64"/>
  <c r="N46" i="64"/>
  <c r="N47" i="64" s="1"/>
  <c r="L46" i="64"/>
  <c r="AI44" i="64"/>
  <c r="AI46" i="64" s="1"/>
  <c r="AF46" i="64" s="1"/>
  <c r="AG44" i="64"/>
  <c r="N44" i="64"/>
  <c r="N41" i="64"/>
  <c r="N43" i="64" s="1"/>
  <c r="L41" i="64"/>
  <c r="K43" i="64" s="1"/>
  <c r="R14" i="64" s="1"/>
  <c r="AI40" i="64"/>
  <c r="AI42" i="64" s="1"/>
  <c r="AG40" i="64"/>
  <c r="AL38" i="64"/>
  <c r="AM39" i="64" s="1"/>
  <c r="N37" i="64"/>
  <c r="N39" i="64" s="1"/>
  <c r="L37" i="64"/>
  <c r="AI36" i="64"/>
  <c r="AI38" i="64" s="1"/>
  <c r="AG36" i="64"/>
  <c r="AF38" i="64" s="1"/>
  <c r="AI33" i="64"/>
  <c r="AI34" i="64" s="1"/>
  <c r="AF34" i="64" s="1"/>
  <c r="AG33" i="64"/>
  <c r="L33" i="64"/>
  <c r="K34" i="64" s="1"/>
  <c r="O30" i="64"/>
  <c r="M30" i="64" s="1"/>
  <c r="AI29" i="64"/>
  <c r="AI30" i="64" s="1"/>
  <c r="AG29" i="64"/>
  <c r="L29" i="64"/>
  <c r="AI26" i="64"/>
  <c r="AI27" i="64" s="1"/>
  <c r="AF27" i="64" s="1"/>
  <c r="AG26" i="64"/>
  <c r="L26" i="64"/>
  <c r="K27" i="64" s="1"/>
  <c r="AI24" i="64"/>
  <c r="AF24" i="64"/>
  <c r="AI23" i="64"/>
  <c r="L23" i="64"/>
  <c r="K24" i="64" s="1"/>
  <c r="AI21" i="64"/>
  <c r="AI22" i="64" s="1"/>
  <c r="AG21" i="64"/>
  <c r="AF23" i="64" s="1"/>
  <c r="S14" i="64" s="1"/>
  <c r="K21" i="64"/>
  <c r="L20" i="64"/>
  <c r="AI17" i="64"/>
  <c r="AI19" i="64" s="1"/>
  <c r="AG17" i="64"/>
  <c r="AF19" i="64" s="1"/>
  <c r="L16" i="64"/>
  <c r="K17" i="64" s="1"/>
  <c r="K18" i="64" s="1"/>
  <c r="AI14" i="64"/>
  <c r="AI15" i="64" s="1"/>
  <c r="AG14" i="64"/>
  <c r="AF15" i="64" s="1"/>
  <c r="L12" i="64"/>
  <c r="K13" i="64" s="1"/>
  <c r="K14" i="64" s="1"/>
  <c r="R9" i="64" s="1"/>
  <c r="AI10" i="64"/>
  <c r="AI12" i="64" s="1"/>
  <c r="AG10" i="64"/>
  <c r="J7" i="64"/>
  <c r="J10" i="64" s="1"/>
  <c r="L6" i="64" s="1"/>
  <c r="AG6" i="64"/>
  <c r="AF7" i="64" s="1"/>
  <c r="H52" i="63"/>
  <c r="H51" i="63"/>
  <c r="AA44" i="63"/>
  <c r="T37" i="63"/>
  <c r="S37" i="63"/>
  <c r="R37" i="63"/>
  <c r="Q37" i="63"/>
  <c r="P37" i="63"/>
  <c r="O37" i="63"/>
  <c r="N37" i="63"/>
  <c r="M37" i="63"/>
  <c r="L37" i="63"/>
  <c r="K37" i="63"/>
  <c r="J37" i="63"/>
  <c r="I37" i="63"/>
  <c r="H37" i="63"/>
  <c r="G37" i="63"/>
  <c r="F37" i="63"/>
  <c r="E37" i="63"/>
  <c r="D37" i="63"/>
  <c r="C37" i="63"/>
  <c r="AH31" i="63"/>
  <c r="AG31" i="63"/>
  <c r="AF31" i="63"/>
  <c r="AD31" i="63"/>
  <c r="AC31" i="63"/>
  <c r="AB31" i="63"/>
  <c r="AA31" i="63"/>
  <c r="Z31" i="63"/>
  <c r="Y31" i="63"/>
  <c r="X31" i="63"/>
  <c r="W31" i="63"/>
  <c r="V31" i="63"/>
  <c r="R31" i="63"/>
  <c r="Q31" i="63"/>
  <c r="P31" i="63"/>
  <c r="O31" i="63"/>
  <c r="N31" i="63"/>
  <c r="M31" i="63"/>
  <c r="L31" i="63"/>
  <c r="K31" i="63"/>
  <c r="J31" i="63"/>
  <c r="I31" i="63"/>
  <c r="H31" i="63"/>
  <c r="G31" i="63"/>
  <c r="F31" i="63"/>
  <c r="F32" i="63" s="1"/>
  <c r="U27" i="63"/>
  <c r="U31" i="63" s="1"/>
  <c r="T27" i="63"/>
  <c r="T31" i="63" s="1"/>
  <c r="S27" i="63"/>
  <c r="S31" i="63" s="1"/>
  <c r="S32" i="63" s="1"/>
  <c r="U39" i="63" s="1"/>
  <c r="U37" i="63" s="1"/>
  <c r="AE24" i="63"/>
  <c r="AE31" i="63" s="1"/>
  <c r="AE32" i="63" s="1"/>
  <c r="AB23" i="63"/>
  <c r="AA23" i="63"/>
  <c r="Z23" i="63"/>
  <c r="Y23" i="63"/>
  <c r="X23" i="63"/>
  <c r="AB22" i="63"/>
  <c r="AA22" i="63"/>
  <c r="Z22" i="63"/>
  <c r="Y22" i="63"/>
  <c r="X22" i="63"/>
  <c r="B17" i="63"/>
  <c r="AA15" i="63"/>
  <c r="Y42" i="63" s="1"/>
  <c r="Z15" i="63"/>
  <c r="X42" i="63" s="1"/>
  <c r="Y15" i="63"/>
  <c r="W42" i="63" s="1"/>
  <c r="X15" i="63"/>
  <c r="V42" i="63" s="1"/>
  <c r="W15" i="63"/>
  <c r="U42" i="63" s="1"/>
  <c r="V15" i="63"/>
  <c r="T42" i="63" s="1"/>
  <c r="U15" i="63"/>
  <c r="S42" i="63" s="1"/>
  <c r="T15" i="63"/>
  <c r="R42" i="63" s="1"/>
  <c r="S15" i="63"/>
  <c r="Q42" i="63" s="1"/>
  <c r="R15" i="63"/>
  <c r="P42" i="63" s="1"/>
  <c r="Q15" i="63"/>
  <c r="O42" i="63" s="1"/>
  <c r="P15" i="63"/>
  <c r="N42" i="63" s="1"/>
  <c r="O15" i="63"/>
  <c r="M42" i="63" s="1"/>
  <c r="N15" i="63"/>
  <c r="L42" i="63" s="1"/>
  <c r="M15" i="63"/>
  <c r="K42" i="63" s="1"/>
  <c r="L15" i="63"/>
  <c r="J42" i="63" s="1"/>
  <c r="K15" i="63"/>
  <c r="I42" i="63" s="1"/>
  <c r="J15" i="63"/>
  <c r="H42" i="63" s="1"/>
  <c r="I15" i="63"/>
  <c r="G42" i="63" s="1"/>
  <c r="H15" i="63"/>
  <c r="F42" i="63" s="1"/>
  <c r="G15" i="63"/>
  <c r="E42" i="63" s="1"/>
  <c r="F15" i="63"/>
  <c r="D42" i="63" s="1"/>
  <c r="E15" i="63"/>
  <c r="C42" i="63" s="1"/>
  <c r="D55" i="63" s="1"/>
  <c r="AC14" i="63"/>
  <c r="AC15" i="63" s="1"/>
  <c r="AA42" i="63" s="1"/>
  <c r="AB14" i="63"/>
  <c r="AB15" i="63" s="1"/>
  <c r="Z42" i="63" s="1"/>
  <c r="AC10" i="63"/>
  <c r="AA41" i="63" s="1"/>
  <c r="AB10" i="63"/>
  <c r="Z41" i="63" s="1"/>
  <c r="AA10" i="63"/>
  <c r="Y41" i="63" s="1"/>
  <c r="Z10" i="63"/>
  <c r="X41" i="63" s="1"/>
  <c r="Y10" i="63"/>
  <c r="W41" i="63" s="1"/>
  <c r="W40" i="63" s="1"/>
  <c r="X10" i="63"/>
  <c r="V41" i="63" s="1"/>
  <c r="V40" i="63" s="1"/>
  <c r="W10" i="63"/>
  <c r="U41" i="63" s="1"/>
  <c r="V10" i="63"/>
  <c r="T41" i="63" s="1"/>
  <c r="U10" i="63"/>
  <c r="S41" i="63" s="1"/>
  <c r="T10" i="63"/>
  <c r="R41" i="63" s="1"/>
  <c r="S10" i="63"/>
  <c r="Q41" i="63" s="1"/>
  <c r="Q40" i="63" s="1"/>
  <c r="R10" i="63"/>
  <c r="P41" i="63" s="1"/>
  <c r="Q10" i="63"/>
  <c r="O41" i="63" s="1"/>
  <c r="P10" i="63"/>
  <c r="N41" i="63" s="1"/>
  <c r="O10" i="63"/>
  <c r="M41" i="63" s="1"/>
  <c r="N10" i="63"/>
  <c r="L41" i="63" s="1"/>
  <c r="M10" i="63"/>
  <c r="K41" i="63" s="1"/>
  <c r="K40" i="63" s="1"/>
  <c r="L10" i="63"/>
  <c r="J41" i="63" s="1"/>
  <c r="K10" i="63"/>
  <c r="I41" i="63" s="1"/>
  <c r="H10" i="63"/>
  <c r="F41" i="63" s="1"/>
  <c r="G10" i="63"/>
  <c r="E41" i="63" s="1"/>
  <c r="F10" i="63"/>
  <c r="D41" i="63" s="1"/>
  <c r="E10" i="63"/>
  <c r="C41" i="63" s="1"/>
  <c r="C40" i="63" s="1"/>
  <c r="C44" i="63" s="1"/>
  <c r="J9" i="63"/>
  <c r="J10" i="63" s="1"/>
  <c r="H41" i="63" s="1"/>
  <c r="I9" i="63"/>
  <c r="I10" i="63" s="1"/>
  <c r="G41" i="63" s="1"/>
  <c r="E5" i="63"/>
  <c r="D5" i="63"/>
  <c r="I32" i="63" l="1"/>
  <c r="AI45" i="64"/>
  <c r="AF45" i="64" s="1"/>
  <c r="O14" i="66"/>
  <c r="O20" i="66" s="1"/>
  <c r="P20" i="66" s="1"/>
  <c r="E40" i="63"/>
  <c r="S40" i="63"/>
  <c r="S45" i="63" s="1"/>
  <c r="Y40" i="63"/>
  <c r="U32" i="63"/>
  <c r="W39" i="63" s="1"/>
  <c r="W37" i="63" s="1"/>
  <c r="K32" i="63"/>
  <c r="Q32" i="63"/>
  <c r="R10" i="64"/>
  <c r="M31" i="64"/>
  <c r="AF64" i="64"/>
  <c r="AF76" i="64"/>
  <c r="AF88" i="64"/>
  <c r="AF100" i="64"/>
  <c r="N111" i="64"/>
  <c r="K111" i="64" s="1"/>
  <c r="K32" i="66"/>
  <c r="K49" i="66" s="1"/>
  <c r="J37" i="66"/>
  <c r="J36" i="66" s="1"/>
  <c r="I32" i="66"/>
  <c r="O32" i="63"/>
  <c r="K44" i="64"/>
  <c r="Z7" i="65"/>
  <c r="L9" i="65"/>
  <c r="AJ7" i="66"/>
  <c r="AJ15" i="66" s="1"/>
  <c r="X32" i="63"/>
  <c r="Z39" i="63" s="1"/>
  <c r="Z37" i="63" s="1"/>
  <c r="Z40" i="63"/>
  <c r="S15" i="64"/>
  <c r="G40" i="63"/>
  <c r="G44" i="63" s="1"/>
  <c r="G45" i="63" s="1"/>
  <c r="I40" i="63"/>
  <c r="O40" i="63"/>
  <c r="O45" i="63" s="1"/>
  <c r="U40" i="63"/>
  <c r="U45" i="63" s="1"/>
  <c r="G32" i="63"/>
  <c r="M32" i="63"/>
  <c r="K31" i="64"/>
  <c r="AF49" i="64"/>
  <c r="AF60" i="64"/>
  <c r="AF72" i="64"/>
  <c r="AF84" i="64"/>
  <c r="AF96" i="64"/>
  <c r="AF108" i="64"/>
  <c r="Q15" i="65"/>
  <c r="K14" i="66"/>
  <c r="K20" i="66" s="1"/>
  <c r="F37" i="66"/>
  <c r="F36" i="66" s="1"/>
  <c r="F49" i="66" s="1"/>
  <c r="L34" i="66"/>
  <c r="AL15" i="66"/>
  <c r="L8" i="66"/>
  <c r="Q8" i="66" s="1"/>
  <c r="P9" i="66"/>
  <c r="X7" i="66"/>
  <c r="D33" i="66"/>
  <c r="K7" i="66"/>
  <c r="K12" i="66" s="1"/>
  <c r="K11" i="66" s="1"/>
  <c r="J49" i="66"/>
  <c r="N7" i="65"/>
  <c r="H49" i="66"/>
  <c r="J7" i="65"/>
  <c r="J12" i="65" s="1"/>
  <c r="J11" i="65" s="1"/>
  <c r="J22" i="65" s="1"/>
  <c r="O7" i="65"/>
  <c r="O12" i="65" s="1"/>
  <c r="O11" i="65" s="1"/>
  <c r="E22" i="66"/>
  <c r="P7" i="66"/>
  <c r="H32" i="66"/>
  <c r="E37" i="66"/>
  <c r="E36" i="66" s="1"/>
  <c r="E49" i="66" s="1"/>
  <c r="I37" i="66"/>
  <c r="I36" i="66" s="1"/>
  <c r="K7" i="65"/>
  <c r="K12" i="65" s="1"/>
  <c r="K11" i="65" s="1"/>
  <c r="X7" i="65"/>
  <c r="AB7" i="65"/>
  <c r="AF7" i="65"/>
  <c r="AJ7" i="65"/>
  <c r="AJ15" i="65" s="1"/>
  <c r="L9" i="66"/>
  <c r="L8" i="65"/>
  <c r="P8" i="65"/>
  <c r="P9" i="65"/>
  <c r="Y7" i="65"/>
  <c r="AC7" i="65"/>
  <c r="AG7" i="65"/>
  <c r="AK7" i="65"/>
  <c r="AK15" i="65" s="1"/>
  <c r="F12" i="65"/>
  <c r="F11" i="65" s="1"/>
  <c r="F22" i="65" s="1"/>
  <c r="G22" i="65"/>
  <c r="AA7" i="66"/>
  <c r="AE7" i="66"/>
  <c r="AI7" i="66"/>
  <c r="E32" i="66"/>
  <c r="I49" i="66"/>
  <c r="N22" i="66"/>
  <c r="L47" i="66"/>
  <c r="L39" i="66"/>
  <c r="D11" i="66"/>
  <c r="D20" i="66"/>
  <c r="G37" i="66"/>
  <c r="G36" i="66" s="1"/>
  <c r="G49" i="66" s="1"/>
  <c r="I7" i="66"/>
  <c r="L7" i="66" s="1"/>
  <c r="M7" i="66"/>
  <c r="G22" i="66"/>
  <c r="K22" i="66"/>
  <c r="O22" i="66"/>
  <c r="L33" i="66"/>
  <c r="L32" i="66" s="1"/>
  <c r="H22" i="66"/>
  <c r="N12" i="65"/>
  <c r="N11" i="65" s="1"/>
  <c r="N22" i="65" s="1"/>
  <c r="H22" i="65"/>
  <c r="M11" i="65"/>
  <c r="M20" i="65"/>
  <c r="D12" i="65"/>
  <c r="K14" i="65"/>
  <c r="K20" i="65" s="1"/>
  <c r="O14" i="65"/>
  <c r="O20" i="65" s="1"/>
  <c r="E22" i="65"/>
  <c r="I22" i="65"/>
  <c r="L14" i="65"/>
  <c r="K9" i="64"/>
  <c r="R8" i="64" s="1"/>
  <c r="K7" i="64"/>
  <c r="K8" i="64"/>
  <c r="R7" i="64" s="1"/>
  <c r="AF30" i="64"/>
  <c r="S16" i="64" s="1"/>
  <c r="AF42" i="64"/>
  <c r="S19" i="64" s="1"/>
  <c r="K47" i="64"/>
  <c r="R15" i="64" s="1"/>
  <c r="K116" i="64"/>
  <c r="R33" i="64" s="1"/>
  <c r="K52" i="64"/>
  <c r="K56" i="64"/>
  <c r="K60" i="64"/>
  <c r="K64" i="64"/>
  <c r="K68" i="64"/>
  <c r="K72" i="64"/>
  <c r="K76" i="64"/>
  <c r="K80" i="64"/>
  <c r="K84" i="64"/>
  <c r="K88" i="64"/>
  <c r="K92" i="64"/>
  <c r="K96" i="64"/>
  <c r="K100" i="64"/>
  <c r="K104" i="64"/>
  <c r="K108" i="64"/>
  <c r="R31" i="64" s="1"/>
  <c r="K112" i="64"/>
  <c r="AI11" i="64"/>
  <c r="AF11" i="64" s="1"/>
  <c r="S11" i="64" s="1"/>
  <c r="AF12" i="64"/>
  <c r="K30" i="64"/>
  <c r="R11" i="64" s="1"/>
  <c r="AI31" i="64"/>
  <c r="AF31" i="64" s="1"/>
  <c r="N38" i="64"/>
  <c r="K38" i="64" s="1"/>
  <c r="K39" i="64"/>
  <c r="AI41" i="64"/>
  <c r="AI52" i="64"/>
  <c r="AF52" i="64" s="1"/>
  <c r="S20" i="64" s="1"/>
  <c r="AI56" i="64"/>
  <c r="AF56" i="64" s="1"/>
  <c r="AI63" i="64"/>
  <c r="AI67" i="64"/>
  <c r="AF67" i="64" s="1"/>
  <c r="AI71" i="64"/>
  <c r="AF71" i="64" s="1"/>
  <c r="S24" i="64" s="1"/>
  <c r="AI75" i="64"/>
  <c r="AI79" i="64"/>
  <c r="AF79" i="64" s="1"/>
  <c r="S26" i="64" s="1"/>
  <c r="AI83" i="64"/>
  <c r="AF83" i="64" s="1"/>
  <c r="S27" i="64" s="1"/>
  <c r="AI87" i="64"/>
  <c r="AI91" i="64"/>
  <c r="AI95" i="64"/>
  <c r="AF95" i="64" s="1"/>
  <c r="S30" i="64" s="1"/>
  <c r="AI99" i="64"/>
  <c r="AF99" i="64" s="1"/>
  <c r="AI103" i="64"/>
  <c r="AI107" i="64"/>
  <c r="N116" i="64"/>
  <c r="AF22" i="64"/>
  <c r="S13" i="64" s="1"/>
  <c r="AF53" i="64"/>
  <c r="AF57" i="64"/>
  <c r="S22" i="64" s="1"/>
  <c r="K91" i="64"/>
  <c r="K103" i="64"/>
  <c r="K115" i="64"/>
  <c r="AI18" i="64"/>
  <c r="AF18" i="64" s="1"/>
  <c r="AI37" i="64"/>
  <c r="AF37" i="64" s="1"/>
  <c r="N42" i="64"/>
  <c r="K42" i="64" s="1"/>
  <c r="N51" i="64"/>
  <c r="K51" i="64" s="1"/>
  <c r="R16" i="64" s="1"/>
  <c r="N55" i="64"/>
  <c r="K55" i="64" s="1"/>
  <c r="N59" i="64"/>
  <c r="K59" i="64" s="1"/>
  <c r="N63" i="64"/>
  <c r="K63" i="64" s="1"/>
  <c r="N67" i="64"/>
  <c r="K67" i="64" s="1"/>
  <c r="N71" i="64"/>
  <c r="K71" i="64" s="1"/>
  <c r="N75" i="64"/>
  <c r="K75" i="64" s="1"/>
  <c r="N79" i="64"/>
  <c r="K79" i="64" s="1"/>
  <c r="N83" i="64"/>
  <c r="K83" i="64" s="1"/>
  <c r="N87" i="64"/>
  <c r="K87" i="64" s="1"/>
  <c r="N91" i="64"/>
  <c r="N95" i="64"/>
  <c r="K95" i="64" s="1"/>
  <c r="N99" i="64"/>
  <c r="K99" i="64" s="1"/>
  <c r="N103" i="64"/>
  <c r="N107" i="64"/>
  <c r="K107" i="64" s="1"/>
  <c r="AF41" i="64"/>
  <c r="S18" i="64" s="1"/>
  <c r="AF63" i="64"/>
  <c r="AF75" i="64"/>
  <c r="S25" i="64" s="1"/>
  <c r="AF87" i="64"/>
  <c r="S28" i="64" s="1"/>
  <c r="AF91" i="64"/>
  <c r="S29" i="64" s="1"/>
  <c r="AF103" i="64"/>
  <c r="S32" i="64" s="1"/>
  <c r="AF107" i="64"/>
  <c r="S33" i="64" s="1"/>
  <c r="H40" i="63"/>
  <c r="Q45" i="63"/>
  <c r="F40" i="63"/>
  <c r="Z32" i="63"/>
  <c r="AD32" i="63"/>
  <c r="Z45" i="63"/>
  <c r="W32" i="63"/>
  <c r="Y39" i="63" s="1"/>
  <c r="Y37" i="63" s="1"/>
  <c r="H54" i="63"/>
  <c r="H56" i="63" s="1"/>
  <c r="Y45" i="63"/>
  <c r="AA32" i="63"/>
  <c r="J40" i="63"/>
  <c r="J44" i="63" s="1"/>
  <c r="J45" i="63" s="1"/>
  <c r="N40" i="63"/>
  <c r="N45" i="63" s="1"/>
  <c r="R40" i="63"/>
  <c r="R45" i="63" s="1"/>
  <c r="T32" i="63"/>
  <c r="V39" i="63" s="1"/>
  <c r="V37" i="63" s="1"/>
  <c r="V45" i="63" s="1"/>
  <c r="H32" i="63"/>
  <c r="L32" i="63"/>
  <c r="P32" i="63"/>
  <c r="AF32" i="63"/>
  <c r="AA40" i="63"/>
  <c r="AB32" i="63"/>
  <c r="L40" i="63"/>
  <c r="L44" i="63" s="1"/>
  <c r="L45" i="63" s="1"/>
  <c r="P40" i="63"/>
  <c r="P45" i="63" s="1"/>
  <c r="T40" i="63"/>
  <c r="T45" i="63" s="1"/>
  <c r="X40" i="63"/>
  <c r="I44" i="63"/>
  <c r="I45" i="63" s="1"/>
  <c r="E44" i="63"/>
  <c r="E45" i="63" s="1"/>
  <c r="F44" i="63"/>
  <c r="F45" i="63" s="1"/>
  <c r="M40" i="63"/>
  <c r="D40" i="63"/>
  <c r="J32" i="63"/>
  <c r="N32" i="63"/>
  <c r="R32" i="63"/>
  <c r="C45" i="63"/>
  <c r="V32" i="63"/>
  <c r="X39" i="63" s="1"/>
  <c r="X37" i="63" s="1"/>
  <c r="H44" i="63"/>
  <c r="H45" i="63" s="1"/>
  <c r="K44" i="63"/>
  <c r="K45" i="63" s="1"/>
  <c r="W45" i="63"/>
  <c r="Y32" i="63"/>
  <c r="AA39" i="63" s="1"/>
  <c r="AA37" i="63" s="1"/>
  <c r="AA45" i="63" s="1"/>
  <c r="AC32" i="63"/>
  <c r="O22" i="65" l="1"/>
  <c r="P14" i="66"/>
  <c r="S31" i="64"/>
  <c r="S23" i="64"/>
  <c r="R12" i="64"/>
  <c r="L14" i="66"/>
  <c r="Q9" i="65"/>
  <c r="D37" i="66"/>
  <c r="D36" i="66" s="1"/>
  <c r="D32" i="66"/>
  <c r="Q9" i="66"/>
  <c r="Q7" i="66" s="1"/>
  <c r="AL15" i="65"/>
  <c r="Q8" i="65"/>
  <c r="Q7" i="65" s="1"/>
  <c r="L7" i="65"/>
  <c r="K22" i="65"/>
  <c r="P12" i="65"/>
  <c r="X45" i="63"/>
  <c r="P11" i="65"/>
  <c r="P7" i="65"/>
  <c r="D22" i="66"/>
  <c r="L37" i="66"/>
  <c r="L36" i="66" s="1"/>
  <c r="L49" i="66" s="1"/>
  <c r="I12" i="66"/>
  <c r="M12" i="66"/>
  <c r="M22" i="65"/>
  <c r="L12" i="65"/>
  <c r="D11" i="65"/>
  <c r="L20" i="65"/>
  <c r="P14" i="65"/>
  <c r="Q14" i="65" s="1"/>
  <c r="Q20" i="65" s="1"/>
  <c r="P20" i="65"/>
  <c r="R23" i="64"/>
  <c r="R13" i="64"/>
  <c r="S12" i="64"/>
  <c r="R30" i="64"/>
  <c r="R26" i="64"/>
  <c r="R22" i="64"/>
  <c r="R18" i="64"/>
  <c r="R27" i="64"/>
  <c r="R29" i="64"/>
  <c r="R25" i="64"/>
  <c r="R21" i="64"/>
  <c r="R17" i="64"/>
  <c r="R6" i="64"/>
  <c r="K10" i="64"/>
  <c r="R19" i="64"/>
  <c r="S21" i="64"/>
  <c r="S17" i="64"/>
  <c r="R32" i="64"/>
  <c r="R28" i="64"/>
  <c r="R24" i="64"/>
  <c r="R20" i="64"/>
  <c r="D44" i="63"/>
  <c r="D45" i="63" s="1"/>
  <c r="M44" i="63"/>
  <c r="M45" i="63" s="1"/>
  <c r="Q14" i="66" l="1"/>
  <c r="Q20" i="66" s="1"/>
  <c r="L20" i="66"/>
  <c r="S34" i="64"/>
  <c r="D49" i="66"/>
  <c r="P22" i="65"/>
  <c r="Q12" i="65"/>
  <c r="I11" i="66"/>
  <c r="L12" i="66"/>
  <c r="P12" i="66"/>
  <c r="M11" i="66"/>
  <c r="D22" i="65"/>
  <c r="L11" i="65"/>
  <c r="R34" i="64"/>
  <c r="P11" i="66" l="1"/>
  <c r="P22" i="66" s="1"/>
  <c r="M22" i="66"/>
  <c r="Q12" i="66"/>
  <c r="L11" i="66"/>
  <c r="I22" i="66"/>
  <c r="Q11" i="65"/>
  <c r="R22" i="65" s="1"/>
  <c r="L24" i="65"/>
  <c r="Q22" i="65"/>
  <c r="L22" i="65"/>
  <c r="Q11" i="66" l="1"/>
  <c r="R22" i="66" s="1"/>
  <c r="L24" i="66"/>
  <c r="L22" i="66"/>
  <c r="Q22" i="66"/>
  <c r="Q26" i="65"/>
  <c r="Q28" i="65" s="1"/>
  <c r="Q24" i="65"/>
  <c r="Q26" i="66" l="1"/>
  <c r="Q28" i="66" s="1"/>
  <c r="Q24" i="66"/>
  <c r="T26" i="66"/>
  <c r="S62" i="62" l="1"/>
  <c r="S60" i="62"/>
  <c r="S59" i="62"/>
  <c r="Q59" i="62"/>
  <c r="Z41" i="62"/>
  <c r="Z42" i="62"/>
  <c r="Z43" i="62"/>
  <c r="Z37" i="62"/>
  <c r="Z29" i="62"/>
  <c r="Z30" i="62"/>
  <c r="Z25" i="62"/>
  <c r="Z17" i="62"/>
  <c r="Z18" i="62"/>
  <c r="Z19" i="62"/>
  <c r="Z20" i="62"/>
  <c r="Z21" i="62"/>
  <c r="Z7" i="62"/>
  <c r="Z10" i="62"/>
  <c r="Z11" i="62"/>
  <c r="Y36" i="62"/>
  <c r="S69" i="62" s="1"/>
  <c r="Y9" i="62"/>
  <c r="Z9" i="62" s="1"/>
  <c r="Y5" i="62"/>
  <c r="X40" i="62"/>
  <c r="X36" i="62" s="1"/>
  <c r="S68" i="62" s="1"/>
  <c r="X5" i="62"/>
  <c r="X16" i="62"/>
  <c r="Z16" i="62" s="1"/>
  <c r="W36" i="21"/>
  <c r="V38" i="62"/>
  <c r="V36" i="62" s="1"/>
  <c r="S66" i="62" s="1"/>
  <c r="U38" i="62"/>
  <c r="T38" i="62"/>
  <c r="S38" i="62"/>
  <c r="S36" i="62" s="1"/>
  <c r="S63" i="62" s="1"/>
  <c r="G50" i="44"/>
  <c r="R38" i="62"/>
  <c r="Q38" i="62"/>
  <c r="X8" i="62"/>
  <c r="W8" i="62"/>
  <c r="Z8" i="62" s="1"/>
  <c r="W5" i="62"/>
  <c r="V44" i="62"/>
  <c r="Z44" i="62" s="1"/>
  <c r="V40" i="62"/>
  <c r="V45" i="62"/>
  <c r="Z45" i="62" s="1"/>
  <c r="V29" i="62"/>
  <c r="R36" i="62"/>
  <c r="T36" i="62"/>
  <c r="S64" i="62" s="1"/>
  <c r="V5" i="62"/>
  <c r="U40" i="62"/>
  <c r="R22" i="62"/>
  <c r="P56" i="44"/>
  <c r="O56" i="44"/>
  <c r="W38" i="62" s="1"/>
  <c r="W36" i="62" s="1"/>
  <c r="S67" i="62" s="1"/>
  <c r="O54" i="44"/>
  <c r="N69" i="44"/>
  <c r="V22" i="62" s="1"/>
  <c r="M69" i="44"/>
  <c r="U5" i="62"/>
  <c r="J61" i="44"/>
  <c r="T22" i="62" s="1"/>
  <c r="I61" i="44"/>
  <c r="I59" i="44"/>
  <c r="T5" i="62"/>
  <c r="S5" i="62"/>
  <c r="H45" i="44"/>
  <c r="G45" i="44"/>
  <c r="F49" i="44"/>
  <c r="E49" i="44"/>
  <c r="E36" i="62"/>
  <c r="F36" i="62"/>
  <c r="G36" i="62"/>
  <c r="H36" i="62"/>
  <c r="I36" i="62"/>
  <c r="J36" i="62"/>
  <c r="K36" i="62"/>
  <c r="S56" i="62" s="1"/>
  <c r="L36" i="62"/>
  <c r="M36" i="62"/>
  <c r="S57" i="62" s="1"/>
  <c r="N36" i="62"/>
  <c r="S58" i="62" s="1"/>
  <c r="O36" i="62"/>
  <c r="P36" i="62"/>
  <c r="D36" i="62"/>
  <c r="E24" i="62"/>
  <c r="F24" i="62"/>
  <c r="G24" i="62"/>
  <c r="H24" i="62"/>
  <c r="I24" i="62"/>
  <c r="J24" i="62"/>
  <c r="M24" i="62"/>
  <c r="R57" i="62" s="1"/>
  <c r="D24" i="62"/>
  <c r="K13" i="62"/>
  <c r="Q56" i="62" s="1"/>
  <c r="M13" i="62"/>
  <c r="Q57" i="62" s="1"/>
  <c r="N13" i="62"/>
  <c r="Q58" i="62" s="1"/>
  <c r="O13" i="62"/>
  <c r="P13" i="62"/>
  <c r="Q60" i="62" s="1"/>
  <c r="S14" i="62"/>
  <c r="Z14" i="62" s="1"/>
  <c r="T14" i="62"/>
  <c r="R14" i="62"/>
  <c r="R5" i="62"/>
  <c r="P5" i="62"/>
  <c r="Q5" i="62"/>
  <c r="Q27" i="62"/>
  <c r="Q39" i="62" s="1"/>
  <c r="Z39" i="62" s="1"/>
  <c r="Q40" i="62"/>
  <c r="Z40" i="62" s="1"/>
  <c r="Q37" i="62"/>
  <c r="Z38" i="62" l="1"/>
  <c r="Z36" i="62" s="1"/>
  <c r="T57" i="62"/>
  <c r="Q36" i="62"/>
  <c r="S61" i="62" s="1"/>
  <c r="S70" i="62" s="1"/>
  <c r="S22" i="62"/>
  <c r="S13" i="62" s="1"/>
  <c r="Q63" i="62" s="1"/>
  <c r="U36" i="62"/>
  <c r="S65" i="62" s="1"/>
  <c r="Z27" i="62"/>
  <c r="R13" i="62"/>
  <c r="Q62" i="62" s="1"/>
  <c r="Q28" i="62"/>
  <c r="Z28" i="62" s="1"/>
  <c r="O6" i="62"/>
  <c r="O5" i="62"/>
  <c r="O4" i="62" s="1"/>
  <c r="N6" i="62"/>
  <c r="N5" i="62"/>
  <c r="K26" i="62"/>
  <c r="M6" i="62"/>
  <c r="M5" i="62"/>
  <c r="M4" i="62" s="1"/>
  <c r="P57" i="62" s="1"/>
  <c r="U57" i="62" s="1"/>
  <c r="J1" i="62"/>
  <c r="J14" i="62" s="1"/>
  <c r="J13" i="62" s="1"/>
  <c r="L26" i="62"/>
  <c r="L27" i="62"/>
  <c r="L28" i="62"/>
  <c r="L29" i="62"/>
  <c r="L30" i="62"/>
  <c r="L33" i="62"/>
  <c r="L34" i="62"/>
  <c r="L25" i="62"/>
  <c r="E47" i="62"/>
  <c r="F47" i="62"/>
  <c r="H47" i="62"/>
  <c r="I47" i="62"/>
  <c r="J47" i="62"/>
  <c r="D47" i="62"/>
  <c r="H14" i="62"/>
  <c r="H13" i="62" s="1"/>
  <c r="H6" i="62"/>
  <c r="K6" i="62"/>
  <c r="G6" i="62"/>
  <c r="E5" i="62"/>
  <c r="F5" i="62"/>
  <c r="G5" i="62"/>
  <c r="H5" i="62"/>
  <c r="H4" i="62" s="1"/>
  <c r="I5" i="62"/>
  <c r="J5" i="62"/>
  <c r="K5" i="62"/>
  <c r="D5" i="62"/>
  <c r="Z48" i="62"/>
  <c r="AA36" i="62"/>
  <c r="AA34" i="62"/>
  <c r="M34" i="62"/>
  <c r="G7" i="59"/>
  <c r="X74" i="6"/>
  <c r="L61" i="44"/>
  <c r="U22" i="62" s="1"/>
  <c r="U13" i="62" s="1"/>
  <c r="Q65" i="62" s="1"/>
  <c r="D25" i="61"/>
  <c r="D29" i="61" s="1"/>
  <c r="F25" i="61"/>
  <c r="F19" i="61"/>
  <c r="F29" i="61" s="1"/>
  <c r="F31" i="61" s="1"/>
  <c r="G16" i="61"/>
  <c r="G12" i="61"/>
  <c r="E11" i="61"/>
  <c r="G11" i="61" s="1"/>
  <c r="H23" i="61"/>
  <c r="G2" i="61"/>
  <c r="G4" i="61" s="1"/>
  <c r="E22" i="61" s="1"/>
  <c r="E21" i="61" s="1"/>
  <c r="E27" i="61"/>
  <c r="G27" i="61" s="1"/>
  <c r="E26" i="61"/>
  <c r="E25" i="61" s="1"/>
  <c r="E17" i="61"/>
  <c r="G17" i="61" s="1"/>
  <c r="K61" i="44"/>
  <c r="E2" i="61"/>
  <c r="E4" i="61" s="1"/>
  <c r="E10" i="61"/>
  <c r="G10" i="61" s="1"/>
  <c r="Z5" i="62" l="1"/>
  <c r="K4" i="62"/>
  <c r="P56" i="62" s="1"/>
  <c r="E14" i="62"/>
  <c r="E13" i="62" s="1"/>
  <c r="E4" i="62"/>
  <c r="K24" i="62"/>
  <c r="R56" i="62" s="1"/>
  <c r="Z26" i="62"/>
  <c r="L24" i="62"/>
  <c r="N4" i="62"/>
  <c r="P58" i="62" s="1"/>
  <c r="G26" i="61"/>
  <c r="G25" i="61" s="1"/>
  <c r="G14" i="62"/>
  <c r="G13" i="62" s="1"/>
  <c r="G4" i="62"/>
  <c r="P59" i="62"/>
  <c r="D14" i="62"/>
  <c r="D13" i="62" s="1"/>
  <c r="D4" i="62"/>
  <c r="D49" i="62" s="1"/>
  <c r="F14" i="62"/>
  <c r="F13" i="62" s="1"/>
  <c r="F4" i="62"/>
  <c r="F49" i="62" s="1"/>
  <c r="K47" i="62"/>
  <c r="M47" i="62"/>
  <c r="M49" i="62" s="1"/>
  <c r="L5" i="62"/>
  <c r="G47" i="62"/>
  <c r="H49" i="62"/>
  <c r="I14" i="62"/>
  <c r="L47" i="62"/>
  <c r="E49" i="62"/>
  <c r="G9" i="61"/>
  <c r="G22" i="61"/>
  <c r="E9" i="61"/>
  <c r="E3" i="61"/>
  <c r="E15" i="61" s="1"/>
  <c r="N28" i="60"/>
  <c r="N27" i="60"/>
  <c r="N29" i="60" s="1"/>
  <c r="P28" i="60"/>
  <c r="H16" i="60"/>
  <c r="F46" i="60"/>
  <c r="H10" i="60"/>
  <c r="P54" i="44"/>
  <c r="P53" i="44"/>
  <c r="H24" i="60" s="1"/>
  <c r="O53" i="44"/>
  <c r="H32" i="60" s="1"/>
  <c r="H31" i="60" s="1"/>
  <c r="H18" i="60"/>
  <c r="L59" i="44"/>
  <c r="G9" i="60"/>
  <c r="G8" i="60"/>
  <c r="G24" i="60"/>
  <c r="K59" i="44"/>
  <c r="L58" i="44"/>
  <c r="K58" i="44"/>
  <c r="G32" i="60" s="1"/>
  <c r="G31" i="60" s="1"/>
  <c r="G17" i="60"/>
  <c r="G16" i="60" s="1"/>
  <c r="F8" i="60"/>
  <c r="F10" i="60" s="1"/>
  <c r="E10" i="60"/>
  <c r="J59" i="44"/>
  <c r="F24" i="60" s="1"/>
  <c r="F32" i="60"/>
  <c r="F31" i="60" s="1"/>
  <c r="J58" i="44"/>
  <c r="E24" i="60" s="1"/>
  <c r="I58" i="44"/>
  <c r="E32" i="60" s="1"/>
  <c r="E31" i="60" s="1"/>
  <c r="H2" i="60"/>
  <c r="H5" i="60" s="1"/>
  <c r="G2" i="60"/>
  <c r="G5" i="60" s="1"/>
  <c r="E2" i="60"/>
  <c r="F18" i="60"/>
  <c r="F16" i="60" s="1"/>
  <c r="E18" i="60"/>
  <c r="T56" i="62" l="1"/>
  <c r="I13" i="62"/>
  <c r="U56" i="62"/>
  <c r="I20" i="61"/>
  <c r="G49" i="62"/>
  <c r="K49" i="62"/>
  <c r="L14" i="62"/>
  <c r="L13" i="62" s="1"/>
  <c r="E14" i="61"/>
  <c r="G15" i="61"/>
  <c r="G14" i="61" s="1"/>
  <c r="G10" i="60"/>
  <c r="H4" i="60"/>
  <c r="H22" i="60" s="1"/>
  <c r="H21" i="60" s="1"/>
  <c r="G22" i="60"/>
  <c r="G21" i="60" s="1"/>
  <c r="E5" i="60"/>
  <c r="E4" i="60" l="1"/>
  <c r="E22" i="60" s="1"/>
  <c r="F22" i="60" l="1"/>
  <c r="F21" i="60" s="1"/>
  <c r="E17" i="60" l="1"/>
  <c r="E16" i="60" s="1"/>
  <c r="E38" i="60"/>
  <c r="F38" i="60"/>
  <c r="G38" i="60"/>
  <c r="H38" i="60"/>
  <c r="D38" i="60"/>
  <c r="D8" i="60"/>
  <c r="D10" i="60" s="1"/>
  <c r="D25" i="60"/>
  <c r="E25" i="60" s="1"/>
  <c r="H50" i="44"/>
  <c r="D24" i="60" s="1"/>
  <c r="D32" i="60"/>
  <c r="D31" i="60" s="1"/>
  <c r="D22" i="60"/>
  <c r="D2" i="60"/>
  <c r="D17" i="60"/>
  <c r="D16" i="60" s="1"/>
  <c r="Z66" i="6"/>
  <c r="AA66" i="6" s="1"/>
  <c r="AB66" i="6" s="1"/>
  <c r="Q66" i="6"/>
  <c r="R66" i="6" s="1"/>
  <c r="S66" i="6" s="1"/>
  <c r="T66" i="6" s="1"/>
  <c r="U66" i="6" s="1"/>
  <c r="V66" i="6" s="1"/>
  <c r="W66" i="6" s="1"/>
  <c r="X66" i="6" s="1"/>
  <c r="Y66" i="6" s="1"/>
  <c r="D21" i="60" l="1"/>
  <c r="T61" i="6"/>
  <c r="H47" i="44"/>
  <c r="G16" i="59"/>
  <c r="F51" i="44" l="1"/>
  <c r="G26" i="59"/>
  <c r="G15" i="59"/>
  <c r="D38" i="44"/>
  <c r="Q22" i="62" s="1"/>
  <c r="C10" i="44"/>
  <c r="C38" i="44" s="1"/>
  <c r="C54" i="44" s="1"/>
  <c r="Q13" i="62" l="1"/>
  <c r="Q61" i="62" s="1"/>
  <c r="Z22" i="62"/>
  <c r="R61" i="6"/>
  <c r="G24" i="59"/>
  <c r="G25" i="59"/>
  <c r="F23" i="59"/>
  <c r="E23" i="59"/>
  <c r="D23" i="59"/>
  <c r="G19" i="59"/>
  <c r="S24" i="6"/>
  <c r="S61" i="6" s="1"/>
  <c r="S63" i="6" s="1"/>
  <c r="F21" i="59" s="1"/>
  <c r="F18" i="59" s="1"/>
  <c r="Q61" i="6"/>
  <c r="Q63" i="6" s="1"/>
  <c r="D21" i="59" s="1"/>
  <c r="D18" i="59" s="1"/>
  <c r="M28" i="59"/>
  <c r="M29" i="59" s="1"/>
  <c r="G20" i="59"/>
  <c r="F14" i="59"/>
  <c r="G14" i="59" s="1"/>
  <c r="F12" i="59"/>
  <c r="E12" i="59"/>
  <c r="E11" i="59" s="1"/>
  <c r="G12" i="59"/>
  <c r="D12" i="59"/>
  <c r="E8" i="59"/>
  <c r="D8" i="59"/>
  <c r="F7" i="59"/>
  <c r="E7" i="59"/>
  <c r="D7" i="59"/>
  <c r="P31" i="21"/>
  <c r="O31" i="21"/>
  <c r="P30" i="21"/>
  <c r="L30" i="21"/>
  <c r="M30" i="21"/>
  <c r="N30" i="21"/>
  <c r="O30" i="21"/>
  <c r="L31" i="21"/>
  <c r="M31" i="21"/>
  <c r="N31" i="21"/>
  <c r="M29" i="21"/>
  <c r="N29" i="21"/>
  <c r="O29" i="21"/>
  <c r="W24" i="5"/>
  <c r="V24" i="5"/>
  <c r="U24" i="5"/>
  <c r="P24" i="5"/>
  <c r="V30" i="21"/>
  <c r="W30" i="21"/>
  <c r="C32" i="58"/>
  <c r="C27" i="58"/>
  <c r="C24" i="58"/>
  <c r="C21" i="58"/>
  <c r="C26" i="58" s="1"/>
  <c r="C14" i="58"/>
  <c r="C6" i="58"/>
  <c r="C3" i="58"/>
  <c r="C8" i="58" l="1"/>
  <c r="C17" i="58"/>
  <c r="R63" i="6"/>
  <c r="E21" i="59" s="1"/>
  <c r="E18" i="59" s="1"/>
  <c r="E28" i="59" s="1"/>
  <c r="G23" i="59"/>
  <c r="D6" i="59"/>
  <c r="T63" i="6"/>
  <c r="G21" i="59" s="1"/>
  <c r="G18" i="59" s="1"/>
  <c r="F11" i="59"/>
  <c r="D28" i="59"/>
  <c r="D11" i="59"/>
  <c r="F28" i="59"/>
  <c r="E6" i="59"/>
  <c r="C35" i="58"/>
  <c r="Y40" i="21"/>
  <c r="Y37" i="21"/>
  <c r="Y30" i="21"/>
  <c r="Y25" i="21"/>
  <c r="Y21" i="21"/>
  <c r="Y20" i="21"/>
  <c r="Y19" i="21"/>
  <c r="Y10" i="21"/>
  <c r="Y6" i="21"/>
  <c r="Y5" i="21"/>
  <c r="D4" i="21"/>
  <c r="E4" i="21"/>
  <c r="F4" i="21"/>
  <c r="G4" i="21"/>
  <c r="H4" i="21"/>
  <c r="I4" i="21"/>
  <c r="J6" i="21"/>
  <c r="J13" i="21"/>
  <c r="C14" i="21"/>
  <c r="D14" i="21"/>
  <c r="E14" i="21"/>
  <c r="E24" i="21" s="1"/>
  <c r="F14" i="21"/>
  <c r="G14" i="21"/>
  <c r="H14" i="21"/>
  <c r="I14" i="21"/>
  <c r="J14" i="21"/>
  <c r="C24" i="21"/>
  <c r="C29" i="21"/>
  <c r="D29" i="21"/>
  <c r="E29" i="21"/>
  <c r="F29" i="21"/>
  <c r="G29" i="21"/>
  <c r="H29" i="21"/>
  <c r="I29" i="21"/>
  <c r="J29" i="21"/>
  <c r="C31" i="21"/>
  <c r="D31" i="21"/>
  <c r="E31" i="21"/>
  <c r="F31" i="21"/>
  <c r="G31" i="21"/>
  <c r="H31" i="21"/>
  <c r="I31" i="21"/>
  <c r="J31" i="21"/>
  <c r="G34" i="21"/>
  <c r="G33" i="21" s="1"/>
  <c r="H34" i="21"/>
  <c r="H33" i="21" s="1"/>
  <c r="I34" i="21"/>
  <c r="I33" i="21" s="1"/>
  <c r="J34" i="21"/>
  <c r="J33" i="21" s="1"/>
  <c r="X31" i="21"/>
  <c r="N8" i="43"/>
  <c r="E30" i="59" l="1"/>
  <c r="I24" i="21"/>
  <c r="G28" i="59"/>
  <c r="H24" i="21"/>
  <c r="G24" i="21"/>
  <c r="F24" i="21"/>
  <c r="D30" i="59"/>
  <c r="D24" i="21"/>
  <c r="N6" i="43"/>
  <c r="Y36" i="21" l="1"/>
  <c r="B41" i="46" l="1"/>
  <c r="M15" i="43" l="1"/>
  <c r="N15" i="43"/>
  <c r="L15" i="43"/>
  <c r="M11" i="43"/>
  <c r="N11" i="43"/>
  <c r="L11" i="43"/>
  <c r="M8" i="43"/>
  <c r="L8" i="43"/>
  <c r="L6" i="43"/>
  <c r="L10" i="43" l="1"/>
  <c r="L23" i="43"/>
  <c r="Z55" i="6"/>
  <c r="Z56" i="6" l="1"/>
  <c r="AA54" i="6" s="1"/>
  <c r="AA56" i="6" s="1"/>
  <c r="M7" i="43"/>
  <c r="M6" i="43" s="1"/>
  <c r="M10" i="43" s="1"/>
  <c r="M23" i="43" s="1"/>
  <c r="C8" i="49" l="1"/>
  <c r="C6" i="49" l="1"/>
  <c r="D4" i="44"/>
  <c r="H11" i="43"/>
  <c r="F15" i="43"/>
  <c r="F8" i="43"/>
  <c r="H4" i="44"/>
  <c r="F4" i="44" l="1"/>
  <c r="J4" i="44"/>
  <c r="G4" i="44"/>
  <c r="C7" i="45"/>
  <c r="C6" i="45" s="1"/>
  <c r="C14" i="45"/>
  <c r="C15" i="45"/>
  <c r="C17" i="45"/>
  <c r="C13" i="45" l="1"/>
  <c r="I10" i="46"/>
  <c r="I11" i="46" s="1"/>
  <c r="U28" i="46"/>
  <c r="T28" i="46"/>
  <c r="F16" i="46"/>
  <c r="G16" i="46"/>
  <c r="H16" i="46"/>
  <c r="I16" i="46"/>
  <c r="J16" i="46"/>
  <c r="K16" i="46"/>
  <c r="L16" i="46"/>
  <c r="M16" i="46"/>
  <c r="N16" i="46"/>
  <c r="O16" i="46"/>
  <c r="P16" i="46"/>
  <c r="Q16" i="46"/>
  <c r="R16" i="46"/>
  <c r="S16" i="46"/>
  <c r="T16" i="46"/>
  <c r="U16" i="46"/>
  <c r="V16" i="46"/>
  <c r="W16" i="46"/>
  <c r="X16" i="46"/>
  <c r="Y16" i="46"/>
  <c r="Z16" i="46"/>
  <c r="AA16" i="46"/>
  <c r="E16" i="46"/>
  <c r="E11" i="46"/>
  <c r="C44" i="46" s="1"/>
  <c r="F11" i="46"/>
  <c r="D44" i="46" s="1"/>
  <c r="G11" i="46"/>
  <c r="E44" i="46" s="1"/>
  <c r="H11" i="46"/>
  <c r="F44" i="46" s="1"/>
  <c r="K11" i="46"/>
  <c r="L11" i="46"/>
  <c r="M11" i="46"/>
  <c r="N11" i="46"/>
  <c r="O11" i="46"/>
  <c r="P11" i="46"/>
  <c r="Q11" i="46"/>
  <c r="R11" i="46"/>
  <c r="S11" i="46"/>
  <c r="T11" i="46"/>
  <c r="U11" i="46"/>
  <c r="V11" i="46"/>
  <c r="W11" i="46"/>
  <c r="X11" i="46"/>
  <c r="Y11" i="46"/>
  <c r="Z11" i="46"/>
  <c r="AA11" i="46"/>
  <c r="AB11" i="46"/>
  <c r="AC11" i="46"/>
  <c r="AA47" i="46"/>
  <c r="D40" i="46"/>
  <c r="E40" i="46"/>
  <c r="F40" i="46"/>
  <c r="G40" i="46"/>
  <c r="H40" i="46"/>
  <c r="I40" i="46"/>
  <c r="J40" i="46"/>
  <c r="K40" i="46"/>
  <c r="L40" i="46"/>
  <c r="M40" i="46"/>
  <c r="N40" i="46"/>
  <c r="O40" i="46"/>
  <c r="P40" i="46"/>
  <c r="Q40" i="46"/>
  <c r="R40" i="46"/>
  <c r="S40" i="46"/>
  <c r="T40" i="46"/>
  <c r="C40" i="46"/>
  <c r="S28" i="46"/>
  <c r="J10" i="46"/>
  <c r="J11" i="46" s="1"/>
  <c r="AE25" i="46" l="1"/>
  <c r="AE32" i="46" s="1"/>
  <c r="J44" i="46"/>
  <c r="F32" i="46"/>
  <c r="G32" i="46"/>
  <c r="H32" i="46"/>
  <c r="I32" i="46"/>
  <c r="J32" i="46"/>
  <c r="K32" i="46"/>
  <c r="L32" i="46"/>
  <c r="M32" i="46"/>
  <c r="N32" i="46"/>
  <c r="O32" i="46"/>
  <c r="P32" i="46"/>
  <c r="Q32" i="46"/>
  <c r="R32" i="46"/>
  <c r="S32" i="46"/>
  <c r="T32" i="46"/>
  <c r="U32" i="46"/>
  <c r="V32" i="46"/>
  <c r="W32" i="46"/>
  <c r="X32" i="46"/>
  <c r="Y32" i="46"/>
  <c r="Z32" i="46"/>
  <c r="AA32" i="46"/>
  <c r="AB32" i="46"/>
  <c r="AC32" i="46"/>
  <c r="AD32" i="46"/>
  <c r="AF32" i="46"/>
  <c r="AG32" i="46"/>
  <c r="AH32" i="46"/>
  <c r="G45" i="46"/>
  <c r="C45" i="46"/>
  <c r="B4" i="49"/>
  <c r="AD33" i="46" l="1"/>
  <c r="Z33" i="46"/>
  <c r="V33" i="46"/>
  <c r="X42" i="46" s="1"/>
  <c r="X40" i="46" s="1"/>
  <c r="AA33" i="46"/>
  <c r="W33" i="46"/>
  <c r="Y42" i="46" s="1"/>
  <c r="C43" i="46"/>
  <c r="AC33" i="46"/>
  <c r="Y33" i="46"/>
  <c r="AA42" i="46" s="1"/>
  <c r="AA40" i="46" s="1"/>
  <c r="U33" i="46"/>
  <c r="W42" i="46" s="1"/>
  <c r="W40" i="46" s="1"/>
  <c r="AB33" i="46"/>
  <c r="X33" i="46"/>
  <c r="Z42" i="46" s="1"/>
  <c r="Z40" i="46" s="1"/>
  <c r="T33" i="46"/>
  <c r="V42" i="46" s="1"/>
  <c r="V40" i="46" s="1"/>
  <c r="AE33" i="46"/>
  <c r="AF33" i="46"/>
  <c r="D15" i="56"/>
  <c r="D14" i="56" s="1"/>
  <c r="D13" i="56"/>
  <c r="D12" i="56"/>
  <c r="D6" i="56"/>
  <c r="U18" i="21"/>
  <c r="U55" i="6"/>
  <c r="D11" i="56" l="1"/>
  <c r="Y40" i="46"/>
  <c r="C47" i="46"/>
  <c r="C48" i="46" s="1"/>
  <c r="V41" i="21" l="1"/>
  <c r="Y41" i="21" s="1"/>
  <c r="Z44" i="46"/>
  <c r="AA44" i="46"/>
  <c r="AB24" i="46"/>
  <c r="AA24" i="46"/>
  <c r="Z24" i="46"/>
  <c r="Y24" i="46"/>
  <c r="X24" i="46"/>
  <c r="AB23" i="46"/>
  <c r="AA23" i="46"/>
  <c r="Z23" i="46"/>
  <c r="Y23" i="46"/>
  <c r="X23" i="46"/>
  <c r="C4" i="45" l="1"/>
  <c r="V55" i="6" l="1"/>
  <c r="Q54" i="6"/>
  <c r="Q56" i="6" s="1"/>
  <c r="N34" i="62" s="1"/>
  <c r="O34" i="62" l="1"/>
  <c r="M13" i="21"/>
  <c r="R54" i="6"/>
  <c r="R56" i="6" s="1"/>
  <c r="S54" i="6" s="1"/>
  <c r="V13" i="21"/>
  <c r="P34" i="62" l="1"/>
  <c r="D23" i="71"/>
  <c r="E23" i="71" s="1"/>
  <c r="E21" i="71" s="1"/>
  <c r="W13" i="21"/>
  <c r="AB54" i="6"/>
  <c r="AB56" i="6" s="1"/>
  <c r="N13" i="21"/>
  <c r="S56" i="6"/>
  <c r="O13" i="21" s="1"/>
  <c r="Q34" i="62" l="1"/>
  <c r="T54" i="6"/>
  <c r="T56" i="6" s="1"/>
  <c r="X13" i="21"/>
  <c r="D3" i="56"/>
  <c r="D10" i="56" s="1"/>
  <c r="G44" i="46"/>
  <c r="H44" i="46"/>
  <c r="R34" i="62" l="1"/>
  <c r="P13" i="21"/>
  <c r="U54" i="6"/>
  <c r="G43" i="46"/>
  <c r="D45" i="46"/>
  <c r="E45" i="46"/>
  <c r="E43" i="46" s="1"/>
  <c r="F45" i="46"/>
  <c r="F43" i="46" s="1"/>
  <c r="H45" i="46"/>
  <c r="H43" i="46" s="1"/>
  <c r="I45" i="46"/>
  <c r="J45" i="46"/>
  <c r="J43" i="46" s="1"/>
  <c r="K45" i="46"/>
  <c r="L45" i="46"/>
  <c r="M45" i="46"/>
  <c r="N45" i="46"/>
  <c r="O45" i="46"/>
  <c r="P45" i="46"/>
  <c r="Q45" i="46"/>
  <c r="R45" i="46"/>
  <c r="S45" i="46"/>
  <c r="T45" i="46"/>
  <c r="U45" i="46"/>
  <c r="V45" i="46"/>
  <c r="W45" i="46"/>
  <c r="X45" i="46"/>
  <c r="Y45" i="46"/>
  <c r="AC15" i="46"/>
  <c r="AB15" i="46"/>
  <c r="I44" i="46"/>
  <c r="K44" i="46"/>
  <c r="L44" i="46"/>
  <c r="M44" i="46"/>
  <c r="N44" i="46"/>
  <c r="O44" i="46"/>
  <c r="P44" i="46"/>
  <c r="Q44" i="46"/>
  <c r="R44" i="46"/>
  <c r="S44" i="46"/>
  <c r="T44" i="46"/>
  <c r="U44" i="46"/>
  <c r="V44" i="46"/>
  <c r="W44" i="46"/>
  <c r="X44" i="46"/>
  <c r="Y44" i="46"/>
  <c r="S34" i="62" l="1"/>
  <c r="T34" i="62" s="1"/>
  <c r="U34" i="62" s="1"/>
  <c r="U56" i="6"/>
  <c r="V43" i="46"/>
  <c r="V48" i="46" s="1"/>
  <c r="R43" i="46"/>
  <c r="R48" i="46" s="1"/>
  <c r="N43" i="46"/>
  <c r="N48" i="46" s="1"/>
  <c r="H47" i="46"/>
  <c r="H48" i="46" s="1"/>
  <c r="J47" i="46"/>
  <c r="J48" i="46" s="1"/>
  <c r="E47" i="46"/>
  <c r="E48" i="46" s="1"/>
  <c r="W43" i="46"/>
  <c r="W48" i="46" s="1"/>
  <c r="S43" i="46"/>
  <c r="S48" i="46" s="1"/>
  <c r="O43" i="46"/>
  <c r="O48" i="46" s="1"/>
  <c r="AB16" i="46"/>
  <c r="Z45" i="46" s="1"/>
  <c r="Z43" i="46" s="1"/>
  <c r="Z48" i="46" s="1"/>
  <c r="AC16" i="46"/>
  <c r="AA45" i="46" s="1"/>
  <c r="X43" i="46"/>
  <c r="X48" i="46" s="1"/>
  <c r="T43" i="46"/>
  <c r="T48" i="46" s="1"/>
  <c r="P43" i="46"/>
  <c r="P48" i="46" s="1"/>
  <c r="L43" i="46"/>
  <c r="D43" i="46"/>
  <c r="I43" i="46"/>
  <c r="Y43" i="46"/>
  <c r="Y48" i="46" s="1"/>
  <c r="U43" i="46"/>
  <c r="Q43" i="46"/>
  <c r="Q48" i="46" s="1"/>
  <c r="M43" i="46"/>
  <c r="F47" i="46"/>
  <c r="F48" i="46" s="1"/>
  <c r="G47" i="46"/>
  <c r="G48" i="46" s="1"/>
  <c r="K43" i="46"/>
  <c r="V60" i="6" l="1"/>
  <c r="W60" i="6" s="1"/>
  <c r="X60" i="6" s="1"/>
  <c r="V54" i="6"/>
  <c r="V56" i="6" s="1"/>
  <c r="Q13" i="21"/>
  <c r="I47" i="46"/>
  <c r="I48" i="46" s="1"/>
  <c r="L47" i="46"/>
  <c r="L48" i="46" s="1"/>
  <c r="D47" i="46"/>
  <c r="D48" i="46" s="1"/>
  <c r="K47" i="46"/>
  <c r="K48" i="46" s="1"/>
  <c r="M47" i="46"/>
  <c r="M48" i="46" s="1"/>
  <c r="AA43" i="46"/>
  <c r="AA48" i="46" s="1"/>
  <c r="R13" i="21" l="1"/>
  <c r="W54" i="6"/>
  <c r="W56" i="6" s="1"/>
  <c r="F23" i="61" s="1"/>
  <c r="G23" i="61" s="1"/>
  <c r="G21" i="61" s="1"/>
  <c r="I4" i="44"/>
  <c r="B3" i="45"/>
  <c r="B4" i="45"/>
  <c r="B5" i="45"/>
  <c r="B6" i="45"/>
  <c r="B7" i="45"/>
  <c r="B8" i="45"/>
  <c r="B9" i="45"/>
  <c r="B10" i="45"/>
  <c r="B11" i="45"/>
  <c r="B12" i="45"/>
  <c r="B13" i="45"/>
  <c r="B14" i="45"/>
  <c r="B15" i="45"/>
  <c r="B16" i="45"/>
  <c r="B17" i="45"/>
  <c r="B18" i="45"/>
  <c r="B19" i="45"/>
  <c r="B20" i="45"/>
  <c r="B21" i="45"/>
  <c r="X14" i="21"/>
  <c r="S13" i="21" l="1"/>
  <c r="X54" i="6"/>
  <c r="C3" i="45"/>
  <c r="C12" i="45" s="1"/>
  <c r="I8" i="43"/>
  <c r="I10" i="43"/>
  <c r="I9" i="43"/>
  <c r="I17" i="43"/>
  <c r="I15" i="43"/>
  <c r="I14" i="43"/>
  <c r="F5" i="43"/>
  <c r="X56" i="6" l="1"/>
  <c r="T13" i="21"/>
  <c r="Y54" i="6"/>
  <c r="Y56" i="6" s="1"/>
  <c r="I7" i="43"/>
  <c r="I13" i="43"/>
  <c r="F14" i="43"/>
  <c r="F13" i="43"/>
  <c r="F12" i="43"/>
  <c r="F9" i="43"/>
  <c r="F7" i="43" s="1"/>
  <c r="U13" i="21" l="1"/>
  <c r="V34" i="62"/>
  <c r="W34" i="62" s="1"/>
  <c r="X34" i="62" s="1"/>
  <c r="Y34" i="62" s="1"/>
  <c r="Z34" i="62" s="1"/>
  <c r="F11" i="43"/>
  <c r="P18" i="21"/>
  <c r="F33" i="46"/>
  <c r="Q6" i="10"/>
  <c r="C12" i="43" l="1"/>
  <c r="K33" i="46"/>
  <c r="R33" i="46"/>
  <c r="N33" i="46"/>
  <c r="J33" i="46"/>
  <c r="S33" i="46"/>
  <c r="O33" i="46"/>
  <c r="G33" i="46"/>
  <c r="Q33" i="46"/>
  <c r="M33" i="46"/>
  <c r="I33" i="46"/>
  <c r="P33" i="46"/>
  <c r="L33" i="46"/>
  <c r="H33" i="46"/>
  <c r="P3" i="10"/>
  <c r="O3" i="10"/>
  <c r="O4" i="10"/>
  <c r="P4" i="10"/>
  <c r="N4" i="10"/>
  <c r="N3" i="10"/>
  <c r="M4" i="10"/>
  <c r="M3" i="10"/>
  <c r="M6" i="10" s="1"/>
  <c r="Z35" i="21" s="1"/>
  <c r="D4" i="10"/>
  <c r="E4" i="10"/>
  <c r="E6" i="10" s="1"/>
  <c r="R35" i="21" s="1"/>
  <c r="F4" i="10"/>
  <c r="G4" i="10"/>
  <c r="H4" i="10"/>
  <c r="I4" i="10"/>
  <c r="J4" i="10"/>
  <c r="K4" i="10"/>
  <c r="C4" i="10"/>
  <c r="K3" i="10"/>
  <c r="J3" i="10"/>
  <c r="I3" i="10"/>
  <c r="H3" i="10"/>
  <c r="H6" i="10" s="1"/>
  <c r="U35" i="21" s="1"/>
  <c r="G3" i="10"/>
  <c r="F3" i="10"/>
  <c r="F6" i="10" s="1"/>
  <c r="T15" i="62" s="1"/>
  <c r="D3" i="10"/>
  <c r="C3" i="10"/>
  <c r="C6" i="10" s="1"/>
  <c r="T13" i="62" l="1"/>
  <c r="Q64" i="62" s="1"/>
  <c r="S35" i="21"/>
  <c r="E23" i="60"/>
  <c r="E21" i="60" s="1"/>
  <c r="G6" i="10"/>
  <c r="N6" i="10"/>
  <c r="J6" i="10"/>
  <c r="K6" i="10"/>
  <c r="P35" i="21"/>
  <c r="G13" i="59"/>
  <c r="G11" i="59" s="1"/>
  <c r="D6" i="10"/>
  <c r="Q35" i="21" s="1"/>
  <c r="I6" i="10"/>
  <c r="O6" i="10"/>
  <c r="P6" i="10"/>
  <c r="U42" i="46"/>
  <c r="L14" i="21"/>
  <c r="M14" i="21"/>
  <c r="N14" i="21"/>
  <c r="O14" i="21"/>
  <c r="L13" i="21"/>
  <c r="Y13" i="21" s="1"/>
  <c r="Z13" i="21"/>
  <c r="R17" i="6"/>
  <c r="S17" i="6"/>
  <c r="T17" i="6"/>
  <c r="U17" i="6"/>
  <c r="V17" i="6"/>
  <c r="W17" i="6"/>
  <c r="X17" i="6"/>
  <c r="Y17" i="6"/>
  <c r="Z17" i="6"/>
  <c r="AA17" i="6"/>
  <c r="AB17" i="6"/>
  <c r="AC17" i="6"/>
  <c r="AD17" i="6"/>
  <c r="O17" i="6"/>
  <c r="P17" i="6"/>
  <c r="Q17" i="6"/>
  <c r="O33" i="6"/>
  <c r="P33" i="6"/>
  <c r="Q33" i="6"/>
  <c r="R33" i="6"/>
  <c r="S33" i="6"/>
  <c r="T33" i="6"/>
  <c r="U33" i="6"/>
  <c r="W33" i="6"/>
  <c r="X33" i="6"/>
  <c r="Y33" i="6"/>
  <c r="Z33" i="6"/>
  <c r="AA33" i="6"/>
  <c r="AB33" i="6"/>
  <c r="AB53" i="6" s="1"/>
  <c r="Y33" i="62" s="1"/>
  <c r="Y32" i="62" s="1"/>
  <c r="AC33" i="6"/>
  <c r="AD33" i="6"/>
  <c r="V33" i="6"/>
  <c r="U43" i="6"/>
  <c r="S44" i="6"/>
  <c r="T43" i="6"/>
  <c r="AA38" i="6"/>
  <c r="Z38" i="6"/>
  <c r="Y38" i="6"/>
  <c r="X38" i="6"/>
  <c r="Z11" i="5"/>
  <c r="Z25" i="5"/>
  <c r="AA25" i="5"/>
  <c r="AB25" i="5"/>
  <c r="AC25" i="5"/>
  <c r="D25" i="5"/>
  <c r="C28" i="21" s="1"/>
  <c r="E25" i="5"/>
  <c r="D28" i="21" s="1"/>
  <c r="F25" i="5"/>
  <c r="E28" i="21" s="1"/>
  <c r="G25" i="5"/>
  <c r="F28" i="21" s="1"/>
  <c r="H25" i="5"/>
  <c r="G28" i="21" s="1"/>
  <c r="K25" i="5"/>
  <c r="J28" i="21" s="1"/>
  <c r="L25" i="5"/>
  <c r="M25" i="5"/>
  <c r="N25" i="5"/>
  <c r="V35" i="21" l="1"/>
  <c r="W15" i="62"/>
  <c r="W13" i="62" s="1"/>
  <c r="Q67" i="62" s="1"/>
  <c r="T35" i="21"/>
  <c r="Y35" i="21" s="1"/>
  <c r="V15" i="62"/>
  <c r="X35" i="21"/>
  <c r="Y15" i="62"/>
  <c r="Y13" i="62" s="1"/>
  <c r="Q69" i="62" s="1"/>
  <c r="W35" i="21"/>
  <c r="X15" i="62"/>
  <c r="X13" i="62" s="1"/>
  <c r="Q68" i="62" s="1"/>
  <c r="V53" i="6"/>
  <c r="S33" i="62" s="1"/>
  <c r="S32" i="62" s="1"/>
  <c r="S31" i="62" s="1"/>
  <c r="S24" i="62" s="1"/>
  <c r="Z53" i="6"/>
  <c r="U53" i="6"/>
  <c r="R33" i="62" s="1"/>
  <c r="R32" i="62" s="1"/>
  <c r="Q53" i="6"/>
  <c r="N33" i="62" s="1"/>
  <c r="N32" i="62" s="1"/>
  <c r="N31" i="62" s="1"/>
  <c r="AC53" i="6"/>
  <c r="AC57" i="6" s="1"/>
  <c r="Y53" i="6"/>
  <c r="Z65" i="6"/>
  <c r="Z67" i="6" s="1"/>
  <c r="L6" i="10"/>
  <c r="AD53" i="6"/>
  <c r="AD57" i="6" s="1"/>
  <c r="AA33" i="62" s="1"/>
  <c r="T53" i="6"/>
  <c r="Q33" i="62" s="1"/>
  <c r="Q32" i="62" s="1"/>
  <c r="X53" i="6"/>
  <c r="U33" i="62" s="1"/>
  <c r="U32" i="62" s="1"/>
  <c r="V57" i="6"/>
  <c r="R12" i="21" s="1"/>
  <c r="R53" i="6"/>
  <c r="O33" i="62" s="1"/>
  <c r="O53" i="6"/>
  <c r="AA53" i="6"/>
  <c r="X33" i="62" s="1"/>
  <c r="X32" i="62" s="1"/>
  <c r="Y31" i="62" s="1"/>
  <c r="Y24" i="62" s="1"/>
  <c r="W53" i="6"/>
  <c r="U40" i="46"/>
  <c r="U48" i="46" s="1"/>
  <c r="P53" i="6"/>
  <c r="S53" i="6"/>
  <c r="P33" i="62" s="1"/>
  <c r="P32" i="62" s="1"/>
  <c r="AC11" i="5"/>
  <c r="AB11" i="5"/>
  <c r="AA11" i="5"/>
  <c r="Z8" i="5"/>
  <c r="Z9" i="5" s="1"/>
  <c r="AB11" i="6"/>
  <c r="X11" i="5" s="1"/>
  <c r="AA11" i="6"/>
  <c r="W11" i="5" s="1"/>
  <c r="Z11" i="6"/>
  <c r="V11" i="5" s="1"/>
  <c r="Y11" i="6"/>
  <c r="U11" i="5" s="1"/>
  <c r="X11" i="6"/>
  <c r="T11" i="5" s="1"/>
  <c r="W11" i="6"/>
  <c r="S11" i="5" s="1"/>
  <c r="V11" i="6"/>
  <c r="R11" i="5" s="1"/>
  <c r="U11" i="6"/>
  <c r="Q11" i="5" s="1"/>
  <c r="T11" i="6"/>
  <c r="P11" i="5" s="1"/>
  <c r="S11" i="6"/>
  <c r="O11" i="5" s="1"/>
  <c r="R11" i="6"/>
  <c r="N11" i="5" s="1"/>
  <c r="Q11" i="6"/>
  <c r="M11" i="5" s="1"/>
  <c r="AB25" i="6"/>
  <c r="X27" i="5" s="1"/>
  <c r="AA25" i="6"/>
  <c r="W27" i="5" s="1"/>
  <c r="Z25" i="6"/>
  <c r="V27" i="5" s="1"/>
  <c r="R25" i="6"/>
  <c r="Q25" i="6"/>
  <c r="Y22" i="6"/>
  <c r="U27" i="5" s="1"/>
  <c r="X22" i="6"/>
  <c r="T27" i="5" s="1"/>
  <c r="W22" i="6"/>
  <c r="S27" i="5" s="1"/>
  <c r="V22" i="6"/>
  <c r="R27" i="5" s="1"/>
  <c r="U22" i="6"/>
  <c r="Q27" i="5" s="1"/>
  <c r="E5" i="44"/>
  <c r="F5" i="44"/>
  <c r="G5" i="44"/>
  <c r="H5" i="44"/>
  <c r="H6" i="44" s="1"/>
  <c r="T16" i="21" s="1"/>
  <c r="I5" i="44"/>
  <c r="J5" i="44"/>
  <c r="D5" i="44"/>
  <c r="D6" i="44" s="1"/>
  <c r="E4" i="44"/>
  <c r="J3" i="44"/>
  <c r="I3" i="44"/>
  <c r="G3" i="44"/>
  <c r="F3" i="44"/>
  <c r="E3" i="44"/>
  <c r="D3" i="44"/>
  <c r="Z6" i="6"/>
  <c r="Y6" i="6"/>
  <c r="X6" i="6"/>
  <c r="W6" i="6"/>
  <c r="V6" i="6"/>
  <c r="U6" i="6"/>
  <c r="T6" i="6"/>
  <c r="Z5" i="6"/>
  <c r="Y5" i="6"/>
  <c r="W5" i="6"/>
  <c r="V5" i="6"/>
  <c r="U5" i="6"/>
  <c r="T5" i="6"/>
  <c r="Y23" i="5"/>
  <c r="Q24" i="5"/>
  <c r="W9" i="5"/>
  <c r="X9" i="5"/>
  <c r="AA9" i="5"/>
  <c r="AB9" i="5"/>
  <c r="AC9" i="5"/>
  <c r="V9" i="5"/>
  <c r="Z14" i="21"/>
  <c r="Z34" i="21"/>
  <c r="Z39" i="21"/>
  <c r="U39" i="21"/>
  <c r="V39" i="21"/>
  <c r="X39" i="21"/>
  <c r="W39" i="21"/>
  <c r="W38" i="21"/>
  <c r="Y38" i="21" s="1"/>
  <c r="R69" i="62" l="1"/>
  <c r="T69" i="62" s="1"/>
  <c r="Y47" i="62"/>
  <c r="S47" i="62"/>
  <c r="R63" i="62"/>
  <c r="T63" i="62" s="1"/>
  <c r="U31" i="62"/>
  <c r="U24" i="62" s="1"/>
  <c r="T33" i="62"/>
  <c r="T32" i="62" s="1"/>
  <c r="T31" i="62" s="1"/>
  <c r="T24" i="62" s="1"/>
  <c r="D22" i="61"/>
  <c r="X73" i="6"/>
  <c r="V13" i="62"/>
  <c r="Q66" i="62" s="1"/>
  <c r="Q70" i="62" s="1"/>
  <c r="Z15" i="62"/>
  <c r="Z13" i="62" s="1"/>
  <c r="N24" i="62"/>
  <c r="R31" i="62"/>
  <c r="R24" i="62" s="1"/>
  <c r="O32" i="62"/>
  <c r="O31" i="62" s="1"/>
  <c r="D22" i="71"/>
  <c r="D21" i="71" s="1"/>
  <c r="E20" i="71" s="1"/>
  <c r="E18" i="71" s="1"/>
  <c r="E30" i="71" s="1"/>
  <c r="W33" i="62"/>
  <c r="W32" i="62" s="1"/>
  <c r="Z57" i="6"/>
  <c r="X57" i="6"/>
  <c r="T12" i="21" s="1"/>
  <c r="X65" i="6"/>
  <c r="X67" i="6" s="1"/>
  <c r="Y57" i="6"/>
  <c r="I10" i="60"/>
  <c r="J10" i="60" s="1"/>
  <c r="H28" i="60" s="1"/>
  <c r="H27" i="60" s="1"/>
  <c r="H34" i="60" s="1"/>
  <c r="H36" i="60" s="1"/>
  <c r="H47" i="60" s="1"/>
  <c r="H49" i="60" s="1"/>
  <c r="Y65" i="6"/>
  <c r="Y67" i="6" s="1"/>
  <c r="S42" i="5"/>
  <c r="S57" i="6"/>
  <c r="O12" i="21" s="1"/>
  <c r="S65" i="6"/>
  <c r="S67" i="6" s="1"/>
  <c r="T57" i="6"/>
  <c r="P12" i="21" s="1"/>
  <c r="T65" i="6"/>
  <c r="T67" i="6" s="1"/>
  <c r="T68" i="6" s="1"/>
  <c r="AA57" i="6"/>
  <c r="AA58" i="6" s="1"/>
  <c r="AA65" i="6"/>
  <c r="AA67" i="6" s="1"/>
  <c r="Q57" i="6"/>
  <c r="M12" i="21" s="1"/>
  <c r="Q65" i="6"/>
  <c r="Q67" i="6" s="1"/>
  <c r="Q68" i="6" s="1"/>
  <c r="C10" i="60"/>
  <c r="U65" i="6"/>
  <c r="U67" i="6" s="1"/>
  <c r="U57" i="6"/>
  <c r="Q12" i="21" s="1"/>
  <c r="W57" i="6"/>
  <c r="G28" i="60"/>
  <c r="G27" i="60" s="1"/>
  <c r="G34" i="60" s="1"/>
  <c r="G36" i="60" s="1"/>
  <c r="G47" i="60" s="1"/>
  <c r="G49" i="60" s="1"/>
  <c r="G50" i="60" s="1"/>
  <c r="W65" i="6"/>
  <c r="W67" i="6" s="1"/>
  <c r="R57" i="6"/>
  <c r="N12" i="21" s="1"/>
  <c r="R65" i="6"/>
  <c r="R67" i="6" s="1"/>
  <c r="R68" i="6" s="1"/>
  <c r="E28" i="60"/>
  <c r="V65" i="6"/>
  <c r="V67" i="6" s="1"/>
  <c r="AB57" i="6"/>
  <c r="AB65" i="6"/>
  <c r="AB67" i="6" s="1"/>
  <c r="AB68" i="6" s="1"/>
  <c r="AA68" i="6"/>
  <c r="Z68" i="6"/>
  <c r="U58" i="6"/>
  <c r="Q11" i="21" s="1"/>
  <c r="Y39" i="21"/>
  <c r="AD58" i="6"/>
  <c r="AA31" i="62" s="1"/>
  <c r="AA24" i="62" s="1"/>
  <c r="AA47" i="62" s="1"/>
  <c r="C20" i="45"/>
  <c r="C16" i="45" s="1"/>
  <c r="C21" i="45" s="1"/>
  <c r="P16" i="21"/>
  <c r="I19" i="43"/>
  <c r="I16" i="43" s="1"/>
  <c r="G6" i="44"/>
  <c r="S16" i="21" s="1"/>
  <c r="S14" i="21" s="1"/>
  <c r="J6" i="44"/>
  <c r="V16" i="21" s="1"/>
  <c r="V14" i="21" s="1"/>
  <c r="F6" i="44"/>
  <c r="R16" i="21" s="1"/>
  <c r="R14" i="21" s="1"/>
  <c r="I6" i="44"/>
  <c r="U16" i="21" s="1"/>
  <c r="E6" i="44"/>
  <c r="Q16" i="21" s="1"/>
  <c r="Q14" i="21" s="1"/>
  <c r="Y27" i="5"/>
  <c r="Z33" i="21"/>
  <c r="U23" i="21"/>
  <c r="Y23" i="21" s="1"/>
  <c r="U9" i="21"/>
  <c r="Y9" i="21" s="1"/>
  <c r="P8" i="21"/>
  <c r="Y8" i="21" s="1"/>
  <c r="L34" i="21"/>
  <c r="M34" i="21"/>
  <c r="M33" i="21" s="1"/>
  <c r="N34" i="21"/>
  <c r="N33" i="21" s="1"/>
  <c r="O34" i="21"/>
  <c r="O33" i="21" s="1"/>
  <c r="P34" i="21"/>
  <c r="C15" i="49" s="1"/>
  <c r="C14" i="49" s="1"/>
  <c r="Q34" i="21"/>
  <c r="Q33" i="21" s="1"/>
  <c r="R34" i="21"/>
  <c r="S34" i="21"/>
  <c r="T34" i="21"/>
  <c r="U34" i="21"/>
  <c r="U33" i="21" s="1"/>
  <c r="V34" i="21"/>
  <c r="W34" i="21"/>
  <c r="X34" i="21"/>
  <c r="X33" i="21" s="1"/>
  <c r="T18" i="21"/>
  <c r="W18" i="21"/>
  <c r="P7" i="21"/>
  <c r="Y7" i="21" s="1"/>
  <c r="P15" i="21"/>
  <c r="Y15" i="21" s="1"/>
  <c r="L29" i="21"/>
  <c r="P29" i="21"/>
  <c r="C13" i="49" s="1"/>
  <c r="Q29" i="21"/>
  <c r="R29" i="21"/>
  <c r="S29" i="21"/>
  <c r="T29" i="21"/>
  <c r="U29" i="21"/>
  <c r="V29" i="21"/>
  <c r="W29" i="21"/>
  <c r="X29" i="21"/>
  <c r="Z29" i="21"/>
  <c r="Q31" i="21"/>
  <c r="R31" i="21"/>
  <c r="S31" i="21"/>
  <c r="T31" i="21"/>
  <c r="U31" i="21"/>
  <c r="V31" i="21"/>
  <c r="W31" i="21"/>
  <c r="Z31" i="21"/>
  <c r="N28" i="21"/>
  <c r="Z28" i="21"/>
  <c r="V27" i="21"/>
  <c r="W27" i="21"/>
  <c r="X27" i="21"/>
  <c r="Z27" i="21"/>
  <c r="X34" i="5"/>
  <c r="P22" i="5"/>
  <c r="Q22" i="5"/>
  <c r="R22" i="5"/>
  <c r="S22" i="5"/>
  <c r="T22" i="5"/>
  <c r="U6" i="62" s="1"/>
  <c r="U4" i="62" s="1"/>
  <c r="P65" i="62" s="1"/>
  <c r="U22" i="5"/>
  <c r="V6" i="62" s="1"/>
  <c r="V4" i="62" s="1"/>
  <c r="P66" i="62" s="1"/>
  <c r="V22" i="5"/>
  <c r="W22" i="5"/>
  <c r="X22" i="5"/>
  <c r="O22" i="5"/>
  <c r="P6" i="62" s="1"/>
  <c r="J21" i="5"/>
  <c r="I21" i="5"/>
  <c r="Y19" i="5"/>
  <c r="Y20" i="5"/>
  <c r="X24" i="5"/>
  <c r="T24" i="5"/>
  <c r="S24" i="5"/>
  <c r="R24" i="5"/>
  <c r="O24" i="5"/>
  <c r="Y5" i="5"/>
  <c r="Y6" i="5"/>
  <c r="Y7" i="5"/>
  <c r="Y4" i="5"/>
  <c r="V25" i="5" l="1"/>
  <c r="W6" i="62"/>
  <c r="W4" i="62" s="1"/>
  <c r="Q6" i="62"/>
  <c r="Q4" i="62" s="1"/>
  <c r="P61" i="62" s="1"/>
  <c r="G8" i="59"/>
  <c r="X31" i="62"/>
  <c r="X24" i="62" s="1"/>
  <c r="R65" i="62"/>
  <c r="T65" i="62" s="1"/>
  <c r="U47" i="62"/>
  <c r="U49" i="62" s="1"/>
  <c r="U65" i="62"/>
  <c r="Z58" i="6"/>
  <c r="V33" i="62"/>
  <c r="V32" i="62" s="1"/>
  <c r="V31" i="62" s="1"/>
  <c r="V24" i="62" s="1"/>
  <c r="O47" i="62"/>
  <c r="O49" i="62" s="1"/>
  <c r="O24" i="62"/>
  <c r="R59" i="62" s="1"/>
  <c r="T59" i="62" s="1"/>
  <c r="U59" i="62" s="1"/>
  <c r="P4" i="62"/>
  <c r="S25" i="5"/>
  <c r="S28" i="21" s="1"/>
  <c r="T6" i="62"/>
  <c r="T4" i="62" s="1"/>
  <c r="P64" i="62" s="1"/>
  <c r="U64" i="62" s="1"/>
  <c r="X68" i="6"/>
  <c r="R62" i="62"/>
  <c r="T62" i="62" s="1"/>
  <c r="R47" i="62"/>
  <c r="I25" i="5"/>
  <c r="H28" i="21" s="1"/>
  <c r="I6" i="62"/>
  <c r="J25" i="5"/>
  <c r="I28" i="21" s="1"/>
  <c r="J6" i="62"/>
  <c r="J4" i="62" s="1"/>
  <c r="J49" i="62" s="1"/>
  <c r="R25" i="5"/>
  <c r="R28" i="21" s="1"/>
  <c r="S6" i="62"/>
  <c r="S4" i="62" s="1"/>
  <c r="P63" i="62" s="1"/>
  <c r="U63" i="62" s="1"/>
  <c r="R58" i="62"/>
  <c r="N47" i="62"/>
  <c r="F22" i="61"/>
  <c r="F21" i="61" s="1"/>
  <c r="G20" i="61" s="1"/>
  <c r="G19" i="61" s="1"/>
  <c r="G29" i="61" s="1"/>
  <c r="G31" i="61" s="1"/>
  <c r="D21" i="61"/>
  <c r="E20" i="61" s="1"/>
  <c r="E19" i="61" s="1"/>
  <c r="E29" i="61" s="1"/>
  <c r="E31" i="61" s="1"/>
  <c r="X25" i="5"/>
  <c r="X28" i="21" s="1"/>
  <c r="Y6" i="62"/>
  <c r="Y4" i="62" s="1"/>
  <c r="W25" i="5"/>
  <c r="W28" i="21" s="1"/>
  <c r="X6" i="62"/>
  <c r="X4" i="62" s="1"/>
  <c r="Q25" i="5"/>
  <c r="R6" i="62"/>
  <c r="R4" i="62" s="1"/>
  <c r="P62" i="62" s="1"/>
  <c r="U62" i="62" s="1"/>
  <c r="V68" i="6"/>
  <c r="S12" i="21"/>
  <c r="X75" i="6"/>
  <c r="Y75" i="6" s="1"/>
  <c r="R64" i="62"/>
  <c r="T64" i="62" s="1"/>
  <c r="T47" i="62"/>
  <c r="H52" i="60"/>
  <c r="H50" i="60"/>
  <c r="H37" i="60"/>
  <c r="H39" i="60" s="1"/>
  <c r="G37" i="60"/>
  <c r="G39" i="60" s="1"/>
  <c r="E27" i="60"/>
  <c r="E34" i="60" s="1"/>
  <c r="E36" i="60" s="1"/>
  <c r="F28" i="60"/>
  <c r="F27" i="60" s="1"/>
  <c r="F34" i="60" s="1"/>
  <c r="F36" i="60" s="1"/>
  <c r="D28" i="60"/>
  <c r="D27" i="60" s="1"/>
  <c r="D34" i="60" s="1"/>
  <c r="D36" i="60" s="1"/>
  <c r="D11" i="60"/>
  <c r="Y58" i="6"/>
  <c r="Y68" i="6"/>
  <c r="Y21" i="5"/>
  <c r="F8" i="59"/>
  <c r="F6" i="59" s="1"/>
  <c r="F30" i="59" s="1"/>
  <c r="W68" i="6"/>
  <c r="U68" i="6"/>
  <c r="S68" i="6"/>
  <c r="G6" i="59"/>
  <c r="G30" i="59" s="1"/>
  <c r="H32" i="59" s="1"/>
  <c r="Y18" i="21"/>
  <c r="X26" i="21"/>
  <c r="P25" i="5"/>
  <c r="P28" i="21" s="1"/>
  <c r="O25" i="5"/>
  <c r="U25" i="5"/>
  <c r="U28" i="21" s="1"/>
  <c r="Y34" i="21"/>
  <c r="Y16" i="21"/>
  <c r="T25" i="5"/>
  <c r="T28" i="21" s="1"/>
  <c r="Y31" i="21"/>
  <c r="Y29" i="21"/>
  <c r="Z26" i="21"/>
  <c r="C9" i="43"/>
  <c r="L33" i="21"/>
  <c r="W26" i="21"/>
  <c r="C4" i="49"/>
  <c r="C3" i="49" s="1"/>
  <c r="C9" i="49" s="1"/>
  <c r="P33" i="21"/>
  <c r="C18" i="43"/>
  <c r="C17" i="43" s="1"/>
  <c r="W14" i="21"/>
  <c r="V33" i="21"/>
  <c r="R33" i="21"/>
  <c r="U22" i="21"/>
  <c r="Y22" i="21" s="1"/>
  <c r="T33" i="21"/>
  <c r="W33" i="21"/>
  <c r="S33" i="21"/>
  <c r="P17" i="21"/>
  <c r="Y17" i="21" s="1"/>
  <c r="T14" i="21"/>
  <c r="Y22" i="5"/>
  <c r="Y25" i="5" s="1"/>
  <c r="Y24" i="5"/>
  <c r="Y9" i="5"/>
  <c r="P68" i="62" l="1"/>
  <c r="R68" i="62"/>
  <c r="T68" i="62" s="1"/>
  <c r="X47" i="62"/>
  <c r="X49" i="62" s="1"/>
  <c r="N49" i="62"/>
  <c r="L6" i="62"/>
  <c r="L4" i="62" s="1"/>
  <c r="L49" i="62" s="1"/>
  <c r="I4" i="62"/>
  <c r="I49" i="62" s="1"/>
  <c r="R66" i="62"/>
  <c r="T66" i="62" s="1"/>
  <c r="U66" i="62" s="1"/>
  <c r="V47" i="62"/>
  <c r="V49" i="62" s="1"/>
  <c r="W31" i="62"/>
  <c r="W24" i="62" s="1"/>
  <c r="O28" i="21"/>
  <c r="E7" i="71"/>
  <c r="E5" i="71" s="1"/>
  <c r="E48" i="71" s="1"/>
  <c r="Y49" i="62"/>
  <c r="P69" i="62"/>
  <c r="U69" i="62" s="1"/>
  <c r="T58" i="62"/>
  <c r="Z6" i="62"/>
  <c r="Z4" i="62" s="1"/>
  <c r="R49" i="62"/>
  <c r="P60" i="62"/>
  <c r="T49" i="62"/>
  <c r="S49" i="62"/>
  <c r="P67" i="62"/>
  <c r="F37" i="60"/>
  <c r="F47" i="60"/>
  <c r="F49" i="60" s="1"/>
  <c r="F50" i="60" s="1"/>
  <c r="D37" i="60"/>
  <c r="D39" i="60" s="1"/>
  <c r="D47" i="60"/>
  <c r="D49" i="60" s="1"/>
  <c r="D50" i="60" s="1"/>
  <c r="E37" i="60"/>
  <c r="E47" i="60"/>
  <c r="E49" i="60" s="1"/>
  <c r="E50" i="60" s="1"/>
  <c r="C16" i="43"/>
  <c r="C12" i="49"/>
  <c r="Y33" i="21"/>
  <c r="U14" i="21"/>
  <c r="C11" i="43"/>
  <c r="C8" i="43" s="1"/>
  <c r="P14" i="21"/>
  <c r="D9" i="5"/>
  <c r="C27" i="21" s="1"/>
  <c r="D36" i="5"/>
  <c r="F36" i="5"/>
  <c r="G36" i="5"/>
  <c r="H36" i="5"/>
  <c r="I36" i="5"/>
  <c r="J36" i="5"/>
  <c r="K36" i="5"/>
  <c r="L36" i="5"/>
  <c r="L32" i="21" s="1"/>
  <c r="M36" i="5"/>
  <c r="M32" i="21" s="1"/>
  <c r="N36" i="5"/>
  <c r="N32" i="21" s="1"/>
  <c r="O36" i="5"/>
  <c r="O32" i="21" s="1"/>
  <c r="P36" i="5"/>
  <c r="Q36" i="5"/>
  <c r="R36" i="5"/>
  <c r="S36" i="5"/>
  <c r="T36" i="5"/>
  <c r="U36" i="5"/>
  <c r="V36" i="5"/>
  <c r="W36" i="5"/>
  <c r="X36" i="5"/>
  <c r="Y36" i="5"/>
  <c r="Z36" i="5"/>
  <c r="AA36" i="5"/>
  <c r="E36" i="5"/>
  <c r="V28" i="21"/>
  <c r="V26" i="21" s="1"/>
  <c r="Q28" i="21"/>
  <c r="M28" i="21"/>
  <c r="L28" i="21"/>
  <c r="J33" i="6"/>
  <c r="K33" i="6"/>
  <c r="L33" i="6"/>
  <c r="M33" i="6"/>
  <c r="N33" i="6"/>
  <c r="I33" i="6"/>
  <c r="I17" i="6"/>
  <c r="J17" i="6"/>
  <c r="K17" i="6"/>
  <c r="L17" i="6"/>
  <c r="M17" i="6"/>
  <c r="N17" i="6"/>
  <c r="R67" i="62" l="1"/>
  <c r="T67" i="62" s="1"/>
  <c r="W47" i="62"/>
  <c r="W49" i="62" s="1"/>
  <c r="U58" i="62"/>
  <c r="P70" i="62"/>
  <c r="U67" i="62"/>
  <c r="U68" i="62"/>
  <c r="Y32" i="21"/>
  <c r="Y14" i="21"/>
  <c r="Y28" i="21"/>
  <c r="C26" i="21"/>
  <c r="C34" i="21"/>
  <c r="C33" i="21" s="1"/>
  <c r="M53" i="6"/>
  <c r="N53" i="6"/>
  <c r="L53" i="6"/>
  <c r="C42" i="21" l="1"/>
  <c r="P49" i="6"/>
  <c r="Q49" i="6"/>
  <c r="R49" i="6"/>
  <c r="S49" i="6"/>
  <c r="T49" i="6"/>
  <c r="U49" i="6"/>
  <c r="V49" i="6"/>
  <c r="W49" i="6"/>
  <c r="X49" i="6"/>
  <c r="Y49" i="6"/>
  <c r="AA49" i="6"/>
  <c r="AB49" i="6"/>
  <c r="Z49" i="6"/>
  <c r="W12" i="21" l="1"/>
  <c r="O57" i="6"/>
  <c r="J12" i="21" s="1"/>
  <c r="K53" i="6"/>
  <c r="K57" i="6" s="1"/>
  <c r="N57" i="6"/>
  <c r="J53" i="6"/>
  <c r="J57" i="6" s="1"/>
  <c r="Z12" i="21"/>
  <c r="L57" i="6"/>
  <c r="P57" i="6"/>
  <c r="M33" i="62" s="1"/>
  <c r="Z33" i="62" s="1"/>
  <c r="Z32" i="62" s="1"/>
  <c r="M57" i="6"/>
  <c r="I53" i="6"/>
  <c r="I57" i="6" s="1"/>
  <c r="I58" i="6" s="1"/>
  <c r="X12" i="21"/>
  <c r="L12" i="21" l="1"/>
  <c r="Q58" i="6"/>
  <c r="M11" i="21" s="1"/>
  <c r="F10" i="43"/>
  <c r="F16" i="43" s="1"/>
  <c r="I5" i="43"/>
  <c r="I12" i="43" s="1"/>
  <c r="I20" i="43" s="1"/>
  <c r="V12" i="21"/>
  <c r="Z11" i="21"/>
  <c r="L58" i="6"/>
  <c r="O58" i="6"/>
  <c r="J11" i="21" s="1"/>
  <c r="J4" i="21" s="1"/>
  <c r="J24" i="21" s="1"/>
  <c r="K58" i="6"/>
  <c r="N58" i="6"/>
  <c r="P58" i="6"/>
  <c r="L11" i="21" s="1"/>
  <c r="S58" i="6"/>
  <c r="X58" i="6"/>
  <c r="T11" i="21" s="1"/>
  <c r="W58" i="6"/>
  <c r="S11" i="21" s="1"/>
  <c r="M58" i="6"/>
  <c r="R58" i="6"/>
  <c r="N11" i="21" s="1"/>
  <c r="J58" i="6"/>
  <c r="AB58" i="6"/>
  <c r="X11" i="21" s="1"/>
  <c r="W11" i="21"/>
  <c r="V58" i="6"/>
  <c r="R11" i="21" s="1"/>
  <c r="O11" i="21" l="1"/>
  <c r="P31" i="62"/>
  <c r="U12" i="21"/>
  <c r="Y12" i="21" s="1"/>
  <c r="X4" i="21"/>
  <c r="Z4" i="21"/>
  <c r="Z24" i="21" s="1"/>
  <c r="Z42" i="21" s="1"/>
  <c r="T58" i="6"/>
  <c r="Q31" i="62" s="1"/>
  <c r="Q24" i="62" s="1"/>
  <c r="U11" i="21"/>
  <c r="V11" i="21"/>
  <c r="R61" i="62" l="1"/>
  <c r="T61" i="62" s="1"/>
  <c r="U61" i="62" s="1"/>
  <c r="U71" i="62" s="1"/>
  <c r="Q47" i="62"/>
  <c r="Q49" i="62" s="1"/>
  <c r="P24" i="62"/>
  <c r="Z31" i="62"/>
  <c r="Z24" i="62" s="1"/>
  <c r="P11" i="21"/>
  <c r="Y11" i="21" s="1"/>
  <c r="C5" i="43"/>
  <c r="C13" i="43" s="1"/>
  <c r="L4" i="21"/>
  <c r="M4" i="21"/>
  <c r="N4" i="21"/>
  <c r="O4" i="21"/>
  <c r="Q4" i="21"/>
  <c r="R4" i="21"/>
  <c r="S4" i="21"/>
  <c r="T4" i="21"/>
  <c r="U4" i="21"/>
  <c r="V4" i="21"/>
  <c r="V24" i="21" s="1"/>
  <c r="R60" i="62" l="1"/>
  <c r="P47" i="62"/>
  <c r="Y51" i="62"/>
  <c r="W51" i="62"/>
  <c r="V42" i="21"/>
  <c r="P4" i="21"/>
  <c r="P24" i="21" s="1"/>
  <c r="Y4" i="21"/>
  <c r="L24" i="21"/>
  <c r="R24" i="21"/>
  <c r="U24" i="21"/>
  <c r="Q24" i="21"/>
  <c r="N24" i="21"/>
  <c r="M24" i="21"/>
  <c r="T24" i="21"/>
  <c r="S24" i="21"/>
  <c r="O24" i="21"/>
  <c r="P49" i="62" l="1"/>
  <c r="Z47" i="62"/>
  <c r="T60" i="62"/>
  <c r="R70" i="62"/>
  <c r="E9" i="5"/>
  <c r="D27" i="21" s="1"/>
  <c r="F9" i="5"/>
  <c r="E27" i="21" s="1"/>
  <c r="G9" i="5"/>
  <c r="F27" i="21" s="1"/>
  <c r="H9" i="5"/>
  <c r="G27" i="21" s="1"/>
  <c r="G26" i="21" s="1"/>
  <c r="G42" i="21" s="1"/>
  <c r="I9" i="5"/>
  <c r="H27" i="21" s="1"/>
  <c r="H26" i="21" s="1"/>
  <c r="H42" i="21" s="1"/>
  <c r="J9" i="5"/>
  <c r="I27" i="21" s="1"/>
  <c r="I26" i="21" s="1"/>
  <c r="I42" i="21" s="1"/>
  <c r="K9" i="5"/>
  <c r="J27" i="21" s="1"/>
  <c r="J26" i="21" s="1"/>
  <c r="J42" i="21" s="1"/>
  <c r="L9" i="5"/>
  <c r="M9" i="5"/>
  <c r="O9" i="5"/>
  <c r="P9" i="5"/>
  <c r="Q9" i="5"/>
  <c r="R9" i="5"/>
  <c r="S9" i="5"/>
  <c r="T9" i="5"/>
  <c r="U9" i="5"/>
  <c r="U60" i="62" l="1"/>
  <c r="T70" i="62"/>
  <c r="F26" i="21"/>
  <c r="F34" i="21"/>
  <c r="F33" i="21" s="1"/>
  <c r="E26" i="21"/>
  <c r="E34" i="21"/>
  <c r="E33" i="21" s="1"/>
  <c r="D26" i="21"/>
  <c r="D34" i="21"/>
  <c r="D33" i="21" s="1"/>
  <c r="T39" i="5"/>
  <c r="T27" i="21"/>
  <c r="T26" i="21" s="1"/>
  <c r="P39" i="5"/>
  <c r="P27" i="21"/>
  <c r="K39" i="5"/>
  <c r="G39" i="5"/>
  <c r="S39" i="5"/>
  <c r="S27" i="21"/>
  <c r="S26" i="21" s="1"/>
  <c r="O39" i="5"/>
  <c r="O27" i="21"/>
  <c r="O26" i="21" s="1"/>
  <c r="J39" i="5"/>
  <c r="F39" i="5"/>
  <c r="R39" i="5"/>
  <c r="R27" i="21"/>
  <c r="R26" i="21" s="1"/>
  <c r="M39" i="5"/>
  <c r="M27" i="21"/>
  <c r="M26" i="21" s="1"/>
  <c r="I39" i="5"/>
  <c r="E39" i="5"/>
  <c r="U39" i="5"/>
  <c r="U27" i="21"/>
  <c r="U26" i="21" s="1"/>
  <c r="Q39" i="5"/>
  <c r="Q27" i="21"/>
  <c r="Q26" i="21" s="1"/>
  <c r="L39" i="5"/>
  <c r="L27" i="21"/>
  <c r="H39" i="5"/>
  <c r="N9" i="5"/>
  <c r="W39" i="5"/>
  <c r="X39" i="5"/>
  <c r="Y39" i="5"/>
  <c r="Z39" i="5"/>
  <c r="AA39" i="5"/>
  <c r="D42" i="21" l="1"/>
  <c r="F42" i="21"/>
  <c r="E42" i="21"/>
  <c r="L26" i="21"/>
  <c r="L42" i="21" s="1"/>
  <c r="P26" i="21"/>
  <c r="P42" i="21" s="1"/>
  <c r="C11" i="49"/>
  <c r="C10" i="49" s="1"/>
  <c r="C17" i="49" s="1"/>
  <c r="C15" i="43"/>
  <c r="C14" i="43" s="1"/>
  <c r="C20" i="43" s="1"/>
  <c r="R42" i="21"/>
  <c r="S42" i="21"/>
  <c r="T42" i="21"/>
  <c r="M42" i="21"/>
  <c r="N39" i="5"/>
  <c r="N27" i="21"/>
  <c r="N26" i="21" s="1"/>
  <c r="V39" i="5"/>
  <c r="O42" i="21"/>
  <c r="U42" i="21"/>
  <c r="Q42" i="21"/>
  <c r="Y26" i="21" l="1"/>
  <c r="Y27" i="21"/>
  <c r="N42" i="21"/>
  <c r="Y44" i="21" s="1"/>
  <c r="W4" i="21" l="1"/>
  <c r="X24" i="21"/>
  <c r="X42" i="21" s="1"/>
  <c r="W24" i="21" l="1"/>
  <c r="Y24" i="21" s="1"/>
  <c r="W42" i="21" l="1"/>
  <c r="Y42" i="21" s="1"/>
  <c r="D18" i="56"/>
  <c r="N10" i="43"/>
  <c r="N23" i="43" s="1"/>
  <c r="D5" i="60"/>
  <c r="D4" i="6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W8" authorId="0" shapeId="0" xr:uid="{7DDB6F95-B558-4C26-BFAF-BF28150DA9D1}">
      <text>
        <r>
          <rPr>
            <b/>
            <sz val="9"/>
            <color indexed="81"/>
            <rFont val="Tahoma"/>
            <family val="2"/>
          </rPr>
          <t>HP:</t>
        </r>
        <r>
          <rPr>
            <sz val="9"/>
            <color indexed="81"/>
            <rFont val="Tahoma"/>
            <family val="2"/>
          </rPr>
          <t xml:space="preserve">
01.10.2014</t>
        </r>
      </text>
    </comment>
    <comment ref="X8" authorId="0" shapeId="0" xr:uid="{FC83D744-C399-4614-994C-8AE4339F1BD2}">
      <text>
        <r>
          <rPr>
            <b/>
            <sz val="9"/>
            <color indexed="81"/>
            <rFont val="Tahoma"/>
            <family val="2"/>
          </rPr>
          <t>HP:</t>
        </r>
        <r>
          <rPr>
            <sz val="9"/>
            <color indexed="81"/>
            <rFont val="Tahoma"/>
            <family val="2"/>
          </rPr>
          <t xml:space="preserve">
19.06.2015</t>
        </r>
      </text>
    </comment>
    <comment ref="Y9" authorId="0" shapeId="0" xr:uid="{F4391104-58F3-448F-BF46-6A6C163CAD67}">
      <text>
        <r>
          <rPr>
            <b/>
            <sz val="9"/>
            <color indexed="81"/>
            <rFont val="Tahoma"/>
            <family val="2"/>
          </rPr>
          <t>HP:</t>
        </r>
        <r>
          <rPr>
            <sz val="9"/>
            <color indexed="81"/>
            <rFont val="Tahoma"/>
            <family val="2"/>
          </rPr>
          <t xml:space="preserve">
15.03.2016</t>
        </r>
      </text>
    </comment>
    <comment ref="Q27" authorId="0" shapeId="0" xr:uid="{CE9A2B96-CA62-427B-9A2B-95857DF55788}">
      <text>
        <r>
          <rPr>
            <b/>
            <sz val="9"/>
            <color indexed="81"/>
            <rFont val="Tahoma"/>
            <family val="2"/>
          </rPr>
          <t>HP:</t>
        </r>
        <r>
          <rPr>
            <sz val="9"/>
            <color indexed="81"/>
            <rFont val="Tahoma"/>
            <family val="2"/>
          </rPr>
          <t xml:space="preserve">
23.06.2008</t>
        </r>
      </text>
    </comment>
    <comment ref="Q28" authorId="0" shapeId="0" xr:uid="{6D1FD67A-FCC5-4F79-ABD5-F3DBC6F66CEB}">
      <text>
        <r>
          <rPr>
            <b/>
            <sz val="9"/>
            <color indexed="81"/>
            <rFont val="Tahoma"/>
            <family val="2"/>
          </rPr>
          <t>HP:</t>
        </r>
        <r>
          <rPr>
            <sz val="9"/>
            <color indexed="81"/>
            <rFont val="Tahoma"/>
            <family val="2"/>
          </rPr>
          <t xml:space="preserve">
14.11.2008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F11" authorId="0" shapeId="0" xr:uid="{65A4682A-BEEB-4341-A765-9FC7065CD7D6}">
      <text>
        <r>
          <rPr>
            <b/>
            <sz val="9"/>
            <color indexed="81"/>
            <rFont val="Tahoma"/>
            <family val="2"/>
          </rPr>
          <t>HP:</t>
        </r>
        <r>
          <rPr>
            <sz val="9"/>
            <color indexed="81"/>
            <rFont val="Tahoma"/>
            <family val="2"/>
          </rPr>
          <t xml:space="preserve">
përgjigje të pyetësorit standard </t>
        </r>
      </text>
    </comment>
    <comment ref="F12" authorId="0" shapeId="0" xr:uid="{D89DB540-420F-4D1C-A5D9-BEFD58A998AA}">
      <text>
        <r>
          <rPr>
            <b/>
            <sz val="9"/>
            <color indexed="81"/>
            <rFont val="Tahoma"/>
            <family val="2"/>
          </rPr>
          <t>HP:</t>
        </r>
        <r>
          <rPr>
            <sz val="9"/>
            <color indexed="81"/>
            <rFont val="Tahoma"/>
            <family val="2"/>
          </rPr>
          <t xml:space="preserve">
përgjigje të pyetësorit standard </t>
        </r>
      </text>
    </comment>
    <comment ref="F14" authorId="0" shapeId="0" xr:uid="{6F4BE075-0015-466E-AAAD-CB451F374507}">
      <text>
        <r>
          <rPr>
            <b/>
            <sz val="9"/>
            <color indexed="81"/>
            <rFont val="Tahoma"/>
            <family val="2"/>
          </rPr>
          <t>HP:</t>
        </r>
        <r>
          <rPr>
            <sz val="9"/>
            <color indexed="81"/>
            <rFont val="Tahoma"/>
            <family val="2"/>
          </rPr>
          <t xml:space="preserve">
përgjigje të pyetësorit standard </t>
        </r>
      </text>
    </comment>
    <comment ref="F15" authorId="0" shapeId="0" xr:uid="{D7BC1DEB-A887-4902-BD21-B5D550B43F7A}">
      <text>
        <r>
          <rPr>
            <b/>
            <sz val="9"/>
            <color indexed="81"/>
            <rFont val="Tahoma"/>
            <family val="2"/>
          </rPr>
          <t>HP:</t>
        </r>
        <r>
          <rPr>
            <sz val="9"/>
            <color indexed="81"/>
            <rFont val="Tahoma"/>
            <family val="2"/>
          </rPr>
          <t xml:space="preserve">
01.07.2015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Y56" authorId="0" shapeId="0" xr:uid="{00000000-0006-0000-0200-000001000000}">
      <text>
        <r>
          <rPr>
            <b/>
            <sz val="9"/>
            <color indexed="81"/>
            <rFont val="Tahoma"/>
            <family val="2"/>
            <charset val="238"/>
          </rPr>
          <t>Windows User:</t>
        </r>
        <r>
          <rPr>
            <sz val="9"/>
            <color indexed="81"/>
            <rFont val="Tahoma"/>
            <family val="2"/>
            <charset val="238"/>
          </rPr>
          <t xml:space="preserve">
ketu nuk deklaron gjendje cash me cfare e pagoi garazhdin  10000 euro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F12" authorId="0" shapeId="0" xr:uid="{F074C402-B712-44A5-870E-71EDC3C04C01}">
      <text>
        <r>
          <rPr>
            <b/>
            <sz val="9"/>
            <color indexed="81"/>
            <rFont val="Tahoma"/>
            <family val="2"/>
          </rPr>
          <t>HP:</t>
        </r>
        <r>
          <rPr>
            <sz val="9"/>
            <color indexed="81"/>
            <rFont val="Tahoma"/>
            <family val="2"/>
          </rPr>
          <t xml:space="preserve">
943872</t>
        </r>
      </text>
    </comment>
    <comment ref="F14" authorId="0" shapeId="0" xr:uid="{16D13C99-C9B5-49A5-BD05-0725A2205F00}">
      <text>
        <r>
          <rPr>
            <b/>
            <sz val="9"/>
            <color indexed="81"/>
            <rFont val="Tahoma"/>
            <family val="2"/>
          </rPr>
          <t>HP:</t>
        </r>
        <r>
          <rPr>
            <sz val="9"/>
            <color indexed="81"/>
            <rFont val="Tahoma"/>
            <family val="2"/>
          </rPr>
          <t xml:space="preserve">
sipas mandat arkëtimit nr. 280, datë 24.09.2009, taksë toke + banese për vitet 2007-2008-2009 në vlerën 2196 lekë përcjellë Komisionit me shkresën nr. 1256 prot., datë 19.10.2021, në përgjigje të kërkesës për informacion të tij me shkresën nr. prot. 6911, datë 08.10.2021 me të cilën Njësia Admninistrative Shëngjergj në pikën c. [...], sqaron për Komisionin se: 
- Për viitin 2007-2008-2009 me mandat arkëtimin nr. 280, datë 24.09.2009, ka likujduar të gjithë detyrimet për taksën e tokës bujqësore dhe taksën mbi ndërtesën në shumën 2,196 lekë pranë ish Komunës Shëngjergj.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D3" authorId="0" shapeId="0" xr:uid="{49A95875-B985-4CB8-A49D-7BB280A39F76}">
      <text>
        <r>
          <rPr>
            <b/>
            <sz val="9"/>
            <color indexed="81"/>
            <rFont val="Tahoma"/>
            <charset val="1"/>
          </rPr>
          <t>HP:</t>
        </r>
        <r>
          <rPr>
            <sz val="9"/>
            <color indexed="81"/>
            <rFont val="Tahoma"/>
            <charset val="1"/>
          </rPr>
          <t xml:space="preserve">
</t>
        </r>
        <r>
          <rPr>
            <sz val="14"/>
            <color indexed="81"/>
            <rFont val="Tahoma"/>
            <family val="2"/>
          </rPr>
          <t xml:space="preserve">
</t>
        </r>
        <r>
          <rPr>
            <sz val="24"/>
            <color indexed="81"/>
            <rFont val="Tahoma"/>
            <family val="2"/>
          </rPr>
          <t xml:space="preserve">  </t>
        </r>
        <r>
          <rPr>
            <sz val="20"/>
            <color indexed="81"/>
            <rFont val="Tahoma"/>
            <family val="2"/>
          </rPr>
          <t xml:space="preserve">01.10.1996 - 31.12.1996 = 60,154 lekë </t>
        </r>
      </text>
    </comment>
    <comment ref="L4" authorId="0" shapeId="0" xr:uid="{287FF726-E9DD-4A4B-B201-8FEC7951289D}">
      <text>
        <r>
          <rPr>
            <b/>
            <sz val="9"/>
            <color indexed="81"/>
            <rFont val="Tahoma"/>
            <family val="2"/>
          </rPr>
          <t>HP:</t>
        </r>
        <r>
          <rPr>
            <sz val="9"/>
            <color indexed="81"/>
            <rFont val="Tahoma"/>
            <family val="2"/>
          </rPr>
          <t xml:space="preserve">
   </t>
        </r>
        <r>
          <rPr>
            <sz val="22"/>
            <color indexed="81"/>
            <rFont val="Tahoma"/>
            <family val="2"/>
          </rPr>
          <t xml:space="preserve">01.01.2004 - 15.07.2004 = 244,530 lekë </t>
        </r>
      </text>
    </comment>
    <comment ref="L5" authorId="0" shapeId="0" xr:uid="{BA096497-13E5-4727-9F4D-4DED055E32DE}">
      <text>
        <r>
          <rPr>
            <b/>
            <sz val="9"/>
            <color indexed="81"/>
            <rFont val="Tahoma"/>
            <family val="2"/>
          </rPr>
          <t>HP:</t>
        </r>
        <r>
          <rPr>
            <sz val="9"/>
            <color indexed="81"/>
            <rFont val="Tahoma"/>
            <family val="2"/>
          </rPr>
          <t xml:space="preserve">
    </t>
        </r>
        <r>
          <rPr>
            <sz val="22"/>
            <color indexed="81"/>
            <rFont val="Tahoma"/>
            <family val="2"/>
          </rPr>
          <t xml:space="preserve">  16.07</t>
        </r>
        <r>
          <rPr>
            <sz val="24"/>
            <color indexed="81"/>
            <rFont val="Tahoma"/>
            <family val="2"/>
          </rPr>
          <t xml:space="preserve">.2004-31.12.2004 = 361,664 lekë </t>
        </r>
      </text>
    </comment>
    <comment ref="O5" authorId="0" shapeId="0" xr:uid="{19D7E997-8F8E-4B62-8ECB-BA3A1B79074C}">
      <text>
        <r>
          <rPr>
            <b/>
            <sz val="9"/>
            <color indexed="81"/>
            <rFont val="Tahoma"/>
            <family val="2"/>
          </rPr>
          <t>HP:</t>
        </r>
        <r>
          <rPr>
            <sz val="9"/>
            <color indexed="81"/>
            <rFont val="Tahoma"/>
            <family val="2"/>
          </rPr>
          <t xml:space="preserve">
</t>
        </r>
        <r>
          <rPr>
            <sz val="22"/>
            <color indexed="81"/>
            <rFont val="Tahoma"/>
            <family val="2"/>
          </rPr>
          <t>01.01.2007 = 04.2007 = 289,222 lekë</t>
        </r>
      </text>
    </comment>
    <comment ref="O6" authorId="0" shapeId="0" xr:uid="{4A29002F-9C77-4B37-8538-4F718E8D07DA}">
      <text>
        <r>
          <rPr>
            <b/>
            <sz val="9"/>
            <color indexed="81"/>
            <rFont val="Tahoma"/>
            <family val="2"/>
          </rPr>
          <t>HP:</t>
        </r>
        <r>
          <rPr>
            <sz val="9"/>
            <color indexed="81"/>
            <rFont val="Tahoma"/>
            <family val="2"/>
          </rPr>
          <t xml:space="preserve">
</t>
        </r>
        <r>
          <rPr>
            <sz val="22"/>
            <color indexed="81"/>
            <rFont val="Tahoma"/>
            <family val="2"/>
          </rPr>
          <t xml:space="preserve">
05.2007 - 31.12.2007 = 552,196 lekë</t>
        </r>
      </text>
    </comment>
    <comment ref="R6" authorId="0" shapeId="0" xr:uid="{3E849266-C9B8-4BC7-A751-D72A2F9A6E72}">
      <text>
        <r>
          <rPr>
            <b/>
            <sz val="9"/>
            <color indexed="81"/>
            <rFont val="Tahoma"/>
            <family val="2"/>
          </rPr>
          <t>HP:</t>
        </r>
        <r>
          <rPr>
            <sz val="9"/>
            <color indexed="81"/>
            <rFont val="Tahoma"/>
            <family val="2"/>
          </rPr>
          <t xml:space="preserve">
</t>
        </r>
        <r>
          <rPr>
            <sz val="22"/>
            <color indexed="81"/>
            <rFont val="Tahoma"/>
            <family val="2"/>
          </rPr>
          <t xml:space="preserve">
  janar - tetor = 615,717 lekë</t>
        </r>
      </text>
    </comment>
    <comment ref="R7" authorId="0" shapeId="0" xr:uid="{88B20396-8961-46C0-BEBB-100C70C3A54D}">
      <text>
        <r>
          <rPr>
            <b/>
            <sz val="9"/>
            <color indexed="81"/>
            <rFont val="Tahoma"/>
            <family val="2"/>
          </rPr>
          <t>HP:</t>
        </r>
        <r>
          <rPr>
            <sz val="9"/>
            <color indexed="81"/>
            <rFont val="Tahoma"/>
            <family val="2"/>
          </rPr>
          <t xml:space="preserve">
   </t>
        </r>
        <r>
          <rPr>
            <sz val="22"/>
            <color indexed="81"/>
            <rFont val="Tahoma"/>
            <family val="2"/>
          </rPr>
          <t>tetor 2010 = 198,569 lekë</t>
        </r>
      </text>
    </comment>
    <comment ref="G18" authorId="0" shapeId="0" xr:uid="{14B248CE-8327-4212-83C4-A05E68F708BD}">
      <text>
        <r>
          <rPr>
            <b/>
            <sz val="9"/>
            <color indexed="81"/>
            <rFont val="Tahoma"/>
            <family val="2"/>
          </rPr>
          <t>HP:</t>
        </r>
        <r>
          <rPr>
            <sz val="9"/>
            <color indexed="81"/>
            <rFont val="Tahoma"/>
            <family val="2"/>
          </rPr>
          <t xml:space="preserve">
</t>
        </r>
        <r>
          <rPr>
            <sz val="22"/>
            <color indexed="81"/>
            <rFont val="Tahoma"/>
            <family val="2"/>
          </rPr>
          <t>maj 1999</t>
        </r>
      </text>
    </comment>
    <comment ref="J18" authorId="0" shapeId="0" xr:uid="{85C7200C-B995-4870-A144-E834CB2D0829}">
      <text>
        <r>
          <rPr>
            <b/>
            <sz val="9"/>
            <color indexed="81"/>
            <rFont val="Tahoma"/>
            <family val="2"/>
          </rPr>
          <t>HP:</t>
        </r>
        <r>
          <rPr>
            <sz val="9"/>
            <color indexed="81"/>
            <rFont val="Tahoma"/>
            <family val="2"/>
          </rPr>
          <t xml:space="preserve">
</t>
        </r>
        <r>
          <rPr>
            <sz val="22"/>
            <color indexed="81"/>
            <rFont val="Tahoma"/>
            <family val="2"/>
          </rPr>
          <t xml:space="preserve">
 qershor 2002</t>
        </r>
      </text>
    </comment>
    <comment ref="O22" authorId="0" shapeId="0" xr:uid="{694B5835-4804-4542-BAE4-A9E2D1AD35AD}">
      <text>
        <r>
          <rPr>
            <b/>
            <sz val="9"/>
            <color indexed="81"/>
            <rFont val="Tahoma"/>
            <family val="2"/>
          </rPr>
          <t>HP:</t>
        </r>
        <r>
          <rPr>
            <sz val="9"/>
            <color indexed="81"/>
            <rFont val="Tahoma"/>
            <family val="2"/>
          </rPr>
          <t xml:space="preserve">
</t>
        </r>
        <r>
          <rPr>
            <sz val="22"/>
            <color indexed="81"/>
            <rFont val="Tahoma"/>
            <family val="2"/>
          </rPr>
          <t xml:space="preserve">nga data 01.05.2007 - 31.12.2016
vërtetim nr. Extra. Prot., datë 26.01.2017, lësuhar nga ISSh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I9" authorId="0" shapeId="0" xr:uid="{FB34F1C5-2A0D-4550-859F-763A7480128A}">
      <text>
        <r>
          <rPr>
            <b/>
            <sz val="9"/>
            <color indexed="81"/>
            <rFont val="Tahoma"/>
            <family val="2"/>
            <charset val="238"/>
          </rPr>
          <t>Windows User:</t>
        </r>
        <r>
          <rPr>
            <sz val="9"/>
            <color indexed="81"/>
            <rFont val="Tahoma"/>
            <family val="2"/>
            <charset val="238"/>
          </rPr>
          <t xml:space="preserve">
masa e kontributeve shoqerore esht e9.4% e pages bruto per vitin 1993/1994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K30" authorId="0" shapeId="0" xr:uid="{9A9E6501-568A-4C6F-A087-AFA6E568A7A8}">
      <text>
        <r>
          <rPr>
            <b/>
            <sz val="9"/>
            <color indexed="81"/>
            <rFont val="Tahoma"/>
            <charset val="1"/>
          </rPr>
          <t>HP:</t>
        </r>
        <r>
          <rPr>
            <sz val="9"/>
            <color indexed="81"/>
            <rFont val="Tahoma"/>
            <charset val="1"/>
          </rPr>
          <t xml:space="preserve">
ap ban.</t>
        </r>
      </text>
    </comment>
    <comment ref="K31" authorId="0" shapeId="0" xr:uid="{E8ACDD48-2AB2-4C1E-853B-18021B498730}">
      <text>
        <r>
          <rPr>
            <b/>
            <sz val="9"/>
            <color indexed="81"/>
            <rFont val="Tahoma"/>
            <charset val="1"/>
          </rPr>
          <t>HP:</t>
        </r>
        <r>
          <rPr>
            <sz val="9"/>
            <color indexed="81"/>
            <rFont val="Tahoma"/>
            <charset val="1"/>
          </rPr>
          <t xml:space="preserve">
dep RZB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F12" authorId="0" shapeId="0" xr:uid="{8D837AB8-0EEA-4B27-8726-B625ED94FDF8}">
      <text>
        <r>
          <rPr>
            <b/>
            <sz val="9"/>
            <color indexed="81"/>
            <rFont val="Tahoma"/>
            <family val="2"/>
          </rPr>
          <t>HP:</t>
        </r>
        <r>
          <rPr>
            <sz val="9"/>
            <color indexed="81"/>
            <rFont val="Tahoma"/>
            <family val="2"/>
          </rPr>
          <t xml:space="preserve">
përgjigje të pyetësorit standard </t>
        </r>
      </text>
    </comment>
    <comment ref="F13" authorId="0" shapeId="0" xr:uid="{6673D488-8673-48D6-BE0F-84844A3E0354}">
      <text>
        <r>
          <rPr>
            <b/>
            <sz val="9"/>
            <color indexed="81"/>
            <rFont val="Tahoma"/>
            <family val="2"/>
          </rPr>
          <t>HP:</t>
        </r>
        <r>
          <rPr>
            <sz val="9"/>
            <color indexed="81"/>
            <rFont val="Tahoma"/>
            <family val="2"/>
          </rPr>
          <t xml:space="preserve">
përgjigje të pyetësorit standard </t>
        </r>
      </text>
    </comment>
    <comment ref="F15" authorId="0" shapeId="0" xr:uid="{0D3E1137-8D99-4C08-9BA0-113CB8C63481}">
      <text>
        <r>
          <rPr>
            <b/>
            <sz val="9"/>
            <color indexed="81"/>
            <rFont val="Tahoma"/>
            <family val="2"/>
          </rPr>
          <t>HP:</t>
        </r>
        <r>
          <rPr>
            <sz val="9"/>
            <color indexed="81"/>
            <rFont val="Tahoma"/>
            <family val="2"/>
          </rPr>
          <t xml:space="preserve">
përgjigje të pyetësorit standard </t>
        </r>
      </text>
    </comment>
    <comment ref="F16" authorId="0" shapeId="0" xr:uid="{30726D2E-5F35-47AF-81D2-3DE8222DF28C}">
      <text>
        <r>
          <rPr>
            <b/>
            <sz val="9"/>
            <color indexed="81"/>
            <rFont val="Tahoma"/>
            <family val="2"/>
          </rPr>
          <t>HP:</t>
        </r>
        <r>
          <rPr>
            <sz val="9"/>
            <color indexed="81"/>
            <rFont val="Tahoma"/>
            <family val="2"/>
          </rPr>
          <t xml:space="preserve">
01.07.2015</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I10" authorId="0" shapeId="0" xr:uid="{00000000-0006-0000-0A00-000001000000}">
      <text>
        <r>
          <rPr>
            <b/>
            <sz val="9"/>
            <color indexed="81"/>
            <rFont val="Tahoma"/>
            <family val="2"/>
            <charset val="238"/>
          </rPr>
          <t>Windows User:</t>
        </r>
        <r>
          <rPr>
            <sz val="9"/>
            <color indexed="81"/>
            <rFont val="Tahoma"/>
            <family val="2"/>
            <charset val="238"/>
          </rPr>
          <t xml:space="preserve">
masa e kontributeve shoqerore esht e9.4% e pages bruto per vitin 1993/1994
</t>
        </r>
      </text>
    </comment>
  </commentList>
</comments>
</file>

<file path=xl/sharedStrings.xml><?xml version="1.0" encoding="utf-8"?>
<sst xmlns="http://schemas.openxmlformats.org/spreadsheetml/2006/main" count="1770" uniqueCount="776">
  <si>
    <t xml:space="preserve">Ndryshim likujditeti </t>
  </si>
  <si>
    <t xml:space="preserve">Detyrime </t>
  </si>
  <si>
    <t>Pasuria</t>
  </si>
  <si>
    <t xml:space="preserve">Pasuria Neto </t>
  </si>
  <si>
    <t xml:space="preserve">Te ardhura </t>
  </si>
  <si>
    <t xml:space="preserve">Shpenzime </t>
  </si>
  <si>
    <t xml:space="preserve">Mundesia per kursime </t>
  </si>
  <si>
    <t xml:space="preserve">Totali </t>
  </si>
  <si>
    <t>Për reference më poshtë është paraqitur një tabelë përmbledhëse me shpenzimet vjetore sipas tre varianteve për një familje me 4 persona</t>
  </si>
  <si>
    <t>euro</t>
  </si>
  <si>
    <t>usd</t>
  </si>
  <si>
    <t>VITET</t>
  </si>
  <si>
    <t>GBP</t>
  </si>
  <si>
    <t>INSTAT</t>
  </si>
  <si>
    <t>ILDKPKI</t>
  </si>
  <si>
    <t>Ref. ILDKPIK nr.804/1 prot.dt.29.01.2019</t>
  </si>
  <si>
    <t>per fryme</t>
  </si>
  <si>
    <t>2 familjare</t>
  </si>
  <si>
    <t>3 familjare</t>
  </si>
  <si>
    <t>4 familjare</t>
  </si>
  <si>
    <t>5 familjare</t>
  </si>
  <si>
    <t>6 familjare</t>
  </si>
  <si>
    <t>7 familjare</t>
  </si>
  <si>
    <t>8 familjare</t>
  </si>
  <si>
    <t>Shenim</t>
  </si>
  <si>
    <t>Sipas Shkreses se sipercituar te ILDKPIK shpenzimet per fryme te vitin 2007 jane 235,968 Leke, vlere e cila eshte 2-fish ne krahasim me Vitet 2006 dhe 2008.</t>
  </si>
  <si>
    <t xml:space="preserve">Në praktiken tonë Vlera e shpenzimeve per fryme merret e barabartë me Vitin 2008. </t>
  </si>
  <si>
    <t>Kjo rritje dhe pastaj ulje nuk bazohet ne shifrat e Inflacionit Zyrtar i cili ne V.2006 eshte 2,5%, V.2007-3% dhe V.2008-2%.</t>
  </si>
  <si>
    <t>http://open.data.al/sq/lajme/lajm/lang/sq/id/71/Historik-i-Inflacionit-ne-Shqiperi</t>
  </si>
  <si>
    <t>Shenime referuese TIMS sipas vendimit KPA date 22.05.2019 subjekti Edmond Islamaj</t>
  </si>
  <si>
    <t>Shpenzime transporti AJROR</t>
  </si>
  <si>
    <t>Vlera në Euro/Dollarë</t>
  </si>
  <si>
    <t>Shpenzime transporti DETAR</t>
  </si>
  <si>
    <t>Vlera në Euro</t>
  </si>
  <si>
    <t>Udhëtime BRENDA kontinentit europian</t>
  </si>
  <si>
    <r>
      <t xml:space="preserve">Bilete trageti </t>
    </r>
    <r>
      <rPr>
        <u/>
        <sz val="10"/>
        <color theme="1"/>
        <rFont val="Times New Roman"/>
        <family val="1"/>
        <charset val="238"/>
      </rPr>
      <t>vetem nje drejtim</t>
    </r>
    <r>
      <rPr>
        <sz val="10"/>
        <color theme="1"/>
        <rFont val="Times New Roman"/>
        <family val="1"/>
        <charset val="238"/>
      </rPr>
      <t xml:space="preserve">       (te rritur dhe femije)</t>
    </r>
  </si>
  <si>
    <t>Bileta vajtje/ardhje per linja Direkte - te rritur +12 vjeç</t>
  </si>
  <si>
    <r>
      <t xml:space="preserve">Bilete trageti </t>
    </r>
    <r>
      <rPr>
        <u/>
        <sz val="10"/>
        <color theme="1"/>
        <rFont val="Times New Roman"/>
        <family val="1"/>
        <charset val="238"/>
      </rPr>
      <t xml:space="preserve">vetem nje drejtim  </t>
    </r>
    <r>
      <rPr>
        <sz val="10"/>
        <color theme="1"/>
        <rFont val="Times New Roman"/>
        <family val="1"/>
        <charset val="238"/>
      </rPr>
      <t xml:space="preserve">     (automjeti)</t>
    </r>
  </si>
  <si>
    <t>Bileta vajtje/ardhje per linja Direkte - femije 2 - 12 vjeç</t>
  </si>
  <si>
    <t>Bileta vajtje/ardhje per linja Direkte - foshnja 0 - 2 vjeç</t>
  </si>
  <si>
    <t>Çmimi mesatar mujor i naftës për litër (në euro)</t>
  </si>
  <si>
    <t>MUAJI/VITI</t>
  </si>
  <si>
    <t>Bileta vajtje/ardhje per linja Tranzit - te rritur +12 vjeç</t>
  </si>
  <si>
    <t>1. Janar</t>
  </si>
  <si>
    <t>Bileta vajtje/ardhje per linja Tranzit - femije 2 - 12 vjeç</t>
  </si>
  <si>
    <t>2. Shkurt</t>
  </si>
  <si>
    <t>Bileta vajtje/ardhje per linja Tranzit - foshnja 0 - 2 vjeç</t>
  </si>
  <si>
    <t>3. Mars</t>
  </si>
  <si>
    <t>4. Prill</t>
  </si>
  <si>
    <t>Udhëtime JASHTë kontinentit europian</t>
  </si>
  <si>
    <t>5. Maj</t>
  </si>
  <si>
    <t>Bileta vajtje/ardhje  te rritur +12 vjeç</t>
  </si>
  <si>
    <t xml:space="preserve">6. Qershor </t>
  </si>
  <si>
    <t>7. Korrik</t>
  </si>
  <si>
    <t>8. Gusht</t>
  </si>
  <si>
    <t>9. Shtator</t>
  </si>
  <si>
    <t>Paketa turistike - udhëtime jashtë vendit me "Charter"</t>
  </si>
  <si>
    <t>10. Tetor</t>
  </si>
  <si>
    <t>Bileta vajtje/ardhje te rritur +12 vjeç</t>
  </si>
  <si>
    <t>11. Nëntor</t>
  </si>
  <si>
    <t>Bileta vajtje/ardhje per linja Direkte - femije 0 - 12 vjeç</t>
  </si>
  <si>
    <t>12. Dhjetor</t>
  </si>
  <si>
    <t>TOTAL</t>
  </si>
  <si>
    <t>Shpenzime qendrimi  te rritur +12 vjeç</t>
  </si>
  <si>
    <r>
      <rPr>
        <b/>
        <i/>
        <sz val="10"/>
        <color theme="1"/>
        <rFont val="Times New Roman"/>
        <family val="1"/>
        <charset val="238"/>
      </rPr>
      <t>Burimi:</t>
    </r>
    <r>
      <rPr>
        <sz val="10"/>
        <color theme="1"/>
        <rFont val="Times New Roman"/>
        <family val="1"/>
        <charset val="238"/>
      </rPr>
      <t xml:space="preserve"> </t>
    </r>
    <r>
      <rPr>
        <i/>
        <sz val="10"/>
        <color theme="1"/>
        <rFont val="Times New Roman"/>
        <family val="1"/>
        <charset val="238"/>
      </rPr>
      <t>https://ec.europa.eu/energy/en/data-analysis/weekly-oil-bulletin</t>
    </r>
  </si>
  <si>
    <t>Shpenzime qendrimi  femije 0 - 12 vjeç</t>
  </si>
  <si>
    <t>Shpenzime transporti TOKESOR</t>
  </si>
  <si>
    <t>Shpenzime QENDRIMI</t>
  </si>
  <si>
    <t>Vlera në Euro/Dollare</t>
  </si>
  <si>
    <t>Shp udhetimi = distanca ne km * konsum karburanti* çmim mesatar /liter + karton jeshil</t>
  </si>
  <si>
    <t>Shpenzime te rritur +18 vjeç</t>
  </si>
  <si>
    <t>Shpenzime femije  5 - 18 vjeç</t>
  </si>
  <si>
    <t>Konsum karburanti = 7 litra/100 km</t>
  </si>
  <si>
    <t>Shpenzime femije  0 - 5  vjeç</t>
  </si>
  <si>
    <t>Cmimi mesatar/liter sipas tabeles</t>
  </si>
  <si>
    <t>Karton jeshil</t>
  </si>
  <si>
    <t>Destinacioni Kosovë = 0 euro</t>
  </si>
  <si>
    <t>Destinacioni Mal i Zi = 15 euro</t>
  </si>
  <si>
    <t>Destinacioni vende të tjera = 40 euro</t>
  </si>
  <si>
    <t>Pika doganore</t>
  </si>
  <si>
    <t>Destinacioni më i afërt</t>
  </si>
  <si>
    <t>Qafë Thanë</t>
  </si>
  <si>
    <t>Strugë, Maqedoni</t>
  </si>
  <si>
    <t>Tushemisht</t>
  </si>
  <si>
    <t>Ohër, Maqedoni</t>
  </si>
  <si>
    <t xml:space="preserve">Kakavijë </t>
  </si>
  <si>
    <t>Janinë, Greqi</t>
  </si>
  <si>
    <t>Kapshticë</t>
  </si>
  <si>
    <t>Kostur, Greqi</t>
  </si>
  <si>
    <t>Qafë Botë</t>
  </si>
  <si>
    <t>Igumenicë, Greqi</t>
  </si>
  <si>
    <t xml:space="preserve">Morinë, Qafë Morinë </t>
  </si>
  <si>
    <t>Prizren, Kosove</t>
  </si>
  <si>
    <t>Murriqan</t>
  </si>
  <si>
    <t>Ulqin, Mal i Zi</t>
  </si>
  <si>
    <t>Hani i Hotit</t>
  </si>
  <si>
    <t>Podgoricë, Mal i Zi</t>
  </si>
  <si>
    <t>Total</t>
  </si>
  <si>
    <t xml:space="preserve">Shpenzime Jetike </t>
  </si>
  <si>
    <t xml:space="preserve">TIMS </t>
  </si>
  <si>
    <t>BANKA</t>
  </si>
  <si>
    <t xml:space="preserve">Nr Llogarise </t>
  </si>
  <si>
    <t>DV 2017</t>
  </si>
  <si>
    <t xml:space="preserve">TOTALI </t>
  </si>
  <si>
    <t>TOTALI</t>
  </si>
  <si>
    <t xml:space="preserve">TOTAL BANKA </t>
  </si>
  <si>
    <t xml:space="preserve">Ndryshim Likujditeti </t>
  </si>
  <si>
    <t xml:space="preserve">Total Likujditeti </t>
  </si>
  <si>
    <t>Daljet</t>
  </si>
  <si>
    <t xml:space="preserve">Hyrjet </t>
  </si>
  <si>
    <t>Nr. dokumentit</t>
  </si>
  <si>
    <t>Data e daljes</t>
  </si>
  <si>
    <t>Linja</t>
  </si>
  <si>
    <t>Kalimi kufitar</t>
  </si>
  <si>
    <t>Targa</t>
  </si>
  <si>
    <t>Data e hyrjes</t>
  </si>
  <si>
    <t>Dite Qendrimi</t>
  </si>
  <si>
    <t xml:space="preserve">Koment </t>
  </si>
  <si>
    <t>Vitet</t>
  </si>
  <si>
    <t>Shpenzimet Eur</t>
  </si>
  <si>
    <t>Kursi</t>
  </si>
  <si>
    <t>Shpenzimet LEK</t>
  </si>
  <si>
    <t>Nete qendrimi</t>
  </si>
  <si>
    <t>Kosto qendrimi</t>
  </si>
  <si>
    <t>Kosto udhetimi</t>
  </si>
  <si>
    <t xml:space="preserve">SR Deklaron </t>
  </si>
  <si>
    <t>distanca</t>
  </si>
  <si>
    <t xml:space="preserve">tot </t>
  </si>
  <si>
    <t xml:space="preserve">Total </t>
  </si>
  <si>
    <t xml:space="preserve">nafte </t>
  </si>
  <si>
    <t>karton jeshil</t>
  </si>
  <si>
    <t>Te  ardhurat Totale</t>
  </si>
  <si>
    <t xml:space="preserve">PERIUDHA </t>
  </si>
  <si>
    <t>monedha</t>
  </si>
  <si>
    <t xml:space="preserve">cash </t>
  </si>
  <si>
    <t>DVETTING</t>
  </si>
  <si>
    <t xml:space="preserve">TOTALI Likujditete </t>
  </si>
  <si>
    <t xml:space="preserve">Deklarata Vetting </t>
  </si>
  <si>
    <t xml:space="preserve">Te ardhurat e b/shortes se subjektit </t>
  </si>
  <si>
    <t>Ne detyre ne date 16.07.2004</t>
  </si>
  <si>
    <t xml:space="preserve">Shtepi Banimi sip 134.5 M2 </t>
  </si>
  <si>
    <t xml:space="preserve">Apartament banimi me sip 128.1 m2 </t>
  </si>
  <si>
    <t xml:space="preserve">Garazhd me sip 45 m2 </t>
  </si>
  <si>
    <t xml:space="preserve">Kredi ne NBG  46,000 Euro </t>
  </si>
  <si>
    <t>xxx</t>
  </si>
  <si>
    <t xml:space="preserve">Euro </t>
  </si>
  <si>
    <t xml:space="preserve">Kur e ka marre  huane </t>
  </si>
  <si>
    <t xml:space="preserve">analiza e babait per 4000 eruo </t>
  </si>
  <si>
    <t>Subjekti  deklaron ne DV</t>
  </si>
  <si>
    <t xml:space="preserve">Barre lindje per djalin 01.07.1997-12.06.1998   e padokumentuar per shkak te mos gjetjes se dokumentacionit ne DRSSHT </t>
  </si>
  <si>
    <t xml:space="preserve">Te ardhura te tjera </t>
  </si>
  <si>
    <t xml:space="preserve">Vertetim Nr 734 Prot 25.01.2017  nga Gjykata e shkalles se pare ELBASAN </t>
  </si>
  <si>
    <t>Dokumentuar ILDKPI</t>
  </si>
  <si>
    <t xml:space="preserve">Vertetim dt 17.10.2016  ngaProkuroria ne Gjykaten e shkalles se pare Tirane </t>
  </si>
  <si>
    <t xml:space="preserve">Vertetim   nga Prokuroria ne Gjykaten e shkalles se pare Diber </t>
  </si>
  <si>
    <t>Vertetim   nga Prokuroria ne Gjykaten e shkalles se pare Durres dt 11.01.2017</t>
  </si>
  <si>
    <t xml:space="preserve">Paga te kaluara ne Banke </t>
  </si>
  <si>
    <t xml:space="preserve">Vertetim nga ISSH nr EXTRA prot dt 26.01.2017   Te ardhura nga paga 5,754,930 leke </t>
  </si>
  <si>
    <t xml:space="preserve">Vertetim nga ISSH mbi bazen e vleresueshme dhe  pagen neto mesatare si juriste ne shoqerine Rezidenca Studentore Universitare nr 1 sha Tirane </t>
  </si>
  <si>
    <t xml:space="preserve">Vertetim nga ISSH nr EXTRA prot dt 26.01.2017 Te ardhura nga Fondi I vecante  78,360 leke </t>
  </si>
  <si>
    <t xml:space="preserve">Arben </t>
  </si>
  <si>
    <t xml:space="preserve">Sinan </t>
  </si>
  <si>
    <t>Sharra</t>
  </si>
  <si>
    <t>29.03.1973</t>
  </si>
  <si>
    <t xml:space="preserve">Emer </t>
  </si>
  <si>
    <t xml:space="preserve">Atesi </t>
  </si>
  <si>
    <t xml:space="preserve">Mbiemer </t>
  </si>
  <si>
    <t xml:space="preserve">Datelindje </t>
  </si>
  <si>
    <t xml:space="preserve">Flutura </t>
  </si>
  <si>
    <t xml:space="preserve">Halit </t>
  </si>
  <si>
    <t>09.05.1974</t>
  </si>
  <si>
    <t>I biri</t>
  </si>
  <si>
    <t>Enea</t>
  </si>
  <si>
    <t>Arben</t>
  </si>
  <si>
    <t>02.09.1997</t>
  </si>
  <si>
    <t>Ersa</t>
  </si>
  <si>
    <t>22.01.2002</t>
  </si>
  <si>
    <t xml:space="preserve">Te ardhurat e subjektit </t>
  </si>
  <si>
    <t xml:space="preserve">Te ardhurat e Bshortes se Subjektit </t>
  </si>
  <si>
    <t xml:space="preserve">Te ardhura nga shitja e automjetit Mercedes Benz dt 09.09.2008 shuma 400,000 leke </t>
  </si>
  <si>
    <t xml:space="preserve">Te ardhura nga shitja e automjetit Mercedes Benz dt 15.03.2016 shuma 3,800 Euro  </t>
  </si>
  <si>
    <t>Kontrate shitblerje nr 4814 nr 1468/3 dt 09.09.2008  cmimi I shitjes marre nga shitesi eshte 400,000 lekw</t>
  </si>
  <si>
    <t>KOntrate shitblerje nr 2980 nr 1948 dt 15.03.2016  cmimi I shitjes marre nga shitesi eshte 3,800 Euro</t>
  </si>
  <si>
    <t>01.08.2008</t>
  </si>
  <si>
    <t>19.10.2012</t>
  </si>
  <si>
    <t>19.06.2015</t>
  </si>
  <si>
    <t>31.05.2013</t>
  </si>
  <si>
    <t xml:space="preserve">Te ardhurat periudha </t>
  </si>
  <si>
    <t xml:space="preserve">Pension pleqerie </t>
  </si>
  <si>
    <t>13.04.2013</t>
  </si>
  <si>
    <t xml:space="preserve">Sinan Hamit Sharra </t>
  </si>
  <si>
    <t xml:space="preserve">Shpenzime jetike </t>
  </si>
  <si>
    <t xml:space="preserve">nuk deklaron gjendje cash </t>
  </si>
  <si>
    <t>14.11.2008</t>
  </si>
  <si>
    <t xml:space="preserve">NE DVP </t>
  </si>
  <si>
    <t>pakesime ne vleren 2,000,000 leke nga kursmiet e bera deri ne 31.12.2008 
deklaron gjendje CASH  500,000 leke krijuar per vitin 2009</t>
  </si>
  <si>
    <t>Deklaron pakesime likujditete ne vleren 838,304 leke 
deklaron gjendje CASH per vitin 2010 shumen 800,000 leke</t>
  </si>
  <si>
    <t>deklaron gejndje CASH shume 400,000,leke nga kursimet e te ardhurat e vitit 2011</t>
  </si>
  <si>
    <t>Deklaron gjendje CASH shumen 140,000  leke  (kursime te vitit 2012</t>
  </si>
  <si>
    <t xml:space="preserve">Shlyerje detyrim per garazhdin </t>
  </si>
  <si>
    <t xml:space="preserve">Shlyerje detyrim ndaj KDK </t>
  </si>
  <si>
    <t xml:space="preserve">Nuk deklaron gjendje cash </t>
  </si>
  <si>
    <t xml:space="preserve">deklaron 
te ardhura te kursyera nga paga  RZBderi ne 31.12.2014 shuma 83216.14leke
te ardhura te kursyera nga paga deri ne 31.12.2014 BKT shuma 463,393.52 leke 
Deklaron gjendje CASH krijuar per vitin 2014 shuma  400,000 leke  dhe nga kursimet e te ardhurave shumwn  2,900 Euro </t>
  </si>
  <si>
    <t>PARADHENIE per shitjen e baneses ne K.Kamez</t>
  </si>
  <si>
    <t xml:space="preserve">nuk deklaron cash </t>
  </si>
  <si>
    <t>deklaron gjendje CASH 58,000 leke krijuar per 2016</t>
  </si>
  <si>
    <t>Te ardhura nga shitja e baneses ne K.Kamez kontrete shitje dt 16.06.2017</t>
  </si>
  <si>
    <t xml:space="preserve">Nuk deklaron gjendje CASH </t>
  </si>
  <si>
    <t>Hua nga babai 4000 Euro 2013</t>
  </si>
  <si>
    <t xml:space="preserve">Shpenzime per Taksat vendore te tokes bujqesore </t>
  </si>
  <si>
    <t xml:space="preserve">Shpenzime per shkollimin e Enea Sharra </t>
  </si>
  <si>
    <t xml:space="preserve">Shpenzime per shkollimin e Ersa  Sharra Shkolla Faik Konica </t>
  </si>
  <si>
    <t xml:space="preserve">Shpenzime Mobilimi </t>
  </si>
  <si>
    <t>Hua nga nena 2000 Euro  2017</t>
  </si>
  <si>
    <t>Shlyerje Hua ndaj nenes</t>
  </si>
  <si>
    <t>Vertetim   nga Prokuroria ne Gjykaten e shkalles se pare Durres dt 09.03.2018</t>
  </si>
  <si>
    <t>Vertetim nga ISSH nr 20 prot dt 29.01.2020</t>
  </si>
  <si>
    <t xml:space="preserve">konfirmo me banke </t>
  </si>
  <si>
    <t>Automjet Mercedes Benz 02.03.2017</t>
  </si>
  <si>
    <t xml:space="preserve">Lek </t>
  </si>
  <si>
    <t xml:space="preserve">Llogari kredie </t>
  </si>
  <si>
    <t>NBG</t>
  </si>
  <si>
    <t xml:space="preserve">kestet e paguara </t>
  </si>
  <si>
    <t>3405 euro cash dep dt 25.11.2010</t>
  </si>
  <si>
    <t>15000 eruo cash dep dt 28 maj 2009</t>
  </si>
  <si>
    <t>3290 euro cash dep dt 01 gusht 2011</t>
  </si>
  <si>
    <t>2060 Euro cash dep dt 30 dhjetor 2011</t>
  </si>
  <si>
    <t>3090 euro Cash depozite dt 13 gusht 2012</t>
  </si>
  <si>
    <t>15550 euro cash depozit dt 07 nentor 2014</t>
  </si>
  <si>
    <t>Monedha</t>
  </si>
  <si>
    <t>Gjendja 31.12…..</t>
  </si>
  <si>
    <t xml:space="preserve">Tirana Bank </t>
  </si>
  <si>
    <t xml:space="preserve">lek </t>
  </si>
  <si>
    <t xml:space="preserve">llogari page </t>
  </si>
  <si>
    <t>llogari page  pagat nga 27 shkurt 2009-31 dhjetor 2013</t>
  </si>
  <si>
    <t xml:space="preserve">BKT </t>
  </si>
  <si>
    <t>llogari page  paga kaluar Prill 2005-tetor 2006
llogari page  janar 2009
llogari page janar 2014- 2020</t>
  </si>
  <si>
    <t xml:space="preserve">Prinderit Hamide dhe Sinan Sharra </t>
  </si>
  <si>
    <t>RZB</t>
  </si>
  <si>
    <t>lek</t>
  </si>
  <si>
    <t xml:space="preserve">Intesa san paolo </t>
  </si>
  <si>
    <t>Hamide Sharra 31.12……</t>
  </si>
  <si>
    <t>kjo llogari eshte perdorur per kalimin e ndihmes ekonomike paaftesi Sinan Sharr</t>
  </si>
  <si>
    <t>Euro</t>
  </si>
  <si>
    <t>Sinan Sharra 31.12……</t>
  </si>
  <si>
    <t xml:space="preserve">USD </t>
  </si>
  <si>
    <t xml:space="preserve">Depozite krijuar ne 22.08.2007 ne 100,000 USD </t>
  </si>
  <si>
    <t xml:space="preserve">Interesi perfituar nga depozita </t>
  </si>
  <si>
    <t>035883962-AL</t>
  </si>
  <si>
    <t>11.09.2020 09:04</t>
  </si>
  <si>
    <t>X AUTOVETURE</t>
  </si>
  <si>
    <t>PIKA KUFITARE MORINA</t>
  </si>
  <si>
    <t>AA600OE</t>
  </si>
  <si>
    <t>BG0155044-AL</t>
  </si>
  <si>
    <t>28.11.2019 09:23</t>
  </si>
  <si>
    <t>X AUTOBUS</t>
  </si>
  <si>
    <t>PIKA KUFITARE KAPSHTICË</t>
  </si>
  <si>
    <t>26.01.2019 08:55</t>
  </si>
  <si>
    <t>PIKA KUFITARE HANI I HOTIT</t>
  </si>
  <si>
    <t>21.01.2017 08:44</t>
  </si>
  <si>
    <t>18.08.2016 09:34</t>
  </si>
  <si>
    <t>SARANDE-KORFUZ - RENA</t>
  </si>
  <si>
    <t>PIKA KUFITARE PORTI I SARANDËS</t>
  </si>
  <si>
    <t>DG0155044-AL</t>
  </si>
  <si>
    <t>03.07.2016 08:31</t>
  </si>
  <si>
    <t>PIKA KUFITARE QAFË MORINI</t>
  </si>
  <si>
    <t>02.07.2016 09:50</t>
  </si>
  <si>
    <t>21.11.2014 03:38</t>
  </si>
  <si>
    <t>ALITALIA - Xhenova 512-513</t>
  </si>
  <si>
    <t>KOMISARIATI POLICISË RINAS</t>
  </si>
  <si>
    <t>14.07.2013 01:45</t>
  </si>
  <si>
    <t>CHARTER</t>
  </si>
  <si>
    <t>25.06.2011 05:47</t>
  </si>
  <si>
    <t>23.01.2011 12:01</t>
  </si>
  <si>
    <t>ALITALIA - AZ 510/507 ROME</t>
  </si>
  <si>
    <t>Z2185856-AL</t>
  </si>
  <si>
    <t>17.03.2009 07:21</t>
  </si>
  <si>
    <t>PIKA KUFITARE QAFA E THANËS</t>
  </si>
  <si>
    <t>TR1551R</t>
  </si>
  <si>
    <t>27.06.2008 13:14</t>
  </si>
  <si>
    <t>PIKA KUFITARE MURRIQAN</t>
  </si>
  <si>
    <t>TR1704L</t>
  </si>
  <si>
    <t>11.09.2020 15:04</t>
  </si>
  <si>
    <t>30.11.2019 18:08</t>
  </si>
  <si>
    <t>PIKA KUFITARE KAKAVIJË</t>
  </si>
  <si>
    <t>27.01.2019 13:46</t>
  </si>
  <si>
    <t>AA011JN</t>
  </si>
  <si>
    <t>21.01.2017 16:35</t>
  </si>
  <si>
    <t>18.08.2016 18:42</t>
  </si>
  <si>
    <t>03.07.2016 11:26</t>
  </si>
  <si>
    <t>02.07.2016 11:12</t>
  </si>
  <si>
    <t>23.11.2014 16:19</t>
  </si>
  <si>
    <t>ALITALIA - AZ 506/511 MILANO</t>
  </si>
  <si>
    <t>20.07.2013 23:36</t>
  </si>
  <si>
    <t>BELLEAIR - GENOVA LBY 101</t>
  </si>
  <si>
    <t>02.07.2011 12:15</t>
  </si>
  <si>
    <t>29.01.2011 12:05</t>
  </si>
  <si>
    <t>17.03.2009 08:37</t>
  </si>
  <si>
    <t>PIKA KUFITARE BLLADË</t>
  </si>
  <si>
    <t>28.06.2008 13:42</t>
  </si>
  <si>
    <t>035371685-AL</t>
  </si>
  <si>
    <t>BG0155073-AL</t>
  </si>
  <si>
    <t>04.11.2016 16:47</t>
  </si>
  <si>
    <t>AA141MP</t>
  </si>
  <si>
    <t>18.08.2016 09:35</t>
  </si>
  <si>
    <t>03.07.2016 08:30</t>
  </si>
  <si>
    <t>26.03.2016 09:37</t>
  </si>
  <si>
    <t>AA300MR</t>
  </si>
  <si>
    <t>05.06.2015 09:57</t>
  </si>
  <si>
    <t>AA577KS</t>
  </si>
  <si>
    <t>21.11.2014 03:37</t>
  </si>
  <si>
    <t>14.07.2013 01:46</t>
  </si>
  <si>
    <t>024442986-AL</t>
  </si>
  <si>
    <t>19.04.2012 13:05</t>
  </si>
  <si>
    <t>11.09.2020 15:05</t>
  </si>
  <si>
    <t>30.11.2019 18:07</t>
  </si>
  <si>
    <t>21.01.2017 16:36</t>
  </si>
  <si>
    <t>04.11.2016 20:05</t>
  </si>
  <si>
    <t>03.11.2016 13:14</t>
  </si>
  <si>
    <t>AA118IC</t>
  </si>
  <si>
    <t>18.08.2016 18:43</t>
  </si>
  <si>
    <t>02.07.2016 11:14</t>
  </si>
  <si>
    <t>07.06.2015 21:54</t>
  </si>
  <si>
    <t>035883910-AL</t>
  </si>
  <si>
    <t>15.01.2022 10:41</t>
  </si>
  <si>
    <t>AA319US</t>
  </si>
  <si>
    <t>BD1686562-AL</t>
  </si>
  <si>
    <t>13.08.2021 04:41</t>
  </si>
  <si>
    <t>15.05.2021 17:00</t>
  </si>
  <si>
    <t>TR7953KK</t>
  </si>
  <si>
    <t>19.03.2021 22:20</t>
  </si>
  <si>
    <t>TR7953K</t>
  </si>
  <si>
    <t>02.12.2020 14:57</t>
  </si>
  <si>
    <t>AA289NH</t>
  </si>
  <si>
    <t>12.09.2020 15:17</t>
  </si>
  <si>
    <t>BC0949269-AL</t>
  </si>
  <si>
    <t>15.11.2018 14:32</t>
  </si>
  <si>
    <t>X FUGON</t>
  </si>
  <si>
    <t>AA328RP</t>
  </si>
  <si>
    <t>22.05.2018 13:29</t>
  </si>
  <si>
    <t>ULAE795</t>
  </si>
  <si>
    <t>21.01.2018 11:34</t>
  </si>
  <si>
    <t>18.08.2016 09:36</t>
  </si>
  <si>
    <t>26.03.2016 09:46</t>
  </si>
  <si>
    <t>BG0155060-AL</t>
  </si>
  <si>
    <t>22.08.2021 15:10</t>
  </si>
  <si>
    <t>22.05.2021 17:16</t>
  </si>
  <si>
    <t>21.03.2021 20:33</t>
  </si>
  <si>
    <t>06.12.2020 08:56</t>
  </si>
  <si>
    <t>11.10.2020 18:32</t>
  </si>
  <si>
    <t>13.09.2020 18:50</t>
  </si>
  <si>
    <t>27.01.2019 13:44</t>
  </si>
  <si>
    <t>17.11.2018 13:13</t>
  </si>
  <si>
    <t>24.05.2018 14:40</t>
  </si>
  <si>
    <t>24.01.2018 14:21</t>
  </si>
  <si>
    <t>02.07.2011 12:14</t>
  </si>
  <si>
    <t>BA0971222-AL</t>
  </si>
  <si>
    <t>26.01.2019 08:54</t>
  </si>
  <si>
    <t>05.01.2018 10:46</t>
  </si>
  <si>
    <t>AA982OS</t>
  </si>
  <si>
    <t>03.07.2016 08:29</t>
  </si>
  <si>
    <t>BG0155057-AL</t>
  </si>
  <si>
    <t>25.06.2011 05:48</t>
  </si>
  <si>
    <t>27.01.2019 13:43</t>
  </si>
  <si>
    <t>07.01.2018 16:48</t>
  </si>
  <si>
    <t>AA982OC</t>
  </si>
  <si>
    <t>21.01.2017 16:37</t>
  </si>
  <si>
    <t>23.11.2014 16:18</t>
  </si>
  <si>
    <t>20.07.2013 23:35</t>
  </si>
  <si>
    <t xml:space="preserve">Budva Mal I Zi kam udhetuar me dy kolege per vizite turistike </t>
  </si>
  <si>
    <t>Tranzit per te shkuar drejt dibres ku isha Prokuror</t>
  </si>
  <si>
    <t xml:space="preserve">Udhetim ne Rome trajnim nje javor I paguar nga prokuroria e pergjithshsme </t>
  </si>
  <si>
    <t xml:space="preserve">Antalia Turqi kam udhetuar me familjen per pushime verore </t>
  </si>
  <si>
    <t xml:space="preserve">Genova Milano Itali kam udhetuar me familjen per pushime 3 net </t>
  </si>
  <si>
    <t xml:space="preserve">Tropoje Valbone Shqiperi vizite turistike me familjen </t>
  </si>
  <si>
    <t xml:space="preserve">Korfuz Greqi kam udhetuar bashke me familjen per vizite 1 ditore me anije dhe jam kthyer ne Sarande </t>
  </si>
  <si>
    <t>Prizren Kosove kam udhetuar me familjen time per vizite turistike nje ditore dhe jam kthyer po ate dite ne tirane</t>
  </si>
  <si>
    <t xml:space="preserve">Podgorice Mal I zi kam udhetuar me familjen time per vizite turistike dhe kam qendruar ne podgorice </t>
  </si>
  <si>
    <t xml:space="preserve">Selanik Greqi kam udhetuar me bashkeshortetn dhe vajzen per nje vizite 3 ditore Me Autobus </t>
  </si>
  <si>
    <t xml:space="preserve">pagesa </t>
  </si>
  <si>
    <t xml:space="preserve">30 Euro akomodimi eshte bere ne nje ap te zones dhe shpenzimet jabe paguar ne 3 pjese te barabarta per te gjithe </t>
  </si>
  <si>
    <t xml:space="preserve">Shpenzime ne Hotel Kamelya Holliday Village  2450 Euro </t>
  </si>
  <si>
    <t xml:space="preserve">Shpenzime ne Hotel 2800 Euro </t>
  </si>
  <si>
    <t xml:space="preserve">Shpenzime Bileta avioni  per 4 persona 626 Euro Qendrimi ne Savona 1 nate  90 Eur/ Wendrimi ne Milano 1 nate 160Euro  Shpenzime ne total 1000 Euro </t>
  </si>
  <si>
    <t>fjetja ne bujtinat e zones (1000 Lek+ mengjesi) totali 4,000 leke</t>
  </si>
  <si>
    <t xml:space="preserve">udhetimi nje ditor me anije per 4 persona 160 euro </t>
  </si>
  <si>
    <t xml:space="preserve">shpenzime total per 4 persona 60 eruo </t>
  </si>
  <si>
    <t xml:space="preserve">shpenzime ne total per 4 persona  250 Euro  55 euro per person </t>
  </si>
  <si>
    <t xml:space="preserve">shpenzim per 3 persona  330Euor  89 Euro per person </t>
  </si>
  <si>
    <t xml:space="preserve">19.04.2012 </t>
  </si>
  <si>
    <t xml:space="preserve">prizren kosove inspekti ne drejtorine rajonale te ISSH ne KUKES   kthimi brenda dites ne tirane </t>
  </si>
  <si>
    <t xml:space="preserve">Bosnje Hercegovina udheti 3 ditor me vajzen vizite turistike  </t>
  </si>
  <si>
    <t>shpenzime ne total 270Euro  (118 Euro paketa per 1 person  all inclusive)</t>
  </si>
  <si>
    <t>28.03.2016</t>
  </si>
  <si>
    <t xml:space="preserve">Selanik Greqi udhetim 3 ditor me auotbus bashke me vajzen per vizite turistike </t>
  </si>
  <si>
    <t>Shpenzime ne total 200 euro  (79 Euro paketa per 1 person  all inclusive)</t>
  </si>
  <si>
    <t>Podgorice Mak I Zi Ene Sharra udhetim turistik</t>
  </si>
  <si>
    <t>Shpenzime total  120 Euro (99 Euro oakete turistike )</t>
  </si>
  <si>
    <t xml:space="preserve">Tetove Maqedoni Ersa Sharra  udhetim </t>
  </si>
  <si>
    <t>Shpenzime totale 175 euro</t>
  </si>
  <si>
    <t xml:space="preserve">Ulqin Mal I zi Ersa Sharra udhetim </t>
  </si>
  <si>
    <t>Shpenzime totale85 euro</t>
  </si>
  <si>
    <t xml:space="preserve">dv </t>
  </si>
  <si>
    <t>Lek</t>
  </si>
  <si>
    <t>pensioni Hamide sipas ISSH shuma totale 03.07.1994-31.10.2021 eshte 2,014,575 leke</t>
  </si>
  <si>
    <t xml:space="preserve">Pasuri </t>
  </si>
  <si>
    <t xml:space="preserve">Detyrim ndaj KDK </t>
  </si>
  <si>
    <t xml:space="preserve">Detyrim per garazhdin </t>
  </si>
  <si>
    <t xml:space="preserve">Pagesat e kryera </t>
  </si>
  <si>
    <t xml:space="preserve">Procredit </t>
  </si>
  <si>
    <t xml:space="preserve">Hamide &amp; Sinan Sharra </t>
  </si>
  <si>
    <t xml:space="preserve">Shlyerje e kredise ne NBG  46,000 Euro </t>
  </si>
  <si>
    <t>Te ardhura nga shitja e automjetit Mercedes Benz dt 09.09.2008</t>
  </si>
  <si>
    <t>5 Muaj</t>
  </si>
  <si>
    <t>6 Muaj</t>
  </si>
  <si>
    <t>1 Muaj</t>
  </si>
  <si>
    <t>Shpenzime per legalizimin e Godine banimi 3 kateshe 01.07.2015</t>
  </si>
  <si>
    <t>pagat e Hamide Sharra</t>
  </si>
  <si>
    <t xml:space="preserve">pagat e Sinan Sharra </t>
  </si>
  <si>
    <t>Mundesi kursimi</t>
  </si>
  <si>
    <t xml:space="preserve">Pasurite </t>
  </si>
  <si>
    <t>Te ardhura</t>
  </si>
  <si>
    <t xml:space="preserve">Te ardhura nga interesi I depozitave </t>
  </si>
  <si>
    <t>Vertetim nga Shkolla Elite nr prot 167 Tirane 17.01.2020</t>
  </si>
  <si>
    <t>Vertetim nga Matias Travel &amp; Tours dt 26.12.2019</t>
  </si>
  <si>
    <t>Vertetim Trevis and Tours dt 26.12.2019</t>
  </si>
  <si>
    <t>Vertetim Trevis and Tours dt 26.12.2020</t>
  </si>
  <si>
    <t>Vertetim Coral Travel and Tours dt 26.12.2019</t>
  </si>
  <si>
    <t>Vertetim Sava Tours dt 26.12.2019</t>
  </si>
  <si>
    <t>Cosmos tours dt 26.12.2019</t>
  </si>
  <si>
    <t>Program Vizite leshuar nga Prokuroria e Pergjithshme Dt.07.01.2011 Urdheri nr 09/1 date 18.01.2011</t>
  </si>
  <si>
    <t>Vertetim Matias Travel and Tours dt 26.12.2019</t>
  </si>
  <si>
    <t xml:space="preserve">Vertetim Global Tours </t>
  </si>
  <si>
    <t xml:space="preserve">Kete e konsiderojme ne analize sepse perputhet me pagat ne banke </t>
  </si>
  <si>
    <t xml:space="preserve">B/Shhorti I subjektit  </t>
  </si>
  <si>
    <t xml:space="preserve">Subjekti Arben Sharra </t>
  </si>
  <si>
    <t>kjo llogari eshte perdorur per kalimin e ndihmes ekonomike paaftesi Sinan Sharra</t>
  </si>
  <si>
    <t>Ndihme ekonomike paaftesi (Nga llogaria bankare ne intesa san paolo)</t>
  </si>
  <si>
    <t xml:space="preserve">nga Shtator 1989 deri ne nentor 2016 Shuma totale 2,427,296 vlera  36 vjet e 8 muaj vlera e pensionit 5516 leke ne muaj </t>
  </si>
  <si>
    <t>vertetim nr 442 prot date 19.10.2021</t>
  </si>
  <si>
    <t xml:space="preserve">Vertetim leshuar ne 15.06.1994 </t>
  </si>
  <si>
    <t xml:space="preserve">Pasuri neto </t>
  </si>
  <si>
    <t>Te ardhurat e Hamide Sharra</t>
  </si>
  <si>
    <t xml:space="preserve">Te ardhurat e Sinan  Sharra </t>
  </si>
  <si>
    <t xml:space="preserve">Shpenzime mobilimi </t>
  </si>
  <si>
    <t>Godine 2 Kt sip ndertimi 229.5  m2</t>
  </si>
  <si>
    <t xml:space="preserve">Deklarata para detyres  nuk ka deklaruar gjendje cash </t>
  </si>
  <si>
    <t xml:space="preserve">Ne rubriken shtesa / pakesime deklaron   1.  Likujditet I krijuar ne vitin 2005 shuma 600,000 leke    2. Likujditet nga shfrytezimi I tokes bujqesore  300,000 leke </t>
  </si>
  <si>
    <t xml:space="preserve">Ne rubriken shtesa / pakesime deklaron     Likujditet I krijuar ne vitin 2006 shumen  600,000 leke dhe Likujditet nga shfrytezimi I tokes bujqesore  100,000 leke </t>
  </si>
  <si>
    <t xml:space="preserve">Ne rubriken shtesa / pakesime deklaron     Likujditet I krijuar ne vitin 2007 shumen   550,000 leke dhe Likujditet nga shfrytezimi I tokes bujqesore  200,000 leke </t>
  </si>
  <si>
    <t>Ne rubriken shtesa / pakesime deklaron    gjendje CASH krijuar pet vitin 2008 shumen 400,000 leke</t>
  </si>
  <si>
    <t>CASH I vitit paraardhes</t>
  </si>
  <si>
    <t xml:space="preserve">Shtesa /pakesime gjate vitit </t>
  </si>
  <si>
    <t xml:space="preserve">Gjendja e CASH ne analize </t>
  </si>
  <si>
    <t xml:space="preserve">Sinan Hamit Sharra pension verberie </t>
  </si>
  <si>
    <t xml:space="preserve">Shkresa nr 684/2 dt 22.02.2022 nga Bashkia Tirane </t>
  </si>
  <si>
    <t xml:space="preserve">Hamide Sharra Pagese kUjdestarie per bshortin </t>
  </si>
  <si>
    <t>1996-2003</t>
  </si>
  <si>
    <t>Godine 2 Kt sip ndertimi 107.6  m2</t>
  </si>
  <si>
    <t>Godine 2 kate  1999</t>
  </si>
  <si>
    <t>Godine kati perdhes 1996</t>
  </si>
  <si>
    <t>02.03.2017</t>
  </si>
  <si>
    <t>mars 2013</t>
  </si>
  <si>
    <t>Mars 2013</t>
  </si>
  <si>
    <t>kumulative 1989- 1996</t>
  </si>
  <si>
    <t>01.01.1997- 08.01.1999</t>
  </si>
  <si>
    <t>Mercedes Benz 2003</t>
  </si>
  <si>
    <t xml:space="preserve">LIKUJDITETE </t>
  </si>
  <si>
    <t xml:space="preserve">ANALIZA </t>
  </si>
  <si>
    <t xml:space="preserve"> Hamide Besim Sharra</t>
  </si>
  <si>
    <t>TE ARDHURAT</t>
  </si>
  <si>
    <t>1janar -31 dhjetor 1993 ka paguar kontribut te sigurimeve shoqerore si Bujk privat shumen 1620 leke MA 409617/315393 dt.21.07.1993 dhe per periudhen 01.01.1994-01.06.1994 shumen 823 leke</t>
  </si>
  <si>
    <t>19.06.2015-13.11.2015</t>
  </si>
  <si>
    <t>13.11.2015-30.12.2015</t>
  </si>
  <si>
    <t>01.01.2012- 19.10.2012</t>
  </si>
  <si>
    <t>01.01.2013-31.05.2013</t>
  </si>
  <si>
    <t>01.01.2008-01.08.2008</t>
  </si>
  <si>
    <t>data e kryerjes se pageses 19.06.2015</t>
  </si>
  <si>
    <t>data e kryerjes se pageses 13.11.2015</t>
  </si>
  <si>
    <t>data e kryerjes se pageses 30.12.2015</t>
  </si>
  <si>
    <t>02.09.1997 lind Enea Sharra</t>
  </si>
  <si>
    <t>22.01.2002 lind Ersa Sharra</t>
  </si>
  <si>
    <t xml:space="preserve">Shpenzime per shkollimin e Ersa  Sharra Shkolla Elite </t>
  </si>
  <si>
    <t>Kursi I Kembimit</t>
  </si>
  <si>
    <t>Automjet Daimler Chrysler</t>
  </si>
  <si>
    <t xml:space="preserve">Mundesi kursimi </t>
  </si>
  <si>
    <t>Pagesat e kesteve te kredise sipas statement bankar  nga subjekti Arben Sharra</t>
  </si>
  <si>
    <t xml:space="preserve">E bija </t>
  </si>
  <si>
    <t xml:space="preserve">S.R. </t>
  </si>
  <si>
    <t>B/Sh</t>
  </si>
  <si>
    <r>
      <t xml:space="preserve">Page OPGJ Gjykata e shkalles se pare Elbasan   01.10.1996-15.07.2004    </t>
    </r>
    <r>
      <rPr>
        <sz val="20"/>
        <color rgb="FFFF0000"/>
        <rFont val="Courier New"/>
        <family val="3"/>
      </rPr>
      <t xml:space="preserve"> 3,064,193 leke</t>
    </r>
  </si>
  <si>
    <r>
      <t xml:space="preserve">Page Prokuror ne Gjykaten e shkalles se pare Tirane   16.07.2004-30.04.2007  </t>
    </r>
    <r>
      <rPr>
        <sz val="20"/>
        <color rgb="FFFF0000"/>
        <rFont val="Courier New"/>
        <family val="3"/>
      </rPr>
      <t>2,284,783 leke</t>
    </r>
  </si>
  <si>
    <r>
      <t xml:space="preserve">Page Prokuror ne Gjykaten e shkalles se pare Diber 01.05.2007-07.10.2010   </t>
    </r>
    <r>
      <rPr>
        <sz val="20"/>
        <color rgb="FFFF0000"/>
        <rFont val="Courier New"/>
        <family val="3"/>
      </rPr>
      <t xml:space="preserve"> 2,924,660 leke</t>
    </r>
  </si>
  <si>
    <r>
      <t xml:space="preserve">Page Prokuror ne Gjykaten e shkalles se pare Durres  Tetor 2010- 31.12.2016    </t>
    </r>
    <r>
      <rPr>
        <sz val="20"/>
        <color rgb="FFFF0000"/>
        <rFont val="Courier New"/>
        <family val="3"/>
      </rPr>
      <t xml:space="preserve"> 6,428,353 leke</t>
    </r>
  </si>
  <si>
    <r>
      <t xml:space="preserve">Page Prokuror ne Gjykaten e shkalles se pare Durres  te ardhurat vjetore per 2017    shuma </t>
    </r>
    <r>
      <rPr>
        <sz val="20"/>
        <color rgb="FFFF0000"/>
        <rFont val="Courier New"/>
        <family val="3"/>
      </rPr>
      <t xml:space="preserve"> 1,264,368 leke  per 2018 shuma  1,227,031 leke   per 2019 shuma 2,481,785 leke</t>
    </r>
  </si>
  <si>
    <r>
      <t xml:space="preserve">Page juriste Ndermarrja e trajtimit te studenteve nr ! Tirane Maj 1999-Shtator 2006  </t>
    </r>
    <r>
      <rPr>
        <sz val="20"/>
        <color rgb="FFFF0000"/>
        <rFont val="Courier New"/>
        <family val="3"/>
      </rPr>
      <t>1,765,318 Leke</t>
    </r>
    <r>
      <rPr>
        <sz val="20"/>
        <rFont val="Courier New"/>
        <family val="3"/>
      </rPr>
      <t xml:space="preserve"> </t>
    </r>
  </si>
  <si>
    <r>
      <t xml:space="preserve">Barre lindje per vajzen 17.12.2001- 31.05.2002  </t>
    </r>
    <r>
      <rPr>
        <sz val="20"/>
        <color rgb="FFFF0000"/>
        <rFont val="Courier New"/>
        <family val="3"/>
      </rPr>
      <t xml:space="preserve"> 73,689 leke </t>
    </r>
  </si>
  <si>
    <r>
      <t xml:space="preserve">Page Juriste ISSH  01.05.2007-31.12.2016  </t>
    </r>
    <r>
      <rPr>
        <sz val="20"/>
        <color rgb="FFFF0000"/>
        <rFont val="Courier New"/>
        <family val="3"/>
      </rPr>
      <t xml:space="preserve">5,833,290 Leke </t>
    </r>
  </si>
  <si>
    <r>
      <t xml:space="preserve">Te ardhura nga shfrytezimi nder vite I tokes prane baneses ne K Kamez dhe tokes bujqesore ne emer te babait te saj ne Shengjin te Nj adm Shengjergj </t>
    </r>
    <r>
      <rPr>
        <sz val="20"/>
        <color rgb="FFFF0000"/>
        <rFont val="Courier New"/>
        <family val="3"/>
      </rPr>
      <t>4,220,000 leke</t>
    </r>
  </si>
  <si>
    <r>
      <t xml:space="preserve">Te ardhura nga shitja e automjetit Mercedes Benz dt 09.09.2008 shuma </t>
    </r>
    <r>
      <rPr>
        <sz val="20"/>
        <color rgb="FFFF0000"/>
        <rFont val="Courier New"/>
        <family val="3"/>
      </rPr>
      <t xml:space="preserve">400,000 leke </t>
    </r>
  </si>
  <si>
    <r>
      <t xml:space="preserve">Te ardhura nga shitja e automjetit Mercedes Benz dt 15.03.2016 shuma </t>
    </r>
    <r>
      <rPr>
        <sz val="20"/>
        <color rgb="FFFF0000"/>
        <rFont val="Courier New"/>
        <family val="3"/>
      </rPr>
      <t xml:space="preserve">3,800 Euro  </t>
    </r>
  </si>
  <si>
    <t>Vertetim nga Bashkia Tirane nr. 47 prot., dt. 25.01.2017</t>
  </si>
  <si>
    <t>Nr.</t>
  </si>
  <si>
    <t>PËRSHKRIMI/PERIUDHA</t>
  </si>
  <si>
    <t>I</t>
  </si>
  <si>
    <t>II</t>
  </si>
  <si>
    <t>III</t>
  </si>
  <si>
    <t>IV</t>
  </si>
  <si>
    <t>V</t>
  </si>
  <si>
    <t>TË ARDHURA</t>
  </si>
  <si>
    <t>SHPENZIME</t>
  </si>
  <si>
    <t>DETYRIME</t>
  </si>
  <si>
    <t>PASURI</t>
  </si>
  <si>
    <t>VI</t>
  </si>
  <si>
    <t>Të ardh._S.R.</t>
  </si>
  <si>
    <t>Të ardh._B.S.R.</t>
  </si>
  <si>
    <t>Shpenz.jetike</t>
  </si>
  <si>
    <t>Shitja_"M.Benz"_ më 09.09.2008</t>
  </si>
  <si>
    <t>Shpenz.udhët.</t>
  </si>
  <si>
    <t>Taksat vend._tokës bujq.</t>
  </si>
  <si>
    <t xml:space="preserve">Ap.banimi_128.1 m2_23.06.2008 </t>
  </si>
  <si>
    <t>Ndrysh.gjendje lik.</t>
  </si>
  <si>
    <t>Autom."Daimler Chrysler"_14.11.2008</t>
  </si>
  <si>
    <t>(në lekë)</t>
  </si>
  <si>
    <t>REZULTATI FIN. VI = I-II-V</t>
  </si>
  <si>
    <t>PASURI NETO: V = III-IV</t>
  </si>
  <si>
    <t xml:space="preserve">Kredi bankare_NBG ShA </t>
  </si>
  <si>
    <t>23.06.2008</t>
  </si>
  <si>
    <t xml:space="preserve">Princcipal </t>
  </si>
  <si>
    <t>Interesa</t>
  </si>
  <si>
    <t>Det.mbetur ndaj shoq,"KDK" ShPk</t>
  </si>
  <si>
    <t>Paguar int.kredie_NBG Albania ShA</t>
  </si>
  <si>
    <t xml:space="preserve">Shlyer princ.kredie në NBG Albania </t>
  </si>
  <si>
    <t>Komisione për transferimin e vlerës</t>
  </si>
  <si>
    <t>Int. perf. nga depoz.</t>
  </si>
  <si>
    <t>01.01.– 25.11.2010</t>
  </si>
  <si>
    <t>01.01.- 01.08.2011</t>
  </si>
  <si>
    <t>02.08.-30.12.2011</t>
  </si>
  <si>
    <t>01.01.-13.08.2012</t>
  </si>
  <si>
    <t>01.01.-07.11.2014</t>
  </si>
  <si>
    <t>PERIUDHA</t>
  </si>
  <si>
    <t>PASURI NETO</t>
  </si>
  <si>
    <t>Paga_S.R.</t>
  </si>
  <si>
    <t>Paga_B.S.R.</t>
  </si>
  <si>
    <t>Shenz.jetike</t>
  </si>
  <si>
    <t>Shpenz.udh.</t>
  </si>
  <si>
    <t>Int.kredie</t>
  </si>
  <si>
    <t>Princ.kredie NBG</t>
  </si>
  <si>
    <t>Taksa toke+ndërt.</t>
  </si>
  <si>
    <t>A.Sharra</t>
  </si>
  <si>
    <t>F.Sharra</t>
  </si>
  <si>
    <t>TB</t>
  </si>
  <si>
    <t>25.11.2010</t>
  </si>
  <si>
    <t>31.12.2009</t>
  </si>
  <si>
    <t>Ndrysh.gjend.lik.bankë</t>
  </si>
  <si>
    <t>Kursime dekl.</t>
  </si>
  <si>
    <t>REZ.FIN: VI=I-II-V</t>
  </si>
  <si>
    <t>REZ: (në euro)</t>
  </si>
  <si>
    <t>Pagesat e pjes.</t>
  </si>
  <si>
    <t>01.08.2011</t>
  </si>
  <si>
    <t>30.12.2011</t>
  </si>
  <si>
    <t>13.08.2012</t>
  </si>
  <si>
    <t>07.11.2014</t>
  </si>
  <si>
    <t>ok justifikon</t>
  </si>
  <si>
    <t>pa konsideruar paradhënien 20.000 euro, nga shitja e banesës në Kodër Kamëz</t>
  </si>
  <si>
    <t>pa konsid të ardhura nga shitja e produkteve bujqësore, me arsyetimin në vijim të relacionit</t>
  </si>
  <si>
    <t>pa konsideruar pjesën e kursimeve cash deklaruar në deklaratat periodike të viteve përkatëse e cila mund të</t>
  </si>
  <si>
    <t>përllogaritej proporcionalisht deri në fund të periudhës së analizuar.</t>
  </si>
  <si>
    <t>Paradh.shitja e ban.K.K.</t>
  </si>
  <si>
    <t>01.10.2014</t>
  </si>
  <si>
    <t>31.5.2013</t>
  </si>
  <si>
    <t>01.01.-19.10.2012</t>
  </si>
  <si>
    <t>Total gjend.lik.</t>
  </si>
  <si>
    <t>a</t>
  </si>
  <si>
    <t>b</t>
  </si>
  <si>
    <t>c</t>
  </si>
  <si>
    <t>Gjendje lik. cash</t>
  </si>
  <si>
    <t>Gjendje lik. bankë</t>
  </si>
  <si>
    <t>Shlyer det."KDK" ShPK</t>
  </si>
  <si>
    <t>````````````````````````````````````````````````</t>
  </si>
  <si>
    <t>"Mercedes Benz" 1988_2003</t>
  </si>
  <si>
    <t>"Mercedes Benz"_02.03.2017</t>
  </si>
  <si>
    <t xml:space="preserve">Cash </t>
  </si>
  <si>
    <t>VETTING</t>
  </si>
  <si>
    <t>7/a</t>
  </si>
  <si>
    <t>7/b</t>
  </si>
  <si>
    <t xml:space="preserve"> </t>
  </si>
  <si>
    <t>7/c</t>
  </si>
  <si>
    <t>"Daimler Chrysler"_14.11.2008</t>
  </si>
  <si>
    <t>PERIUDHA/PËRSHKRIMI</t>
  </si>
  <si>
    <t>REZULTATI</t>
  </si>
  <si>
    <t>V = III-IV</t>
  </si>
  <si>
    <t>VI = I-II-V</t>
  </si>
  <si>
    <t>07.09.1989-31.12.1989</t>
  </si>
  <si>
    <t>PLEQËRI SHTET</t>
  </si>
  <si>
    <t>MASA</t>
  </si>
  <si>
    <t>MUAJT</t>
  </si>
  <si>
    <t>KOMP.</t>
  </si>
  <si>
    <t>e*f</t>
  </si>
  <si>
    <t>PËRSHKRIMI</t>
  </si>
  <si>
    <t>07.09.1989</t>
  </si>
  <si>
    <t>30.08.1991</t>
  </si>
  <si>
    <t>03.07.1994</t>
  </si>
  <si>
    <t>30.09.1994</t>
  </si>
  <si>
    <t>01.10.1994</t>
  </si>
  <si>
    <t>30.04.1995</t>
  </si>
  <si>
    <t>01.09.1991</t>
  </si>
  <si>
    <t>30.10.1992</t>
  </si>
  <si>
    <t>01.05.1995</t>
  </si>
  <si>
    <t>30.09.1995</t>
  </si>
  <si>
    <t>01.11.1992</t>
  </si>
  <si>
    <t>30.01.1993</t>
  </si>
  <si>
    <t>01.10.1995</t>
  </si>
  <si>
    <t>30.03.1996</t>
  </si>
  <si>
    <t>01.02.1993</t>
  </si>
  <si>
    <t>30.07.1993</t>
  </si>
  <si>
    <t>01.04.1996</t>
  </si>
  <si>
    <t>30.01.1998</t>
  </si>
  <si>
    <t>01.08.1993</t>
  </si>
  <si>
    <t>30.12.1993</t>
  </si>
  <si>
    <t>01.01.1994</t>
  </si>
  <si>
    <t>01.02.1998</t>
  </si>
  <si>
    <t>30.12.1998</t>
  </si>
  <si>
    <t>1.1.</t>
  </si>
  <si>
    <t>01.01.1999</t>
  </si>
  <si>
    <t>31.03.2000</t>
  </si>
  <si>
    <t>01.04.2000</t>
  </si>
  <si>
    <t>30.06.2000</t>
  </si>
  <si>
    <t>01.07.2000</t>
  </si>
  <si>
    <t>30.06.2001</t>
  </si>
  <si>
    <t>01.07.2001</t>
  </si>
  <si>
    <t>30.06.2002</t>
  </si>
  <si>
    <t>01.07.2002</t>
  </si>
  <si>
    <t>30.06.2003</t>
  </si>
  <si>
    <t>01.07.2003</t>
  </si>
  <si>
    <t>30.11.2003</t>
  </si>
  <si>
    <t>01.12.2003</t>
  </si>
  <si>
    <t>30.06.2004</t>
  </si>
  <si>
    <t>01.07.2004</t>
  </si>
  <si>
    <t>30.04.2005</t>
  </si>
  <si>
    <t>1.05.2005</t>
  </si>
  <si>
    <t>30.05.2005</t>
  </si>
  <si>
    <t>01.06.2005</t>
  </si>
  <si>
    <t>30.06.2006</t>
  </si>
  <si>
    <t>01.07.2006</t>
  </si>
  <si>
    <t>30.06.2007</t>
  </si>
  <si>
    <t>01.07.2007</t>
  </si>
  <si>
    <t>30.06.2008</t>
  </si>
  <si>
    <t>01.07.2008</t>
  </si>
  <si>
    <t>30.04.2009</t>
  </si>
  <si>
    <t>01.05.2009</t>
  </si>
  <si>
    <t>30.06.2010</t>
  </si>
  <si>
    <t>01.07.2010</t>
  </si>
  <si>
    <t>30.06.2011</t>
  </si>
  <si>
    <t>01.07.2011</t>
  </si>
  <si>
    <t>30.06.2012</t>
  </si>
  <si>
    <t>01.07.2012</t>
  </si>
  <si>
    <t>30.07.2013</t>
  </si>
  <si>
    <t>01.08.2013</t>
  </si>
  <si>
    <t>30.07.2014</t>
  </si>
  <si>
    <t>01.08.2014</t>
  </si>
  <si>
    <t>30.07.2015</t>
  </si>
  <si>
    <t>01.08.2015</t>
  </si>
  <si>
    <t>30.07.2016</t>
  </si>
  <si>
    <t>01.08.2016</t>
  </si>
  <si>
    <t>28.02.2017</t>
  </si>
  <si>
    <t>30.11.2016</t>
  </si>
  <si>
    <t>Shtëpi 3 (tre)kate,Kodër Kamëz Tiranë/viti 1996</t>
  </si>
  <si>
    <t>KUMUL.</t>
  </si>
  <si>
    <t>TARDHURA</t>
  </si>
  <si>
    <t>Të ardh.babai S.R._S. Sharra</t>
  </si>
  <si>
    <t>Të ardh.nëna S.R._H. Sharra</t>
  </si>
  <si>
    <t xml:space="preserve">SHPENZIME </t>
  </si>
  <si>
    <t>Shpenzime jetike</t>
  </si>
  <si>
    <t>Shtëpi një katëshe [107.6 m2]</t>
  </si>
  <si>
    <t>Kati I-rë + papaf. (256.4 m2)</t>
  </si>
  <si>
    <t>PASURI NETO: V = III - IV</t>
  </si>
  <si>
    <t>05.10.2007</t>
  </si>
  <si>
    <t>EUR</t>
  </si>
  <si>
    <t>Ap.banimi me sip. 56.5 m2</t>
  </si>
  <si>
    <t>Ndryshim gjendje lik.</t>
  </si>
  <si>
    <t>01.01.2017 02.03.2017</t>
  </si>
  <si>
    <t>Të ardh. S.R.</t>
  </si>
  <si>
    <t>Të ardh. B.S.R.</t>
  </si>
  <si>
    <t>Shpenz._taksat vend. të tokës bujq.</t>
  </si>
  <si>
    <t>Shpenz.udhët.TIMS</t>
  </si>
  <si>
    <t>Automj.Mercedes Benz_02.03.2017</t>
  </si>
  <si>
    <t>Detyrim ndaj shoq."KDK" ShPK</t>
  </si>
  <si>
    <t>Shlyerje det.ndaj "KDK" ShPK</t>
  </si>
  <si>
    <t>Marrë hua nga nëna</t>
  </si>
  <si>
    <t>PASURI NETO V = III - IV</t>
  </si>
  <si>
    <t>REZULTATI Vi= I - II - V</t>
  </si>
  <si>
    <t>PASURIA/PERIUDHA</t>
  </si>
  <si>
    <t>Të ardh.S.R._pagat</t>
  </si>
  <si>
    <t>Të ardh.B.S.R._pagat</t>
  </si>
  <si>
    <t>Paradhënie_I.Lala_shitje banese K-K</t>
  </si>
  <si>
    <t>Shpenz.shkoll.Enea Sharra</t>
  </si>
  <si>
    <t>Shpenz.shkoll.Ersa Sharra_"F.Konica"</t>
  </si>
  <si>
    <t>Shpenz.udhët._TIMS</t>
  </si>
  <si>
    <t>Shpenz.mobilimi</t>
  </si>
  <si>
    <t>Shpenz.legal.godinës tre kate K.K.</t>
  </si>
  <si>
    <t>Shpenz,taksa vendore_tokë bujq.</t>
  </si>
  <si>
    <t>Shlyer detyrim ndaj "KDK" ShPK</t>
  </si>
  <si>
    <t>Ndrysh.gjend.lik.</t>
  </si>
  <si>
    <t>Total gjendje lik.</t>
  </si>
  <si>
    <t>Gjendje lik.bankë</t>
  </si>
  <si>
    <t>Detyrime ndaj shoq."KDK" ShPK</t>
  </si>
  <si>
    <t>-</t>
  </si>
  <si>
    <t>Detyrim ndaj A.Ramadani</t>
  </si>
  <si>
    <t>Detyrim ndaj babait</t>
  </si>
  <si>
    <t>REZULTATI FIN. VI = I - II - V</t>
  </si>
  <si>
    <t>Nisur nga fakti që këto pagesa janë kryer në datat 19.06.2015 shuma 24,400, më 13.11.2015 shuma 230 euro, dhe më 30.12.2015 shuma 5,000 euro</t>
  </si>
  <si>
    <t>140.84/19.06.2015</t>
  </si>
  <si>
    <t>138.33/13.11.2015</t>
  </si>
  <si>
    <t>137.39/30.12.2015</t>
  </si>
  <si>
    <r>
      <t>Gjendje lik.</t>
    </r>
    <r>
      <rPr>
        <i/>
        <sz val="9"/>
        <rFont val="Courier New"/>
        <family val="3"/>
      </rPr>
      <t>cash</t>
    </r>
  </si>
  <si>
    <t>31.12.2012</t>
  </si>
  <si>
    <t>NDRYSHIMET</t>
  </si>
  <si>
    <t>KPK</t>
  </si>
  <si>
    <t>KPA</t>
  </si>
  <si>
    <t>TË ARDHURA (*)</t>
  </si>
  <si>
    <t>≠</t>
  </si>
  <si>
    <t>Shpenz.inter. kredie_NBG Albania ShA</t>
  </si>
  <si>
    <t>≠(**)</t>
  </si>
  <si>
    <t>Shpenz.shkoll.E.Sharra_"F.Konica"</t>
  </si>
  <si>
    <t>Garazh_45 m2_kont.nr.2008/513,13.04.2013</t>
  </si>
  <si>
    <t>≠(***)</t>
  </si>
  <si>
    <t>Gjendje lik.cash</t>
  </si>
  <si>
    <t>Detyrim ndaj shoq. "KDK" ShPK_garazh</t>
  </si>
  <si>
    <t>Shlyerje detyr._"KDK" ShPK_garazh</t>
  </si>
  <si>
    <t>Shlyer.princ.kredie_NBG Albania ShA</t>
  </si>
  <si>
    <t>Shlyerje detyr._"KDK" ShPK_apart.</t>
  </si>
  <si>
    <t>≠(****)</t>
  </si>
  <si>
    <t>Hua nga babai_4,000 euro/2013</t>
  </si>
  <si>
    <t>22.08.2007</t>
  </si>
  <si>
    <t>Ap.56.5 m2 rr.T.Tashko</t>
  </si>
  <si>
    <t>Analiza finanaciare e S.R. për blerjen e pas. 56.5 m2</t>
  </si>
  <si>
    <t>No.</t>
  </si>
  <si>
    <t xml:space="preserve">DESCRIPTION / PERIOD </t>
  </si>
  <si>
    <t xml:space="preserve">INCOME </t>
  </si>
  <si>
    <t xml:space="preserve">Income of Assessee </t>
  </si>
  <si>
    <t xml:space="preserve">Income of Spouse </t>
  </si>
  <si>
    <t>Down payment for sale of house in K.Kamëz_01.10.2014</t>
  </si>
  <si>
    <t>Sale of "Mercedes Benz"_09.09.2008</t>
  </si>
  <si>
    <t>Sale of "Mercedes Benz"15.03.2016</t>
  </si>
  <si>
    <t xml:space="preserve">Living expenses </t>
  </si>
  <si>
    <t>Legalization expenses 3-storey house 01.07.2015</t>
  </si>
  <si>
    <t xml:space="preserve">Education expenses Ersa Sharra_"Elitë" </t>
  </si>
  <si>
    <t xml:space="preserve">Furnishing expenses </t>
  </si>
  <si>
    <t xml:space="preserve">ASSETS </t>
  </si>
  <si>
    <t xml:space="preserve">LIABILITES </t>
  </si>
  <si>
    <t xml:space="preserve">Liquidity in bank </t>
  </si>
  <si>
    <t xml:space="preserve">Total liquidity </t>
  </si>
  <si>
    <t xml:space="preserve">Change of liquidity </t>
  </si>
  <si>
    <t>Garage 45 m2_13.04.2013</t>
  </si>
  <si>
    <t>Apartment . 128.1 m2_23.06.2008</t>
  </si>
  <si>
    <t xml:space="preserve">House_ 134.5 m2 </t>
  </si>
  <si>
    <t xml:space="preserve">Education expenses_Ersa Sharra_"F.Konica" </t>
  </si>
  <si>
    <t xml:space="preserve">Exp. on local tax on agr. land </t>
  </si>
  <si>
    <t xml:space="preserve">Travel expenses TIMS </t>
  </si>
  <si>
    <t>Loan at NBG _ EUR 46.000_01.08.2008</t>
  </si>
  <si>
    <t xml:space="preserve">Loan repayment to NBG </t>
  </si>
  <si>
    <t>Liability to "KDK" ShPK company</t>
  </si>
  <si>
    <t xml:space="preserve">Liability paid to "KDK" ShPK </t>
  </si>
  <si>
    <t>Loan from the father _ EUR 4.000 _2013</t>
  </si>
  <si>
    <t>Loan from the mother _ EUR 2.000_2017</t>
  </si>
  <si>
    <t xml:space="preserve">Repaid loan to the mother </t>
  </si>
  <si>
    <t xml:space="preserve">Liability for the garage  </t>
  </si>
  <si>
    <t xml:space="preserve">Liability paid for the garage </t>
  </si>
  <si>
    <t xml:space="preserve">NET ASSETS </t>
  </si>
  <si>
    <t>FINANCIAL RESULT VI=I-II-V</t>
  </si>
  <si>
    <t xml:space="preserve">Education expenses_Enea Sharra </t>
  </si>
  <si>
    <t xml:space="preserve">Settled from use of agr. land </t>
  </si>
  <si>
    <t>Sale of house in K.Kamëz cont.16.06.2017</t>
  </si>
  <si>
    <t>EXPENDITURE</t>
  </si>
  <si>
    <t>Exp.on loan interests+commissions NBG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</si>
</sst>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2]\ * #,##0.00_);_([$€-2]\ * \(#,##0.00\);_([$€-2]\ * &quot;-&quot;??_);_(@_)"/>
    <numFmt numFmtId="165" formatCode="_-* #,##0\ [$€-1]_-;\-* #,##0\ [$€-1]_-;_-* &quot;-&quot;??\ [$€-1]_-;_-@_-"/>
    <numFmt numFmtId="166" formatCode="#,##0.000"/>
    <numFmt numFmtId="167" formatCode="#,##0\ [$€-1];\-#,##0\ [$€-1]"/>
    <numFmt numFmtId="168" formatCode="_-* #,##0.00\ [$Lekë-41C]_-;\-* #,##0.00\ [$Lekë-41C]_-;_-* &quot;-&quot;??\ [$Lekë-41C]_-;_-@_-"/>
    <numFmt numFmtId="169" formatCode="_(* #,##0_);_(* \(#,##0\);_(* &quot;-&quot;??_);_(@_)"/>
    <numFmt numFmtId="170" formatCode="_(* #,##0.0_);_(* \(#,##0.0\);_(* &quot;-&quot;??_);_(@_)"/>
  </numFmts>
  <fonts count="136" x14ac:knownFonts="1">
    <font>
      <sz val="11"/>
      <color theme="1"/>
      <name val="Calibri"/>
      <family val="2"/>
      <scheme val="minor"/>
    </font>
    <font>
      <sz val="11"/>
      <color theme="1"/>
      <name val="Calibri"/>
      <family val="2"/>
      <scheme val="minor"/>
    </font>
    <font>
      <sz val="11"/>
      <color theme="1"/>
      <name val="Calibri"/>
      <family val="2"/>
      <charset val="238"/>
      <scheme val="minor"/>
    </font>
    <font>
      <b/>
      <sz val="10"/>
      <color theme="1"/>
      <name val="Times New Roman"/>
      <family val="1"/>
      <charset val="238"/>
    </font>
    <font>
      <sz val="10"/>
      <color theme="1"/>
      <name val="Times New Roman"/>
      <family val="1"/>
      <charset val="238"/>
    </font>
    <font>
      <u/>
      <sz val="10"/>
      <color theme="1"/>
      <name val="Times New Roman"/>
      <family val="1"/>
      <charset val="238"/>
    </font>
    <font>
      <b/>
      <i/>
      <sz val="10"/>
      <color theme="1"/>
      <name val="Times New Roman"/>
      <family val="1"/>
      <charset val="238"/>
    </font>
    <font>
      <i/>
      <sz val="10"/>
      <color theme="1"/>
      <name val="Times New Roman"/>
      <family val="1"/>
      <charset val="238"/>
    </font>
    <font>
      <b/>
      <sz val="11"/>
      <name val="Calibri"/>
      <family val="2"/>
      <charset val="238"/>
      <scheme val="minor"/>
    </font>
    <font>
      <i/>
      <sz val="11"/>
      <color rgb="FFFF0000"/>
      <name val="Calibri"/>
      <family val="2"/>
      <charset val="238"/>
      <scheme val="minor"/>
    </font>
    <font>
      <sz val="11"/>
      <name val="Times New Roman"/>
      <family val="1"/>
      <charset val="238"/>
    </font>
    <font>
      <b/>
      <sz val="11"/>
      <name val="Times New Roman"/>
      <family val="1"/>
      <charset val="238"/>
    </font>
    <font>
      <sz val="11"/>
      <name val="Calibri"/>
      <family val="2"/>
      <charset val="238"/>
      <scheme val="minor"/>
    </font>
    <font>
      <i/>
      <sz val="11"/>
      <name val="Times New Roman"/>
      <family val="1"/>
      <charset val="238"/>
    </font>
    <font>
      <b/>
      <i/>
      <sz val="11"/>
      <color rgb="FF7030A0"/>
      <name val="Calibri"/>
      <family val="2"/>
      <charset val="238"/>
      <scheme val="minor"/>
    </font>
    <font>
      <b/>
      <sz val="11"/>
      <color rgb="FF0070C0"/>
      <name val="Calibri"/>
      <family val="2"/>
      <charset val="238"/>
      <scheme val="minor"/>
    </font>
    <font>
      <sz val="9"/>
      <color indexed="81"/>
      <name val="Tahoma"/>
      <family val="2"/>
      <charset val="238"/>
    </font>
    <font>
      <b/>
      <sz val="9"/>
      <color indexed="81"/>
      <name val="Tahoma"/>
      <family val="2"/>
      <charset val="238"/>
    </font>
    <font>
      <sz val="11"/>
      <color rgb="FF7030A0"/>
      <name val="Calibri"/>
      <family val="2"/>
      <scheme val="minor"/>
    </font>
    <font>
      <sz val="11"/>
      <color rgb="FF9C6500"/>
      <name val="Calibri"/>
      <family val="2"/>
      <scheme val="minor"/>
    </font>
    <font>
      <i/>
      <sz val="11"/>
      <name val="Calibri"/>
      <family val="2"/>
      <charset val="238"/>
      <scheme val="minor"/>
    </font>
    <font>
      <b/>
      <i/>
      <sz val="11"/>
      <name val="Calibri"/>
      <family val="2"/>
      <charset val="238"/>
      <scheme val="minor"/>
    </font>
    <font>
      <b/>
      <sz val="14"/>
      <name val="Calibri"/>
      <family val="2"/>
      <charset val="238"/>
      <scheme val="minor"/>
    </font>
    <font>
      <b/>
      <i/>
      <sz val="14"/>
      <color rgb="FF7030A0"/>
      <name val="Calibri"/>
      <family val="2"/>
      <charset val="238"/>
      <scheme val="minor"/>
    </font>
    <font>
      <i/>
      <sz val="11"/>
      <name val="Calibri"/>
      <family val="2"/>
      <charset val="238"/>
    </font>
    <font>
      <b/>
      <i/>
      <sz val="14"/>
      <color rgb="FFFF0000"/>
      <name val="Calibri"/>
      <family val="2"/>
      <charset val="238"/>
      <scheme val="minor"/>
    </font>
    <font>
      <i/>
      <sz val="14"/>
      <color rgb="FFFF0000"/>
      <name val="Calibri"/>
      <family val="2"/>
      <charset val="238"/>
      <scheme val="minor"/>
    </font>
    <font>
      <sz val="14"/>
      <color rgb="FFFF0000"/>
      <name val="Calibri"/>
      <family val="2"/>
      <charset val="238"/>
      <scheme val="minor"/>
    </font>
    <font>
      <sz val="14"/>
      <name val="Calibri"/>
      <family val="2"/>
      <charset val="238"/>
      <scheme val="minor"/>
    </font>
    <font>
      <b/>
      <i/>
      <sz val="11"/>
      <color rgb="FF0070C0"/>
      <name val="Calibri"/>
      <family val="2"/>
      <charset val="238"/>
      <scheme val="minor"/>
    </font>
    <font>
      <sz val="11"/>
      <color rgb="FFFF0000"/>
      <name val="Calibri"/>
      <family val="2"/>
      <charset val="238"/>
      <scheme val="minor"/>
    </font>
    <font>
      <i/>
      <sz val="14"/>
      <color theme="1" tint="0.499984740745262"/>
      <name val="Calibri"/>
      <family val="2"/>
      <charset val="238"/>
      <scheme val="minor"/>
    </font>
    <font>
      <sz val="11"/>
      <name val="Calibri"/>
      <family val="2"/>
      <scheme val="minor"/>
    </font>
    <font>
      <b/>
      <sz val="11"/>
      <name val="Calibri"/>
      <family val="2"/>
      <scheme val="minor"/>
    </font>
    <font>
      <i/>
      <sz val="11"/>
      <name val="Calibri"/>
      <family val="2"/>
      <scheme val="minor"/>
    </font>
    <font>
      <sz val="11"/>
      <color rgb="FF7030A0"/>
      <name val="Calibri"/>
      <family val="2"/>
      <charset val="238"/>
      <scheme val="minor"/>
    </font>
    <font>
      <b/>
      <i/>
      <sz val="14"/>
      <name val="Calibri"/>
      <family val="2"/>
      <charset val="238"/>
      <scheme val="minor"/>
    </font>
    <font>
      <sz val="14"/>
      <color theme="1"/>
      <name val="Calibri"/>
      <family val="2"/>
      <scheme val="minor"/>
    </font>
    <font>
      <b/>
      <sz val="14"/>
      <color theme="1"/>
      <name val="Calibri"/>
      <family val="2"/>
      <scheme val="minor"/>
    </font>
    <font>
      <b/>
      <i/>
      <sz val="14"/>
      <color rgb="FF7030A0"/>
      <name val="Calibri"/>
      <family val="2"/>
      <scheme val="minor"/>
    </font>
    <font>
      <b/>
      <sz val="14"/>
      <color rgb="FFFF0000"/>
      <name val="Calibri"/>
      <family val="2"/>
      <charset val="238"/>
      <scheme val="minor"/>
    </font>
    <font>
      <b/>
      <i/>
      <sz val="14"/>
      <color rgb="FF0070C0"/>
      <name val="Calibri"/>
      <family val="2"/>
      <charset val="238"/>
      <scheme val="minor"/>
    </font>
    <font>
      <b/>
      <sz val="14"/>
      <color rgb="FF0070C0"/>
      <name val="Calibri"/>
      <family val="2"/>
      <charset val="238"/>
      <scheme val="minor"/>
    </font>
    <font>
      <i/>
      <sz val="14"/>
      <color rgb="FF7030A0"/>
      <name val="Calibri"/>
      <family val="2"/>
      <charset val="238"/>
      <scheme val="minor"/>
    </font>
    <font>
      <b/>
      <sz val="11"/>
      <color rgb="FFFF0000"/>
      <name val="Calibri"/>
      <family val="2"/>
      <charset val="238"/>
      <scheme val="minor"/>
    </font>
    <font>
      <b/>
      <sz val="14"/>
      <color theme="1"/>
      <name val="Calibri"/>
      <family val="2"/>
      <charset val="238"/>
      <scheme val="minor"/>
    </font>
    <font>
      <sz val="14"/>
      <color theme="1"/>
      <name val="Calibri"/>
      <family val="2"/>
      <charset val="238"/>
      <scheme val="minor"/>
    </font>
    <font>
      <b/>
      <sz val="14"/>
      <color rgb="FFFF0000"/>
      <name val="Calibri"/>
      <family val="2"/>
      <scheme val="minor"/>
    </font>
    <font>
      <b/>
      <i/>
      <sz val="14"/>
      <color rgb="FFFF0000"/>
      <name val="Calibri"/>
      <family val="2"/>
      <scheme val="minor"/>
    </font>
    <font>
      <b/>
      <i/>
      <sz val="14"/>
      <name val="Calibri"/>
      <family val="2"/>
      <scheme val="minor"/>
    </font>
    <font>
      <i/>
      <sz val="14"/>
      <name val="Calibri"/>
      <family val="2"/>
      <charset val="238"/>
      <scheme val="minor"/>
    </font>
    <font>
      <i/>
      <sz val="14"/>
      <color rgb="FF0070C0"/>
      <name val="Calibri"/>
      <family val="2"/>
      <charset val="238"/>
      <scheme val="minor"/>
    </font>
    <font>
      <b/>
      <sz val="14"/>
      <color rgb="FF7030A0"/>
      <name val="Calibri"/>
      <family val="2"/>
      <charset val="238"/>
      <scheme val="minor"/>
    </font>
    <font>
      <i/>
      <sz val="14"/>
      <color theme="1"/>
      <name val="Calibri"/>
      <family val="2"/>
      <charset val="238"/>
      <scheme val="minor"/>
    </font>
    <font>
      <b/>
      <sz val="14"/>
      <name val="Calibri"/>
      <family val="2"/>
      <scheme val="minor"/>
    </font>
    <font>
      <sz val="8"/>
      <color theme="1"/>
      <name val="Courier New"/>
      <family val="3"/>
    </font>
    <font>
      <b/>
      <sz val="8"/>
      <color theme="1"/>
      <name val="Courier New"/>
      <family val="3"/>
    </font>
    <font>
      <sz val="12"/>
      <name val="Courier New"/>
      <family val="3"/>
    </font>
    <font>
      <b/>
      <i/>
      <sz val="12"/>
      <color rgb="FF7030A0"/>
      <name val="Courier New"/>
      <family val="3"/>
    </font>
    <font>
      <b/>
      <sz val="12"/>
      <color rgb="FFFF0000"/>
      <name val="Courier New"/>
      <family val="3"/>
    </font>
    <font>
      <sz val="9"/>
      <name val="Courier New"/>
      <family val="3"/>
    </font>
    <font>
      <b/>
      <sz val="9"/>
      <name val="Courier New"/>
      <family val="3"/>
    </font>
    <font>
      <b/>
      <sz val="9"/>
      <color rgb="FFFF0000"/>
      <name val="Courier New"/>
      <family val="3"/>
    </font>
    <font>
      <i/>
      <sz val="10"/>
      <name val="Courier New"/>
      <family val="3"/>
    </font>
    <font>
      <sz val="10"/>
      <name val="Courier New"/>
      <family val="3"/>
    </font>
    <font>
      <b/>
      <sz val="10"/>
      <name val="Courier New"/>
      <family val="3"/>
    </font>
    <font>
      <b/>
      <i/>
      <sz val="10"/>
      <name val="Courier New"/>
      <family val="3"/>
    </font>
    <font>
      <b/>
      <i/>
      <sz val="10"/>
      <color rgb="FF7030A0"/>
      <name val="Courier New"/>
      <family val="3"/>
    </font>
    <font>
      <b/>
      <sz val="10"/>
      <color rgb="FF7030A0"/>
      <name val="Courier New"/>
      <family val="3"/>
    </font>
    <font>
      <i/>
      <sz val="10"/>
      <color rgb="FFFF0000"/>
      <name val="Courier New"/>
      <family val="3"/>
    </font>
    <font>
      <sz val="10"/>
      <color rgb="FFFF0000"/>
      <name val="Courier New"/>
      <family val="3"/>
    </font>
    <font>
      <b/>
      <sz val="10"/>
      <color rgb="FFFF0000"/>
      <name val="Courier New"/>
      <family val="3"/>
    </font>
    <font>
      <b/>
      <i/>
      <sz val="10"/>
      <color rgb="FFFF0000"/>
      <name val="Courier New"/>
      <family val="3"/>
    </font>
    <font>
      <sz val="20"/>
      <color theme="1"/>
      <name val="Courier New"/>
      <family val="3"/>
    </font>
    <font>
      <b/>
      <sz val="20"/>
      <color theme="1"/>
      <name val="Courier New"/>
      <family val="3"/>
    </font>
    <font>
      <sz val="20"/>
      <name val="Courier New"/>
      <family val="3"/>
    </font>
    <font>
      <sz val="20"/>
      <color rgb="FFFF0000"/>
      <name val="Courier New"/>
      <family val="3"/>
    </font>
    <font>
      <b/>
      <sz val="20"/>
      <name val="Courier New"/>
      <family val="3"/>
    </font>
    <font>
      <b/>
      <sz val="20"/>
      <color rgb="FF0070C0"/>
      <name val="Courier New"/>
      <family val="3"/>
    </font>
    <font>
      <sz val="20"/>
      <color rgb="FF0070C0"/>
      <name val="Courier New"/>
      <family val="3"/>
    </font>
    <font>
      <sz val="10"/>
      <color theme="1"/>
      <name val="Courier New"/>
      <family val="3"/>
    </font>
    <font>
      <b/>
      <sz val="10"/>
      <color rgb="FF0070C0"/>
      <name val="Courier New"/>
      <family val="3"/>
    </font>
    <font>
      <sz val="12"/>
      <color theme="1"/>
      <name val="Courier New"/>
      <family val="3"/>
    </font>
    <font>
      <b/>
      <sz val="12"/>
      <color theme="1"/>
      <name val="Courier New"/>
      <family val="3"/>
    </font>
    <font>
      <b/>
      <sz val="9"/>
      <color theme="1"/>
      <name val="Courier New"/>
      <family val="3"/>
    </font>
    <font>
      <sz val="9"/>
      <color theme="1"/>
      <name val="Courier New"/>
      <family val="3"/>
    </font>
    <font>
      <b/>
      <i/>
      <sz val="9"/>
      <color theme="1"/>
      <name val="Courier New"/>
      <family val="3"/>
    </font>
    <font>
      <b/>
      <sz val="9"/>
      <color theme="0" tint="-0.499984740745262"/>
      <name val="Courier New"/>
      <family val="3"/>
    </font>
    <font>
      <i/>
      <sz val="12"/>
      <color rgb="FF7030A0"/>
      <name val="Courier New"/>
      <family val="3"/>
    </font>
    <font>
      <b/>
      <i/>
      <sz val="10"/>
      <color rgb="FF0070C0"/>
      <name val="Courier New"/>
      <family val="3"/>
    </font>
    <font>
      <sz val="9"/>
      <color rgb="FF7030A0"/>
      <name val="Courier New"/>
      <family val="3"/>
    </font>
    <font>
      <i/>
      <sz val="9"/>
      <color theme="1"/>
      <name val="Courier New"/>
      <family val="3"/>
    </font>
    <font>
      <i/>
      <sz val="9"/>
      <color rgb="FF7030A0"/>
      <name val="Courier New"/>
      <family val="3"/>
    </font>
    <font>
      <sz val="9"/>
      <color indexed="81"/>
      <name val="Tahoma"/>
      <charset val="1"/>
    </font>
    <font>
      <b/>
      <sz val="9"/>
      <color indexed="81"/>
      <name val="Tahoma"/>
      <charset val="1"/>
    </font>
    <font>
      <sz val="14"/>
      <color indexed="81"/>
      <name val="Tahoma"/>
      <family val="2"/>
    </font>
    <font>
      <sz val="24"/>
      <color indexed="81"/>
      <name val="Tahoma"/>
      <family val="2"/>
    </font>
    <font>
      <sz val="20"/>
      <color indexed="81"/>
      <name val="Tahoma"/>
      <family val="2"/>
    </font>
    <font>
      <sz val="9"/>
      <color indexed="81"/>
      <name val="Tahoma"/>
      <family val="2"/>
    </font>
    <font>
      <sz val="20"/>
      <color rgb="FF00B050"/>
      <name val="Courier New"/>
      <family val="3"/>
    </font>
    <font>
      <b/>
      <sz val="9"/>
      <color indexed="81"/>
      <name val="Tahoma"/>
      <family val="2"/>
    </font>
    <font>
      <sz val="22"/>
      <color indexed="81"/>
      <name val="Tahoma"/>
      <family val="2"/>
    </font>
    <font>
      <i/>
      <sz val="14"/>
      <color rgb="FF00B050"/>
      <name val="Calibri"/>
      <family val="2"/>
      <charset val="238"/>
      <scheme val="minor"/>
    </font>
    <font>
      <b/>
      <sz val="8"/>
      <color rgb="FFC00000"/>
      <name val="Courier New"/>
      <family val="3"/>
    </font>
    <font>
      <i/>
      <sz val="8"/>
      <color theme="1"/>
      <name val="Courier New"/>
      <family val="3"/>
    </font>
    <font>
      <sz val="8"/>
      <color rgb="FFC00000"/>
      <name val="Courier New"/>
      <family val="3"/>
    </font>
    <font>
      <b/>
      <i/>
      <sz val="11"/>
      <color rgb="FF00B050"/>
      <name val="Calibri"/>
      <family val="2"/>
      <charset val="238"/>
      <scheme val="minor"/>
    </font>
    <font>
      <i/>
      <sz val="11"/>
      <color theme="7" tint="-0.249977111117893"/>
      <name val="Calibri"/>
      <family val="2"/>
      <charset val="238"/>
      <scheme val="minor"/>
    </font>
    <font>
      <sz val="11"/>
      <color theme="7" tint="-0.249977111117893"/>
      <name val="Calibri"/>
      <family val="2"/>
      <charset val="238"/>
      <scheme val="minor"/>
    </font>
    <font>
      <b/>
      <i/>
      <sz val="11"/>
      <color theme="7" tint="-0.249977111117893"/>
      <name val="Calibri"/>
      <family val="2"/>
      <charset val="238"/>
      <scheme val="minor"/>
    </font>
    <font>
      <b/>
      <i/>
      <sz val="11"/>
      <color theme="8" tint="0.39997558519241921"/>
      <name val="Calibri"/>
      <family val="2"/>
      <charset val="238"/>
      <scheme val="minor"/>
    </font>
    <font>
      <sz val="11"/>
      <color theme="8" tint="0.39997558519241921"/>
      <name val="Calibri"/>
      <family val="2"/>
      <charset val="238"/>
      <scheme val="minor"/>
    </font>
    <font>
      <b/>
      <i/>
      <sz val="14"/>
      <color theme="1"/>
      <name val="Calibri"/>
      <family val="2"/>
      <charset val="238"/>
      <scheme val="minor"/>
    </font>
    <font>
      <sz val="8"/>
      <color rgb="FF556F66"/>
      <name val="Courier New"/>
      <family val="3"/>
    </font>
    <font>
      <sz val="7.5"/>
      <color theme="1"/>
      <name val="Courier New"/>
      <family val="3"/>
    </font>
    <font>
      <sz val="8"/>
      <name val="Courier New"/>
      <family val="3"/>
    </font>
    <font>
      <b/>
      <sz val="7.5"/>
      <color theme="1"/>
      <name val="Courier New"/>
      <family val="3"/>
    </font>
    <font>
      <b/>
      <sz val="10"/>
      <color rgb="FF8D9F99"/>
      <name val="Courier New"/>
      <family val="3"/>
    </font>
    <font>
      <b/>
      <sz val="10"/>
      <color rgb="FFC00000"/>
      <name val="Courier New"/>
      <family val="3"/>
    </font>
    <font>
      <sz val="10"/>
      <color rgb="FFC00000"/>
      <name val="Courier New"/>
      <family val="3"/>
    </font>
    <font>
      <sz val="8"/>
      <color rgb="FF000000"/>
      <name val="Courier New"/>
      <family val="3"/>
    </font>
    <font>
      <b/>
      <sz val="8"/>
      <color rgb="FF000000"/>
      <name val="Courier New"/>
      <family val="3"/>
    </font>
    <font>
      <sz val="10"/>
      <color rgb="FF000000"/>
      <name val="Courier New"/>
      <family val="3"/>
    </font>
    <font>
      <b/>
      <sz val="10"/>
      <color rgb="FF000000"/>
      <name val="Courier New"/>
      <family val="3"/>
    </font>
    <font>
      <i/>
      <sz val="10"/>
      <color rgb="FF0070C0"/>
      <name val="Courier New"/>
      <family val="3"/>
    </font>
    <font>
      <sz val="10"/>
      <color rgb="FF7030A0"/>
      <name val="Courier New"/>
      <family val="3"/>
    </font>
    <font>
      <i/>
      <sz val="10"/>
      <color rgb="FF7030A0"/>
      <name val="Courier New"/>
      <family val="3"/>
    </font>
    <font>
      <i/>
      <sz val="10"/>
      <color rgb="FF000000"/>
      <name val="Courier New"/>
      <family val="3"/>
    </font>
    <font>
      <b/>
      <sz val="11"/>
      <color rgb="FF000000"/>
      <name val="Courier New"/>
      <family val="3"/>
    </font>
    <font>
      <sz val="9"/>
      <name val="Times New Roman"/>
      <family val="1"/>
    </font>
    <font>
      <b/>
      <sz val="9"/>
      <name val="Times New Roman"/>
      <family val="1"/>
    </font>
    <font>
      <b/>
      <i/>
      <sz val="9"/>
      <name val="Courier New"/>
      <family val="3"/>
    </font>
    <font>
      <b/>
      <i/>
      <sz val="9"/>
      <color rgb="FF7030A0"/>
      <name val="Courier New"/>
      <family val="3"/>
    </font>
    <font>
      <i/>
      <sz val="9"/>
      <name val="Courier New"/>
      <family val="3"/>
    </font>
    <font>
      <i/>
      <sz val="9"/>
      <color rgb="FFFF0000"/>
      <name val="Courier New"/>
      <family val="3"/>
    </font>
    <font>
      <sz val="9"/>
      <color rgb="FFC00000"/>
      <name val="Courier New"/>
      <family val="3"/>
    </font>
  </fonts>
  <fills count="29">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EB9C"/>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A5B3AE"/>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rgb="FFB8C8C6"/>
        <bgColor indexed="64"/>
      </patternFill>
    </fill>
    <fill>
      <patternFill patternType="solid">
        <fgColor theme="0" tint="-0.14999847407452621"/>
        <bgColor indexed="64"/>
      </patternFill>
    </fill>
    <fill>
      <patternFill patternType="solid">
        <fgColor rgb="FF8D9F99"/>
        <bgColor indexed="64"/>
      </patternFill>
    </fill>
    <fill>
      <patternFill patternType="solid">
        <fgColor rgb="FFFFFF99"/>
        <bgColor indexed="64"/>
      </patternFill>
    </fill>
    <fill>
      <patternFill patternType="solid">
        <fgColor rgb="FFFFF2CC"/>
        <bgColor rgb="FF000000"/>
      </patternFill>
    </fill>
    <fill>
      <patternFill patternType="solid">
        <fgColor rgb="FFE2EFDA"/>
        <bgColor rgb="FF000000"/>
      </patternFill>
    </fill>
    <fill>
      <patternFill patternType="solid">
        <fgColor rgb="FFF2F2F2"/>
        <bgColor rgb="FF000000"/>
      </patternFill>
    </fill>
    <fill>
      <patternFill patternType="solid">
        <fgColor rgb="FFD6DCE4"/>
        <bgColor rgb="FF000000"/>
      </patternFill>
    </fill>
    <fill>
      <patternFill patternType="solid">
        <fgColor rgb="FFF4B084"/>
        <bgColor rgb="FF000000"/>
      </patternFill>
    </fill>
    <fill>
      <patternFill patternType="solid">
        <fgColor rgb="FFDDEBF7"/>
        <bgColor rgb="FF000000"/>
      </patternFill>
    </fill>
    <fill>
      <patternFill patternType="solid">
        <fgColor rgb="FFD9D9D9"/>
        <bgColor rgb="FF000000"/>
      </patternFill>
    </fill>
    <fill>
      <patternFill patternType="solid">
        <fgColor rgb="FFFFFFFF"/>
        <bgColor rgb="FF000000"/>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style="thin">
        <color indexed="64"/>
      </right>
      <top style="thin">
        <color indexed="64"/>
      </top>
      <bottom/>
      <diagonal/>
    </border>
  </borders>
  <cellStyleXfs count="6">
    <xf numFmtId="0" fontId="0" fillId="0" borderId="0"/>
    <xf numFmtId="43" fontId="1" fillId="0" borderId="0" applyFont="0" applyFill="0" applyBorder="0" applyAlignment="0" applyProtection="0"/>
    <xf numFmtId="0" fontId="2" fillId="0" borderId="0"/>
    <xf numFmtId="0" fontId="2" fillId="0" borderId="0"/>
    <xf numFmtId="0" fontId="19" fillId="7" borderId="0" applyNumberFormat="0" applyBorder="0" applyAlignment="0" applyProtection="0"/>
    <xf numFmtId="9" fontId="1" fillId="0" borderId="0" applyFont="0" applyFill="0" applyBorder="0" applyAlignment="0" applyProtection="0"/>
  </cellStyleXfs>
  <cellXfs count="927">
    <xf numFmtId="0" fontId="0" fillId="0" borderId="0" xfId="0"/>
    <xf numFmtId="0" fontId="3" fillId="0" borderId="0" xfId="0" applyFont="1" applyAlignment="1">
      <alignment horizontal="center" wrapText="1"/>
    </xf>
    <xf numFmtId="165" fontId="3" fillId="0" borderId="0" xfId="0" applyNumberFormat="1" applyFont="1" applyAlignment="1">
      <alignment horizontal="center"/>
    </xf>
    <xf numFmtId="0" fontId="3" fillId="0" borderId="0" xfId="0" applyFont="1"/>
    <xf numFmtId="0" fontId="3" fillId="0" borderId="0" xfId="0" applyFont="1" applyAlignment="1">
      <alignment vertical="center"/>
    </xf>
    <xf numFmtId="0" fontId="3" fillId="0" borderId="0" xfId="0" applyFont="1" applyAlignment="1">
      <alignment horizontal="center" vertical="center"/>
    </xf>
    <xf numFmtId="0" fontId="3" fillId="0" borderId="1" xfId="0" applyFont="1" applyBorder="1" applyAlignment="1">
      <alignment vertical="center" wrapText="1"/>
    </xf>
    <xf numFmtId="165" fontId="3" fillId="0" borderId="1" xfId="0" applyNumberFormat="1" applyFont="1" applyBorder="1" applyAlignment="1">
      <alignment horizontal="center" vertical="center" wrapText="1"/>
    </xf>
    <xf numFmtId="0" fontId="3" fillId="0" borderId="0" xfId="0" applyFont="1" applyAlignment="1">
      <alignment vertical="center" wrapText="1"/>
    </xf>
    <xf numFmtId="0" fontId="3" fillId="0" borderId="1" xfId="0" applyFont="1" applyBorder="1" applyAlignment="1">
      <alignment horizontal="center" vertical="center" wrapText="1"/>
    </xf>
    <xf numFmtId="0" fontId="4" fillId="0" borderId="1" xfId="0" applyFont="1" applyBorder="1" applyAlignment="1">
      <alignment vertical="center" wrapText="1"/>
    </xf>
    <xf numFmtId="1" fontId="4" fillId="0" borderId="1" xfId="0" applyNumberFormat="1" applyFont="1" applyBorder="1" applyAlignment="1">
      <alignment horizontal="right"/>
    </xf>
    <xf numFmtId="0" fontId="4" fillId="0" borderId="1" xfId="0" applyFont="1" applyBorder="1"/>
    <xf numFmtId="0" fontId="4" fillId="0" borderId="0" xfId="0" applyFont="1"/>
    <xf numFmtId="0" fontId="4" fillId="0" borderId="0" xfId="0" applyFont="1" applyAlignment="1">
      <alignment vertical="center"/>
    </xf>
    <xf numFmtId="0" fontId="4" fillId="0" borderId="0" xfId="0" applyFont="1" applyAlignment="1">
      <alignment horizontal="center" vertical="center"/>
    </xf>
    <xf numFmtId="0" fontId="3" fillId="0" borderId="1" xfId="0" applyFont="1" applyBorder="1"/>
    <xf numFmtId="0" fontId="3" fillId="0" borderId="2" xfId="0" applyFont="1" applyBorder="1" applyAlignment="1">
      <alignment horizontal="center"/>
    </xf>
    <xf numFmtId="0" fontId="3" fillId="0" borderId="2" xfId="0"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center"/>
    </xf>
    <xf numFmtId="166" fontId="4" fillId="0" borderId="1" xfId="0" applyNumberFormat="1" applyFont="1" applyBorder="1" applyAlignment="1">
      <alignment horizontal="center"/>
    </xf>
    <xf numFmtId="1" fontId="3" fillId="0" borderId="1" xfId="0" applyNumberFormat="1" applyFont="1" applyBorder="1" applyAlignment="1">
      <alignment horizontal="right"/>
    </xf>
    <xf numFmtId="0" fontId="3" fillId="0" borderId="1" xfId="0" applyFont="1" applyBorder="1" applyAlignment="1">
      <alignment vertical="center"/>
    </xf>
    <xf numFmtId="166" fontId="3" fillId="0" borderId="1" xfId="0" applyNumberFormat="1" applyFont="1" applyBorder="1" applyAlignment="1">
      <alignment horizontal="center"/>
    </xf>
    <xf numFmtId="165" fontId="3" fillId="0" borderId="1" xfId="0" applyNumberFormat="1" applyFont="1" applyBorder="1" applyAlignment="1">
      <alignment horizontal="center"/>
    </xf>
    <xf numFmtId="165" fontId="4" fillId="0" borderId="1" xfId="0" applyNumberFormat="1" applyFont="1" applyBorder="1" applyAlignment="1">
      <alignment horizontal="center"/>
    </xf>
    <xf numFmtId="165" fontId="4" fillId="0" borderId="0" xfId="0" applyNumberFormat="1" applyFont="1" applyAlignment="1">
      <alignment horizontal="center"/>
    </xf>
    <xf numFmtId="0" fontId="8" fillId="0" borderId="0" xfId="0" applyFont="1" applyAlignment="1">
      <alignment vertical="center"/>
    </xf>
    <xf numFmtId="0" fontId="8" fillId="0" borderId="0" xfId="1" applyNumberFormat="1" applyFont="1" applyFill="1" applyBorder="1" applyAlignment="1">
      <alignment horizontal="center" vertical="center"/>
    </xf>
    <xf numFmtId="0" fontId="12" fillId="0" borderId="0" xfId="0" applyFont="1" applyAlignment="1">
      <alignment vertical="center"/>
    </xf>
    <xf numFmtId="43" fontId="8" fillId="0" borderId="0" xfId="1" applyFont="1" applyFill="1" applyBorder="1" applyAlignment="1">
      <alignment vertical="center"/>
    </xf>
    <xf numFmtId="0" fontId="8" fillId="0" borderId="0" xfId="1" applyNumberFormat="1" applyFont="1" applyFill="1" applyBorder="1" applyAlignment="1">
      <alignment vertical="center"/>
    </xf>
    <xf numFmtId="0" fontId="12" fillId="0" borderId="0" xfId="1" applyNumberFormat="1" applyFont="1" applyFill="1" applyBorder="1" applyAlignment="1">
      <alignment horizontal="center" vertical="center"/>
    </xf>
    <xf numFmtId="43" fontId="12" fillId="0" borderId="0" xfId="1" applyFont="1" applyFill="1" applyBorder="1" applyAlignment="1">
      <alignment vertical="center"/>
    </xf>
    <xf numFmtId="0" fontId="12" fillId="0" borderId="0" xfId="1" applyNumberFormat="1" applyFont="1" applyFill="1" applyBorder="1" applyAlignment="1">
      <alignment vertical="center"/>
    </xf>
    <xf numFmtId="0" fontId="8" fillId="0" borderId="0" xfId="0" applyFont="1" applyAlignment="1">
      <alignment vertical="center" wrapText="1"/>
    </xf>
    <xf numFmtId="0" fontId="8" fillId="4" borderId="0" xfId="0" applyFont="1" applyFill="1" applyAlignment="1">
      <alignment vertical="center"/>
    </xf>
    <xf numFmtId="0" fontId="8" fillId="4" borderId="0" xfId="1" applyNumberFormat="1" applyFont="1" applyFill="1" applyBorder="1" applyAlignment="1">
      <alignment horizontal="center" vertical="center"/>
    </xf>
    <xf numFmtId="164" fontId="0" fillId="0" borderId="0" xfId="0" applyNumberFormat="1"/>
    <xf numFmtId="0" fontId="21" fillId="0" borderId="0" xfId="0" applyFont="1"/>
    <xf numFmtId="0" fontId="21" fillId="0" borderId="0" xfId="0" applyFont="1" applyAlignment="1">
      <alignment wrapText="1"/>
    </xf>
    <xf numFmtId="0" fontId="21" fillId="0" borderId="0" xfId="0" applyFont="1" applyAlignment="1">
      <alignment horizontal="center"/>
    </xf>
    <xf numFmtId="0" fontId="20" fillId="0" borderId="0" xfId="1" applyNumberFormat="1" applyFont="1" applyFill="1" applyBorder="1" applyAlignment="1">
      <alignment horizontal="center"/>
    </xf>
    <xf numFmtId="43" fontId="21" fillId="0" borderId="0" xfId="1" applyFont="1" applyFill="1" applyBorder="1"/>
    <xf numFmtId="0" fontId="11" fillId="0" borderId="0" xfId="3" applyFont="1" applyAlignment="1">
      <alignment horizontal="center"/>
    </xf>
    <xf numFmtId="0" fontId="11" fillId="0" borderId="0" xfId="3" applyFont="1" applyAlignment="1">
      <alignment horizontal="center" wrapText="1"/>
    </xf>
    <xf numFmtId="167" fontId="10" fillId="0" borderId="0" xfId="3" applyNumberFormat="1" applyFont="1" applyAlignment="1">
      <alignment horizontal="right"/>
    </xf>
    <xf numFmtId="2" fontId="13" fillId="0" borderId="0" xfId="2" applyNumberFormat="1" applyFont="1" applyAlignment="1">
      <alignment horizontal="right"/>
    </xf>
    <xf numFmtId="2" fontId="13" fillId="0" borderId="0" xfId="2" applyNumberFormat="1" applyFont="1" applyAlignment="1">
      <alignment horizontal="right" wrapText="1"/>
    </xf>
    <xf numFmtId="0" fontId="13" fillId="0" borderId="0" xfId="2" applyFont="1" applyAlignment="1">
      <alignment horizontal="right"/>
    </xf>
    <xf numFmtId="0" fontId="25" fillId="6" borderId="0" xfId="0" applyFont="1" applyFill="1" applyAlignment="1">
      <alignment wrapText="1"/>
    </xf>
    <xf numFmtId="0" fontId="25" fillId="6" borderId="0" xfId="0" applyFont="1" applyFill="1"/>
    <xf numFmtId="0" fontId="25" fillId="6" borderId="0" xfId="1" applyNumberFormat="1" applyFont="1" applyFill="1" applyBorder="1" applyAlignment="1">
      <alignment horizontal="center"/>
    </xf>
    <xf numFmtId="0" fontId="15" fillId="0" borderId="0" xfId="0" applyFont="1" applyAlignment="1">
      <alignment wrapText="1"/>
    </xf>
    <xf numFmtId="0" fontId="15" fillId="0" borderId="0" xfId="0" applyFont="1"/>
    <xf numFmtId="0" fontId="15" fillId="0" borderId="0" xfId="1" applyNumberFormat="1" applyFont="1" applyFill="1" applyBorder="1" applyAlignment="1">
      <alignment horizontal="center"/>
    </xf>
    <xf numFmtId="43" fontId="15" fillId="0" borderId="0" xfId="1" applyFont="1" applyFill="1" applyBorder="1"/>
    <xf numFmtId="0" fontId="20" fillId="0" borderId="0" xfId="0" applyFont="1" applyAlignment="1">
      <alignment wrapText="1"/>
    </xf>
    <xf numFmtId="0" fontId="20" fillId="0" borderId="0" xfId="0" applyFont="1"/>
    <xf numFmtId="43" fontId="20" fillId="0" borderId="0" xfId="1" applyFont="1" applyFill="1" applyBorder="1"/>
    <xf numFmtId="0" fontId="9" fillId="0" borderId="0" xfId="0" applyFont="1" applyAlignment="1">
      <alignment wrapText="1"/>
    </xf>
    <xf numFmtId="0" fontId="9" fillId="0" borderId="0" xfId="0" applyFont="1"/>
    <xf numFmtId="0" fontId="9" fillId="0" borderId="0" xfId="1" applyNumberFormat="1" applyFont="1" applyFill="1" applyBorder="1" applyAlignment="1">
      <alignment horizontal="center"/>
    </xf>
    <xf numFmtId="43" fontId="9" fillId="0" borderId="0" xfId="1" applyFont="1" applyFill="1" applyBorder="1"/>
    <xf numFmtId="0" fontId="21" fillId="0" borderId="0" xfId="1" applyNumberFormat="1" applyFont="1" applyFill="1" applyBorder="1" applyAlignment="1">
      <alignment horizontal="center"/>
    </xf>
    <xf numFmtId="43" fontId="25" fillId="6" borderId="0" xfId="1" applyFont="1" applyFill="1" applyBorder="1"/>
    <xf numFmtId="0" fontId="25" fillId="9" borderId="0" xfId="0" applyFont="1" applyFill="1" applyAlignment="1">
      <alignment wrapText="1"/>
    </xf>
    <xf numFmtId="0" fontId="25" fillId="9" borderId="0" xfId="0" applyFont="1" applyFill="1"/>
    <xf numFmtId="0" fontId="25" fillId="9" borderId="0" xfId="1" applyNumberFormat="1" applyFont="1" applyFill="1" applyBorder="1" applyAlignment="1">
      <alignment horizontal="center"/>
    </xf>
    <xf numFmtId="0" fontId="15" fillId="0" borderId="0" xfId="1" applyNumberFormat="1" applyFont="1" applyFill="1" applyBorder="1" applyAlignment="1">
      <alignment horizontal="left"/>
    </xf>
    <xf numFmtId="43" fontId="25" fillId="9" borderId="0" xfId="1" applyFont="1" applyFill="1" applyBorder="1"/>
    <xf numFmtId="0" fontId="25" fillId="8" borderId="0" xfId="0" applyFont="1" applyFill="1" applyAlignment="1">
      <alignment wrapText="1"/>
    </xf>
    <xf numFmtId="0" fontId="25" fillId="8" borderId="0" xfId="0" applyFont="1" applyFill="1"/>
    <xf numFmtId="43" fontId="21" fillId="8" borderId="0" xfId="1" applyFont="1" applyFill="1" applyBorder="1"/>
    <xf numFmtId="0" fontId="26" fillId="8" borderId="0" xfId="1" applyNumberFormat="1" applyFont="1" applyFill="1" applyBorder="1" applyAlignment="1">
      <alignment horizontal="center"/>
    </xf>
    <xf numFmtId="43" fontId="25" fillId="8" borderId="0" xfId="1" applyFont="1" applyFill="1" applyBorder="1"/>
    <xf numFmtId="0" fontId="22" fillId="0" borderId="0" xfId="0" applyFont="1" applyAlignment="1">
      <alignment horizontal="center" wrapText="1"/>
    </xf>
    <xf numFmtId="0" fontId="22" fillId="0" borderId="0" xfId="0" applyFont="1" applyAlignment="1">
      <alignment horizontal="center"/>
    </xf>
    <xf numFmtId="0" fontId="22" fillId="0" borderId="0" xfId="1" applyNumberFormat="1" applyFont="1" applyFill="1" applyBorder="1" applyAlignment="1">
      <alignment horizontal="center"/>
    </xf>
    <xf numFmtId="0" fontId="31" fillId="0" borderId="0" xfId="0" applyFont="1" applyAlignment="1">
      <alignment vertical="center" wrapText="1"/>
    </xf>
    <xf numFmtId="0" fontId="31" fillId="0" borderId="0" xfId="1" applyNumberFormat="1" applyFont="1" applyFill="1" applyBorder="1" applyAlignment="1">
      <alignment horizontal="center" vertical="center" wrapText="1"/>
    </xf>
    <xf numFmtId="43" fontId="27" fillId="0" borderId="0" xfId="1" applyFont="1" applyFill="1" applyBorder="1" applyAlignment="1">
      <alignment wrapText="1"/>
    </xf>
    <xf numFmtId="43" fontId="27" fillId="0" borderId="0" xfId="1" applyFont="1" applyFill="1" applyBorder="1"/>
    <xf numFmtId="0" fontId="22" fillId="0" borderId="0" xfId="0" applyFont="1" applyAlignment="1">
      <alignment wrapText="1"/>
    </xf>
    <xf numFmtId="0" fontId="22" fillId="0" borderId="0" xfId="0" applyFont="1"/>
    <xf numFmtId="0" fontId="28" fillId="0" borderId="0" xfId="1" applyNumberFormat="1" applyFont="1" applyFill="1" applyBorder="1" applyAlignment="1">
      <alignment horizontal="center"/>
    </xf>
    <xf numFmtId="43" fontId="22" fillId="0" borderId="0" xfId="0" applyNumberFormat="1" applyFont="1"/>
    <xf numFmtId="0" fontId="23" fillId="0" borderId="0" xfId="0" applyFont="1" applyAlignment="1">
      <alignment wrapText="1"/>
    </xf>
    <xf numFmtId="0" fontId="23" fillId="0" borderId="0" xfId="0" applyFont="1"/>
    <xf numFmtId="0" fontId="23" fillId="0" borderId="0" xfId="1" applyNumberFormat="1" applyFont="1" applyFill="1" applyBorder="1" applyAlignment="1">
      <alignment horizontal="center"/>
    </xf>
    <xf numFmtId="43" fontId="23" fillId="0" borderId="0" xfId="0" applyNumberFormat="1" applyFont="1"/>
    <xf numFmtId="0" fontId="29" fillId="0" borderId="0" xfId="0" applyFont="1" applyAlignment="1">
      <alignment wrapText="1"/>
    </xf>
    <xf numFmtId="0" fontId="29" fillId="0" borderId="0" xfId="0" applyFont="1"/>
    <xf numFmtId="0" fontId="29" fillId="0" borderId="0" xfId="1" applyNumberFormat="1" applyFont="1" applyFill="1" applyBorder="1" applyAlignment="1">
      <alignment horizontal="center"/>
    </xf>
    <xf numFmtId="43" fontId="29" fillId="0" borderId="0" xfId="0" applyNumberFormat="1" applyFont="1"/>
    <xf numFmtId="0" fontId="30" fillId="0" borderId="0" xfId="0" applyFont="1"/>
    <xf numFmtId="0" fontId="12" fillId="0" borderId="0" xfId="0" applyFont="1"/>
    <xf numFmtId="14" fontId="20" fillId="0" borderId="0" xfId="0" applyNumberFormat="1" applyFont="1" applyAlignment="1">
      <alignment wrapText="1"/>
    </xf>
    <xf numFmtId="14" fontId="20" fillId="0" borderId="0" xfId="0" applyNumberFormat="1" applyFont="1"/>
    <xf numFmtId="14" fontId="20" fillId="0" borderId="0" xfId="0" applyNumberFormat="1" applyFont="1" applyAlignment="1">
      <alignment vertical="top"/>
    </xf>
    <xf numFmtId="0" fontId="20" fillId="0" borderId="0" xfId="0" applyFont="1" applyAlignment="1">
      <alignment vertical="top" wrapText="1"/>
    </xf>
    <xf numFmtId="4" fontId="24" fillId="0" borderId="0" xfId="1" applyNumberFormat="1" applyFont="1" applyFill="1" applyBorder="1" applyAlignment="1">
      <alignment vertical="top"/>
    </xf>
    <xf numFmtId="0" fontId="20" fillId="0" borderId="0" xfId="0" applyFont="1" applyAlignment="1">
      <alignment horizontal="left" vertical="top" wrapText="1"/>
    </xf>
    <xf numFmtId="43" fontId="20" fillId="0" borderId="0" xfId="0" applyNumberFormat="1" applyFont="1"/>
    <xf numFmtId="4" fontId="20" fillId="0" borderId="0" xfId="0" applyNumberFormat="1" applyFont="1"/>
    <xf numFmtId="0" fontId="33" fillId="0" borderId="0" xfId="0" applyFont="1" applyAlignment="1">
      <alignment horizontal="center" vertical="center"/>
    </xf>
    <xf numFmtId="0" fontId="33" fillId="0" borderId="0" xfId="1" applyNumberFormat="1" applyFont="1" applyFill="1" applyBorder="1" applyAlignment="1">
      <alignment horizontal="center" vertical="center"/>
    </xf>
    <xf numFmtId="0" fontId="32" fillId="0" borderId="0" xfId="0" applyFont="1" applyAlignment="1">
      <alignment vertical="center"/>
    </xf>
    <xf numFmtId="43" fontId="10" fillId="0" borderId="0" xfId="1" applyFont="1" applyFill="1" applyBorder="1" applyAlignment="1">
      <alignment horizontal="right"/>
    </xf>
    <xf numFmtId="43" fontId="32" fillId="0" borderId="0" xfId="1" applyFont="1" applyFill="1" applyBorder="1" applyAlignment="1">
      <alignment vertical="center"/>
    </xf>
    <xf numFmtId="0" fontId="32" fillId="0" borderId="0" xfId="1" applyNumberFormat="1" applyFont="1" applyFill="1" applyBorder="1" applyAlignment="1">
      <alignment vertical="center"/>
    </xf>
    <xf numFmtId="0" fontId="32" fillId="0" borderId="0" xfId="1" applyNumberFormat="1" applyFont="1" applyFill="1" applyBorder="1" applyAlignment="1">
      <alignment horizontal="center" vertical="center"/>
    </xf>
    <xf numFmtId="0" fontId="32" fillId="0" borderId="0" xfId="0" applyFont="1" applyAlignment="1">
      <alignment vertical="center" wrapText="1"/>
    </xf>
    <xf numFmtId="0" fontId="35" fillId="0" borderId="0" xfId="0" applyFont="1" applyAlignment="1">
      <alignment vertical="center"/>
    </xf>
    <xf numFmtId="0" fontId="35" fillId="0" borderId="0" xfId="1" applyNumberFormat="1" applyFont="1" applyFill="1" applyBorder="1" applyAlignment="1">
      <alignment horizontal="center" vertical="center"/>
    </xf>
    <xf numFmtId="43" fontId="35" fillId="0" borderId="0" xfId="1" applyFont="1" applyFill="1" applyBorder="1" applyAlignment="1">
      <alignment vertical="center"/>
    </xf>
    <xf numFmtId="0" fontId="35" fillId="0" borderId="0" xfId="1" applyNumberFormat="1" applyFont="1" applyFill="1" applyBorder="1" applyAlignment="1">
      <alignment vertical="center"/>
    </xf>
    <xf numFmtId="0" fontId="11" fillId="0" borderId="0" xfId="3" applyFont="1" applyAlignment="1">
      <alignment horizontal="left" wrapText="1"/>
    </xf>
    <xf numFmtId="0" fontId="32" fillId="0" borderId="0" xfId="1" applyNumberFormat="1" applyFont="1" applyFill="1" applyBorder="1" applyAlignment="1">
      <alignment horizontal="left" vertical="center" wrapText="1"/>
    </xf>
    <xf numFmtId="0" fontId="8" fillId="0" borderId="0" xfId="0" applyFont="1" applyAlignment="1">
      <alignment horizontal="left" vertical="center" wrapText="1"/>
    </xf>
    <xf numFmtId="0" fontId="12" fillId="0" borderId="0" xfId="0" applyFont="1" applyAlignment="1">
      <alignment horizontal="left" vertical="center" wrapText="1"/>
    </xf>
    <xf numFmtId="0" fontId="32" fillId="0" borderId="0" xfId="0" applyFont="1" applyAlignment="1">
      <alignment horizontal="left" vertical="center" wrapText="1"/>
    </xf>
    <xf numFmtId="0" fontId="35" fillId="0" borderId="0" xfId="0" applyFont="1" applyAlignment="1">
      <alignment horizontal="left" vertical="center" wrapText="1"/>
    </xf>
    <xf numFmtId="0" fontId="32" fillId="0" borderId="0" xfId="0" applyFont="1" applyAlignment="1">
      <alignment horizontal="center" vertical="center"/>
    </xf>
    <xf numFmtId="0" fontId="8" fillId="4" borderId="0" xfId="0" applyFont="1" applyFill="1" applyAlignment="1">
      <alignment horizontal="center" vertical="center"/>
    </xf>
    <xf numFmtId="0" fontId="12" fillId="0" borderId="0" xfId="0" applyFont="1" applyAlignment="1">
      <alignment horizontal="center" vertical="center"/>
    </xf>
    <xf numFmtId="0" fontId="35" fillId="0" borderId="0" xfId="0" applyFont="1" applyAlignment="1">
      <alignment horizontal="center" vertical="center"/>
    </xf>
    <xf numFmtId="0" fontId="18" fillId="0" borderId="0" xfId="0" applyFont="1" applyAlignment="1">
      <alignment horizontal="center" vertical="center"/>
    </xf>
    <xf numFmtId="0" fontId="18" fillId="0" borderId="0" xfId="0" applyFont="1" applyAlignment="1">
      <alignment vertical="center"/>
    </xf>
    <xf numFmtId="0" fontId="18" fillId="0" borderId="0" xfId="1" applyNumberFormat="1" applyFont="1" applyFill="1" applyBorder="1" applyAlignment="1">
      <alignment horizontal="center" vertical="center"/>
    </xf>
    <xf numFmtId="0" fontId="18" fillId="0" borderId="0" xfId="0" applyFont="1" applyAlignment="1">
      <alignment horizontal="left" vertical="center" wrapText="1"/>
    </xf>
    <xf numFmtId="0" fontId="18" fillId="0" borderId="0" xfId="0" applyFont="1" applyAlignment="1">
      <alignment vertical="center" wrapText="1"/>
    </xf>
    <xf numFmtId="43" fontId="18" fillId="0" borderId="0" xfId="1" applyFont="1" applyFill="1" applyBorder="1" applyAlignment="1">
      <alignment vertical="center"/>
    </xf>
    <xf numFmtId="0" fontId="18" fillId="0" borderId="0" xfId="1" applyNumberFormat="1" applyFont="1" applyFill="1" applyBorder="1" applyAlignment="1">
      <alignment vertical="center"/>
    </xf>
    <xf numFmtId="0" fontId="36" fillId="6" borderId="0" xfId="0" applyFont="1" applyFill="1"/>
    <xf numFmtId="0" fontId="31" fillId="0" borderId="0" xfId="0" applyFont="1" applyAlignment="1">
      <alignment horizontal="center" vertical="center" wrapText="1"/>
    </xf>
    <xf numFmtId="43" fontId="15" fillId="0" borderId="0" xfId="1" applyFont="1" applyFill="1" applyBorder="1" applyAlignment="1">
      <alignment wrapText="1"/>
    </xf>
    <xf numFmtId="43" fontId="20" fillId="0" borderId="0" xfId="1" applyFont="1" applyFill="1" applyBorder="1" applyAlignment="1">
      <alignment wrapText="1"/>
    </xf>
    <xf numFmtId="43" fontId="21" fillId="0" borderId="0" xfId="1" applyFont="1" applyFill="1" applyBorder="1" applyAlignment="1">
      <alignment wrapText="1"/>
    </xf>
    <xf numFmtId="43" fontId="25" fillId="6" borderId="0" xfId="1" applyFont="1" applyFill="1" applyBorder="1" applyAlignment="1">
      <alignment wrapText="1"/>
    </xf>
    <xf numFmtId="43" fontId="9" fillId="0" borderId="0" xfId="1" applyFont="1" applyFill="1" applyBorder="1" applyAlignment="1">
      <alignment wrapText="1"/>
    </xf>
    <xf numFmtId="43" fontId="25" fillId="8" borderId="0" xfId="1" applyFont="1" applyFill="1" applyBorder="1" applyAlignment="1">
      <alignment wrapText="1"/>
    </xf>
    <xf numFmtId="43" fontId="22" fillId="0" borderId="0" xfId="0" applyNumberFormat="1" applyFont="1" applyAlignment="1">
      <alignment wrapText="1"/>
    </xf>
    <xf numFmtId="43" fontId="23" fillId="0" borderId="0" xfId="0" applyNumberFormat="1" applyFont="1" applyAlignment="1">
      <alignment wrapText="1"/>
    </xf>
    <xf numFmtId="43" fontId="29" fillId="0" borderId="0" xfId="1" applyFont="1" applyFill="1" applyBorder="1"/>
    <xf numFmtId="43" fontId="29" fillId="0" borderId="0" xfId="1" applyFont="1" applyFill="1" applyBorder="1" applyAlignment="1">
      <alignment wrapText="1"/>
    </xf>
    <xf numFmtId="0" fontId="41" fillId="0" borderId="0" xfId="0" applyFont="1" applyAlignment="1">
      <alignment wrapText="1"/>
    </xf>
    <xf numFmtId="0" fontId="41" fillId="0" borderId="0" xfId="0" applyFont="1"/>
    <xf numFmtId="0" fontId="41" fillId="0" borderId="0" xfId="1" applyNumberFormat="1" applyFont="1" applyFill="1" applyBorder="1" applyAlignment="1">
      <alignment horizontal="center"/>
    </xf>
    <xf numFmtId="0" fontId="28" fillId="0" borderId="0" xfId="0" applyFont="1" applyAlignment="1">
      <alignment wrapText="1"/>
    </xf>
    <xf numFmtId="0" fontId="28" fillId="0" borderId="0" xfId="0" applyFont="1"/>
    <xf numFmtId="0" fontId="12" fillId="0" borderId="0" xfId="0" applyFont="1" applyAlignment="1">
      <alignment wrapText="1"/>
    </xf>
    <xf numFmtId="0" fontId="12" fillId="0" borderId="0" xfId="1" applyNumberFormat="1" applyFont="1" applyFill="1" applyBorder="1" applyAlignment="1">
      <alignment horizontal="center"/>
    </xf>
    <xf numFmtId="43" fontId="12" fillId="0" borderId="0" xfId="1" applyFont="1" applyFill="1" applyBorder="1"/>
    <xf numFmtId="43" fontId="12" fillId="0" borderId="0" xfId="1" applyFont="1" applyFill="1" applyBorder="1" applyAlignment="1">
      <alignment wrapText="1"/>
    </xf>
    <xf numFmtId="43" fontId="41" fillId="0" borderId="0" xfId="1" applyFont="1" applyFill="1" applyBorder="1"/>
    <xf numFmtId="43" fontId="28" fillId="0" borderId="0" xfId="1" applyFont="1" applyFill="1" applyBorder="1"/>
    <xf numFmtId="0" fontId="42" fillId="0" borderId="0" xfId="0" applyFont="1"/>
    <xf numFmtId="0" fontId="42" fillId="0" borderId="0" xfId="1" applyNumberFormat="1" applyFont="1" applyFill="1" applyBorder="1" applyAlignment="1">
      <alignment horizontal="center"/>
    </xf>
    <xf numFmtId="0" fontId="42" fillId="0" borderId="0" xfId="0" applyFont="1" applyAlignment="1">
      <alignment wrapText="1"/>
    </xf>
    <xf numFmtId="0" fontId="35" fillId="0" borderId="0" xfId="0" applyFont="1" applyAlignment="1">
      <alignment wrapText="1"/>
    </xf>
    <xf numFmtId="0" fontId="35" fillId="0" borderId="0" xfId="0" applyFont="1"/>
    <xf numFmtId="0" fontId="35" fillId="0" borderId="0" xfId="1" applyNumberFormat="1" applyFont="1" applyFill="1" applyBorder="1" applyAlignment="1">
      <alignment horizontal="center"/>
    </xf>
    <xf numFmtId="43" fontId="35" fillId="0" borderId="0" xfId="1" applyFont="1" applyFill="1" applyBorder="1"/>
    <xf numFmtId="43" fontId="35" fillId="0" borderId="0" xfId="1" applyFont="1" applyFill="1" applyBorder="1" applyAlignment="1">
      <alignment wrapText="1"/>
    </xf>
    <xf numFmtId="43" fontId="43" fillId="0" borderId="0" xfId="1" applyFont="1" applyFill="1" applyBorder="1"/>
    <xf numFmtId="43" fontId="42" fillId="0" borderId="0" xfId="0" applyNumberFormat="1" applyFont="1"/>
    <xf numFmtId="0" fontId="12" fillId="0" borderId="0" xfId="1" applyNumberFormat="1" applyFont="1" applyFill="1" applyBorder="1" applyAlignment="1">
      <alignment horizontal="right" vertical="center"/>
    </xf>
    <xf numFmtId="0" fontId="35" fillId="0" borderId="0" xfId="1" applyNumberFormat="1" applyFont="1" applyFill="1" applyBorder="1" applyAlignment="1">
      <alignment horizontal="right" vertical="center"/>
    </xf>
    <xf numFmtId="164" fontId="35" fillId="0" borderId="0" xfId="1" applyNumberFormat="1" applyFont="1" applyFill="1" applyBorder="1" applyAlignment="1">
      <alignment horizontal="right" vertical="center"/>
    </xf>
    <xf numFmtId="168" fontId="35" fillId="0" borderId="0" xfId="1" applyNumberFormat="1" applyFont="1" applyFill="1" applyBorder="1" applyAlignment="1">
      <alignment horizontal="right" vertical="center"/>
    </xf>
    <xf numFmtId="0" fontId="32" fillId="3" borderId="0" xfId="1" applyNumberFormat="1" applyFont="1" applyFill="1" applyBorder="1" applyAlignment="1">
      <alignment horizontal="center" vertical="center"/>
    </xf>
    <xf numFmtId="0" fontId="32" fillId="3" borderId="0" xfId="0" applyFont="1" applyFill="1" applyAlignment="1">
      <alignment horizontal="left" vertical="center" wrapText="1"/>
    </xf>
    <xf numFmtId="0" fontId="32" fillId="3" borderId="0" xfId="0" applyFont="1" applyFill="1" applyAlignment="1">
      <alignment vertical="center" wrapText="1"/>
    </xf>
    <xf numFmtId="0" fontId="32" fillId="3" borderId="0" xfId="0" applyFont="1" applyFill="1" applyAlignment="1">
      <alignment vertical="center"/>
    </xf>
    <xf numFmtId="43" fontId="32" fillId="3" borderId="0" xfId="1" applyFont="1" applyFill="1" applyBorder="1" applyAlignment="1">
      <alignment vertical="center"/>
    </xf>
    <xf numFmtId="0" fontId="32" fillId="3" borderId="0" xfId="1" applyNumberFormat="1" applyFont="1" applyFill="1" applyBorder="1" applyAlignment="1">
      <alignment vertical="center"/>
    </xf>
    <xf numFmtId="0" fontId="32" fillId="3" borderId="0" xfId="0" applyFont="1" applyFill="1" applyAlignment="1">
      <alignment horizontal="center" vertical="center"/>
    </xf>
    <xf numFmtId="0" fontId="44" fillId="0" borderId="0" xfId="0" applyFont="1" applyAlignment="1">
      <alignment horizontal="center" vertical="center"/>
    </xf>
    <xf numFmtId="0" fontId="44" fillId="0" borderId="0" xfId="0" applyFont="1" applyAlignment="1">
      <alignment vertical="center"/>
    </xf>
    <xf numFmtId="0" fontId="44" fillId="0" borderId="0" xfId="1" applyNumberFormat="1" applyFont="1" applyFill="1" applyBorder="1" applyAlignment="1">
      <alignment horizontal="center" vertical="center"/>
    </xf>
    <xf numFmtId="0" fontId="44" fillId="0" borderId="0" xfId="0" applyFont="1" applyAlignment="1">
      <alignment horizontal="left" vertical="center" wrapText="1"/>
    </xf>
    <xf numFmtId="0" fontId="44" fillId="0" borderId="0" xfId="0" applyFont="1" applyAlignment="1">
      <alignment vertical="center" wrapText="1"/>
    </xf>
    <xf numFmtId="43" fontId="44" fillId="0" borderId="0" xfId="1" applyFont="1" applyFill="1" applyBorder="1" applyAlignment="1">
      <alignment vertical="center"/>
    </xf>
    <xf numFmtId="0" fontId="44" fillId="0" borderId="0" xfId="1" applyNumberFormat="1" applyFont="1" applyFill="1" applyBorder="1" applyAlignment="1">
      <alignment vertical="center"/>
    </xf>
    <xf numFmtId="0" fontId="35" fillId="0" borderId="0" xfId="0" applyFont="1" applyAlignment="1">
      <alignment vertical="center" wrapText="1"/>
    </xf>
    <xf numFmtId="0" fontId="8" fillId="4" borderId="0" xfId="2" applyFont="1" applyFill="1" applyAlignment="1">
      <alignment horizontal="left" vertical="center" wrapText="1"/>
    </xf>
    <xf numFmtId="0" fontId="8" fillId="4" borderId="0" xfId="2" applyFont="1" applyFill="1" applyAlignment="1">
      <alignment horizontal="center" vertical="center" wrapText="1"/>
    </xf>
    <xf numFmtId="43" fontId="13" fillId="0" borderId="0" xfId="1" applyFont="1" applyFill="1" applyBorder="1" applyAlignment="1">
      <alignment horizontal="right"/>
    </xf>
    <xf numFmtId="43" fontId="11" fillId="0" borderId="0" xfId="1" applyFont="1" applyFill="1" applyBorder="1" applyAlignment="1">
      <alignment horizontal="right"/>
    </xf>
    <xf numFmtId="0" fontId="32" fillId="0" borderId="0" xfId="0" applyFont="1" applyAlignment="1">
      <alignment horizontal="right" vertical="center"/>
    </xf>
    <xf numFmtId="0" fontId="10" fillId="0" borderId="0" xfId="3" applyFont="1" applyAlignment="1">
      <alignment horizontal="right"/>
    </xf>
    <xf numFmtId="167" fontId="10" fillId="0" borderId="0" xfId="2" applyNumberFormat="1" applyFont="1" applyAlignment="1">
      <alignment horizontal="right"/>
    </xf>
    <xf numFmtId="43" fontId="32" fillId="0" borderId="0" xfId="1" applyFont="1" applyFill="1" applyBorder="1" applyAlignment="1">
      <alignment horizontal="right" vertical="center"/>
    </xf>
    <xf numFmtId="167" fontId="32" fillId="0" borderId="0" xfId="1" applyNumberFormat="1" applyFont="1" applyFill="1" applyBorder="1" applyAlignment="1">
      <alignment horizontal="right" vertical="center"/>
    </xf>
    <xf numFmtId="0" fontId="32" fillId="0" borderId="0" xfId="1" applyNumberFormat="1" applyFont="1" applyFill="1" applyBorder="1" applyAlignment="1">
      <alignment horizontal="right" vertical="center"/>
    </xf>
    <xf numFmtId="0" fontId="34" fillId="0" borderId="0" xfId="0" applyFont="1" applyAlignment="1">
      <alignment horizontal="right" vertical="center"/>
    </xf>
    <xf numFmtId="0" fontId="34" fillId="0" borderId="0" xfId="1" applyNumberFormat="1" applyFont="1" applyFill="1" applyBorder="1" applyAlignment="1">
      <alignment horizontal="right" vertical="center"/>
    </xf>
    <xf numFmtId="0" fontId="33" fillId="0" borderId="0" xfId="0" applyFont="1" applyAlignment="1">
      <alignment horizontal="right" vertical="center"/>
    </xf>
    <xf numFmtId="0" fontId="11" fillId="0" borderId="0" xfId="3" applyFont="1" applyAlignment="1">
      <alignment horizontal="right"/>
    </xf>
    <xf numFmtId="0" fontId="33" fillId="0" borderId="0" xfId="1" applyNumberFormat="1" applyFont="1" applyFill="1" applyBorder="1" applyAlignment="1">
      <alignment horizontal="right" vertical="center"/>
    </xf>
    <xf numFmtId="0" fontId="15" fillId="0" borderId="0" xfId="4" applyNumberFormat="1" applyFont="1" applyFill="1" applyBorder="1"/>
    <xf numFmtId="0" fontId="27" fillId="0" borderId="0" xfId="1" applyNumberFormat="1" applyFont="1" applyFill="1" applyBorder="1" applyAlignment="1">
      <alignment horizontal="center"/>
    </xf>
    <xf numFmtId="0" fontId="20" fillId="0" borderId="0" xfId="0" applyFont="1" applyAlignment="1">
      <alignment vertical="top"/>
    </xf>
    <xf numFmtId="43" fontId="14" fillId="0" borderId="0" xfId="1" applyFont="1" applyFill="1" applyBorder="1"/>
    <xf numFmtId="43" fontId="43" fillId="0" borderId="0" xfId="1" applyFont="1" applyFill="1" applyBorder="1" applyAlignment="1">
      <alignment wrapText="1"/>
    </xf>
    <xf numFmtId="0" fontId="43" fillId="0" borderId="0" xfId="1" applyNumberFormat="1" applyFont="1" applyFill="1" applyBorder="1" applyAlignment="1">
      <alignment horizontal="center"/>
    </xf>
    <xf numFmtId="0" fontId="21" fillId="2" borderId="0" xfId="0" applyFont="1" applyFill="1" applyAlignment="1">
      <alignment wrapText="1"/>
    </xf>
    <xf numFmtId="0" fontId="21" fillId="2" borderId="0" xfId="0" applyFont="1" applyFill="1"/>
    <xf numFmtId="43" fontId="21" fillId="2" borderId="0" xfId="1" applyFont="1" applyFill="1" applyBorder="1"/>
    <xf numFmtId="43" fontId="21" fillId="2" borderId="0" xfId="1" applyFont="1" applyFill="1" applyBorder="1" applyAlignment="1">
      <alignment wrapText="1"/>
    </xf>
    <xf numFmtId="0" fontId="21" fillId="2" borderId="0" xfId="1" applyNumberFormat="1" applyFont="1" applyFill="1" applyBorder="1" applyAlignment="1">
      <alignment horizontal="center"/>
    </xf>
    <xf numFmtId="0" fontId="8" fillId="2" borderId="0" xfId="0" applyFont="1" applyFill="1" applyAlignment="1">
      <alignment horizontal="center" wrapText="1"/>
    </xf>
    <xf numFmtId="0" fontId="8" fillId="2" borderId="0" xfId="1" applyNumberFormat="1" applyFont="1" applyFill="1" applyBorder="1" applyAlignment="1">
      <alignment horizontal="center" wrapText="1"/>
    </xf>
    <xf numFmtId="43" fontId="8" fillId="2" borderId="0" xfId="1" applyFont="1" applyFill="1" applyBorder="1" applyAlignment="1">
      <alignment horizontal="center" wrapText="1"/>
    </xf>
    <xf numFmtId="1" fontId="21" fillId="2" borderId="0" xfId="0" applyNumberFormat="1" applyFont="1" applyFill="1" applyAlignment="1">
      <alignment horizontal="center"/>
    </xf>
    <xf numFmtId="0" fontId="37" fillId="0" borderId="0" xfId="0" applyFont="1"/>
    <xf numFmtId="0" fontId="37" fillId="8" borderId="0" xfId="0" applyFont="1" applyFill="1"/>
    <xf numFmtId="0" fontId="37" fillId="0" borderId="0" xfId="0" applyFont="1" applyAlignment="1">
      <alignment wrapText="1"/>
    </xf>
    <xf numFmtId="0" fontId="37" fillId="0" borderId="0" xfId="0" applyFont="1" applyAlignment="1">
      <alignment horizontal="center"/>
    </xf>
    <xf numFmtId="0" fontId="45" fillId="0" borderId="0" xfId="0" applyFont="1"/>
    <xf numFmtId="0" fontId="45" fillId="0" borderId="0" xfId="0" applyFont="1" applyAlignment="1">
      <alignment wrapText="1"/>
    </xf>
    <xf numFmtId="0" fontId="45" fillId="0" borderId="0" xfId="0" applyFont="1" applyAlignment="1">
      <alignment horizontal="center"/>
    </xf>
    <xf numFmtId="0" fontId="23" fillId="6" borderId="0" xfId="0" applyFont="1" applyFill="1"/>
    <xf numFmtId="0" fontId="52" fillId="6" borderId="0" xfId="0" applyFont="1" applyFill="1"/>
    <xf numFmtId="0" fontId="23" fillId="6" borderId="0" xfId="0" applyFont="1" applyFill="1" applyAlignment="1">
      <alignment wrapText="1"/>
    </xf>
    <xf numFmtId="0" fontId="23" fillId="6" borderId="0" xfId="0" applyFont="1" applyFill="1" applyAlignment="1">
      <alignment horizontal="center"/>
    </xf>
    <xf numFmtId="0" fontId="22" fillId="6" borderId="0" xfId="0" applyFont="1" applyFill="1"/>
    <xf numFmtId="0" fontId="22" fillId="6" borderId="0" xfId="0" applyFont="1" applyFill="1" applyAlignment="1">
      <alignment vertical="center"/>
    </xf>
    <xf numFmtId="0" fontId="22" fillId="6" borderId="0" xfId="0" applyFont="1" applyFill="1" applyAlignment="1">
      <alignment vertical="center" wrapText="1"/>
    </xf>
    <xf numFmtId="0" fontId="22" fillId="6" borderId="0" xfId="0" applyFont="1" applyFill="1" applyAlignment="1">
      <alignment horizontal="center"/>
    </xf>
    <xf numFmtId="4" fontId="22" fillId="6" borderId="0" xfId="0" applyNumberFormat="1" applyFont="1" applyFill="1"/>
    <xf numFmtId="0" fontId="37" fillId="6" borderId="0" xfId="0" applyFont="1" applyFill="1"/>
    <xf numFmtId="0" fontId="37" fillId="6" borderId="0" xfId="0" applyFont="1" applyFill="1" applyAlignment="1">
      <alignment wrapText="1"/>
    </xf>
    <xf numFmtId="0" fontId="37" fillId="6" borderId="0" xfId="0" applyFont="1" applyFill="1" applyAlignment="1">
      <alignment horizontal="center"/>
    </xf>
    <xf numFmtId="4" fontId="46" fillId="6" borderId="0" xfId="0" applyNumberFormat="1" applyFont="1" applyFill="1"/>
    <xf numFmtId="4" fontId="37" fillId="6" borderId="0" xfId="0" applyNumberFormat="1" applyFont="1" applyFill="1"/>
    <xf numFmtId="43" fontId="25" fillId="6" borderId="0" xfId="1" applyFont="1" applyFill="1" applyBorder="1" applyAlignment="1">
      <alignment horizontal="center"/>
    </xf>
    <xf numFmtId="4" fontId="25" fillId="6" borderId="0" xfId="1" applyNumberFormat="1" applyFont="1" applyFill="1" applyBorder="1"/>
    <xf numFmtId="0" fontId="38" fillId="0" borderId="0" xfId="0" applyFont="1"/>
    <xf numFmtId="0" fontId="38" fillId="0" borderId="0" xfId="0" applyFont="1" applyAlignment="1">
      <alignment wrapText="1"/>
    </xf>
    <xf numFmtId="0" fontId="38" fillId="0" borderId="0" xfId="0" applyFont="1" applyAlignment="1">
      <alignment horizontal="center"/>
    </xf>
    <xf numFmtId="4" fontId="38" fillId="0" borderId="0" xfId="1" applyNumberFormat="1" applyFont="1" applyFill="1" applyBorder="1"/>
    <xf numFmtId="4" fontId="38" fillId="0" borderId="0" xfId="0" applyNumberFormat="1" applyFont="1"/>
    <xf numFmtId="0" fontId="54" fillId="11" borderId="0" xfId="0" applyFont="1" applyFill="1"/>
    <xf numFmtId="0" fontId="54" fillId="11" borderId="0" xfId="0" applyFont="1" applyFill="1" applyAlignment="1">
      <alignment wrapText="1"/>
    </xf>
    <xf numFmtId="0" fontId="54" fillId="11" borderId="0" xfId="0" applyFont="1" applyFill="1" applyAlignment="1">
      <alignment horizontal="center"/>
    </xf>
    <xf numFmtId="43" fontId="45" fillId="11" borderId="0" xfId="1" applyFont="1" applyFill="1" applyBorder="1"/>
    <xf numFmtId="0" fontId="40" fillId="11" borderId="0" xfId="0" applyFont="1" applyFill="1" applyAlignment="1">
      <alignment vertical="center"/>
    </xf>
    <xf numFmtId="0" fontId="45" fillId="11" borderId="0" xfId="0" applyFont="1" applyFill="1" applyAlignment="1">
      <alignment vertical="center" wrapText="1"/>
    </xf>
    <xf numFmtId="0" fontId="45" fillId="11" borderId="0" xfId="0" applyFont="1" applyFill="1"/>
    <xf numFmtId="0" fontId="51" fillId="11" borderId="0" xfId="0" applyFont="1" applyFill="1"/>
    <xf numFmtId="0" fontId="51" fillId="11" borderId="0" xfId="0" applyFont="1" applyFill="1" applyAlignment="1">
      <alignment wrapText="1"/>
    </xf>
    <xf numFmtId="0" fontId="51" fillId="11" borderId="0" xfId="0" applyFont="1" applyFill="1" applyAlignment="1">
      <alignment horizontal="center"/>
    </xf>
    <xf numFmtId="43" fontId="51" fillId="11" borderId="0" xfId="1" applyFont="1" applyFill="1" applyBorder="1"/>
    <xf numFmtId="43" fontId="41" fillId="11" borderId="0" xfId="1" applyFont="1" applyFill="1" applyBorder="1"/>
    <xf numFmtId="0" fontId="47" fillId="11" borderId="0" xfId="0" applyFont="1" applyFill="1"/>
    <xf numFmtId="0" fontId="47" fillId="11" borderId="0" xfId="0" applyFont="1" applyFill="1" applyAlignment="1">
      <alignment wrapText="1"/>
    </xf>
    <xf numFmtId="0" fontId="47" fillId="11" borderId="0" xfId="0" applyFont="1" applyFill="1" applyAlignment="1">
      <alignment horizontal="center"/>
    </xf>
    <xf numFmtId="43" fontId="47" fillId="11" borderId="0" xfId="0" applyNumberFormat="1" applyFont="1" applyFill="1"/>
    <xf numFmtId="0" fontId="39" fillId="0" borderId="0" xfId="0" applyFont="1"/>
    <xf numFmtId="0" fontId="39" fillId="0" borderId="0" xfId="0" applyFont="1" applyAlignment="1">
      <alignment wrapText="1"/>
    </xf>
    <xf numFmtId="0" fontId="39" fillId="0" borderId="0" xfId="0" applyFont="1" applyAlignment="1">
      <alignment horizontal="center"/>
    </xf>
    <xf numFmtId="43" fontId="39" fillId="0" borderId="0" xfId="0" applyNumberFormat="1" applyFont="1"/>
    <xf numFmtId="43" fontId="48" fillId="0" borderId="0" xfId="0" applyNumberFormat="1" applyFont="1"/>
    <xf numFmtId="0" fontId="46" fillId="0" borderId="0" xfId="0" applyFont="1"/>
    <xf numFmtId="43" fontId="46" fillId="0" borderId="0" xfId="1" applyFont="1" applyBorder="1"/>
    <xf numFmtId="0" fontId="39" fillId="10" borderId="0" xfId="0" applyFont="1" applyFill="1" applyAlignment="1">
      <alignment wrapText="1"/>
    </xf>
    <xf numFmtId="0" fontId="45" fillId="10" borderId="0" xfId="0" applyFont="1" applyFill="1"/>
    <xf numFmtId="0" fontId="39" fillId="10" borderId="0" xfId="0" applyFont="1" applyFill="1"/>
    <xf numFmtId="0" fontId="22" fillId="2" borderId="0" xfId="0" applyFont="1" applyFill="1" applyAlignment="1">
      <alignment wrapText="1"/>
    </xf>
    <xf numFmtId="43" fontId="22" fillId="2" borderId="0" xfId="0" applyNumberFormat="1" applyFont="1" applyFill="1"/>
    <xf numFmtId="0" fontId="22" fillId="2" borderId="0" xfId="0" applyFont="1" applyFill="1"/>
    <xf numFmtId="0" fontId="49" fillId="0" borderId="0" xfId="0" applyFont="1"/>
    <xf numFmtId="0" fontId="49" fillId="2" borderId="0" xfId="0" applyFont="1" applyFill="1" applyAlignment="1">
      <alignment wrapText="1"/>
    </xf>
    <xf numFmtId="43" fontId="49" fillId="2" borderId="0" xfId="0" applyNumberFormat="1" applyFont="1" applyFill="1"/>
    <xf numFmtId="0" fontId="49" fillId="2" borderId="0" xfId="0" applyFont="1" applyFill="1"/>
    <xf numFmtId="0" fontId="50" fillId="0" borderId="0" xfId="0" applyFont="1"/>
    <xf numFmtId="0" fontId="50" fillId="0" borderId="0" xfId="0" applyFont="1" applyAlignment="1">
      <alignment wrapText="1"/>
    </xf>
    <xf numFmtId="43" fontId="50" fillId="0" borderId="0" xfId="0" applyNumberFormat="1" applyFont="1"/>
    <xf numFmtId="0" fontId="28" fillId="2" borderId="0" xfId="0" applyFont="1" applyFill="1" applyAlignment="1">
      <alignment wrapText="1"/>
    </xf>
    <xf numFmtId="43" fontId="28" fillId="2" borderId="0" xfId="0" applyNumberFormat="1" applyFont="1" applyFill="1"/>
    <xf numFmtId="0" fontId="28" fillId="2" borderId="0" xfId="0" applyFont="1" applyFill="1"/>
    <xf numFmtId="0" fontId="52" fillId="0" borderId="0" xfId="0" applyFont="1"/>
    <xf numFmtId="0" fontId="52" fillId="0" borderId="0" xfId="0" applyFont="1" applyAlignment="1">
      <alignment wrapText="1"/>
    </xf>
    <xf numFmtId="43" fontId="52" fillId="0" borderId="0" xfId="0" applyNumberFormat="1" applyFont="1"/>
    <xf numFmtId="43" fontId="40" fillId="0" borderId="0" xfId="0" applyNumberFormat="1" applyFont="1"/>
    <xf numFmtId="0" fontId="53" fillId="0" borderId="0" xfId="0" applyFont="1"/>
    <xf numFmtId="0" fontId="25" fillId="0" borderId="0" xfId="0" applyFont="1"/>
    <xf numFmtId="0" fontId="25" fillId="0" borderId="0" xfId="0" applyFont="1" applyAlignment="1">
      <alignment wrapText="1"/>
    </xf>
    <xf numFmtId="43" fontId="25" fillId="0" borderId="0" xfId="0" applyNumberFormat="1" applyFont="1"/>
    <xf numFmtId="0" fontId="25" fillId="12" borderId="0" xfId="0" applyFont="1" applyFill="1"/>
    <xf numFmtId="0" fontId="37" fillId="12" borderId="0" xfId="0" applyFont="1" applyFill="1" applyAlignment="1">
      <alignment wrapText="1"/>
    </xf>
    <xf numFmtId="0" fontId="37" fillId="12" borderId="0" xfId="0" applyFont="1" applyFill="1" applyAlignment="1">
      <alignment horizontal="center"/>
    </xf>
    <xf numFmtId="0" fontId="37" fillId="12" borderId="0" xfId="0" applyFont="1" applyFill="1"/>
    <xf numFmtId="0" fontId="25" fillId="12" borderId="0" xfId="0" applyFont="1" applyFill="1" applyAlignment="1">
      <alignment wrapText="1"/>
    </xf>
    <xf numFmtId="0" fontId="25" fillId="12" borderId="0" xfId="1" applyNumberFormat="1" applyFont="1" applyFill="1" applyBorder="1" applyAlignment="1">
      <alignment horizontal="center"/>
    </xf>
    <xf numFmtId="0" fontId="41" fillId="12" borderId="0" xfId="0" applyFont="1" applyFill="1" applyAlignment="1">
      <alignment wrapText="1"/>
    </xf>
    <xf numFmtId="0" fontId="41" fillId="12" borderId="0" xfId="1" applyNumberFormat="1" applyFont="1" applyFill="1" applyBorder="1" applyAlignment="1">
      <alignment horizontal="center"/>
    </xf>
    <xf numFmtId="0" fontId="41" fillId="12" borderId="0" xfId="0" applyFont="1" applyFill="1"/>
    <xf numFmtId="43" fontId="41" fillId="12" borderId="0" xfId="1" applyFont="1" applyFill="1" applyBorder="1"/>
    <xf numFmtId="0" fontId="22" fillId="12" borderId="0" xfId="0" applyFont="1" applyFill="1" applyAlignment="1">
      <alignment wrapText="1"/>
    </xf>
    <xf numFmtId="0" fontId="22" fillId="12" borderId="0" xfId="1" applyNumberFormat="1" applyFont="1" applyFill="1" applyBorder="1" applyAlignment="1">
      <alignment horizontal="center"/>
    </xf>
    <xf numFmtId="0" fontId="22" fillId="12" borderId="0" xfId="0" applyFont="1" applyFill="1"/>
    <xf numFmtId="43" fontId="22" fillId="12" borderId="0" xfId="1" applyFont="1" applyFill="1" applyBorder="1"/>
    <xf numFmtId="0" fontId="28" fillId="12" borderId="0" xfId="0" applyFont="1" applyFill="1" applyAlignment="1">
      <alignment wrapText="1"/>
    </xf>
    <xf numFmtId="0" fontId="28" fillId="12" borderId="0" xfId="1" applyNumberFormat="1" applyFont="1" applyFill="1" applyBorder="1" applyAlignment="1">
      <alignment horizontal="center"/>
    </xf>
    <xf numFmtId="0" fontId="28" fillId="12" borderId="0" xfId="0" applyFont="1" applyFill="1"/>
    <xf numFmtId="43" fontId="28" fillId="12" borderId="0" xfId="1" applyFont="1" applyFill="1" applyBorder="1"/>
    <xf numFmtId="0" fontId="35" fillId="12" borderId="0" xfId="0" applyFont="1" applyFill="1" applyAlignment="1">
      <alignment wrapText="1"/>
    </xf>
    <xf numFmtId="0" fontId="35" fillId="12" borderId="0" xfId="1" applyNumberFormat="1" applyFont="1" applyFill="1" applyBorder="1" applyAlignment="1">
      <alignment horizontal="center"/>
    </xf>
    <xf numFmtId="0" fontId="35" fillId="12" borderId="0" xfId="0" applyFont="1" applyFill="1"/>
    <xf numFmtId="43" fontId="35" fillId="12" borderId="0" xfId="1" applyFont="1" applyFill="1" applyBorder="1"/>
    <xf numFmtId="43" fontId="35" fillId="12" borderId="0" xfId="1" applyFont="1" applyFill="1" applyBorder="1" applyAlignment="1">
      <alignment wrapText="1"/>
    </xf>
    <xf numFmtId="43" fontId="43" fillId="12" borderId="0" xfId="1" applyFont="1" applyFill="1" applyBorder="1"/>
    <xf numFmtId="0" fontId="12" fillId="12" borderId="0" xfId="0" applyFont="1" applyFill="1" applyAlignment="1">
      <alignment wrapText="1"/>
    </xf>
    <xf numFmtId="0" fontId="12" fillId="12" borderId="0" xfId="1" applyNumberFormat="1" applyFont="1" applyFill="1" applyBorder="1" applyAlignment="1">
      <alignment horizontal="center"/>
    </xf>
    <xf numFmtId="0" fontId="12" fillId="12" borderId="0" xfId="0" applyFont="1" applyFill="1"/>
    <xf numFmtId="43" fontId="12" fillId="12" borderId="0" xfId="1" applyFont="1" applyFill="1" applyBorder="1"/>
    <xf numFmtId="43" fontId="12" fillId="12" borderId="0" xfId="1" applyFont="1" applyFill="1" applyBorder="1" applyAlignment="1">
      <alignment wrapText="1"/>
    </xf>
    <xf numFmtId="43" fontId="25" fillId="12" borderId="0" xfId="1" applyFont="1" applyFill="1" applyBorder="1" applyAlignment="1">
      <alignment horizontal="center"/>
    </xf>
    <xf numFmtId="43" fontId="25" fillId="12" borderId="0" xfId="1" applyFont="1" applyFill="1" applyBorder="1"/>
    <xf numFmtId="43" fontId="23" fillId="12" borderId="0" xfId="1" applyFont="1" applyFill="1" applyBorder="1"/>
    <xf numFmtId="43" fontId="23" fillId="12" borderId="0" xfId="1" applyFont="1" applyFill="1" applyBorder="1" applyAlignment="1">
      <alignment wrapText="1"/>
    </xf>
    <xf numFmtId="43" fontId="23" fillId="12" borderId="0" xfId="1" applyFont="1" applyFill="1" applyBorder="1" applyAlignment="1">
      <alignment horizontal="center"/>
    </xf>
    <xf numFmtId="0" fontId="55" fillId="0" borderId="0" xfId="0" applyFont="1"/>
    <xf numFmtId="0" fontId="56" fillId="0" borderId="0" xfId="0" applyFont="1"/>
    <xf numFmtId="0" fontId="55" fillId="0" borderId="0" xfId="0" applyFont="1" applyAlignment="1">
      <alignment horizontal="right"/>
    </xf>
    <xf numFmtId="0" fontId="56" fillId="0" borderId="0" xfId="0" applyFont="1" applyAlignment="1">
      <alignment horizontal="right" vertical="center"/>
    </xf>
    <xf numFmtId="0" fontId="55" fillId="0" borderId="0" xfId="0" applyFont="1" applyAlignment="1">
      <alignment horizontal="right" vertical="center"/>
    </xf>
    <xf numFmtId="4" fontId="57" fillId="0" borderId="1" xfId="0" applyNumberFormat="1" applyFont="1" applyBorder="1" applyAlignment="1">
      <alignment horizontal="right" vertical="center"/>
    </xf>
    <xf numFmtId="0" fontId="63" fillId="0" borderId="0" xfId="0" applyFont="1" applyAlignment="1">
      <alignment horizontal="left" vertical="center" wrapText="1"/>
    </xf>
    <xf numFmtId="0" fontId="64" fillId="0" borderId="0" xfId="0" applyFont="1" applyAlignment="1">
      <alignment horizontal="left" vertical="center" wrapText="1"/>
    </xf>
    <xf numFmtId="0" fontId="64" fillId="0" borderId="0" xfId="0" applyFont="1" applyAlignment="1">
      <alignment horizontal="right" vertical="center" wrapText="1"/>
    </xf>
    <xf numFmtId="0" fontId="64" fillId="0" borderId="0" xfId="0" applyFont="1" applyAlignment="1">
      <alignment horizontal="right" vertical="center"/>
    </xf>
    <xf numFmtId="0" fontId="65" fillId="0" borderId="0" xfId="0" applyFont="1" applyAlignment="1">
      <alignment horizontal="right" vertical="center"/>
    </xf>
    <xf numFmtId="0" fontId="64" fillId="0" borderId="0" xfId="0" applyFont="1" applyAlignment="1">
      <alignment vertical="center"/>
    </xf>
    <xf numFmtId="0" fontId="64" fillId="0" borderId="0" xfId="0" applyFont="1" applyAlignment="1">
      <alignment horizontal="center" vertical="center"/>
    </xf>
    <xf numFmtId="0" fontId="66" fillId="0" borderId="0" xfId="0" applyFont="1" applyAlignment="1">
      <alignment horizontal="left" vertical="center" wrapText="1"/>
    </xf>
    <xf numFmtId="0" fontId="65" fillId="2" borderId="1" xfId="0" applyFont="1" applyFill="1" applyBorder="1" applyAlignment="1">
      <alignment horizontal="left" vertical="center" wrapText="1"/>
    </xf>
    <xf numFmtId="0" fontId="65" fillId="11" borderId="1" xfId="0" applyFont="1" applyFill="1" applyBorder="1" applyAlignment="1">
      <alignment horizontal="right" vertical="center"/>
    </xf>
    <xf numFmtId="0" fontId="65" fillId="11" borderId="5" xfId="0" applyFont="1" applyFill="1" applyBorder="1" applyAlignment="1">
      <alignment horizontal="right" vertical="center"/>
    </xf>
    <xf numFmtId="0" fontId="65" fillId="2" borderId="1" xfId="0" applyFont="1" applyFill="1" applyBorder="1" applyAlignment="1">
      <alignment horizontal="right" vertical="center"/>
    </xf>
    <xf numFmtId="0" fontId="65" fillId="2" borderId="1" xfId="0" applyFont="1" applyFill="1" applyBorder="1" applyAlignment="1">
      <alignment vertical="center"/>
    </xf>
    <xf numFmtId="0" fontId="65" fillId="2" borderId="1" xfId="0" applyFont="1" applyFill="1" applyBorder="1" applyAlignment="1">
      <alignment horizontal="center" vertical="center" wrapText="1"/>
    </xf>
    <xf numFmtId="0" fontId="65" fillId="0" borderId="0" xfId="0" applyFont="1" applyAlignment="1">
      <alignment horizontal="center" vertical="center"/>
    </xf>
    <xf numFmtId="4" fontId="66" fillId="0" borderId="0" xfId="0" applyNumberFormat="1" applyFont="1" applyAlignment="1">
      <alignment horizontal="left" vertical="center" wrapText="1"/>
    </xf>
    <xf numFmtId="4" fontId="65" fillId="2" borderId="1" xfId="0" applyNumberFormat="1" applyFont="1" applyFill="1" applyBorder="1" applyAlignment="1">
      <alignment horizontal="left" vertical="center" wrapText="1"/>
    </xf>
    <xf numFmtId="4" fontId="65" fillId="11" borderId="1" xfId="0" applyNumberFormat="1" applyFont="1" applyFill="1" applyBorder="1" applyAlignment="1">
      <alignment horizontal="right" vertical="center" wrapText="1"/>
    </xf>
    <xf numFmtId="4" fontId="65" fillId="11" borderId="1" xfId="0" applyNumberFormat="1" applyFont="1" applyFill="1" applyBorder="1" applyAlignment="1">
      <alignment horizontal="right" vertical="center"/>
    </xf>
    <xf numFmtId="4" fontId="65" fillId="11" borderId="5" xfId="0" applyNumberFormat="1" applyFont="1" applyFill="1" applyBorder="1" applyAlignment="1">
      <alignment horizontal="right" vertical="center"/>
    </xf>
    <xf numFmtId="4" fontId="65" fillId="2" borderId="1" xfId="0" applyNumberFormat="1" applyFont="1" applyFill="1" applyBorder="1" applyAlignment="1">
      <alignment horizontal="right" vertical="center"/>
    </xf>
    <xf numFmtId="4" fontId="65" fillId="2" borderId="1" xfId="0" applyNumberFormat="1" applyFont="1" applyFill="1" applyBorder="1" applyAlignment="1">
      <alignment vertical="center"/>
    </xf>
    <xf numFmtId="4" fontId="65" fillId="0" borderId="0" xfId="0" applyNumberFormat="1" applyFont="1" applyAlignment="1">
      <alignment horizontal="right" vertical="center"/>
    </xf>
    <xf numFmtId="4" fontId="65" fillId="0" borderId="0" xfId="0" applyNumberFormat="1" applyFont="1" applyAlignment="1">
      <alignment horizontal="center" vertical="center"/>
    </xf>
    <xf numFmtId="4" fontId="63" fillId="0" borderId="0" xfId="0" applyNumberFormat="1" applyFont="1" applyAlignment="1">
      <alignment horizontal="left" vertical="center" wrapText="1"/>
    </xf>
    <xf numFmtId="4" fontId="64" fillId="0" borderId="1" xfId="0" applyNumberFormat="1" applyFont="1" applyBorder="1" applyAlignment="1">
      <alignment horizontal="left" vertical="center" wrapText="1"/>
    </xf>
    <xf numFmtId="4" fontId="64" fillId="11" borderId="1" xfId="0" applyNumberFormat="1" applyFont="1" applyFill="1" applyBorder="1" applyAlignment="1">
      <alignment horizontal="right" vertical="center" wrapText="1"/>
    </xf>
    <xf numFmtId="4" fontId="64" fillId="11" borderId="1" xfId="0" applyNumberFormat="1" applyFont="1" applyFill="1" applyBorder="1" applyAlignment="1">
      <alignment horizontal="right" vertical="center"/>
    </xf>
    <xf numFmtId="4" fontId="64" fillId="0" borderId="1" xfId="0" applyNumberFormat="1" applyFont="1" applyBorder="1" applyAlignment="1">
      <alignment horizontal="right" vertical="center"/>
    </xf>
    <xf numFmtId="4" fontId="64" fillId="0" borderId="1" xfId="0" applyNumberFormat="1" applyFont="1" applyBorder="1" applyAlignment="1">
      <alignment vertical="center"/>
    </xf>
    <xf numFmtId="4" fontId="65" fillId="0" borderId="1" xfId="0" applyNumberFormat="1" applyFont="1" applyBorder="1" applyAlignment="1">
      <alignment horizontal="right" vertical="center"/>
    </xf>
    <xf numFmtId="4" fontId="64" fillId="0" borderId="0" xfId="0" applyNumberFormat="1" applyFont="1" applyAlignment="1">
      <alignment horizontal="right" vertical="center"/>
    </xf>
    <xf numFmtId="4" fontId="64" fillId="0" borderId="0" xfId="0" applyNumberFormat="1" applyFont="1" applyAlignment="1">
      <alignment horizontal="center" vertical="center"/>
    </xf>
    <xf numFmtId="4" fontId="67" fillId="0" borderId="0" xfId="0" applyNumberFormat="1" applyFont="1" applyAlignment="1">
      <alignment horizontal="left" vertical="center" wrapText="1"/>
    </xf>
    <xf numFmtId="4" fontId="67" fillId="0" borderId="1" xfId="0" applyNumberFormat="1" applyFont="1" applyBorder="1" applyAlignment="1">
      <alignment horizontal="left" vertical="center" wrapText="1"/>
    </xf>
    <xf numFmtId="4" fontId="67" fillId="11" borderId="1" xfId="0" applyNumberFormat="1" applyFont="1" applyFill="1" applyBorder="1" applyAlignment="1">
      <alignment horizontal="right" vertical="center" wrapText="1"/>
    </xf>
    <xf numFmtId="4" fontId="68" fillId="11" borderId="1" xfId="0" applyNumberFormat="1" applyFont="1" applyFill="1" applyBorder="1" applyAlignment="1">
      <alignment horizontal="right" vertical="center"/>
    </xf>
    <xf numFmtId="4" fontId="68" fillId="0" borderId="1" xfId="0" applyNumberFormat="1" applyFont="1" applyBorder="1" applyAlignment="1">
      <alignment horizontal="right" vertical="center"/>
    </xf>
    <xf numFmtId="4" fontId="67" fillId="0" borderId="0" xfId="0" applyNumberFormat="1" applyFont="1" applyAlignment="1">
      <alignment horizontal="right" vertical="center"/>
    </xf>
    <xf numFmtId="4" fontId="67" fillId="0" borderId="0" xfId="0" applyNumberFormat="1" applyFont="1" applyAlignment="1">
      <alignment horizontal="center" vertical="center"/>
    </xf>
    <xf numFmtId="4" fontId="63" fillId="0" borderId="1" xfId="0" applyNumberFormat="1" applyFont="1" applyBorder="1" applyAlignment="1">
      <alignment horizontal="left" vertical="center" wrapText="1"/>
    </xf>
    <xf numFmtId="4" fontId="63" fillId="11" borderId="1" xfId="0" applyNumberFormat="1" applyFont="1" applyFill="1" applyBorder="1" applyAlignment="1">
      <alignment horizontal="right" vertical="center" wrapText="1"/>
    </xf>
    <xf numFmtId="4" fontId="63" fillId="0" borderId="0" xfId="0" applyNumberFormat="1" applyFont="1" applyAlignment="1">
      <alignment horizontal="right" vertical="center"/>
    </xf>
    <xf numFmtId="4" fontId="63" fillId="0" borderId="0" xfId="0" applyNumberFormat="1" applyFont="1" applyAlignment="1">
      <alignment horizontal="center" vertical="center"/>
    </xf>
    <xf numFmtId="4" fontId="69" fillId="0" borderId="0" xfId="0" applyNumberFormat="1" applyFont="1" applyAlignment="1">
      <alignment horizontal="left" vertical="center" wrapText="1"/>
    </xf>
    <xf numFmtId="4" fontId="69" fillId="0" borderId="1" xfId="0" applyNumberFormat="1" applyFont="1" applyBorder="1" applyAlignment="1">
      <alignment horizontal="left" vertical="center" wrapText="1"/>
    </xf>
    <xf numFmtId="4" fontId="69" fillId="11" borderId="1" xfId="0" applyNumberFormat="1" applyFont="1" applyFill="1" applyBorder="1" applyAlignment="1">
      <alignment horizontal="right" vertical="center" wrapText="1"/>
    </xf>
    <xf numFmtId="4" fontId="69" fillId="11" borderId="1" xfId="0" applyNumberFormat="1" applyFont="1" applyFill="1" applyBorder="1" applyAlignment="1">
      <alignment horizontal="right" vertical="center"/>
    </xf>
    <xf numFmtId="4" fontId="69" fillId="0" borderId="1" xfId="0" applyNumberFormat="1" applyFont="1" applyBorder="1" applyAlignment="1">
      <alignment horizontal="right" vertical="center"/>
    </xf>
    <xf numFmtId="4" fontId="69" fillId="0" borderId="0" xfId="0" applyNumberFormat="1" applyFont="1" applyAlignment="1">
      <alignment horizontal="right" vertical="center"/>
    </xf>
    <xf numFmtId="4" fontId="69" fillId="0" borderId="0" xfId="0" applyNumberFormat="1" applyFont="1" applyAlignment="1">
      <alignment horizontal="center" vertical="center"/>
    </xf>
    <xf numFmtId="4" fontId="70" fillId="0" borderId="1" xfId="0" applyNumberFormat="1" applyFont="1" applyBorder="1" applyAlignment="1">
      <alignment horizontal="right" vertical="center"/>
    </xf>
    <xf numFmtId="4" fontId="65" fillId="0" borderId="1" xfId="0" applyNumberFormat="1" applyFont="1" applyBorder="1" applyAlignment="1">
      <alignment horizontal="left" vertical="center" wrapText="1"/>
    </xf>
    <xf numFmtId="4" fontId="65" fillId="0" borderId="1" xfId="0" applyNumberFormat="1" applyFont="1" applyBorder="1" applyAlignment="1">
      <alignment vertical="center"/>
    </xf>
    <xf numFmtId="4" fontId="64" fillId="0" borderId="1" xfId="0" applyNumberFormat="1" applyFont="1" applyBorder="1" applyAlignment="1">
      <alignment horizontal="right" vertical="center" wrapText="1"/>
    </xf>
    <xf numFmtId="4" fontId="64" fillId="0" borderId="1" xfId="0" applyNumberFormat="1" applyFont="1" applyBorder="1" applyAlignment="1">
      <alignment vertical="center" wrapText="1"/>
    </xf>
    <xf numFmtId="4" fontId="71" fillId="0" borderId="1" xfId="0" applyNumberFormat="1" applyFont="1" applyBorder="1" applyAlignment="1">
      <alignment horizontal="right" vertical="center"/>
    </xf>
    <xf numFmtId="4" fontId="71" fillId="0" borderId="1" xfId="0" applyNumberFormat="1" applyFont="1" applyBorder="1" applyAlignment="1">
      <alignment vertical="center"/>
    </xf>
    <xf numFmtId="4" fontId="66" fillId="0" borderId="0" xfId="0" applyNumberFormat="1" applyFont="1" applyAlignment="1">
      <alignment horizontal="right" vertical="center" wrapText="1"/>
    </xf>
    <xf numFmtId="4" fontId="66" fillId="0" borderId="0" xfId="0" applyNumberFormat="1" applyFont="1" applyAlignment="1">
      <alignment horizontal="right" vertical="center"/>
    </xf>
    <xf numFmtId="4" fontId="66" fillId="0" borderId="0" xfId="1" applyNumberFormat="1" applyFont="1" applyFill="1" applyBorder="1" applyAlignment="1">
      <alignment horizontal="right" vertical="center"/>
    </xf>
    <xf numFmtId="0" fontId="63" fillId="0" borderId="0" xfId="0" applyFont="1" applyAlignment="1">
      <alignment vertical="center" wrapText="1"/>
    </xf>
    <xf numFmtId="0" fontId="63" fillId="0" borderId="0" xfId="0" applyFont="1" applyAlignment="1">
      <alignment vertical="center"/>
    </xf>
    <xf numFmtId="4" fontId="63" fillId="0" borderId="0" xfId="0" applyNumberFormat="1" applyFont="1" applyAlignment="1">
      <alignment vertical="center"/>
    </xf>
    <xf numFmtId="4" fontId="63" fillId="0" borderId="0" xfId="0" applyNumberFormat="1" applyFont="1" applyAlignment="1">
      <alignment vertical="center" wrapText="1"/>
    </xf>
    <xf numFmtId="4" fontId="66" fillId="0" borderId="0" xfId="0" applyNumberFormat="1" applyFont="1" applyAlignment="1">
      <alignment vertical="center"/>
    </xf>
    <xf numFmtId="4" fontId="72" fillId="0" borderId="0" xfId="0" applyNumberFormat="1" applyFont="1" applyAlignment="1">
      <alignment vertical="center"/>
    </xf>
    <xf numFmtId="0" fontId="63" fillId="0" borderId="0" xfId="0" applyFont="1" applyAlignment="1">
      <alignment horizontal="right" vertical="center" wrapText="1"/>
    </xf>
    <xf numFmtId="0" fontId="66" fillId="0" borderId="0" xfId="0" applyFont="1" applyAlignment="1">
      <alignment horizontal="right" vertical="center" wrapText="1"/>
    </xf>
    <xf numFmtId="0" fontId="63" fillId="0" borderId="0" xfId="0" applyFont="1" applyAlignment="1">
      <alignment horizontal="center" vertical="center" wrapText="1"/>
    </xf>
    <xf numFmtId="4" fontId="73" fillId="0" borderId="0" xfId="0" applyNumberFormat="1" applyFont="1"/>
    <xf numFmtId="4" fontId="73" fillId="0" borderId="0" xfId="0" applyNumberFormat="1" applyFont="1" applyAlignment="1">
      <alignment wrapText="1"/>
    </xf>
    <xf numFmtId="4" fontId="73" fillId="0" borderId="0" xfId="0" applyNumberFormat="1" applyFont="1" applyAlignment="1">
      <alignment horizontal="left" wrapText="1"/>
    </xf>
    <xf numFmtId="4" fontId="73" fillId="0" borderId="0" xfId="0" applyNumberFormat="1" applyFont="1" applyAlignment="1">
      <alignment horizontal="center" wrapText="1"/>
    </xf>
    <xf numFmtId="4" fontId="73" fillId="0" borderId="0" xfId="0" applyNumberFormat="1" applyFont="1" applyAlignment="1">
      <alignment horizontal="center"/>
    </xf>
    <xf numFmtId="4" fontId="74" fillId="0" borderId="0" xfId="0" applyNumberFormat="1" applyFont="1" applyAlignment="1">
      <alignment horizontal="center"/>
    </xf>
    <xf numFmtId="0" fontId="73" fillId="0" borderId="0" xfId="0" applyFont="1" applyAlignment="1">
      <alignment horizontal="center"/>
    </xf>
    <xf numFmtId="0" fontId="74" fillId="5" borderId="1" xfId="0" applyFont="1" applyFill="1" applyBorder="1" applyAlignment="1">
      <alignment wrapText="1"/>
    </xf>
    <xf numFmtId="0" fontId="74" fillId="5" borderId="1" xfId="0" applyFont="1" applyFill="1" applyBorder="1" applyAlignment="1">
      <alignment horizontal="left" wrapText="1"/>
    </xf>
    <xf numFmtId="0" fontId="74" fillId="5" borderId="1" xfId="0" applyFont="1" applyFill="1" applyBorder="1" applyAlignment="1">
      <alignment horizontal="center" wrapText="1"/>
    </xf>
    <xf numFmtId="0" fontId="74" fillId="5" borderId="1" xfId="0" applyFont="1" applyFill="1" applyBorder="1" applyAlignment="1">
      <alignment horizontal="center"/>
    </xf>
    <xf numFmtId="0" fontId="73" fillId="5" borderId="0" xfId="0" applyFont="1" applyFill="1" applyAlignment="1">
      <alignment horizontal="center"/>
    </xf>
    <xf numFmtId="4" fontId="75" fillId="0" borderId="0" xfId="0" applyNumberFormat="1" applyFont="1"/>
    <xf numFmtId="4" fontId="75" fillId="0" borderId="1" xfId="0" applyNumberFormat="1" applyFont="1" applyBorder="1" applyAlignment="1">
      <alignment wrapText="1"/>
    </xf>
    <xf numFmtId="4" fontId="75" fillId="0" borderId="1" xfId="0" applyNumberFormat="1" applyFont="1" applyBorder="1" applyAlignment="1">
      <alignment horizontal="left" wrapText="1"/>
    </xf>
    <xf numFmtId="4" fontId="75" fillId="0" borderId="1" xfId="0" applyNumberFormat="1" applyFont="1" applyBorder="1" applyAlignment="1">
      <alignment horizontal="center" wrapText="1"/>
    </xf>
    <xf numFmtId="4" fontId="75" fillId="0" borderId="1" xfId="1" applyNumberFormat="1" applyFont="1" applyFill="1" applyBorder="1" applyAlignment="1">
      <alignment horizontal="center"/>
    </xf>
    <xf numFmtId="4" fontId="75" fillId="0" borderId="1" xfId="1" applyNumberFormat="1" applyFont="1" applyFill="1" applyBorder="1" applyAlignment="1">
      <alignment horizontal="center" wrapText="1"/>
    </xf>
    <xf numFmtId="4" fontId="77" fillId="0" borderId="1" xfId="1" applyNumberFormat="1" applyFont="1" applyFill="1" applyBorder="1" applyAlignment="1">
      <alignment horizontal="center"/>
    </xf>
    <xf numFmtId="4" fontId="75" fillId="0" borderId="1" xfId="0" applyNumberFormat="1" applyFont="1" applyBorder="1"/>
    <xf numFmtId="4" fontId="77" fillId="0" borderId="0" xfId="1" applyNumberFormat="1" applyFont="1" applyFill="1"/>
    <xf numFmtId="4" fontId="77" fillId="5" borderId="1" xfId="1" applyNumberFormat="1" applyFont="1" applyFill="1" applyBorder="1" applyAlignment="1">
      <alignment wrapText="1"/>
    </xf>
    <xf numFmtId="4" fontId="77" fillId="5" borderId="1" xfId="1" applyNumberFormat="1" applyFont="1" applyFill="1" applyBorder="1" applyAlignment="1">
      <alignment horizontal="left" wrapText="1"/>
    </xf>
    <xf numFmtId="4" fontId="77" fillId="5" borderId="1" xfId="1" applyNumberFormat="1" applyFont="1" applyFill="1" applyBorder="1" applyAlignment="1">
      <alignment horizontal="center"/>
    </xf>
    <xf numFmtId="4" fontId="77" fillId="5" borderId="0" xfId="1" applyNumberFormat="1" applyFont="1" applyFill="1"/>
    <xf numFmtId="4" fontId="77" fillId="0" borderId="0" xfId="1" applyNumberFormat="1" applyFont="1" applyFill="1" applyBorder="1"/>
    <xf numFmtId="4" fontId="77" fillId="0" borderId="0" xfId="1" applyNumberFormat="1" applyFont="1" applyFill="1" applyBorder="1" applyAlignment="1">
      <alignment wrapText="1"/>
    </xf>
    <xf numFmtId="4" fontId="77" fillId="0" borderId="0" xfId="1" applyNumberFormat="1" applyFont="1" applyFill="1" applyBorder="1" applyAlignment="1">
      <alignment horizontal="left" wrapText="1"/>
    </xf>
    <xf numFmtId="4" fontId="77" fillId="0" borderId="0" xfId="1" applyNumberFormat="1" applyFont="1" applyFill="1" applyBorder="1" applyAlignment="1">
      <alignment horizontal="center" wrapText="1"/>
    </xf>
    <xf numFmtId="4" fontId="77" fillId="0" borderId="0" xfId="1" applyNumberFormat="1" applyFont="1" applyFill="1" applyBorder="1" applyAlignment="1">
      <alignment horizontal="center"/>
    </xf>
    <xf numFmtId="4" fontId="78" fillId="0" borderId="0" xfId="1" applyNumberFormat="1" applyFont="1" applyFill="1" applyBorder="1"/>
    <xf numFmtId="4" fontId="78" fillId="0" borderId="0" xfId="1" applyNumberFormat="1" applyFont="1" applyFill="1" applyBorder="1" applyAlignment="1">
      <alignment wrapText="1"/>
    </xf>
    <xf numFmtId="4" fontId="78" fillId="0" borderId="0" xfId="1" applyNumberFormat="1" applyFont="1" applyFill="1" applyBorder="1" applyAlignment="1">
      <alignment horizontal="left" wrapText="1"/>
    </xf>
    <xf numFmtId="4" fontId="78" fillId="0" borderId="0" xfId="1" applyNumberFormat="1" applyFont="1" applyFill="1" applyBorder="1" applyAlignment="1">
      <alignment horizontal="center" wrapText="1"/>
    </xf>
    <xf numFmtId="4" fontId="78" fillId="0" borderId="0" xfId="1" applyNumberFormat="1" applyFont="1" applyFill="1" applyBorder="1" applyAlignment="1">
      <alignment horizontal="center"/>
    </xf>
    <xf numFmtId="0" fontId="77" fillId="0" borderId="0" xfId="1" applyNumberFormat="1" applyFont="1" applyFill="1" applyAlignment="1">
      <alignment horizontal="center"/>
    </xf>
    <xf numFmtId="0" fontId="77" fillId="5" borderId="1" xfId="1" applyNumberFormat="1" applyFont="1" applyFill="1" applyBorder="1" applyAlignment="1">
      <alignment wrapText="1"/>
    </xf>
    <xf numFmtId="0" fontId="77" fillId="5" borderId="1" xfId="1" applyNumberFormat="1" applyFont="1" applyFill="1" applyBorder="1" applyAlignment="1">
      <alignment horizontal="left" wrapText="1"/>
    </xf>
    <xf numFmtId="0" fontId="77" fillId="5" borderId="1" xfId="1" applyNumberFormat="1" applyFont="1" applyFill="1" applyBorder="1" applyAlignment="1">
      <alignment horizontal="center"/>
    </xf>
    <xf numFmtId="0" fontId="77" fillId="5" borderId="0" xfId="1" applyNumberFormat="1" applyFont="1" applyFill="1" applyAlignment="1">
      <alignment horizontal="center"/>
    </xf>
    <xf numFmtId="4" fontId="76" fillId="0" borderId="0" xfId="1" applyNumberFormat="1" applyFont="1" applyFill="1" applyAlignment="1">
      <alignment horizontal="center"/>
    </xf>
    <xf numFmtId="4" fontId="76" fillId="0" borderId="1" xfId="1" applyNumberFormat="1" applyFont="1" applyFill="1" applyBorder="1" applyAlignment="1">
      <alignment wrapText="1"/>
    </xf>
    <xf numFmtId="4" fontId="76" fillId="0" borderId="1" xfId="1" applyNumberFormat="1" applyFont="1" applyFill="1" applyBorder="1" applyAlignment="1">
      <alignment horizontal="left" wrapText="1"/>
    </xf>
    <xf numFmtId="4" fontId="76" fillId="0" borderId="1" xfId="1" applyNumberFormat="1" applyFont="1" applyFill="1" applyBorder="1" applyAlignment="1">
      <alignment horizontal="center" wrapText="1"/>
    </xf>
    <xf numFmtId="4" fontId="76" fillId="0" borderId="1" xfId="1" applyNumberFormat="1" applyFont="1" applyFill="1" applyBorder="1" applyAlignment="1">
      <alignment horizontal="center"/>
    </xf>
    <xf numFmtId="4" fontId="75" fillId="0" borderId="0" xfId="1" applyNumberFormat="1" applyFont="1" applyFill="1" applyAlignment="1">
      <alignment horizontal="center"/>
    </xf>
    <xf numFmtId="4" fontId="75" fillId="0" borderId="1" xfId="1" applyNumberFormat="1" applyFont="1" applyFill="1" applyBorder="1" applyAlignment="1">
      <alignment wrapText="1"/>
    </xf>
    <xf numFmtId="4" fontId="75" fillId="0" borderId="1" xfId="1" applyNumberFormat="1" applyFont="1" applyFill="1" applyBorder="1" applyAlignment="1">
      <alignment horizontal="left" wrapText="1"/>
    </xf>
    <xf numFmtId="4" fontId="79" fillId="0" borderId="0" xfId="1" applyNumberFormat="1" applyFont="1" applyFill="1" applyAlignment="1">
      <alignment horizontal="center"/>
    </xf>
    <xf numFmtId="4" fontId="78" fillId="0" borderId="1" xfId="1" applyNumberFormat="1" applyFont="1" applyFill="1" applyBorder="1" applyAlignment="1">
      <alignment wrapText="1"/>
    </xf>
    <xf numFmtId="4" fontId="79" fillId="0" borderId="1" xfId="1" applyNumberFormat="1" applyFont="1" applyFill="1" applyBorder="1" applyAlignment="1">
      <alignment horizontal="left" wrapText="1"/>
    </xf>
    <xf numFmtId="4" fontId="79" fillId="0" borderId="1" xfId="1" applyNumberFormat="1" applyFont="1" applyFill="1" applyBorder="1" applyAlignment="1">
      <alignment horizontal="center" wrapText="1"/>
    </xf>
    <xf numFmtId="4" fontId="79" fillId="0" borderId="1" xfId="1" applyNumberFormat="1" applyFont="1" applyFill="1" applyBorder="1" applyAlignment="1">
      <alignment horizontal="center"/>
    </xf>
    <xf numFmtId="4" fontId="78" fillId="0" borderId="1" xfId="1" applyNumberFormat="1" applyFont="1" applyFill="1" applyBorder="1" applyAlignment="1">
      <alignment horizontal="center"/>
    </xf>
    <xf numFmtId="4" fontId="75" fillId="0" borderId="0" xfId="1" applyNumberFormat="1" applyFont="1" applyFill="1" applyBorder="1" applyAlignment="1">
      <alignment horizontal="center"/>
    </xf>
    <xf numFmtId="4" fontId="75" fillId="0" borderId="0" xfId="1" applyNumberFormat="1" applyFont="1" applyFill="1" applyBorder="1" applyAlignment="1">
      <alignment wrapText="1"/>
    </xf>
    <xf numFmtId="4" fontId="75" fillId="0" borderId="0" xfId="1" applyNumberFormat="1" applyFont="1" applyFill="1" applyBorder="1" applyAlignment="1">
      <alignment horizontal="left" wrapText="1"/>
    </xf>
    <xf numFmtId="4" fontId="75" fillId="0" borderId="0" xfId="1" applyNumberFormat="1" applyFont="1" applyFill="1" applyBorder="1" applyAlignment="1">
      <alignment horizontal="center" wrapText="1"/>
    </xf>
    <xf numFmtId="4" fontId="75" fillId="0" borderId="0" xfId="1" applyNumberFormat="1" applyFont="1" applyFill="1"/>
    <xf numFmtId="4" fontId="73" fillId="0" borderId="1" xfId="0" applyNumberFormat="1" applyFont="1" applyBorder="1" applyAlignment="1">
      <alignment wrapText="1"/>
    </xf>
    <xf numFmtId="4" fontId="73" fillId="0" borderId="1" xfId="0" applyNumberFormat="1" applyFont="1" applyBorder="1"/>
    <xf numFmtId="4" fontId="77" fillId="0" borderId="1" xfId="1" applyNumberFormat="1" applyFont="1" applyFill="1" applyBorder="1" applyAlignment="1">
      <alignment wrapText="1"/>
    </xf>
    <xf numFmtId="4" fontId="77" fillId="0" borderId="1" xfId="1" applyNumberFormat="1" applyFont="1" applyFill="1" applyBorder="1" applyAlignment="1">
      <alignment horizontal="left" wrapText="1"/>
    </xf>
    <xf numFmtId="4" fontId="77" fillId="0" borderId="1" xfId="1" applyNumberFormat="1" applyFont="1" applyFill="1" applyBorder="1" applyAlignment="1">
      <alignment horizontal="center" wrapText="1"/>
    </xf>
    <xf numFmtId="0" fontId="75" fillId="0" borderId="0" xfId="0" applyFont="1" applyAlignment="1">
      <alignment horizontal="center"/>
    </xf>
    <xf numFmtId="0" fontId="77" fillId="2" borderId="1" xfId="0" applyFont="1" applyFill="1" applyBorder="1" applyAlignment="1">
      <alignment wrapText="1"/>
    </xf>
    <xf numFmtId="0" fontId="77" fillId="2" borderId="1" xfId="0" applyFont="1" applyFill="1" applyBorder="1" applyAlignment="1">
      <alignment horizontal="left" wrapText="1"/>
    </xf>
    <xf numFmtId="0" fontId="77" fillId="2" borderId="1" xfId="0" applyFont="1" applyFill="1" applyBorder="1" applyAlignment="1">
      <alignment horizontal="center"/>
    </xf>
    <xf numFmtId="4" fontId="77" fillId="0" borderId="0" xfId="0" applyNumberFormat="1" applyFont="1"/>
    <xf numFmtId="4" fontId="77" fillId="2" borderId="1" xfId="0" applyNumberFormat="1" applyFont="1" applyFill="1" applyBorder="1" applyAlignment="1">
      <alignment wrapText="1"/>
    </xf>
    <xf numFmtId="4" fontId="77" fillId="2" borderId="1" xfId="0" applyNumberFormat="1" applyFont="1" applyFill="1" applyBorder="1" applyAlignment="1">
      <alignment horizontal="left" wrapText="1"/>
    </xf>
    <xf numFmtId="4" fontId="77" fillId="2" borderId="1" xfId="0" applyNumberFormat="1" applyFont="1" applyFill="1" applyBorder="1" applyAlignment="1">
      <alignment horizontal="center" wrapText="1"/>
    </xf>
    <xf numFmtId="4" fontId="77" fillId="2" borderId="1" xfId="0" applyNumberFormat="1" applyFont="1" applyFill="1" applyBorder="1" applyAlignment="1">
      <alignment horizontal="center"/>
    </xf>
    <xf numFmtId="4" fontId="75" fillId="0" borderId="0" xfId="0" applyNumberFormat="1" applyFont="1" applyAlignment="1">
      <alignment wrapText="1"/>
    </xf>
    <xf numFmtId="4" fontId="75" fillId="0" borderId="0" xfId="0" applyNumberFormat="1" applyFont="1" applyAlignment="1">
      <alignment horizontal="left" wrapText="1"/>
    </xf>
    <xf numFmtId="4" fontId="75" fillId="0" borderId="0" xfId="0" applyNumberFormat="1" applyFont="1" applyAlignment="1">
      <alignment horizontal="center" wrapText="1"/>
    </xf>
    <xf numFmtId="4" fontId="75" fillId="0" borderId="0" xfId="0" applyNumberFormat="1" applyFont="1" applyAlignment="1">
      <alignment horizontal="center"/>
    </xf>
    <xf numFmtId="4" fontId="77" fillId="0" borderId="0" xfId="0" applyNumberFormat="1" applyFont="1" applyAlignment="1">
      <alignment horizontal="center"/>
    </xf>
    <xf numFmtId="4" fontId="74" fillId="0" borderId="0" xfId="0" applyNumberFormat="1" applyFont="1" applyAlignment="1">
      <alignment horizontal="center" wrapText="1"/>
    </xf>
    <xf numFmtId="0" fontId="74" fillId="0" borderId="0" xfId="0" applyFont="1" applyAlignment="1">
      <alignment horizontal="center"/>
    </xf>
    <xf numFmtId="4" fontId="80" fillId="0" borderId="0" xfId="0" applyNumberFormat="1" applyFont="1"/>
    <xf numFmtId="4" fontId="82" fillId="0" borderId="0" xfId="0" applyNumberFormat="1" applyFont="1"/>
    <xf numFmtId="4" fontId="82" fillId="0" borderId="1" xfId="0" applyNumberFormat="1" applyFont="1" applyBorder="1" applyAlignment="1">
      <alignment wrapText="1"/>
    </xf>
    <xf numFmtId="4" fontId="82" fillId="0" borderId="1" xfId="0" applyNumberFormat="1" applyFont="1" applyBorder="1"/>
    <xf numFmtId="0" fontId="84" fillId="0" borderId="1" xfId="0" applyFont="1" applyBorder="1"/>
    <xf numFmtId="0" fontId="85" fillId="0" borderId="0" xfId="0" applyFont="1"/>
    <xf numFmtId="0" fontId="85" fillId="0" borderId="1" xfId="0" applyFont="1" applyBorder="1"/>
    <xf numFmtId="4" fontId="85" fillId="0" borderId="1" xfId="0" applyNumberFormat="1" applyFont="1" applyBorder="1"/>
    <xf numFmtId="0" fontId="62" fillId="0" borderId="1" xfId="0" applyFont="1" applyBorder="1"/>
    <xf numFmtId="4" fontId="62" fillId="0" borderId="1" xfId="0" applyNumberFormat="1" applyFont="1" applyBorder="1"/>
    <xf numFmtId="0" fontId="84" fillId="0" borderId="0" xfId="0" applyFont="1"/>
    <xf numFmtId="4" fontId="84" fillId="0" borderId="1" xfId="0" applyNumberFormat="1" applyFont="1" applyBorder="1"/>
    <xf numFmtId="0" fontId="86" fillId="0" borderId="0" xfId="0" applyFont="1"/>
    <xf numFmtId="0" fontId="87" fillId="0" borderId="0" xfId="0" applyFont="1"/>
    <xf numFmtId="4" fontId="85" fillId="0" borderId="0" xfId="0" applyNumberFormat="1" applyFont="1"/>
    <xf numFmtId="43" fontId="85" fillId="0" borderId="0" xfId="0" applyNumberFormat="1" applyFont="1"/>
    <xf numFmtId="43" fontId="84" fillId="0" borderId="0" xfId="1" applyFont="1"/>
    <xf numFmtId="43" fontId="85" fillId="0" borderId="0" xfId="1" applyFont="1"/>
    <xf numFmtId="0" fontId="84" fillId="13" borderId="1" xfId="0" applyFont="1" applyFill="1" applyBorder="1"/>
    <xf numFmtId="0" fontId="84" fillId="13" borderId="1" xfId="0" applyFont="1" applyFill="1" applyBorder="1" applyAlignment="1">
      <alignment horizontal="right"/>
    </xf>
    <xf numFmtId="0" fontId="83" fillId="0" borderId="1" xfId="0" applyFont="1" applyBorder="1" applyAlignment="1">
      <alignment wrapText="1"/>
    </xf>
    <xf numFmtId="164" fontId="83" fillId="0" borderId="1" xfId="0" applyNumberFormat="1" applyFont="1" applyBorder="1"/>
    <xf numFmtId="0" fontId="82" fillId="0" borderId="0" xfId="0" applyFont="1"/>
    <xf numFmtId="0" fontId="83" fillId="0" borderId="1" xfId="0" applyFont="1" applyBorder="1"/>
    <xf numFmtId="0" fontId="83" fillId="0" borderId="8" xfId="0" applyFont="1" applyBorder="1"/>
    <xf numFmtId="0" fontId="83" fillId="0" borderId="2" xfId="0" applyFont="1" applyBorder="1"/>
    <xf numFmtId="164" fontId="83" fillId="0" borderId="9" xfId="0" applyNumberFormat="1" applyFont="1" applyBorder="1"/>
    <xf numFmtId="164" fontId="83" fillId="0" borderId="6" xfId="0" applyNumberFormat="1" applyFont="1" applyBorder="1"/>
    <xf numFmtId="0" fontId="83" fillId="0" borderId="1" xfId="0" applyFont="1" applyBorder="1" applyAlignment="1">
      <alignment horizontal="center"/>
    </xf>
    <xf numFmtId="0" fontId="83" fillId="0" borderId="10" xfId="0" applyFont="1" applyBorder="1"/>
    <xf numFmtId="0" fontId="83" fillId="0" borderId="7" xfId="0" applyFont="1" applyBorder="1"/>
    <xf numFmtId="4" fontId="83" fillId="0" borderId="1" xfId="1" applyNumberFormat="1" applyFont="1" applyBorder="1"/>
    <xf numFmtId="0" fontId="83" fillId="0" borderId="10" xfId="0" applyFont="1" applyBorder="1" applyAlignment="1">
      <alignment horizontal="center" wrapText="1"/>
    </xf>
    <xf numFmtId="0" fontId="83" fillId="0" borderId="7" xfId="0" applyFont="1" applyBorder="1" applyAlignment="1">
      <alignment horizontal="center" wrapText="1"/>
    </xf>
    <xf numFmtId="0" fontId="82" fillId="0" borderId="1" xfId="0" applyFont="1" applyBorder="1" applyAlignment="1">
      <alignment wrapText="1"/>
    </xf>
    <xf numFmtId="4" fontId="82" fillId="0" borderId="1" xfId="1" applyNumberFormat="1" applyFont="1" applyBorder="1"/>
    <xf numFmtId="0" fontId="58" fillId="0" borderId="1" xfId="0" applyFont="1" applyBorder="1" applyAlignment="1">
      <alignment wrapText="1"/>
    </xf>
    <xf numFmtId="4" fontId="58" fillId="0" borderId="1" xfId="1" applyNumberFormat="1" applyFont="1" applyFill="1" applyBorder="1"/>
    <xf numFmtId="0" fontId="88" fillId="0" borderId="1" xfId="0" applyFont="1" applyBorder="1" applyAlignment="1">
      <alignment wrapText="1"/>
    </xf>
    <xf numFmtId="4" fontId="88" fillId="0" borderId="1" xfId="1" applyNumberFormat="1" applyFont="1" applyFill="1" applyBorder="1"/>
    <xf numFmtId="4" fontId="82" fillId="0" borderId="1" xfId="1" applyNumberFormat="1" applyFont="1" applyFill="1" applyBorder="1"/>
    <xf numFmtId="4" fontId="83" fillId="0" borderId="1" xfId="0" applyNumberFormat="1" applyFont="1" applyBorder="1"/>
    <xf numFmtId="0" fontId="82" fillId="0" borderId="1" xfId="0" applyFont="1" applyBorder="1"/>
    <xf numFmtId="0" fontId="82" fillId="0" borderId="0" xfId="0" applyFont="1" applyAlignment="1">
      <alignment wrapText="1"/>
    </xf>
    <xf numFmtId="0" fontId="83" fillId="13" borderId="1" xfId="0" applyFont="1" applyFill="1" applyBorder="1" applyAlignment="1">
      <alignment wrapText="1"/>
    </xf>
    <xf numFmtId="4" fontId="59" fillId="13" borderId="1" xfId="1" applyNumberFormat="1" applyFont="1" applyFill="1" applyBorder="1"/>
    <xf numFmtId="4" fontId="83" fillId="13" borderId="1" xfId="1" applyNumberFormat="1" applyFont="1" applyFill="1" applyBorder="1"/>
    <xf numFmtId="0" fontId="71" fillId="0" borderId="0" xfId="0" applyFont="1"/>
    <xf numFmtId="0" fontId="66" fillId="13" borderId="1" xfId="0" applyFont="1" applyFill="1" applyBorder="1" applyAlignment="1">
      <alignment wrapText="1"/>
    </xf>
    <xf numFmtId="0" fontId="66" fillId="13" borderId="1" xfId="0" applyFont="1" applyFill="1" applyBorder="1"/>
    <xf numFmtId="0" fontId="71" fillId="0" borderId="0" xfId="0" applyFont="1" applyAlignment="1">
      <alignment horizontal="center"/>
    </xf>
    <xf numFmtId="0" fontId="81" fillId="0" borderId="0" xfId="0" applyFont="1"/>
    <xf numFmtId="0" fontId="66" fillId="0" borderId="1" xfId="0" applyFont="1" applyBorder="1" applyAlignment="1">
      <alignment wrapText="1"/>
    </xf>
    <xf numFmtId="0" fontId="66" fillId="0" borderId="1" xfId="0" applyFont="1" applyBorder="1"/>
    <xf numFmtId="43" fontId="81" fillId="0" borderId="0" xfId="1" applyFont="1" applyFill="1" applyBorder="1" applyAlignment="1">
      <alignment wrapText="1"/>
    </xf>
    <xf numFmtId="43" fontId="81" fillId="0" borderId="0" xfId="1" applyFont="1" applyFill="1" applyBorder="1"/>
    <xf numFmtId="0" fontId="81" fillId="0" borderId="0" xfId="0" applyFont="1" applyAlignment="1">
      <alignment wrapText="1"/>
    </xf>
    <xf numFmtId="43" fontId="66" fillId="0" borderId="1" xfId="1" applyFont="1" applyBorder="1" applyAlignment="1">
      <alignment wrapText="1"/>
    </xf>
    <xf numFmtId="43" fontId="66" fillId="13" borderId="1" xfId="1" applyFont="1" applyFill="1" applyBorder="1" applyAlignment="1">
      <alignment wrapText="1"/>
    </xf>
    <xf numFmtId="0" fontId="81" fillId="0" borderId="0" xfId="0" applyFont="1" applyAlignment="1">
      <alignment horizontal="center" wrapText="1"/>
    </xf>
    <xf numFmtId="0" fontId="89" fillId="0" borderId="0" xfId="0" applyFont="1" applyAlignment="1">
      <alignment wrapText="1"/>
    </xf>
    <xf numFmtId="4" fontId="89" fillId="0" borderId="0" xfId="0" applyNumberFormat="1" applyFont="1" applyAlignment="1">
      <alignment wrapText="1"/>
    </xf>
    <xf numFmtId="43" fontId="81" fillId="0" borderId="0" xfId="1" applyFont="1" applyFill="1" applyBorder="1" applyAlignment="1">
      <alignment horizontal="center" wrapText="1"/>
    </xf>
    <xf numFmtId="0" fontId="80" fillId="0" borderId="0" xfId="0" applyFont="1" applyAlignment="1">
      <alignment wrapText="1"/>
    </xf>
    <xf numFmtId="0" fontId="80" fillId="0" borderId="0" xfId="0" applyFont="1"/>
    <xf numFmtId="4" fontId="70" fillId="0" borderId="0" xfId="0" applyNumberFormat="1" applyFont="1"/>
    <xf numFmtId="4" fontId="83" fillId="13" borderId="7" xfId="1" applyNumberFormat="1" applyFont="1" applyFill="1" applyBorder="1"/>
    <xf numFmtId="0" fontId="85" fillId="0" borderId="0" xfId="0" applyFont="1" applyAlignment="1">
      <alignment wrapText="1"/>
    </xf>
    <xf numFmtId="0" fontId="90" fillId="0" borderId="0" xfId="0" applyFont="1"/>
    <xf numFmtId="0" fontId="91" fillId="0" borderId="0" xfId="0" applyFont="1"/>
    <xf numFmtId="4" fontId="84" fillId="0" borderId="1" xfId="1" applyNumberFormat="1" applyFont="1" applyBorder="1"/>
    <xf numFmtId="43" fontId="86" fillId="0" borderId="0" xfId="1" applyFont="1"/>
    <xf numFmtId="43" fontId="91" fillId="0" borderId="0" xfId="1" applyFont="1"/>
    <xf numFmtId="4" fontId="85" fillId="0" borderId="1" xfId="1" applyNumberFormat="1" applyFont="1" applyBorder="1"/>
    <xf numFmtId="0" fontId="92" fillId="0" borderId="0" xfId="0" applyFont="1"/>
    <xf numFmtId="4" fontId="62" fillId="0" borderId="1" xfId="1" applyNumberFormat="1" applyFont="1" applyBorder="1"/>
    <xf numFmtId="0" fontId="91" fillId="0" borderId="1" xfId="0" applyFont="1" applyBorder="1"/>
    <xf numFmtId="4" fontId="91" fillId="0" borderId="1" xfId="1" applyNumberFormat="1" applyFont="1" applyBorder="1"/>
    <xf numFmtId="43" fontId="85" fillId="0" borderId="1" xfId="1" applyFont="1" applyBorder="1"/>
    <xf numFmtId="4" fontId="99" fillId="0" borderId="1" xfId="0" applyNumberFormat="1" applyFont="1" applyBorder="1" applyAlignment="1">
      <alignment horizontal="center" wrapText="1"/>
    </xf>
    <xf numFmtId="4" fontId="99" fillId="0" borderId="1" xfId="1" applyNumberFormat="1" applyFont="1" applyFill="1" applyBorder="1" applyAlignment="1">
      <alignment horizontal="center"/>
    </xf>
    <xf numFmtId="4" fontId="99" fillId="0" borderId="0" xfId="0" applyNumberFormat="1" applyFont="1"/>
    <xf numFmtId="4" fontId="99" fillId="0" borderId="1" xfId="1" applyNumberFormat="1" applyFont="1" applyFill="1" applyBorder="1" applyAlignment="1">
      <alignment horizontal="center" wrapText="1"/>
    </xf>
    <xf numFmtId="43" fontId="64" fillId="0" borderId="1" xfId="1" applyFont="1" applyBorder="1" applyAlignment="1">
      <alignment horizontal="right" vertical="center"/>
    </xf>
    <xf numFmtId="43" fontId="64" fillId="0" borderId="1" xfId="1" applyFont="1" applyBorder="1" applyAlignment="1">
      <alignment horizontal="right" vertical="center" wrapText="1"/>
    </xf>
    <xf numFmtId="43" fontId="64" fillId="0" borderId="1" xfId="1" applyFont="1" applyBorder="1" applyAlignment="1">
      <alignment vertical="center" wrapText="1"/>
    </xf>
    <xf numFmtId="43" fontId="55" fillId="0" borderId="0" xfId="1" applyFont="1"/>
    <xf numFmtId="169" fontId="55" fillId="0" borderId="0" xfId="1" applyNumberFormat="1" applyFont="1"/>
    <xf numFmtId="3" fontId="55" fillId="0" borderId="0" xfId="0" applyNumberFormat="1" applyFont="1"/>
    <xf numFmtId="3" fontId="55" fillId="0" borderId="0" xfId="1" applyNumberFormat="1" applyFont="1"/>
    <xf numFmtId="0" fontId="56" fillId="11" borderId="0" xfId="0" applyFont="1" applyFill="1"/>
    <xf numFmtId="3" fontId="56" fillId="11" borderId="0" xfId="0" applyNumberFormat="1" applyFont="1" applyFill="1"/>
    <xf numFmtId="169" fontId="55" fillId="0" borderId="0" xfId="1" applyNumberFormat="1" applyFont="1" applyAlignment="1">
      <alignment horizontal="right"/>
    </xf>
    <xf numFmtId="43" fontId="15" fillId="14" borderId="0" xfId="1" applyFont="1" applyFill="1" applyBorder="1"/>
    <xf numFmtId="43" fontId="29" fillId="14" borderId="0" xfId="1" applyFont="1" applyFill="1" applyBorder="1"/>
    <xf numFmtId="43" fontId="102" fillId="14" borderId="0" xfId="1" applyFont="1" applyFill="1" applyBorder="1"/>
    <xf numFmtId="43" fontId="56" fillId="11" borderId="0" xfId="1" applyFont="1" applyFill="1"/>
    <xf numFmtId="169" fontId="56" fillId="11" borderId="0" xfId="1" applyNumberFormat="1" applyFont="1" applyFill="1"/>
    <xf numFmtId="0" fontId="80" fillId="3" borderId="0" xfId="0" applyFont="1" applyFill="1"/>
    <xf numFmtId="3" fontId="103" fillId="11" borderId="0" xfId="0" applyNumberFormat="1" applyFont="1" applyFill="1"/>
    <xf numFmtId="0" fontId="104" fillId="0" borderId="0" xfId="0" applyFont="1" applyAlignment="1">
      <alignment horizontal="right"/>
    </xf>
    <xf numFmtId="3" fontId="105" fillId="0" borderId="0" xfId="0" applyNumberFormat="1" applyFont="1"/>
    <xf numFmtId="0" fontId="80" fillId="13" borderId="0" xfId="0" applyFont="1" applyFill="1"/>
    <xf numFmtId="0" fontId="80" fillId="13" borderId="0" xfId="0" applyFont="1" applyFill="1" applyAlignment="1">
      <alignment wrapText="1"/>
    </xf>
    <xf numFmtId="43" fontId="106" fillId="0" borderId="0" xfId="1" applyFont="1" applyFill="1" applyBorder="1"/>
    <xf numFmtId="0" fontId="107" fillId="0" borderId="0" xfId="0" applyFont="1" applyAlignment="1">
      <alignment wrapText="1"/>
    </xf>
    <xf numFmtId="0" fontId="108" fillId="0" borderId="0" xfId="0" applyFont="1"/>
    <xf numFmtId="0" fontId="107" fillId="0" borderId="0" xfId="1" applyNumberFormat="1" applyFont="1" applyFill="1" applyBorder="1" applyAlignment="1">
      <alignment horizontal="center"/>
    </xf>
    <xf numFmtId="0" fontId="107" fillId="0" borderId="0" xfId="0" applyFont="1"/>
    <xf numFmtId="43" fontId="107" fillId="0" borderId="0" xfId="0" applyNumberFormat="1" applyFont="1"/>
    <xf numFmtId="43" fontId="109" fillId="0" borderId="0" xfId="1" applyFont="1" applyFill="1" applyBorder="1"/>
    <xf numFmtId="0" fontId="110" fillId="0" borderId="0" xfId="0" applyFont="1" applyAlignment="1">
      <alignment wrapText="1"/>
    </xf>
    <xf numFmtId="0" fontId="111" fillId="0" borderId="0" xfId="0" applyFont="1"/>
    <xf numFmtId="0" fontId="110" fillId="0" borderId="0" xfId="1" applyNumberFormat="1" applyFont="1" applyFill="1" applyBorder="1" applyAlignment="1">
      <alignment horizontal="center"/>
    </xf>
    <xf numFmtId="0" fontId="110" fillId="0" borderId="0" xfId="0" applyFont="1"/>
    <xf numFmtId="43" fontId="110" fillId="0" borderId="0" xfId="1" applyFont="1" applyFill="1" applyBorder="1"/>
    <xf numFmtId="43" fontId="110" fillId="0" borderId="0" xfId="1" applyFont="1" applyFill="1" applyBorder="1" applyAlignment="1">
      <alignment wrapText="1"/>
    </xf>
    <xf numFmtId="0" fontId="20" fillId="3" borderId="0" xfId="0" applyFont="1" applyFill="1" applyAlignment="1">
      <alignment wrapText="1"/>
    </xf>
    <xf numFmtId="0" fontId="20" fillId="3" borderId="0" xfId="0" applyFont="1" applyFill="1"/>
    <xf numFmtId="0" fontId="20" fillId="3" borderId="0" xfId="1" applyNumberFormat="1" applyFont="1" applyFill="1" applyBorder="1" applyAlignment="1">
      <alignment horizontal="center"/>
    </xf>
    <xf numFmtId="43" fontId="20" fillId="3" borderId="0" xfId="0" applyNumberFormat="1" applyFont="1" applyFill="1"/>
    <xf numFmtId="43" fontId="21" fillId="3" borderId="0" xfId="1" applyFont="1" applyFill="1" applyBorder="1"/>
    <xf numFmtId="0" fontId="112" fillId="9" borderId="0" xfId="0" applyFont="1" applyFill="1" applyAlignment="1">
      <alignment wrapText="1"/>
    </xf>
    <xf numFmtId="0" fontId="112" fillId="9" borderId="0" xfId="0" applyFont="1" applyFill="1"/>
    <xf numFmtId="0" fontId="112" fillId="9" borderId="0" xfId="1" applyNumberFormat="1" applyFont="1" applyFill="1" applyBorder="1" applyAlignment="1">
      <alignment horizontal="center"/>
    </xf>
    <xf numFmtId="0" fontId="112" fillId="6" borderId="0" xfId="0" applyFont="1" applyFill="1"/>
    <xf numFmtId="0" fontId="112" fillId="6" borderId="0" xfId="0" applyFont="1" applyFill="1" applyAlignment="1">
      <alignment wrapText="1"/>
    </xf>
    <xf numFmtId="0" fontId="112" fillId="6" borderId="0" xfId="1" applyNumberFormat="1" applyFont="1" applyFill="1" applyBorder="1" applyAlignment="1">
      <alignment horizontal="center"/>
    </xf>
    <xf numFmtId="0" fontId="112" fillId="8" borderId="0" xfId="0" applyFont="1" applyFill="1" applyAlignment="1">
      <alignment wrapText="1"/>
    </xf>
    <xf numFmtId="0" fontId="112" fillId="8" borderId="0" xfId="0" applyFont="1" applyFill="1"/>
    <xf numFmtId="0" fontId="112" fillId="8" borderId="0" xfId="1" applyNumberFormat="1" applyFont="1" applyFill="1" applyBorder="1" applyAlignment="1">
      <alignment horizontal="center"/>
    </xf>
    <xf numFmtId="0" fontId="113" fillId="0" borderId="0" xfId="0" applyFont="1"/>
    <xf numFmtId="164" fontId="55" fillId="0" borderId="0" xfId="0" applyNumberFormat="1" applyFont="1"/>
    <xf numFmtId="164" fontId="113" fillId="0" borderId="0" xfId="0" applyNumberFormat="1" applyFont="1"/>
    <xf numFmtId="0" fontId="114" fillId="0" borderId="0" xfId="0" applyFont="1"/>
    <xf numFmtId="43" fontId="55" fillId="0" borderId="0" xfId="0" applyNumberFormat="1" applyFont="1"/>
    <xf numFmtId="0" fontId="114" fillId="0" borderId="0" xfId="0" applyFont="1" applyAlignment="1">
      <alignment horizontal="right"/>
    </xf>
    <xf numFmtId="43" fontId="55" fillId="0" borderId="0" xfId="0" applyNumberFormat="1" applyFont="1" applyAlignment="1">
      <alignment horizontal="right"/>
    </xf>
    <xf numFmtId="0" fontId="114" fillId="11" borderId="0" xfId="0" applyFont="1" applyFill="1"/>
    <xf numFmtId="0" fontId="113" fillId="11" borderId="0" xfId="0" applyFont="1" applyFill="1"/>
    <xf numFmtId="164" fontId="105" fillId="0" borderId="0" xfId="0" applyNumberFormat="1" applyFont="1"/>
    <xf numFmtId="0" fontId="80" fillId="12" borderId="0" xfId="0" applyFont="1" applyFill="1"/>
    <xf numFmtId="4" fontId="113" fillId="0" borderId="0" xfId="0" applyNumberFormat="1" applyFont="1"/>
    <xf numFmtId="169" fontId="55" fillId="0" borderId="0" xfId="0" applyNumberFormat="1" applyFont="1"/>
    <xf numFmtId="169" fontId="55" fillId="11" borderId="0" xfId="0" applyNumberFormat="1" applyFont="1" applyFill="1"/>
    <xf numFmtId="169" fontId="105" fillId="11" borderId="0" xfId="0" applyNumberFormat="1" applyFont="1" applyFill="1"/>
    <xf numFmtId="169" fontId="115" fillId="11" borderId="0" xfId="0" applyNumberFormat="1" applyFont="1" applyFill="1"/>
    <xf numFmtId="169" fontId="105" fillId="0" borderId="0" xfId="0" applyNumberFormat="1" applyFont="1"/>
    <xf numFmtId="43" fontId="105" fillId="0" borderId="0" xfId="0" applyNumberFormat="1" applyFont="1"/>
    <xf numFmtId="0" fontId="55" fillId="0" borderId="0" xfId="0" applyFont="1" applyAlignment="1">
      <alignment horizontal="center"/>
    </xf>
    <xf numFmtId="43" fontId="113" fillId="0" borderId="0" xfId="0" applyNumberFormat="1" applyFont="1"/>
    <xf numFmtId="0" fontId="114" fillId="0" borderId="0" xfId="0" applyFont="1" applyAlignment="1">
      <alignment horizontal="left"/>
    </xf>
    <xf numFmtId="0" fontId="80" fillId="15" borderId="0" xfId="0" applyFont="1" applyFill="1"/>
    <xf numFmtId="0" fontId="80" fillId="16" borderId="0" xfId="0" applyFont="1" applyFill="1"/>
    <xf numFmtId="0" fontId="116" fillId="11" borderId="0" xfId="0" applyFont="1" applyFill="1"/>
    <xf numFmtId="169" fontId="56" fillId="11" borderId="0" xfId="0" applyNumberFormat="1" applyFont="1" applyFill="1"/>
    <xf numFmtId="4" fontId="55" fillId="0" borderId="0" xfId="0" applyNumberFormat="1" applyFont="1"/>
    <xf numFmtId="169" fontId="103" fillId="11" borderId="0" xfId="0" applyNumberFormat="1" applyFont="1" applyFill="1"/>
    <xf numFmtId="0" fontId="64" fillId="0" borderId="0" xfId="0" applyFont="1" applyAlignment="1">
      <alignment horizontal="center" vertical="center" wrapText="1"/>
    </xf>
    <xf numFmtId="0" fontId="65" fillId="17" borderId="11" xfId="0" applyFont="1" applyFill="1" applyBorder="1" applyAlignment="1">
      <alignment horizontal="center" vertical="center" wrapText="1"/>
    </xf>
    <xf numFmtId="0" fontId="65" fillId="17" borderId="11" xfId="0" applyFont="1" applyFill="1" applyBorder="1" applyAlignment="1">
      <alignment horizontal="left" vertical="center" wrapText="1"/>
    </xf>
    <xf numFmtId="0" fontId="65" fillId="18" borderId="11" xfId="0" applyFont="1" applyFill="1" applyBorder="1" applyAlignment="1">
      <alignment horizontal="center" vertical="center" wrapText="1"/>
    </xf>
    <xf numFmtId="0" fontId="65" fillId="18" borderId="11" xfId="0" applyFont="1" applyFill="1" applyBorder="1" applyAlignment="1">
      <alignment horizontal="left" vertical="center" wrapText="1"/>
    </xf>
    <xf numFmtId="0" fontId="65" fillId="0" borderId="11" xfId="0" applyFont="1" applyBorder="1" applyAlignment="1">
      <alignment horizontal="right" vertical="center" wrapText="1"/>
    </xf>
    <xf numFmtId="0" fontId="65" fillId="0" borderId="11" xfId="0" applyFont="1" applyBorder="1" applyAlignment="1">
      <alignment horizontal="left" vertical="center" wrapText="1"/>
    </xf>
    <xf numFmtId="0" fontId="65" fillId="0" borderId="11" xfId="0" applyFont="1" applyBorder="1" applyAlignment="1">
      <alignment horizontal="left" vertical="center"/>
    </xf>
    <xf numFmtId="0" fontId="65" fillId="0" borderId="11" xfId="0" applyFont="1" applyBorder="1" applyAlignment="1">
      <alignment horizontal="center" vertical="center" wrapText="1"/>
    </xf>
    <xf numFmtId="4" fontId="65" fillId="18" borderId="11" xfId="0" applyNumberFormat="1" applyFont="1" applyFill="1" applyBorder="1" applyAlignment="1">
      <alignment horizontal="center" vertical="center" wrapText="1"/>
    </xf>
    <xf numFmtId="4" fontId="65" fillId="18" borderId="11" xfId="0" applyNumberFormat="1" applyFont="1" applyFill="1" applyBorder="1" applyAlignment="1">
      <alignment horizontal="left" vertical="center" wrapText="1"/>
    </xf>
    <xf numFmtId="3" fontId="64" fillId="0" borderId="11" xfId="0" applyNumberFormat="1" applyFont="1" applyBorder="1" applyAlignment="1">
      <alignment horizontal="right" vertical="center" wrapText="1"/>
    </xf>
    <xf numFmtId="4" fontId="64" fillId="0" borderId="11" xfId="0" applyNumberFormat="1" applyFont="1" applyBorder="1" applyAlignment="1">
      <alignment horizontal="left" vertical="center" wrapText="1"/>
    </xf>
    <xf numFmtId="1" fontId="65" fillId="11" borderId="11" xfId="0" applyNumberFormat="1" applyFont="1" applyFill="1" applyBorder="1" applyAlignment="1">
      <alignment horizontal="right" vertical="center"/>
    </xf>
    <xf numFmtId="1" fontId="65" fillId="0" borderId="11" xfId="0" applyNumberFormat="1" applyFont="1" applyBorder="1" applyAlignment="1">
      <alignment horizontal="right" vertical="center"/>
    </xf>
    <xf numFmtId="3" fontId="68" fillId="0" borderId="11" xfId="0" applyNumberFormat="1" applyFont="1" applyBorder="1" applyAlignment="1">
      <alignment horizontal="right" vertical="center" wrapText="1"/>
    </xf>
    <xf numFmtId="4" fontId="67" fillId="0" borderId="11" xfId="0" applyNumberFormat="1" applyFont="1" applyBorder="1" applyAlignment="1">
      <alignment horizontal="left" vertical="center" wrapText="1"/>
    </xf>
    <xf numFmtId="4" fontId="63" fillId="0" borderId="11" xfId="0" applyNumberFormat="1" applyFont="1" applyBorder="1" applyAlignment="1">
      <alignment horizontal="left" vertical="center" wrapText="1"/>
    </xf>
    <xf numFmtId="3" fontId="70" fillId="0" borderId="11" xfId="0" applyNumberFormat="1" applyFont="1" applyBorder="1" applyAlignment="1">
      <alignment horizontal="right" vertical="center" wrapText="1"/>
    </xf>
    <xf numFmtId="4" fontId="69" fillId="0" borderId="11" xfId="0" applyNumberFormat="1" applyFont="1" applyBorder="1" applyAlignment="1">
      <alignment horizontal="left" vertical="center" wrapText="1"/>
    </xf>
    <xf numFmtId="4" fontId="70" fillId="0" borderId="11" xfId="0" applyNumberFormat="1" applyFont="1" applyBorder="1" applyAlignment="1">
      <alignment horizontal="center" vertical="center" wrapText="1"/>
    </xf>
    <xf numFmtId="4" fontId="64" fillId="0" borderId="11" xfId="0" applyNumberFormat="1" applyFont="1" applyBorder="1" applyAlignment="1">
      <alignment horizontal="center" vertical="center" wrapText="1"/>
    </xf>
    <xf numFmtId="4" fontId="65" fillId="0" borderId="11" xfId="0" applyNumberFormat="1" applyFont="1" applyBorder="1" applyAlignment="1">
      <alignment horizontal="center" vertical="center" wrapText="1"/>
    </xf>
    <xf numFmtId="4" fontId="65" fillId="0" borderId="11" xfId="0" applyNumberFormat="1" applyFont="1" applyBorder="1" applyAlignment="1">
      <alignment horizontal="left" vertical="center" wrapText="1"/>
    </xf>
    <xf numFmtId="1" fontId="65" fillId="11" borderId="11" xfId="0" applyNumberFormat="1" applyFont="1" applyFill="1" applyBorder="1" applyAlignment="1">
      <alignment horizontal="right" vertical="center" wrapText="1"/>
    </xf>
    <xf numFmtId="169" fontId="65" fillId="18" borderId="11" xfId="1" applyNumberFormat="1" applyFont="1" applyFill="1" applyBorder="1" applyAlignment="1">
      <alignment horizontal="right" vertical="center"/>
    </xf>
    <xf numFmtId="169" fontId="65" fillId="18" borderId="11" xfId="1" applyNumberFormat="1" applyFont="1" applyFill="1" applyBorder="1" applyAlignment="1">
      <alignment horizontal="right" vertical="center" wrapText="1"/>
    </xf>
    <xf numFmtId="169" fontId="65" fillId="0" borderId="11" xfId="1" applyNumberFormat="1" applyFont="1" applyFill="1" applyBorder="1" applyAlignment="1">
      <alignment horizontal="right" vertical="center"/>
    </xf>
    <xf numFmtId="169" fontId="65" fillId="0" borderId="11" xfId="1" applyNumberFormat="1" applyFont="1" applyFill="1" applyBorder="1" applyAlignment="1">
      <alignment horizontal="right" vertical="center" wrapText="1"/>
    </xf>
    <xf numFmtId="169" fontId="65" fillId="11" borderId="11" xfId="1" applyNumberFormat="1" applyFont="1" applyFill="1" applyBorder="1" applyAlignment="1">
      <alignment horizontal="right" vertical="center"/>
    </xf>
    <xf numFmtId="169" fontId="64" fillId="0" borderId="11" xfId="1" applyNumberFormat="1" applyFont="1" applyBorder="1" applyAlignment="1">
      <alignment horizontal="right" vertical="center"/>
    </xf>
    <xf numFmtId="169" fontId="65" fillId="0" borderId="11" xfId="1" applyNumberFormat="1" applyFont="1" applyBorder="1" applyAlignment="1">
      <alignment horizontal="right" vertical="center"/>
    </xf>
    <xf numFmtId="169" fontId="68" fillId="0" borderId="11" xfId="1" applyNumberFormat="1" applyFont="1" applyBorder="1" applyAlignment="1">
      <alignment horizontal="right" vertical="center"/>
    </xf>
    <xf numFmtId="169" fontId="69" fillId="0" borderId="11" xfId="1" applyNumberFormat="1" applyFont="1" applyBorder="1" applyAlignment="1">
      <alignment horizontal="right" vertical="center"/>
    </xf>
    <xf numFmtId="169" fontId="65" fillId="11" borderId="11" xfId="1" applyNumberFormat="1" applyFont="1" applyFill="1" applyBorder="1" applyAlignment="1">
      <alignment horizontal="right" vertical="center" wrapText="1"/>
    </xf>
    <xf numFmtId="0" fontId="65" fillId="17" borderId="12" xfId="0" applyFont="1" applyFill="1" applyBorder="1" applyAlignment="1">
      <alignment horizontal="center" vertical="center"/>
    </xf>
    <xf numFmtId="0" fontId="65" fillId="17" borderId="13" xfId="0" applyFont="1" applyFill="1" applyBorder="1" applyAlignment="1">
      <alignment horizontal="center" vertical="center" wrapText="1"/>
    </xf>
    <xf numFmtId="9" fontId="64" fillId="0" borderId="0" xfId="5" applyFont="1" applyAlignment="1">
      <alignment horizontal="right" vertical="center" wrapText="1"/>
    </xf>
    <xf numFmtId="169" fontId="64" fillId="0" borderId="11" xfId="1" applyNumberFormat="1" applyFont="1" applyFill="1" applyBorder="1" applyAlignment="1">
      <alignment horizontal="right" vertical="center" wrapText="1"/>
    </xf>
    <xf numFmtId="169" fontId="64" fillId="0" borderId="11" xfId="1" applyNumberFormat="1" applyFont="1" applyFill="1" applyBorder="1" applyAlignment="1">
      <alignment horizontal="right" vertical="center"/>
    </xf>
    <xf numFmtId="169" fontId="117" fillId="0" borderId="11" xfId="1" applyNumberFormat="1" applyFont="1" applyFill="1" applyBorder="1" applyAlignment="1">
      <alignment horizontal="right" vertical="center"/>
    </xf>
    <xf numFmtId="169" fontId="118" fillId="18" borderId="11" xfId="1" applyNumberFormat="1" applyFont="1" applyFill="1" applyBorder="1" applyAlignment="1">
      <alignment horizontal="right" vertical="center" wrapText="1"/>
    </xf>
    <xf numFmtId="3" fontId="80" fillId="0" borderId="0" xfId="0" applyNumberFormat="1" applyFont="1" applyAlignment="1">
      <alignment wrapText="1"/>
    </xf>
    <xf numFmtId="0" fontId="80" fillId="19" borderId="0" xfId="0" applyFont="1" applyFill="1"/>
    <xf numFmtId="169" fontId="117" fillId="0" borderId="11" xfId="1" applyNumberFormat="1" applyFont="1" applyBorder="1" applyAlignment="1">
      <alignment horizontal="right" vertical="center"/>
    </xf>
    <xf numFmtId="0" fontId="80" fillId="13" borderId="0" xfId="0" applyFont="1" applyFill="1" applyAlignment="1">
      <alignment horizontal="center" wrapText="1"/>
    </xf>
    <xf numFmtId="0" fontId="80" fillId="13" borderId="0" xfId="0" applyFont="1" applyFill="1" applyAlignment="1">
      <alignment horizontal="center"/>
    </xf>
    <xf numFmtId="0" fontId="80" fillId="5" borderId="0" xfId="0" applyFont="1" applyFill="1" applyAlignment="1">
      <alignment horizontal="center" wrapText="1"/>
    </xf>
    <xf numFmtId="0" fontId="80" fillId="5" borderId="0" xfId="0" applyFont="1" applyFill="1" applyAlignment="1">
      <alignment horizontal="center"/>
    </xf>
    <xf numFmtId="0" fontId="80" fillId="17" borderId="0" xfId="0" applyFont="1" applyFill="1" applyAlignment="1">
      <alignment horizontal="center" wrapText="1"/>
    </xf>
    <xf numFmtId="0" fontId="80" fillId="17" borderId="0" xfId="0" applyFont="1" applyFill="1" applyAlignment="1">
      <alignment horizontal="center"/>
    </xf>
    <xf numFmtId="0" fontId="80" fillId="20" borderId="0" xfId="0" applyFont="1" applyFill="1"/>
    <xf numFmtId="169" fontId="119" fillId="0" borderId="0" xfId="0" applyNumberFormat="1" applyFont="1" applyAlignment="1">
      <alignment horizontal="right" vertical="center"/>
    </xf>
    <xf numFmtId="0" fontId="65" fillId="17" borderId="11" xfId="0" applyFont="1" applyFill="1" applyBorder="1" applyAlignment="1">
      <alignment horizontal="center" vertical="center"/>
    </xf>
    <xf numFmtId="169" fontId="64" fillId="0" borderId="0" xfId="0" applyNumberFormat="1" applyFont="1" applyAlignment="1">
      <alignment horizontal="center" vertical="center"/>
    </xf>
    <xf numFmtId="0" fontId="65" fillId="18" borderId="0" xfId="0" applyFont="1" applyFill="1" applyAlignment="1">
      <alignment horizontal="center" vertical="center"/>
    </xf>
    <xf numFmtId="169" fontId="65" fillId="18" borderId="0" xfId="0" applyNumberFormat="1" applyFont="1" applyFill="1" applyAlignment="1">
      <alignment horizontal="center" vertical="center"/>
    </xf>
    <xf numFmtId="169" fontId="119" fillId="0" borderId="0" xfId="0" applyNumberFormat="1" applyFont="1" applyAlignment="1">
      <alignment horizontal="center" vertical="center"/>
    </xf>
    <xf numFmtId="169" fontId="64" fillId="0" borderId="0" xfId="0" applyNumberFormat="1" applyFont="1" applyAlignment="1">
      <alignment horizontal="right" vertical="center"/>
    </xf>
    <xf numFmtId="0" fontId="120" fillId="0" borderId="0" xfId="0" applyFont="1"/>
    <xf numFmtId="0" fontId="120" fillId="0" borderId="0" xfId="0" applyFont="1" applyAlignment="1">
      <alignment horizontal="center"/>
    </xf>
    <xf numFmtId="0" fontId="121" fillId="0" borderId="0" xfId="0" applyFont="1"/>
    <xf numFmtId="0" fontId="121" fillId="0" borderId="0" xfId="0" applyFont="1" applyAlignment="1">
      <alignment horizontal="center"/>
    </xf>
    <xf numFmtId="0" fontId="121" fillId="23" borderId="0" xfId="0" applyFont="1" applyFill="1"/>
    <xf numFmtId="43" fontId="120" fillId="0" borderId="0" xfId="1" applyFont="1" applyFill="1" applyBorder="1"/>
    <xf numFmtId="0" fontId="122" fillId="0" borderId="0" xfId="0" applyFont="1"/>
    <xf numFmtId="0" fontId="122" fillId="21" borderId="0" xfId="0" applyFont="1" applyFill="1"/>
    <xf numFmtId="0" fontId="122" fillId="0" borderId="0" xfId="0" applyFont="1" applyAlignment="1">
      <alignment wrapText="1"/>
    </xf>
    <xf numFmtId="0" fontId="122" fillId="0" borderId="0" xfId="0" applyFont="1" applyAlignment="1">
      <alignment horizontal="center"/>
    </xf>
    <xf numFmtId="170" fontId="122" fillId="0" borderId="0" xfId="0" applyNumberFormat="1" applyFont="1"/>
    <xf numFmtId="43" fontId="122" fillId="0" borderId="0" xfId="0" applyNumberFormat="1" applyFont="1"/>
    <xf numFmtId="0" fontId="123" fillId="0" borderId="0" xfId="0" applyFont="1"/>
    <xf numFmtId="0" fontId="123" fillId="0" borderId="0" xfId="0" applyFont="1" applyAlignment="1">
      <alignment wrapText="1"/>
    </xf>
    <xf numFmtId="0" fontId="123" fillId="0" borderId="0" xfId="0" applyFont="1" applyAlignment="1">
      <alignment horizontal="center"/>
    </xf>
    <xf numFmtId="0" fontId="67" fillId="22" borderId="0" xfId="0" applyFont="1" applyFill="1"/>
    <xf numFmtId="0" fontId="68" fillId="22" borderId="0" xfId="0" applyFont="1" applyFill="1"/>
    <xf numFmtId="0" fontId="67" fillId="22" borderId="0" xfId="0" applyFont="1" applyFill="1" applyAlignment="1">
      <alignment wrapText="1"/>
    </xf>
    <xf numFmtId="0" fontId="67" fillId="22" borderId="0" xfId="0" applyFont="1" applyFill="1" applyAlignment="1">
      <alignment horizontal="center"/>
    </xf>
    <xf numFmtId="0" fontId="65" fillId="22" borderId="0" xfId="0" applyFont="1" applyFill="1"/>
    <xf numFmtId="0" fontId="65" fillId="22" borderId="0" xfId="0" applyFont="1" applyFill="1" applyAlignment="1">
      <alignment vertical="center"/>
    </xf>
    <xf numFmtId="0" fontId="65" fillId="22" borderId="0" xfId="0" applyFont="1" applyFill="1" applyAlignment="1">
      <alignment vertical="center" wrapText="1"/>
    </xf>
    <xf numFmtId="0" fontId="65" fillId="22" borderId="0" xfId="0" applyFont="1" applyFill="1" applyAlignment="1">
      <alignment horizontal="center"/>
    </xf>
    <xf numFmtId="4" fontId="65" fillId="22" borderId="0" xfId="0" applyNumberFormat="1" applyFont="1" applyFill="1"/>
    <xf numFmtId="0" fontId="122" fillId="22" borderId="0" xfId="0" applyFont="1" applyFill="1"/>
    <xf numFmtId="0" fontId="122" fillId="22" borderId="0" xfId="0" applyFont="1" applyFill="1" applyAlignment="1">
      <alignment wrapText="1"/>
    </xf>
    <xf numFmtId="0" fontId="122" fillId="22" borderId="0" xfId="0" applyFont="1" applyFill="1" applyAlignment="1">
      <alignment horizontal="center"/>
    </xf>
    <xf numFmtId="4" fontId="122" fillId="22" borderId="0" xfId="0" applyNumberFormat="1" applyFont="1" applyFill="1"/>
    <xf numFmtId="43" fontId="72" fillId="22" borderId="0" xfId="1" applyFont="1" applyFill="1" applyBorder="1"/>
    <xf numFmtId="43" fontId="72" fillId="22" borderId="0" xfId="1" applyFont="1" applyFill="1" applyBorder="1" applyAlignment="1">
      <alignment wrapText="1"/>
    </xf>
    <xf numFmtId="43" fontId="72" fillId="22" borderId="0" xfId="1" applyFont="1" applyFill="1" applyBorder="1" applyAlignment="1">
      <alignment horizontal="center"/>
    </xf>
    <xf numFmtId="4" fontId="72" fillId="22" borderId="0" xfId="1" applyNumberFormat="1" applyFont="1" applyFill="1" applyBorder="1"/>
    <xf numFmtId="4" fontId="123" fillId="0" borderId="0" xfId="1" applyNumberFormat="1" applyFont="1" applyFill="1" applyBorder="1"/>
    <xf numFmtId="4" fontId="123" fillId="0" borderId="0" xfId="0" applyNumberFormat="1" applyFont="1"/>
    <xf numFmtId="0" fontId="65" fillId="23" borderId="0" xfId="0" applyFont="1" applyFill="1"/>
    <xf numFmtId="0" fontId="65" fillId="23" borderId="0" xfId="0" applyFont="1" applyFill="1" applyAlignment="1">
      <alignment wrapText="1"/>
    </xf>
    <xf numFmtId="0" fontId="65" fillId="23" borderId="0" xfId="0" applyFont="1" applyFill="1" applyAlignment="1">
      <alignment horizontal="center"/>
    </xf>
    <xf numFmtId="43" fontId="123" fillId="23" borderId="0" xfId="1" applyFont="1" applyFill="1" applyBorder="1"/>
    <xf numFmtId="0" fontId="71" fillId="23" borderId="0" xfId="0" applyFont="1" applyFill="1" applyAlignment="1">
      <alignment vertical="center"/>
    </xf>
    <xf numFmtId="0" fontId="123" fillId="23" borderId="0" xfId="0" applyFont="1" applyFill="1" applyAlignment="1">
      <alignment vertical="center" wrapText="1"/>
    </xf>
    <xf numFmtId="0" fontId="123" fillId="23" borderId="0" xfId="0" applyFont="1" applyFill="1"/>
    <xf numFmtId="0" fontId="124" fillId="23" borderId="0" xfId="0" applyFont="1" applyFill="1"/>
    <xf numFmtId="0" fontId="124" fillId="23" borderId="0" xfId="0" applyFont="1" applyFill="1" applyAlignment="1">
      <alignment wrapText="1"/>
    </xf>
    <xf numFmtId="0" fontId="124" fillId="23" borderId="0" xfId="0" applyFont="1" applyFill="1" applyAlignment="1">
      <alignment horizontal="center"/>
    </xf>
    <xf numFmtId="43" fontId="124" fillId="23" borderId="0" xfId="1" applyFont="1" applyFill="1" applyBorder="1"/>
    <xf numFmtId="43" fontId="89" fillId="23" borderId="0" xfId="1" applyFont="1" applyFill="1" applyBorder="1"/>
    <xf numFmtId="0" fontId="71" fillId="23" borderId="0" xfId="0" applyFont="1" applyFill="1"/>
    <xf numFmtId="0" fontId="71" fillId="23" borderId="0" xfId="0" applyFont="1" applyFill="1" applyAlignment="1">
      <alignment wrapText="1"/>
    </xf>
    <xf numFmtId="0" fontId="71" fillId="23" borderId="0" xfId="0" applyFont="1" applyFill="1" applyAlignment="1">
      <alignment horizontal="center"/>
    </xf>
    <xf numFmtId="43" fontId="71" fillId="23" borderId="0" xfId="0" applyNumberFormat="1" applyFont="1" applyFill="1"/>
    <xf numFmtId="0" fontId="72" fillId="24" borderId="0" xfId="0" applyFont="1" applyFill="1"/>
    <xf numFmtId="0" fontId="122" fillId="24" borderId="0" xfId="0" applyFont="1" applyFill="1" applyAlignment="1">
      <alignment wrapText="1"/>
    </xf>
    <xf numFmtId="0" fontId="122" fillId="24" borderId="0" xfId="0" applyFont="1" applyFill="1" applyAlignment="1">
      <alignment horizontal="center"/>
    </xf>
    <xf numFmtId="0" fontId="122" fillId="24" borderId="0" xfId="0" applyFont="1" applyFill="1"/>
    <xf numFmtId="0" fontId="72" fillId="24" borderId="0" xfId="0" applyFont="1" applyFill="1" applyAlignment="1">
      <alignment wrapText="1"/>
    </xf>
    <xf numFmtId="0" fontId="72" fillId="24" borderId="0" xfId="1" applyNumberFormat="1" applyFont="1" applyFill="1" applyBorder="1" applyAlignment="1">
      <alignment horizontal="center"/>
    </xf>
    <xf numFmtId="0" fontId="89" fillId="24" borderId="0" xfId="0" applyFont="1" applyFill="1" applyAlignment="1">
      <alignment wrapText="1"/>
    </xf>
    <xf numFmtId="0" fontId="89" fillId="24" borderId="0" xfId="1" applyNumberFormat="1" applyFont="1" applyFill="1" applyBorder="1" applyAlignment="1">
      <alignment horizontal="center"/>
    </xf>
    <xf numFmtId="0" fontId="89" fillId="24" borderId="0" xfId="0" applyFont="1" applyFill="1"/>
    <xf numFmtId="43" fontId="89" fillId="24" borderId="0" xfId="1" applyFont="1" applyFill="1" applyBorder="1"/>
    <xf numFmtId="0" fontId="65" fillId="24" borderId="0" xfId="0" applyFont="1" applyFill="1" applyAlignment="1">
      <alignment wrapText="1"/>
    </xf>
    <xf numFmtId="0" fontId="65" fillId="24" borderId="0" xfId="1" applyNumberFormat="1" applyFont="1" applyFill="1" applyBorder="1" applyAlignment="1">
      <alignment horizontal="center"/>
    </xf>
    <xf numFmtId="0" fontId="65" fillId="24" borderId="0" xfId="0" applyFont="1" applyFill="1"/>
    <xf numFmtId="43" fontId="65" fillId="24" borderId="0" xfId="1" applyFont="1" applyFill="1" applyBorder="1"/>
    <xf numFmtId="0" fontId="64" fillId="24" borderId="0" xfId="0" applyFont="1" applyFill="1" applyAlignment="1">
      <alignment wrapText="1"/>
    </xf>
    <xf numFmtId="0" fontId="64" fillId="24" borderId="0" xfId="1" applyNumberFormat="1" applyFont="1" applyFill="1" applyBorder="1" applyAlignment="1">
      <alignment horizontal="center"/>
    </xf>
    <xf numFmtId="0" fontId="64" fillId="24" borderId="0" xfId="0" applyFont="1" applyFill="1"/>
    <xf numFmtId="43" fontId="64" fillId="24" borderId="0" xfId="1" applyFont="1" applyFill="1" applyBorder="1"/>
    <xf numFmtId="0" fontId="125" fillId="24" borderId="0" xfId="0" applyFont="1" applyFill="1" applyAlignment="1">
      <alignment wrapText="1"/>
    </xf>
    <xf numFmtId="0" fontId="125" fillId="24" borderId="0" xfId="1" applyNumberFormat="1" applyFont="1" applyFill="1" applyBorder="1" applyAlignment="1">
      <alignment horizontal="center"/>
    </xf>
    <xf numFmtId="0" fontId="125" fillId="24" borderId="0" xfId="0" applyFont="1" applyFill="1"/>
    <xf numFmtId="43" fontId="125" fillId="24" borderId="0" xfId="1" applyFont="1" applyFill="1" applyBorder="1"/>
    <xf numFmtId="43" fontId="125" fillId="24" borderId="0" xfId="1" applyFont="1" applyFill="1" applyBorder="1" applyAlignment="1">
      <alignment wrapText="1"/>
    </xf>
    <xf numFmtId="43" fontId="126" fillId="24" borderId="0" xfId="1" applyFont="1" applyFill="1" applyBorder="1"/>
    <xf numFmtId="43" fontId="64" fillId="24" borderId="0" xfId="1" applyFont="1" applyFill="1" applyBorder="1" applyAlignment="1">
      <alignment wrapText="1"/>
    </xf>
    <xf numFmtId="43" fontId="72" fillId="24" borderId="0" xfId="1" applyFont="1" applyFill="1" applyBorder="1" applyAlignment="1">
      <alignment horizontal="center"/>
    </xf>
    <xf numFmtId="43" fontId="72" fillId="24" borderId="0" xfId="1" applyFont="1" applyFill="1" applyBorder="1"/>
    <xf numFmtId="43" fontId="67" fillId="24" borderId="0" xfId="1" applyFont="1" applyFill="1" applyBorder="1"/>
    <xf numFmtId="43" fontId="67" fillId="24" borderId="0" xfId="1" applyFont="1" applyFill="1" applyBorder="1" applyAlignment="1">
      <alignment wrapText="1"/>
    </xf>
    <xf numFmtId="43" fontId="67" fillId="24" borderId="0" xfId="1" applyFont="1" applyFill="1" applyBorder="1" applyAlignment="1">
      <alignment horizontal="center"/>
    </xf>
    <xf numFmtId="0" fontId="67" fillId="0" borderId="0" xfId="0" applyFont="1"/>
    <xf numFmtId="0" fontId="67" fillId="0" borderId="0" xfId="0" applyFont="1" applyAlignment="1">
      <alignment wrapText="1"/>
    </xf>
    <xf numFmtId="0" fontId="67" fillId="0" borderId="0" xfId="0" applyFont="1" applyAlignment="1">
      <alignment horizontal="center"/>
    </xf>
    <xf numFmtId="43" fontId="67" fillId="0" borderId="0" xfId="0" applyNumberFormat="1" applyFont="1"/>
    <xf numFmtId="43" fontId="72" fillId="0" borderId="0" xfId="0" applyNumberFormat="1" applyFont="1"/>
    <xf numFmtId="43" fontId="122" fillId="0" borderId="0" xfId="1" applyFont="1" applyFill="1" applyBorder="1"/>
    <xf numFmtId="0" fontId="67" fillId="25" borderId="0" xfId="0" applyFont="1" applyFill="1" applyAlignment="1">
      <alignment wrapText="1"/>
    </xf>
    <xf numFmtId="0" fontId="123" fillId="25" borderId="0" xfId="0" applyFont="1" applyFill="1"/>
    <xf numFmtId="0" fontId="67" fillId="25" borderId="0" xfId="0" applyFont="1" applyFill="1"/>
    <xf numFmtId="0" fontId="65" fillId="0" borderId="0" xfId="0" applyFont="1"/>
    <xf numFmtId="0" fontId="65" fillId="26" borderId="0" xfId="0" applyFont="1" applyFill="1" applyAlignment="1">
      <alignment wrapText="1"/>
    </xf>
    <xf numFmtId="43" fontId="65" fillId="26" borderId="0" xfId="0" applyNumberFormat="1" applyFont="1" applyFill="1"/>
    <xf numFmtId="0" fontId="65" fillId="26" borderId="0" xfId="0" applyFont="1" applyFill="1"/>
    <xf numFmtId="0" fontId="65" fillId="0" borderId="0" xfId="0" applyFont="1" applyAlignment="1">
      <alignment wrapText="1"/>
    </xf>
    <xf numFmtId="43" fontId="65" fillId="0" borderId="0" xfId="0" applyNumberFormat="1" applyFont="1"/>
    <xf numFmtId="0" fontId="66" fillId="0" borderId="0" xfId="0" applyFont="1"/>
    <xf numFmtId="0" fontId="66" fillId="26" borderId="0" xfId="0" applyFont="1" applyFill="1" applyAlignment="1">
      <alignment wrapText="1"/>
    </xf>
    <xf numFmtId="43" fontId="66" fillId="26" borderId="0" xfId="0" applyNumberFormat="1" applyFont="1" applyFill="1"/>
    <xf numFmtId="0" fontId="66" fillId="26" borderId="0" xfId="0" applyFont="1" applyFill="1"/>
    <xf numFmtId="0" fontId="63" fillId="0" borderId="0" xfId="0" applyFont="1"/>
    <xf numFmtId="0" fontId="63" fillId="0" borderId="0" xfId="0" applyFont="1" applyAlignment="1">
      <alignment wrapText="1"/>
    </xf>
    <xf numFmtId="43" fontId="63" fillId="0" borderId="0" xfId="0" applyNumberFormat="1" applyFont="1"/>
    <xf numFmtId="0" fontId="64" fillId="0" borderId="0" xfId="0" applyFont="1"/>
    <xf numFmtId="0" fontId="64" fillId="26" borderId="0" xfId="0" applyFont="1" applyFill="1" applyAlignment="1">
      <alignment wrapText="1"/>
    </xf>
    <xf numFmtId="43" fontId="64" fillId="26" borderId="0" xfId="0" applyNumberFormat="1" applyFont="1" applyFill="1"/>
    <xf numFmtId="0" fontId="64" fillId="26" borderId="0" xfId="0" applyFont="1" applyFill="1"/>
    <xf numFmtId="0" fontId="72" fillId="0" borderId="0" xfId="0" applyFont="1"/>
    <xf numFmtId="0" fontId="72" fillId="0" borderId="0" xfId="0" applyFont="1" applyAlignment="1">
      <alignment wrapText="1"/>
    </xf>
    <xf numFmtId="0" fontId="68" fillId="0" borderId="0" xfId="0" applyFont="1" applyAlignment="1">
      <alignment wrapText="1"/>
    </xf>
    <xf numFmtId="43" fontId="68" fillId="0" borderId="0" xfId="0" applyNumberFormat="1" applyFont="1"/>
    <xf numFmtId="43" fontId="71" fillId="0" borderId="0" xfId="0" applyNumberFormat="1" applyFont="1"/>
    <xf numFmtId="0" fontId="68" fillId="0" borderId="0" xfId="0" applyFont="1"/>
    <xf numFmtId="3" fontId="122" fillId="0" borderId="0" xfId="0" applyNumberFormat="1" applyFont="1" applyAlignment="1">
      <alignment wrapText="1"/>
    </xf>
    <xf numFmtId="0" fontId="122" fillId="0" borderId="0" xfId="0" applyFont="1" applyAlignment="1">
      <alignment horizontal="center" wrapText="1"/>
    </xf>
    <xf numFmtId="0" fontId="122" fillId="0" borderId="0" xfId="0" applyFont="1" applyAlignment="1">
      <alignment horizontal="right" wrapText="1"/>
    </xf>
    <xf numFmtId="0" fontId="122" fillId="0" borderId="0" xfId="0" applyFont="1" applyAlignment="1">
      <alignment horizontal="right"/>
    </xf>
    <xf numFmtId="0" fontId="127" fillId="0" borderId="0" xfId="0" applyFont="1"/>
    <xf numFmtId="3" fontId="122" fillId="0" borderId="0" xfId="0" applyNumberFormat="1" applyFont="1"/>
    <xf numFmtId="43" fontId="122" fillId="0" borderId="0" xfId="0" applyNumberFormat="1" applyFont="1" applyAlignment="1">
      <alignment horizontal="center"/>
    </xf>
    <xf numFmtId="0" fontId="128" fillId="0" borderId="0" xfId="0" applyFont="1"/>
    <xf numFmtId="0" fontId="129" fillId="0" borderId="0" xfId="0" applyFont="1"/>
    <xf numFmtId="0" fontId="129" fillId="0" borderId="0" xfId="0" applyFont="1" applyAlignment="1">
      <alignment horizontal="center"/>
    </xf>
    <xf numFmtId="0" fontId="130" fillId="0" borderId="0" xfId="0" applyFont="1"/>
    <xf numFmtId="0" fontId="130" fillId="0" borderId="0" xfId="0" applyFont="1" applyAlignment="1">
      <alignment horizontal="center"/>
    </xf>
    <xf numFmtId="1" fontId="129" fillId="0" borderId="0" xfId="0" applyNumberFormat="1" applyFont="1"/>
    <xf numFmtId="0" fontId="129" fillId="0" borderId="0" xfId="0" applyFont="1" applyAlignment="1">
      <alignment horizontal="right"/>
    </xf>
    <xf numFmtId="3" fontId="129" fillId="0" borderId="0" xfId="0" applyNumberFormat="1" applyFont="1"/>
    <xf numFmtId="9" fontId="120" fillId="0" borderId="0" xfId="0" applyNumberFormat="1" applyFont="1"/>
    <xf numFmtId="0" fontId="121" fillId="23" borderId="0" xfId="0" applyFont="1" applyFill="1" applyAlignment="1">
      <alignment horizontal="right"/>
    </xf>
    <xf numFmtId="0" fontId="121" fillId="23" borderId="0" xfId="0" applyFont="1" applyFill="1" applyAlignment="1">
      <alignment horizontal="center"/>
    </xf>
    <xf numFmtId="169" fontId="121" fillId="23" borderId="0" xfId="1" applyNumberFormat="1" applyFont="1" applyFill="1" applyBorder="1" applyAlignment="1">
      <alignment horizontal="center"/>
    </xf>
    <xf numFmtId="169" fontId="120" fillId="0" borderId="0" xfId="1" applyNumberFormat="1" applyFont="1" applyFill="1" applyBorder="1" applyAlignment="1">
      <alignment horizontal="center"/>
    </xf>
    <xf numFmtId="169" fontId="120" fillId="0" borderId="0" xfId="0" applyNumberFormat="1" applyFont="1"/>
    <xf numFmtId="169" fontId="103" fillId="23" borderId="0" xfId="1" applyNumberFormat="1" applyFont="1" applyFill="1" applyBorder="1" applyAlignment="1">
      <alignment horizontal="center"/>
    </xf>
    <xf numFmtId="1" fontId="120" fillId="0" borderId="0" xfId="0" applyNumberFormat="1" applyFont="1"/>
    <xf numFmtId="169" fontId="121" fillId="23" borderId="0" xfId="0" applyNumberFormat="1" applyFont="1" applyFill="1"/>
    <xf numFmtId="169" fontId="120" fillId="0" borderId="0" xfId="1" applyNumberFormat="1" applyFont="1" applyFill="1" applyBorder="1"/>
    <xf numFmtId="43" fontId="121" fillId="23" borderId="0" xfId="0" applyNumberFormat="1" applyFont="1" applyFill="1"/>
    <xf numFmtId="169" fontId="103" fillId="23" borderId="0" xfId="0" applyNumberFormat="1" applyFont="1" applyFill="1"/>
    <xf numFmtId="0" fontId="121" fillId="23" borderId="11" xfId="0" applyFont="1" applyFill="1" applyBorder="1" applyAlignment="1">
      <alignment vertical="center"/>
    </xf>
    <xf numFmtId="0" fontId="121" fillId="23" borderId="11" xfId="0" applyFont="1" applyFill="1" applyBorder="1" applyAlignment="1">
      <alignment horizontal="right" wrapText="1"/>
    </xf>
    <xf numFmtId="0" fontId="121" fillId="0" borderId="11" xfId="0" applyFont="1" applyBorder="1"/>
    <xf numFmtId="0" fontId="121" fillId="0" borderId="11" xfId="0" applyFont="1" applyBorder="1" applyAlignment="1">
      <alignment horizontal="right"/>
    </xf>
    <xf numFmtId="0" fontId="121" fillId="23" borderId="11" xfId="0" applyFont="1" applyFill="1" applyBorder="1"/>
    <xf numFmtId="37" fontId="121" fillId="23" borderId="11" xfId="0" applyNumberFormat="1" applyFont="1" applyFill="1" applyBorder="1" applyAlignment="1">
      <alignment horizontal="right"/>
    </xf>
    <xf numFmtId="0" fontId="120" fillId="0" borderId="11" xfId="0" applyFont="1" applyBorder="1"/>
    <xf numFmtId="37" fontId="121" fillId="0" borderId="11" xfId="0" applyNumberFormat="1" applyFont="1" applyBorder="1" applyAlignment="1">
      <alignment horizontal="right"/>
    </xf>
    <xf numFmtId="169" fontId="121" fillId="23" borderId="11" xfId="0" applyNumberFormat="1" applyFont="1" applyFill="1" applyBorder="1" applyAlignment="1">
      <alignment horizontal="right"/>
    </xf>
    <xf numFmtId="169" fontId="121" fillId="0" borderId="11" xfId="1" applyNumberFormat="1" applyFont="1" applyFill="1" applyBorder="1" applyAlignment="1">
      <alignment horizontal="right"/>
    </xf>
    <xf numFmtId="169" fontId="103" fillId="23" borderId="11" xfId="0" applyNumberFormat="1" applyFont="1" applyFill="1" applyBorder="1" applyAlignment="1">
      <alignment horizontal="right"/>
    </xf>
    <xf numFmtId="0" fontId="131" fillId="0" borderId="0" xfId="0" applyFont="1" applyAlignment="1">
      <alignment horizontal="left" vertical="center" wrapText="1"/>
    </xf>
    <xf numFmtId="0" fontId="61" fillId="0" borderId="0" xfId="0" applyFont="1" applyAlignment="1">
      <alignment horizontal="right" vertical="center"/>
    </xf>
    <xf numFmtId="0" fontId="61" fillId="0" borderId="0" xfId="0" applyFont="1" applyAlignment="1">
      <alignment horizontal="center" vertical="center"/>
    </xf>
    <xf numFmtId="4" fontId="131" fillId="0" borderId="0" xfId="0" applyNumberFormat="1" applyFont="1" applyAlignment="1">
      <alignment horizontal="left" vertical="center" wrapText="1"/>
    </xf>
    <xf numFmtId="4" fontId="61" fillId="0" borderId="0" xfId="0" applyNumberFormat="1" applyFont="1" applyAlignment="1">
      <alignment horizontal="right" vertical="center"/>
    </xf>
    <xf numFmtId="4" fontId="61" fillId="0" borderId="0" xfId="0" applyNumberFormat="1" applyFont="1" applyAlignment="1">
      <alignment horizontal="center" vertical="center"/>
    </xf>
    <xf numFmtId="4" fontId="132" fillId="0" borderId="0" xfId="0" applyNumberFormat="1" applyFont="1" applyAlignment="1">
      <alignment horizontal="left" vertical="center" wrapText="1"/>
    </xf>
    <xf numFmtId="4" fontId="132" fillId="0" borderId="0" xfId="0" applyNumberFormat="1" applyFont="1" applyAlignment="1">
      <alignment horizontal="right" vertical="center"/>
    </xf>
    <xf numFmtId="4" fontId="132" fillId="0" borderId="0" xfId="0" applyNumberFormat="1" applyFont="1" applyAlignment="1">
      <alignment horizontal="center" vertical="center"/>
    </xf>
    <xf numFmtId="4" fontId="133" fillId="0" borderId="0" xfId="0" applyNumberFormat="1" applyFont="1" applyAlignment="1">
      <alignment horizontal="left" vertical="center" wrapText="1"/>
    </xf>
    <xf numFmtId="4" fontId="133" fillId="0" borderId="0" xfId="0" applyNumberFormat="1" applyFont="1" applyAlignment="1">
      <alignment horizontal="right" vertical="center"/>
    </xf>
    <xf numFmtId="4" fontId="133" fillId="0" borderId="0" xfId="0" applyNumberFormat="1" applyFont="1" applyAlignment="1">
      <alignment horizontal="center" vertical="center"/>
    </xf>
    <xf numFmtId="4" fontId="134" fillId="0" borderId="0" xfId="0" applyNumberFormat="1" applyFont="1" applyAlignment="1">
      <alignment horizontal="left" vertical="center" wrapText="1"/>
    </xf>
    <xf numFmtId="4" fontId="134" fillId="0" borderId="0" xfId="0" applyNumberFormat="1" applyFont="1" applyAlignment="1">
      <alignment horizontal="right" vertical="center"/>
    </xf>
    <xf numFmtId="4" fontId="134" fillId="0" borderId="0" xfId="0" applyNumberFormat="1" applyFont="1" applyAlignment="1">
      <alignment horizontal="center" vertical="center"/>
    </xf>
    <xf numFmtId="4" fontId="60" fillId="0" borderId="0" xfId="0" applyNumberFormat="1" applyFont="1" applyAlignment="1">
      <alignment horizontal="right" vertical="center"/>
    </xf>
    <xf numFmtId="4" fontId="60" fillId="0" borderId="0" xfId="0" applyNumberFormat="1" applyFont="1" applyAlignment="1">
      <alignment horizontal="center" vertical="center"/>
    </xf>
    <xf numFmtId="0" fontId="133" fillId="0" borderId="0" xfId="0" applyFont="1" applyAlignment="1">
      <alignment vertical="center" wrapText="1"/>
    </xf>
    <xf numFmtId="0" fontId="133" fillId="0" borderId="0" xfId="0" applyFont="1" applyAlignment="1">
      <alignment vertical="center"/>
    </xf>
    <xf numFmtId="0" fontId="133" fillId="0" borderId="0" xfId="0" applyFont="1" applyAlignment="1">
      <alignment horizontal="left" vertical="center" wrapText="1"/>
    </xf>
    <xf numFmtId="0" fontId="133" fillId="0" borderId="0" xfId="0" applyFont="1" applyAlignment="1">
      <alignment horizontal="right" vertical="center" wrapText="1"/>
    </xf>
    <xf numFmtId="0" fontId="133" fillId="0" borderId="0" xfId="0" applyFont="1" applyAlignment="1">
      <alignment horizontal="center" vertical="center" wrapText="1"/>
    </xf>
    <xf numFmtId="0" fontId="60" fillId="0" borderId="0" xfId="0" applyFont="1" applyAlignment="1">
      <alignment horizontal="right" vertical="center"/>
    </xf>
    <xf numFmtId="0" fontId="60" fillId="0" borderId="0" xfId="0" applyFont="1" applyAlignment="1">
      <alignment horizontal="center" vertical="center"/>
    </xf>
    <xf numFmtId="0" fontId="60" fillId="27" borderId="11" xfId="0" applyFont="1" applyFill="1" applyBorder="1" applyAlignment="1">
      <alignment horizontal="left" vertical="center" wrapText="1"/>
    </xf>
    <xf numFmtId="0" fontId="60" fillId="27" borderId="11" xfId="0" applyFont="1" applyFill="1" applyBorder="1" applyAlignment="1">
      <alignment horizontal="right" vertical="center"/>
    </xf>
    <xf numFmtId="0" fontId="60" fillId="0" borderId="11" xfId="0" applyFont="1" applyBorder="1" applyAlignment="1">
      <alignment horizontal="left" vertical="center" wrapText="1"/>
    </xf>
    <xf numFmtId="0" fontId="60" fillId="0" borderId="11" xfId="0" applyFont="1" applyBorder="1" applyAlignment="1">
      <alignment horizontal="right" vertical="center"/>
    </xf>
    <xf numFmtId="4" fontId="60" fillId="27" borderId="11" xfId="0" applyNumberFormat="1" applyFont="1" applyFill="1" applyBorder="1" applyAlignment="1">
      <alignment horizontal="left" vertical="center" wrapText="1"/>
    </xf>
    <xf numFmtId="4" fontId="60" fillId="27" borderId="11" xfId="0" applyNumberFormat="1" applyFont="1" applyFill="1" applyBorder="1" applyAlignment="1">
      <alignment horizontal="right" vertical="center"/>
    </xf>
    <xf numFmtId="3" fontId="60" fillId="27" borderId="11" xfId="0" applyNumberFormat="1" applyFont="1" applyFill="1" applyBorder="1" applyAlignment="1">
      <alignment horizontal="right" vertical="center"/>
    </xf>
    <xf numFmtId="3" fontId="60" fillId="0" borderId="11" xfId="0" applyNumberFormat="1" applyFont="1" applyBorder="1" applyAlignment="1">
      <alignment horizontal="right" vertical="center" wrapText="1"/>
    </xf>
    <xf numFmtId="4" fontId="60" fillId="0" borderId="11" xfId="0" applyNumberFormat="1" applyFont="1" applyBorder="1" applyAlignment="1">
      <alignment horizontal="left" vertical="center" wrapText="1"/>
    </xf>
    <xf numFmtId="3" fontId="60" fillId="0" borderId="11" xfId="0" applyNumberFormat="1" applyFont="1" applyBorder="1" applyAlignment="1">
      <alignment horizontal="right" vertical="center"/>
    </xf>
    <xf numFmtId="4" fontId="60" fillId="0" borderId="11" xfId="0" applyNumberFormat="1" applyFont="1" applyBorder="1" applyAlignment="1">
      <alignment horizontal="left" vertical="center"/>
    </xf>
    <xf numFmtId="3" fontId="60" fillId="27" borderId="11" xfId="0" applyNumberFormat="1" applyFont="1" applyFill="1" applyBorder="1" applyAlignment="1">
      <alignment horizontal="right" vertical="center" wrapText="1"/>
    </xf>
    <xf numFmtId="4" fontId="60" fillId="27" borderId="11" xfId="0" applyNumberFormat="1" applyFont="1" applyFill="1" applyBorder="1" applyAlignment="1">
      <alignment horizontal="right" vertical="center" wrapText="1"/>
    </xf>
    <xf numFmtId="3" fontId="60" fillId="28" borderId="11" xfId="0" applyNumberFormat="1" applyFont="1" applyFill="1" applyBorder="1" applyAlignment="1">
      <alignment horizontal="right" vertical="center" wrapText="1"/>
    </xf>
    <xf numFmtId="4" fontId="60" fillId="28" borderId="11" xfId="0" applyNumberFormat="1" applyFont="1" applyFill="1" applyBorder="1" applyAlignment="1">
      <alignment horizontal="left" vertical="center" wrapText="1"/>
    </xf>
    <xf numFmtId="4" fontId="60" fillId="28" borderId="11" xfId="0" applyNumberFormat="1" applyFont="1" applyFill="1" applyBorder="1" applyAlignment="1">
      <alignment horizontal="right" vertical="center" wrapText="1"/>
    </xf>
    <xf numFmtId="3" fontId="133" fillId="0" borderId="11" xfId="0" applyNumberFormat="1" applyFont="1" applyBorder="1" applyAlignment="1">
      <alignment horizontal="right" vertical="center"/>
    </xf>
    <xf numFmtId="4" fontId="92" fillId="0" borderId="0" xfId="0" applyNumberFormat="1" applyFont="1" applyAlignment="1">
      <alignment horizontal="right" vertical="center"/>
    </xf>
    <xf numFmtId="0" fontId="60" fillId="0" borderId="0" xfId="0" applyFont="1" applyAlignment="1">
      <alignment horizontal="left" vertical="center" wrapText="1"/>
    </xf>
    <xf numFmtId="4" fontId="60" fillId="0" borderId="0" xfId="0" applyNumberFormat="1" applyFont="1" applyAlignment="1">
      <alignment horizontal="right" vertical="center" wrapText="1"/>
    </xf>
    <xf numFmtId="3" fontId="55" fillId="0" borderId="0" xfId="0" applyNumberFormat="1" applyFont="1" applyAlignment="1">
      <alignment horizontal="right"/>
    </xf>
    <xf numFmtId="4" fontId="55" fillId="0" borderId="0" xfId="0" applyNumberFormat="1" applyFont="1" applyAlignment="1">
      <alignment horizontal="right"/>
    </xf>
    <xf numFmtId="4" fontId="105" fillId="0" borderId="0" xfId="0" applyNumberFormat="1" applyFont="1" applyAlignment="1">
      <alignment horizontal="right"/>
    </xf>
    <xf numFmtId="0" fontId="84" fillId="13" borderId="11" xfId="0" applyFont="1" applyFill="1" applyBorder="1"/>
    <xf numFmtId="0" fontId="84" fillId="13" borderId="11" xfId="0" applyFont="1" applyFill="1" applyBorder="1" applyAlignment="1">
      <alignment horizontal="right"/>
    </xf>
    <xf numFmtId="0" fontId="84" fillId="0" borderId="11" xfId="0" applyFont="1" applyBorder="1"/>
    <xf numFmtId="4" fontId="84" fillId="0" borderId="11" xfId="0" applyNumberFormat="1" applyFont="1" applyBorder="1" applyAlignment="1">
      <alignment horizontal="right"/>
    </xf>
    <xf numFmtId="4" fontId="85" fillId="0" borderId="11" xfId="0" applyNumberFormat="1" applyFont="1" applyBorder="1"/>
    <xf numFmtId="4" fontId="85" fillId="0" borderId="11" xfId="0" applyNumberFormat="1" applyFont="1" applyBorder="1" applyAlignment="1">
      <alignment horizontal="right"/>
    </xf>
    <xf numFmtId="0" fontId="86" fillId="0" borderId="11" xfId="0" applyFont="1" applyBorder="1"/>
    <xf numFmtId="4" fontId="61" fillId="0" borderId="11" xfId="0" applyNumberFormat="1" applyFont="1" applyBorder="1" applyAlignment="1">
      <alignment horizontal="right"/>
    </xf>
    <xf numFmtId="0" fontId="85" fillId="0" borderId="11" xfId="0" applyFont="1" applyBorder="1"/>
    <xf numFmtId="4" fontId="60" fillId="0" borderId="11" xfId="0" applyNumberFormat="1" applyFont="1" applyBorder="1" applyAlignment="1">
      <alignment horizontal="right"/>
    </xf>
    <xf numFmtId="0" fontId="85" fillId="13" borderId="11" xfId="0" applyFont="1" applyFill="1" applyBorder="1" applyAlignment="1">
      <alignment wrapText="1"/>
    </xf>
    <xf numFmtId="0" fontId="84" fillId="0" borderId="11" xfId="0" applyFont="1" applyBorder="1" applyAlignment="1">
      <alignment wrapText="1"/>
    </xf>
    <xf numFmtId="4" fontId="84" fillId="0" borderId="11" xfId="1" applyNumberFormat="1" applyFont="1" applyBorder="1"/>
    <xf numFmtId="0" fontId="85" fillId="0" borderId="11" xfId="0" applyFont="1" applyBorder="1" applyAlignment="1">
      <alignment wrapText="1"/>
    </xf>
    <xf numFmtId="4" fontId="85" fillId="0" borderId="11" xfId="1" applyNumberFormat="1" applyFont="1" applyBorder="1"/>
    <xf numFmtId="0" fontId="92" fillId="0" borderId="11" xfId="0" applyFont="1" applyBorder="1" applyAlignment="1">
      <alignment wrapText="1"/>
    </xf>
    <xf numFmtId="4" fontId="92" fillId="0" borderId="11" xfId="1" applyNumberFormat="1" applyFont="1" applyBorder="1"/>
    <xf numFmtId="4" fontId="62" fillId="0" borderId="11" xfId="1" applyNumberFormat="1" applyFont="1" applyBorder="1"/>
    <xf numFmtId="43" fontId="55" fillId="0" borderId="0" xfId="1" applyFont="1" applyAlignment="1">
      <alignment horizontal="center"/>
    </xf>
    <xf numFmtId="0" fontId="120" fillId="0" borderId="0" xfId="0" applyFont="1" applyAlignment="1">
      <alignment horizontal="right"/>
    </xf>
    <xf numFmtId="3" fontId="135" fillId="27" borderId="11" xfId="0" applyNumberFormat="1" applyFont="1" applyFill="1" applyBorder="1" applyAlignment="1">
      <alignment horizontal="right" vertical="center" wrapText="1"/>
    </xf>
    <xf numFmtId="0" fontId="83" fillId="0" borderId="8" xfId="0" applyFont="1" applyBorder="1" applyAlignment="1">
      <alignment horizontal="center" vertical="center" wrapText="1"/>
    </xf>
    <xf numFmtId="0" fontId="83" fillId="0" borderId="9" xfId="0" applyFont="1" applyBorder="1" applyAlignment="1">
      <alignment horizontal="center" vertical="center" wrapText="1"/>
    </xf>
    <xf numFmtId="0" fontId="83" fillId="0" borderId="10" xfId="0" applyFont="1" applyBorder="1" applyAlignment="1">
      <alignment horizontal="center" vertical="center" wrapText="1"/>
    </xf>
    <xf numFmtId="0" fontId="35" fillId="0" borderId="0" xfId="0" applyFont="1" applyAlignment="1">
      <alignment horizontal="center" vertical="center" wrapText="1"/>
    </xf>
    <xf numFmtId="0" fontId="3" fillId="0" borderId="3"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cellXfs>
  <cellStyles count="6">
    <cellStyle name="Comma" xfId="1" builtinId="3"/>
    <cellStyle name="Neutral" xfId="4" builtinId="28"/>
    <cellStyle name="Normal" xfId="0" builtinId="0"/>
    <cellStyle name="Normal 5 2 2 2" xfId="3" xr:uid="{00000000-0005-0000-0000-000003000000}"/>
    <cellStyle name="Normal 8" xfId="2" xr:uid="{00000000-0005-0000-0000-000004000000}"/>
    <cellStyle name="Percent" xfId="5" builtinId="5"/>
  </cellStyles>
  <dxfs count="0"/>
  <tableStyles count="0" defaultTableStyle="TableStyleMedium2" defaultPivotStyle="PivotStyleLight16"/>
  <colors>
    <mruColors>
      <color rgb="FFA5B3AE"/>
      <color rgb="FFFFFF99"/>
      <color rgb="FFB8C8C6"/>
      <color rgb="FF8D9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7</xdr:col>
      <xdr:colOff>771526</xdr:colOff>
      <xdr:row>3</xdr:row>
      <xdr:rowOff>66675</xdr:rowOff>
    </xdr:from>
    <xdr:to>
      <xdr:col>10</xdr:col>
      <xdr:colOff>762001</xdr:colOff>
      <xdr:row>53</xdr:row>
      <xdr:rowOff>19245</xdr:rowOff>
    </xdr:to>
    <xdr:pic>
      <xdr:nvPicPr>
        <xdr:cNvPr id="14" name="Picture 13">
          <a:extLst>
            <a:ext uri="{FF2B5EF4-FFF2-40B4-BE49-F238E27FC236}">
              <a16:creationId xmlns:a16="http://schemas.microsoft.com/office/drawing/2014/main" id="{207E3C90-3E3F-4408-AFE6-E3FD41F7E6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48951" y="514350"/>
          <a:ext cx="7448550" cy="5457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821872</xdr:colOff>
      <xdr:row>58</xdr:row>
      <xdr:rowOff>45681</xdr:rowOff>
    </xdr:from>
    <xdr:to>
      <xdr:col>10</xdr:col>
      <xdr:colOff>840922</xdr:colOff>
      <xdr:row>67</xdr:row>
      <xdr:rowOff>75616</xdr:rowOff>
    </xdr:to>
    <xdr:pic>
      <xdr:nvPicPr>
        <xdr:cNvPr id="15" name="Picture 14">
          <a:extLst>
            <a:ext uri="{FF2B5EF4-FFF2-40B4-BE49-F238E27FC236}">
              <a16:creationId xmlns:a16="http://schemas.microsoft.com/office/drawing/2014/main" id="{26647129-FD64-4553-AFFF-3795A8DDEC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16209" y="6411880"/>
          <a:ext cx="7483540" cy="1517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esktop/A.Sharra/A.%20Sharra/bankat/RFZ%20437-9/ARBEN%20SHARRA%20SINA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Sharra\A.%20Sharra\bankat\RFZ%20437-9\ARBEN%20SHARRA%20SINAN(AutoRecovere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A.Sharra\A.%20Sharra\bankat\tirnana%20bank%20437-8\267207_01012012_3112201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A.Sharra\A.%20Sharra\bankat\tirnana%20bank%20437-8\267207_01012011_3112201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P/Desktop/A.Sharra/A.%20Sharra/20%2001%202025/21%2001%202025/Analiza%20financiare%20Arben%20Sharra%20%20(rezultatet)_KPA_checked%2020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HP/Desktop/A.Sharra/15%2012%202024/23%2012%202024/Analiza%20financiare%20Arben%20Sharra%20%20(rezultatet)_KPA_24%2012%202024.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HP/Desktop/A.Sharra/15%2012%202024/23%2012%202024/ARBEN%20SHARRA%20SINAN(AutoRecovered).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HP/Desktop/A.Sharra/A.%20Sharra/bankat/tirnana%20bank%20437-8/267207_01012012_3112201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HP/Desktop/A.Sharra/A.%20Sharra/20%2001%202025/09%2001%202025/Analiza%20financiare%20Arben%20Sharra_Genta_e%20fundit_20%20Dec%202024_24%2012%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_NRP_Balance"/>
    </sheetNames>
    <sheetDataSet>
      <sheetData sheetId="0">
        <row r="116">
          <cell r="M116">
            <v>677095</v>
          </cell>
        </row>
        <row r="174">
          <cell r="L174">
            <v>84477.83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_NRP_Balance"/>
    </sheetNames>
    <sheetDataSet>
      <sheetData sheetId="0" refreshError="1">
        <row r="533">
          <cell r="L533">
            <v>308.06</v>
          </cell>
        </row>
        <row r="561">
          <cell r="L561">
            <v>225.03</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112">
          <cell r="W112">
            <v>242026.88</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19">
          <cell r="AG19">
            <v>326434</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
      <sheetName val="Analiza "/>
      <sheetName val=" Likujditete"/>
      <sheetName val="Te Ardhurat "/>
      <sheetName val="Te ardhura S Sharra"/>
      <sheetName val="Të ardhurat e prindërve_KPA"/>
      <sheetName val="Kredi ne NBG "/>
      <sheetName val="ndertesa 2 kate+papafingo"/>
      <sheetName val="KPA_apart 05 10 2007"/>
      <sheetName val="KPA_ndërt.2 kate+ papaf."/>
      <sheetName val="Automjeti ne 14.11.2008"/>
      <sheetName val="Apartamenti "/>
      <sheetName val="Garazhd "/>
      <sheetName val="Automjeti 2017"/>
      <sheetName val="TIMS"/>
      <sheetName val="KK"/>
      <sheetName val="E.Islamaj"/>
    </sheetNames>
    <sheetDataSet>
      <sheetData sheetId="0"/>
      <sheetData sheetId="1"/>
      <sheetData sheetId="2"/>
      <sheetData sheetId="3"/>
      <sheetData sheetId="4"/>
      <sheetData sheetId="5">
        <row r="6">
          <cell r="R6">
            <v>1432</v>
          </cell>
        </row>
        <row r="7">
          <cell r="R7">
            <v>4296</v>
          </cell>
        </row>
        <row r="8">
          <cell r="R8">
            <v>4309.1428571428569</v>
          </cell>
        </row>
        <row r="9">
          <cell r="R9">
            <v>5332.8571428571431</v>
          </cell>
        </row>
        <row r="10">
          <cell r="R10">
            <v>13500</v>
          </cell>
        </row>
        <row r="11">
          <cell r="R11">
            <v>28267.428571428572</v>
          </cell>
          <cell r="S11">
            <v>5587.2857142857147</v>
          </cell>
        </row>
        <row r="12">
          <cell r="R12">
            <v>33732.571428571428</v>
          </cell>
          <cell r="S12">
            <v>15206.714285714286</v>
          </cell>
        </row>
        <row r="13">
          <cell r="R13">
            <v>43441.227272727279</v>
          </cell>
          <cell r="S13">
            <v>12313.045454545456</v>
          </cell>
        </row>
        <row r="14">
          <cell r="R14">
            <v>45613.636363636368</v>
          </cell>
          <cell r="S14">
            <v>10970.727272727274</v>
          </cell>
        </row>
        <row r="15">
          <cell r="R15">
            <v>53601.136363636368</v>
          </cell>
          <cell r="S15">
            <v>14961.22727272727</v>
          </cell>
        </row>
        <row r="16">
          <cell r="R16">
            <v>59453.333333333328</v>
          </cell>
          <cell r="S16">
            <v>16389.599999999999</v>
          </cell>
        </row>
        <row r="17">
          <cell r="R17">
            <v>63991.166666666664</v>
          </cell>
          <cell r="S17">
            <v>17187.900000000001</v>
          </cell>
        </row>
        <row r="18">
          <cell r="R18">
            <v>71028.5</v>
          </cell>
          <cell r="S18">
            <v>16276.5</v>
          </cell>
        </row>
        <row r="19">
          <cell r="R19">
            <v>76901</v>
          </cell>
          <cell r="S19">
            <v>20250</v>
          </cell>
        </row>
        <row r="20">
          <cell r="R20">
            <v>84107.5</v>
          </cell>
          <cell r="S20">
            <v>25167.857142857141</v>
          </cell>
        </row>
        <row r="21">
          <cell r="R21">
            <v>90990.318181818177</v>
          </cell>
          <cell r="S21">
            <v>32474.742857142861</v>
          </cell>
        </row>
        <row r="22">
          <cell r="R22">
            <v>98218.489510489511</v>
          </cell>
          <cell r="S22">
            <v>46979.323076923079</v>
          </cell>
        </row>
        <row r="23">
          <cell r="R23">
            <v>106651.69230769231</v>
          </cell>
          <cell r="S23">
            <v>56003.576923076922</v>
          </cell>
        </row>
        <row r="24">
          <cell r="R24">
            <v>119383.5</v>
          </cell>
          <cell r="S24">
            <v>62764</v>
          </cell>
        </row>
        <row r="25">
          <cell r="R25">
            <v>131666.29999999999</v>
          </cell>
          <cell r="S25">
            <v>69336.5</v>
          </cell>
        </row>
        <row r="26">
          <cell r="R26">
            <v>144538.05714285714</v>
          </cell>
          <cell r="S26">
            <v>82679.142857142855</v>
          </cell>
        </row>
        <row r="27">
          <cell r="R27">
            <v>152123.64285714284</v>
          </cell>
          <cell r="S27">
            <v>98981.357142857145</v>
          </cell>
        </row>
        <row r="28">
          <cell r="R28">
            <v>160717</v>
          </cell>
          <cell r="S28">
            <v>112457</v>
          </cell>
        </row>
        <row r="29">
          <cell r="R29">
            <v>172017.73076923078</v>
          </cell>
          <cell r="S29">
            <v>115862.11538461538</v>
          </cell>
        </row>
        <row r="30">
          <cell r="R30">
            <v>180564.26923076925</v>
          </cell>
          <cell r="S30">
            <v>120780.46794871797</v>
          </cell>
        </row>
      </sheetData>
      <sheetData sheetId="6"/>
      <sheetData sheetId="7"/>
      <sheetData sheetId="8"/>
      <sheetData sheetId="9"/>
      <sheetData sheetId="10"/>
      <sheetData sheetId="11"/>
      <sheetData sheetId="12"/>
      <sheetData sheetId="13"/>
      <sheetData sheetId="14"/>
      <sheetData sheetId="15">
        <row r="4">
          <cell r="AA4">
            <v>132.94999999999999</v>
          </cell>
        </row>
        <row r="5">
          <cell r="Q5">
            <v>83.03</v>
          </cell>
          <cell r="R5">
            <v>90.96</v>
          </cell>
        </row>
      </sheetData>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
      <sheetName val="Analiza "/>
      <sheetName val=" Likujditete"/>
      <sheetName val="Te Ardhurat "/>
      <sheetName val="Te ardhura S Sharra"/>
      <sheetName val="Të ardhurat e prindërve_KPA"/>
      <sheetName val="Kredi ne NBG "/>
      <sheetName val="ndertesa 2 kate+papafingo"/>
      <sheetName val="KPA_ndërt.2 kate+ papaf. (2)"/>
      <sheetName val="KPA_ndërt.2 kate+ papaf."/>
      <sheetName val="Automjeti ne 14.11.2008"/>
      <sheetName val="Apartamenti "/>
      <sheetName val="Garazhd "/>
      <sheetName val="Automjeti 2017"/>
      <sheetName val="TIMS"/>
      <sheetName val="KK"/>
      <sheetName val="E.Islamaj"/>
    </sheetNames>
    <sheetDataSet>
      <sheetData sheetId="0"/>
      <sheetData sheetId="1"/>
      <sheetData sheetId="2"/>
      <sheetData sheetId="3"/>
      <sheetData sheetId="4"/>
      <sheetData sheetId="5">
        <row r="6">
          <cell r="R6">
            <v>1432</v>
          </cell>
        </row>
        <row r="7">
          <cell r="R7">
            <v>4296</v>
          </cell>
        </row>
        <row r="8">
          <cell r="R8">
            <v>4309.1428571428569</v>
          </cell>
        </row>
        <row r="9">
          <cell r="R9">
            <v>5332.8571428571431</v>
          </cell>
        </row>
        <row r="10">
          <cell r="R10">
            <v>13500</v>
          </cell>
        </row>
        <row r="11">
          <cell r="R11">
            <v>28267.428571428572</v>
          </cell>
          <cell r="S11">
            <v>5587.2857142857147</v>
          </cell>
        </row>
        <row r="12">
          <cell r="R12">
            <v>33732.571428571428</v>
          </cell>
          <cell r="S12">
            <v>15206.714285714286</v>
          </cell>
        </row>
        <row r="13">
          <cell r="R13">
            <v>43441.227272727279</v>
          </cell>
          <cell r="S13">
            <v>12313.045454545456</v>
          </cell>
        </row>
        <row r="14">
          <cell r="R14">
            <v>45613.636363636368</v>
          </cell>
          <cell r="S14">
            <v>10970.727272727274</v>
          </cell>
        </row>
        <row r="15">
          <cell r="R15">
            <v>53601.136363636368</v>
          </cell>
          <cell r="S15">
            <v>14961.22727272727</v>
          </cell>
        </row>
        <row r="16">
          <cell r="R16">
            <v>59453.333333333328</v>
          </cell>
          <cell r="S16">
            <v>16389.599999999999</v>
          </cell>
        </row>
        <row r="17">
          <cell r="R17">
            <v>63991.166666666664</v>
          </cell>
          <cell r="S17">
            <v>17187.900000000001</v>
          </cell>
        </row>
        <row r="18">
          <cell r="R18">
            <v>71028.5</v>
          </cell>
          <cell r="S18">
            <v>16276.5</v>
          </cell>
        </row>
        <row r="19">
          <cell r="R19">
            <v>76901</v>
          </cell>
          <cell r="S19">
            <v>20250</v>
          </cell>
        </row>
        <row r="20">
          <cell r="R20">
            <v>84107.5</v>
          </cell>
          <cell r="S20">
            <v>25167.857142857141</v>
          </cell>
        </row>
        <row r="21">
          <cell r="R21">
            <v>90990.318181818177</v>
          </cell>
          <cell r="S21">
            <v>32474.742857142861</v>
          </cell>
        </row>
        <row r="22">
          <cell r="R22">
            <v>98218.489510489511</v>
          </cell>
          <cell r="S22">
            <v>46979.323076923079</v>
          </cell>
        </row>
        <row r="23">
          <cell r="R23">
            <v>106651.69230769231</v>
          </cell>
          <cell r="S23">
            <v>56003.576923076922</v>
          </cell>
        </row>
        <row r="24">
          <cell r="R24">
            <v>119383.5</v>
          </cell>
          <cell r="S24">
            <v>62764</v>
          </cell>
        </row>
        <row r="25">
          <cell r="R25">
            <v>131666.29999999999</v>
          </cell>
          <cell r="S25">
            <v>69336.5</v>
          </cell>
        </row>
        <row r="26">
          <cell r="R26">
            <v>144538.05714285714</v>
          </cell>
          <cell r="S26">
            <v>82679.142857142855</v>
          </cell>
        </row>
        <row r="27">
          <cell r="R27">
            <v>152123.64285714284</v>
          </cell>
          <cell r="S27">
            <v>98981.357142857145</v>
          </cell>
        </row>
        <row r="28">
          <cell r="R28">
            <v>160717</v>
          </cell>
          <cell r="S28">
            <v>112457</v>
          </cell>
        </row>
        <row r="29">
          <cell r="R29">
            <v>172017.73076923078</v>
          </cell>
          <cell r="S29">
            <v>115862.11538461538</v>
          </cell>
        </row>
        <row r="30">
          <cell r="R30">
            <v>180564.26923076925</v>
          </cell>
          <cell r="S30">
            <v>120780.46794871797</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_NRP_Balance"/>
    </sheetNames>
    <sheetDataSet>
      <sheetData sheetId="0">
        <row r="568">
          <cell r="L568">
            <v>143036.03</v>
          </cell>
        </row>
        <row r="709">
          <cell r="N709">
            <v>1120422</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9">
          <cell r="AH19">
            <v>429951</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
      <sheetName val="Analiza "/>
      <sheetName val=" Likujditete"/>
      <sheetName val="analiza financiare 2005-2008"/>
      <sheetName val="anal.fin.shly.pjes."/>
      <sheetName val="Te Ardhurat "/>
      <sheetName val="Kredi ne NBG "/>
      <sheetName val="lik këst. 5,000 eur-19.10.2012"/>
      <sheetName val="anal.fin.2015"/>
      <sheetName val="ndertesa 2 kate+papafingo"/>
      <sheetName val="Automjeti ne 14.11.2008"/>
      <sheetName val="Apartamenti "/>
      <sheetName val="Garazhd "/>
      <sheetName val="Automjeti 2017"/>
      <sheetName val="Te ardhura S Sharra"/>
      <sheetName val="TIMS"/>
      <sheetName val="KK"/>
      <sheetName val="E.Islamaj"/>
    </sheetNames>
    <sheetDataSet>
      <sheetData sheetId="0"/>
      <sheetData sheetId="1"/>
      <sheetData sheetId="2">
        <row r="53">
          <cell r="Z53">
            <v>546609.66</v>
          </cell>
          <cell r="AA53">
            <v>611158.79</v>
          </cell>
        </row>
        <row r="56">
          <cell r="Z56">
            <v>806319</v>
          </cell>
          <cell r="AA56">
            <v>806319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4">
          <cell r="X4">
            <v>140.11000000000001</v>
          </cell>
          <cell r="Y4">
            <v>137.65</v>
          </cell>
        </row>
      </sheetData>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DDC27-280D-4C47-B426-6E68E7E4E786}">
  <dimension ref="B1:AD76"/>
  <sheetViews>
    <sheetView tabSelected="1" zoomScale="80" zoomScaleNormal="80" workbookViewId="0">
      <pane xSplit="2" ySplit="3" topLeftCell="C15" activePane="bottomRight" state="frozen"/>
      <selection pane="topRight" activeCell="C1" sqref="C1"/>
      <selection pane="bottomLeft" activeCell="A4" sqref="A4"/>
      <selection pane="bottomRight" activeCell="B3" sqref="B3:Y50"/>
    </sheetView>
  </sheetViews>
  <sheetFormatPr defaultColWidth="37.28515625" defaultRowHeight="13.5" x14ac:dyDescent="0.25"/>
  <cols>
    <col min="1" max="1" width="14.5703125" style="338" customWidth="1"/>
    <col min="2" max="2" width="6.28515625" style="640" bestFit="1" customWidth="1"/>
    <col min="3" max="3" width="49.5703125" style="333" customWidth="1"/>
    <col min="4" max="4" width="10.85546875" style="334" hidden="1" customWidth="1"/>
    <col min="5" max="11" width="12.42578125" style="335" hidden="1" customWidth="1"/>
    <col min="12" max="12" width="15.140625" style="336" hidden="1" customWidth="1"/>
    <col min="13" max="13" width="12.42578125" style="335" customWidth="1"/>
    <col min="14" max="14" width="15.140625" style="335" bestFit="1" customWidth="1"/>
    <col min="15" max="15" width="25.5703125" style="335" bestFit="1" customWidth="1"/>
    <col min="16" max="16" width="15.85546875" style="335" customWidth="1"/>
    <col min="17" max="17" width="16.42578125" style="335" bestFit="1" customWidth="1"/>
    <col min="18" max="18" width="16.42578125" style="335" customWidth="1"/>
    <col min="19" max="19" width="16.42578125" style="335" bestFit="1" customWidth="1"/>
    <col min="20" max="20" width="15.85546875" style="335" bestFit="1" customWidth="1"/>
    <col min="21" max="25" width="16.42578125" style="335" bestFit="1" customWidth="1"/>
    <col min="26" max="26" width="17.7109375" style="336" hidden="1" customWidth="1"/>
    <col min="27" max="27" width="15.140625" style="335" hidden="1" customWidth="1"/>
    <col min="28" max="30" width="37.28515625" style="335"/>
    <col min="31" max="16384" width="37.28515625" style="338"/>
  </cols>
  <sheetData>
    <row r="1" spans="2:30" x14ac:dyDescent="0.25">
      <c r="J1" s="335">
        <f>22*(7822/365)</f>
        <v>471.46301369863016</v>
      </c>
    </row>
    <row r="2" spans="2:30" ht="30.75" customHeight="1" x14ac:dyDescent="0.25">
      <c r="D2" s="677"/>
      <c r="E2" s="335" t="s">
        <v>174</v>
      </c>
      <c r="J2" s="335" t="s">
        <v>176</v>
      </c>
      <c r="M2" s="399"/>
    </row>
    <row r="3" spans="2:30" s="346" customFormat="1" x14ac:dyDescent="0.25">
      <c r="B3" s="641" t="s">
        <v>737</v>
      </c>
      <c r="C3" s="642" t="s">
        <v>738</v>
      </c>
      <c r="D3" s="693">
        <v>1996</v>
      </c>
      <c r="E3" s="693">
        <v>1997</v>
      </c>
      <c r="F3" s="693">
        <v>1998</v>
      </c>
      <c r="G3" s="693">
        <v>1999</v>
      </c>
      <c r="H3" s="693">
        <v>2000</v>
      </c>
      <c r="I3" s="693">
        <v>2001</v>
      </c>
      <c r="J3" s="693">
        <v>2002</v>
      </c>
      <c r="K3" s="693">
        <v>2003</v>
      </c>
      <c r="L3" s="693" t="s">
        <v>457</v>
      </c>
      <c r="M3" s="693">
        <v>2004</v>
      </c>
      <c r="N3" s="693">
        <v>2005</v>
      </c>
      <c r="O3" s="693">
        <v>2006</v>
      </c>
      <c r="P3" s="693">
        <v>2007</v>
      </c>
      <c r="Q3" s="693">
        <v>2008</v>
      </c>
      <c r="R3" s="693">
        <v>2009</v>
      </c>
      <c r="S3" s="693">
        <v>2010</v>
      </c>
      <c r="T3" s="693">
        <v>2011</v>
      </c>
      <c r="U3" s="693">
        <v>2012</v>
      </c>
      <c r="V3" s="693">
        <v>2013</v>
      </c>
      <c r="W3" s="693">
        <v>2014</v>
      </c>
      <c r="X3" s="693">
        <v>2015</v>
      </c>
      <c r="Y3" s="693">
        <v>2016</v>
      </c>
      <c r="Z3" s="675" t="s">
        <v>104</v>
      </c>
      <c r="AA3" s="676" t="s">
        <v>583</v>
      </c>
      <c r="AB3" s="336"/>
      <c r="AC3" s="336"/>
      <c r="AD3" s="336"/>
    </row>
    <row r="4" spans="2:30" s="346" customFormat="1" x14ac:dyDescent="0.25">
      <c r="B4" s="643" t="s">
        <v>504</v>
      </c>
      <c r="C4" s="644" t="s">
        <v>739</v>
      </c>
      <c r="D4" s="665">
        <f>SUM(D5:D10)</f>
        <v>60154</v>
      </c>
      <c r="E4" s="665">
        <f t="shared" ref="E4:R4" si="0">SUM(E5:E10)</f>
        <v>231024</v>
      </c>
      <c r="F4" s="665">
        <f t="shared" si="0"/>
        <v>360525</v>
      </c>
      <c r="G4" s="665">
        <f t="shared" si="0"/>
        <v>461249</v>
      </c>
      <c r="H4" s="665">
        <f t="shared" si="0"/>
        <v>603437</v>
      </c>
      <c r="I4" s="665">
        <f t="shared" si="0"/>
        <v>636075.5</v>
      </c>
      <c r="J4" s="665">
        <f t="shared" si="0"/>
        <v>608853.5</v>
      </c>
      <c r="K4" s="665">
        <f t="shared" si="0"/>
        <v>765140</v>
      </c>
      <c r="L4" s="665">
        <f t="shared" si="0"/>
        <v>3726458</v>
      </c>
      <c r="M4" s="665">
        <f>SUM(M5:M11)</f>
        <v>933625</v>
      </c>
      <c r="N4" s="665">
        <f t="shared" si="0"/>
        <v>1145795</v>
      </c>
      <c r="O4" s="665">
        <f t="shared" si="0"/>
        <v>1093156</v>
      </c>
      <c r="P4" s="665">
        <f t="shared" si="0"/>
        <v>1029704</v>
      </c>
      <c r="Q4" s="665">
        <f>SUM(Q5:Q10)</f>
        <v>1623856</v>
      </c>
      <c r="R4" s="665">
        <f t="shared" si="0"/>
        <v>1349735</v>
      </c>
      <c r="S4" s="665">
        <f t="shared" ref="S4:Z4" si="1">SUM(S5:S10)</f>
        <v>1389475</v>
      </c>
      <c r="T4" s="665">
        <f t="shared" si="1"/>
        <v>1519983</v>
      </c>
      <c r="U4" s="665">
        <f t="shared" si="1"/>
        <v>1568737</v>
      </c>
      <c r="V4" s="665">
        <f t="shared" si="1"/>
        <v>1514572</v>
      </c>
      <c r="W4" s="665">
        <f t="shared" si="1"/>
        <v>4638644</v>
      </c>
      <c r="X4" s="665">
        <f t="shared" si="1"/>
        <v>6165307</v>
      </c>
      <c r="Y4" s="665">
        <f t="shared" si="1"/>
        <v>2599850</v>
      </c>
      <c r="Z4" s="665">
        <f t="shared" si="1"/>
        <v>27337579</v>
      </c>
      <c r="AA4" s="666">
        <v>175673</v>
      </c>
      <c r="AB4" s="336"/>
      <c r="AC4" s="336"/>
      <c r="AD4" s="336"/>
    </row>
    <row r="5" spans="2:30" s="346" customFormat="1" x14ac:dyDescent="0.25">
      <c r="B5" s="645">
        <v>1</v>
      </c>
      <c r="C5" s="646" t="s">
        <v>740</v>
      </c>
      <c r="D5" s="667">
        <f>'Te Ardhurat '!D4</f>
        <v>60154</v>
      </c>
      <c r="E5" s="667">
        <f>'Te Ardhurat '!E4</f>
        <v>231024</v>
      </c>
      <c r="F5" s="667">
        <f>'Te Ardhurat '!F4</f>
        <v>360525</v>
      </c>
      <c r="G5" s="667">
        <f>'Te Ardhurat '!G4</f>
        <v>390615</v>
      </c>
      <c r="H5" s="667">
        <f>'Te Ardhurat '!H4</f>
        <v>442564</v>
      </c>
      <c r="I5" s="667">
        <f>'Te Ardhurat '!I4</f>
        <v>446705</v>
      </c>
      <c r="J5" s="667">
        <f>'Te Ardhurat '!J4</f>
        <v>414633</v>
      </c>
      <c r="K5" s="667">
        <f>'Te Ardhurat '!K4</f>
        <v>473716</v>
      </c>
      <c r="L5" s="667">
        <f>SUM(D5:K5)</f>
        <v>2819936</v>
      </c>
      <c r="M5" s="667">
        <f>'Te Ardhurat '!L4+'Te Ardhurat '!L5</f>
        <v>606194</v>
      </c>
      <c r="N5" s="667">
        <f>'Te Ardhurat '!M5</f>
        <v>818245</v>
      </c>
      <c r="O5" s="667">
        <f>'Te Ardhurat '!N5</f>
        <v>815652</v>
      </c>
      <c r="P5" s="667">
        <f>'Te Ardhurat '!O5+'Te Ardhurat '!O6</f>
        <v>841418</v>
      </c>
      <c r="Q5" s="667">
        <f>'Te Ardhurat '!P6</f>
        <v>905278</v>
      </c>
      <c r="R5" s="667">
        <f>'Te Ardhurat '!Q6</f>
        <v>851469</v>
      </c>
      <c r="S5" s="667">
        <f>'Te Ardhurat '!R6+'Te Ardhurat '!R7</f>
        <v>814286</v>
      </c>
      <c r="T5" s="667">
        <f>'Te Ardhurat '!S7</f>
        <v>942368</v>
      </c>
      <c r="U5" s="667">
        <f>'Te Ardhurat '!T7</f>
        <v>983776</v>
      </c>
      <c r="V5" s="667">
        <f>'Te Ardhurat '!U7</f>
        <v>917794</v>
      </c>
      <c r="W5" s="667">
        <f>'Te Ardhurat '!V7</f>
        <v>1091512</v>
      </c>
      <c r="X5" s="667">
        <f>'Te Ardhurat '!W7</f>
        <v>1123493</v>
      </c>
      <c r="Y5" s="667">
        <f>'Te Ardhurat '!X7</f>
        <v>1170841</v>
      </c>
      <c r="Z5" s="667">
        <f>SUM(M5:Y5)+K5</f>
        <v>12356042</v>
      </c>
      <c r="AA5" s="668">
        <v>99845</v>
      </c>
      <c r="AB5" s="336"/>
      <c r="AC5" s="336"/>
      <c r="AD5" s="336"/>
    </row>
    <row r="6" spans="2:30" s="346" customFormat="1" x14ac:dyDescent="0.25">
      <c r="B6" s="645">
        <v>2</v>
      </c>
      <c r="C6" s="646" t="s">
        <v>741</v>
      </c>
      <c r="D6" s="667">
        <v>0</v>
      </c>
      <c r="E6" s="667">
        <v>0</v>
      </c>
      <c r="F6" s="667">
        <v>0</v>
      </c>
      <c r="G6" s="667">
        <f>'Te Ardhurat '!G20+'Te Ardhurat '!G21</f>
        <v>70634</v>
      </c>
      <c r="H6" s="667">
        <f>'Te Ardhurat '!H20+'Te Ardhurat '!H21</f>
        <v>160873</v>
      </c>
      <c r="I6" s="667">
        <f>'Te Ardhurat '!I20+'Te Ardhurat '!I21</f>
        <v>189370.5</v>
      </c>
      <c r="J6" s="667">
        <f>'Te Ardhurat '!J20+'Te Ardhurat '!J21</f>
        <v>194220.5</v>
      </c>
      <c r="K6" s="667">
        <f>'Te Ardhurat '!K20+'Te Ardhurat '!K21</f>
        <v>291424</v>
      </c>
      <c r="L6" s="667">
        <f>SUM(D6:K6)</f>
        <v>906522</v>
      </c>
      <c r="M6" s="667">
        <f>'Te Ardhurat '!L20</f>
        <v>327431</v>
      </c>
      <c r="N6" s="667">
        <f>'Te Ardhurat '!M20</f>
        <v>327550</v>
      </c>
      <c r="O6" s="667">
        <f>'Te Ardhurat '!N20</f>
        <v>277504</v>
      </c>
      <c r="P6" s="667">
        <f>'Te Ardhurat '!O22+'Te Ardhurat '!O23</f>
        <v>188286</v>
      </c>
      <c r="Q6" s="667">
        <f>'Te Ardhurat '!P22+'Te Ardhurat '!P23</f>
        <v>318578</v>
      </c>
      <c r="R6" s="667">
        <f>'Te Ardhurat '!Q22+'Te Ardhurat '!Q23</f>
        <v>498266</v>
      </c>
      <c r="S6" s="667">
        <f>'Te Ardhurat '!R22+'Te Ardhurat '!R23</f>
        <v>575189</v>
      </c>
      <c r="T6" s="667">
        <f>'Te Ardhurat '!S22+'Te Ardhurat '!S23</f>
        <v>577615</v>
      </c>
      <c r="U6" s="667">
        <f>'Te Ardhurat '!T22+'Te Ardhurat '!T23</f>
        <v>584961</v>
      </c>
      <c r="V6" s="667">
        <f>'Te Ardhurat '!U22+'Te Ardhurat '!U23</f>
        <v>596778</v>
      </c>
      <c r="W6" s="667">
        <f>'Te Ardhurat '!V22+'Te Ardhurat '!V23</f>
        <v>749732</v>
      </c>
      <c r="X6" s="667">
        <f>'Te Ardhurat '!W22+'Te Ardhurat '!W23</f>
        <v>816614</v>
      </c>
      <c r="Y6" s="667">
        <f>'Te Ardhurat '!X22+'Te Ardhurat '!X23</f>
        <v>904419</v>
      </c>
      <c r="Z6" s="667">
        <f t="shared" ref="Z6:Z11" si="2">SUM(M6:Y6)+K6</f>
        <v>7034347</v>
      </c>
      <c r="AA6" s="668">
        <v>75828</v>
      </c>
      <c r="AB6" s="336"/>
      <c r="AC6" s="336"/>
      <c r="AD6" s="336"/>
    </row>
    <row r="7" spans="2:30" s="346" customFormat="1" x14ac:dyDescent="0.25">
      <c r="B7" s="645">
        <v>3</v>
      </c>
      <c r="C7" s="646" t="s">
        <v>743</v>
      </c>
      <c r="D7" s="667">
        <v>0</v>
      </c>
      <c r="E7" s="667">
        <v>0</v>
      </c>
      <c r="F7" s="667">
        <v>0</v>
      </c>
      <c r="G7" s="667">
        <v>0</v>
      </c>
      <c r="H7" s="667">
        <v>0</v>
      </c>
      <c r="I7" s="667">
        <v>0</v>
      </c>
      <c r="J7" s="667">
        <v>0</v>
      </c>
      <c r="K7" s="667">
        <v>0</v>
      </c>
      <c r="L7" s="667">
        <v>0</v>
      </c>
      <c r="M7" s="667">
        <v>0</v>
      </c>
      <c r="N7" s="667">
        <v>0</v>
      </c>
      <c r="O7" s="667">
        <v>0</v>
      </c>
      <c r="P7" s="667">
        <v>0</v>
      </c>
      <c r="Q7" s="667">
        <v>400000</v>
      </c>
      <c r="R7" s="667">
        <v>0</v>
      </c>
      <c r="S7" s="667">
        <v>0</v>
      </c>
      <c r="T7" s="667">
        <v>0</v>
      </c>
      <c r="U7" s="667">
        <v>0</v>
      </c>
      <c r="V7" s="667">
        <v>0</v>
      </c>
      <c r="W7" s="667">
        <v>0</v>
      </c>
      <c r="X7" s="667">
        <v>0</v>
      </c>
      <c r="Y7" s="667">
        <v>0</v>
      </c>
      <c r="Z7" s="667">
        <f t="shared" si="2"/>
        <v>400000</v>
      </c>
      <c r="AA7" s="668">
        <v>0</v>
      </c>
      <c r="AB7" s="336"/>
      <c r="AC7" s="336"/>
      <c r="AD7" s="336"/>
    </row>
    <row r="8" spans="2:30" s="346" customFormat="1" ht="27" x14ac:dyDescent="0.25">
      <c r="B8" s="645">
        <v>4</v>
      </c>
      <c r="C8" s="646" t="s">
        <v>742</v>
      </c>
      <c r="D8" s="667">
        <v>0</v>
      </c>
      <c r="E8" s="667">
        <v>0</v>
      </c>
      <c r="F8" s="667">
        <v>0</v>
      </c>
      <c r="G8" s="667">
        <v>0</v>
      </c>
      <c r="H8" s="667">
        <v>0</v>
      </c>
      <c r="I8" s="667">
        <v>0</v>
      </c>
      <c r="J8" s="667">
        <v>0</v>
      </c>
      <c r="K8" s="667">
        <v>0</v>
      </c>
      <c r="L8" s="667">
        <v>0</v>
      </c>
      <c r="M8" s="667">
        <v>0</v>
      </c>
      <c r="N8" s="667">
        <v>0</v>
      </c>
      <c r="O8" s="667">
        <v>0</v>
      </c>
      <c r="P8" s="667">
        <v>0</v>
      </c>
      <c r="Q8" s="667">
        <v>0</v>
      </c>
      <c r="R8" s="667">
        <v>0</v>
      </c>
      <c r="S8" s="667">
        <v>0</v>
      </c>
      <c r="T8" s="667">
        <v>0</v>
      </c>
      <c r="U8" s="667">
        <v>0</v>
      </c>
      <c r="V8" s="667">
        <v>0</v>
      </c>
      <c r="W8" s="667">
        <f>20000*139.87</f>
        <v>2797400</v>
      </c>
      <c r="X8" s="667">
        <f>30000*140.84</f>
        <v>4225200</v>
      </c>
      <c r="Y8" s="667">
        <v>0</v>
      </c>
      <c r="Z8" s="667">
        <f t="shared" si="2"/>
        <v>7022600</v>
      </c>
      <c r="AA8" s="668"/>
      <c r="AB8" s="336"/>
      <c r="AC8" s="336"/>
      <c r="AD8" s="336"/>
    </row>
    <row r="9" spans="2:30" s="346" customFormat="1" x14ac:dyDescent="0.25">
      <c r="B9" s="645">
        <v>5</v>
      </c>
      <c r="C9" s="646" t="s">
        <v>744</v>
      </c>
      <c r="D9" s="667">
        <v>0</v>
      </c>
      <c r="E9" s="667">
        <v>0</v>
      </c>
      <c r="F9" s="667">
        <v>0</v>
      </c>
      <c r="G9" s="667">
        <v>0</v>
      </c>
      <c r="H9" s="667">
        <v>0</v>
      </c>
      <c r="I9" s="667">
        <v>0</v>
      </c>
      <c r="J9" s="667">
        <v>0</v>
      </c>
      <c r="K9" s="667">
        <v>0</v>
      </c>
      <c r="L9" s="667">
        <v>0</v>
      </c>
      <c r="M9" s="667">
        <v>0</v>
      </c>
      <c r="N9" s="667">
        <v>0</v>
      </c>
      <c r="O9" s="667">
        <v>0</v>
      </c>
      <c r="P9" s="667">
        <v>0</v>
      </c>
      <c r="Q9" s="667">
        <v>0</v>
      </c>
      <c r="R9" s="667">
        <v>0</v>
      </c>
      <c r="S9" s="667">
        <v>0</v>
      </c>
      <c r="T9" s="667">
        <v>0</v>
      </c>
      <c r="U9" s="667">
        <v>0</v>
      </c>
      <c r="V9" s="667">
        <v>0</v>
      </c>
      <c r="W9" s="667">
        <v>0</v>
      </c>
      <c r="X9" s="667">
        <v>0</v>
      </c>
      <c r="Y9" s="667">
        <f>3800*138.05</f>
        <v>524590</v>
      </c>
      <c r="Z9" s="667">
        <f t="shared" si="2"/>
        <v>524590</v>
      </c>
      <c r="AA9" s="668">
        <v>0</v>
      </c>
      <c r="AB9" s="336"/>
      <c r="AC9" s="336"/>
      <c r="AD9" s="336"/>
    </row>
    <row r="10" spans="2:30" s="346" customFormat="1" x14ac:dyDescent="0.25">
      <c r="B10" s="645">
        <v>6</v>
      </c>
      <c r="C10" s="646" t="s">
        <v>773</v>
      </c>
      <c r="D10" s="667">
        <v>0</v>
      </c>
      <c r="E10" s="667">
        <v>0</v>
      </c>
      <c r="F10" s="667">
        <v>0</v>
      </c>
      <c r="G10" s="667">
        <v>0</v>
      </c>
      <c r="H10" s="667">
        <v>0</v>
      </c>
      <c r="I10" s="667">
        <v>0</v>
      </c>
      <c r="J10" s="667">
        <v>0</v>
      </c>
      <c r="K10" s="667">
        <v>0</v>
      </c>
      <c r="L10" s="667">
        <v>0</v>
      </c>
      <c r="M10" s="667">
        <v>0</v>
      </c>
      <c r="N10" s="667">
        <v>0</v>
      </c>
      <c r="O10" s="667">
        <v>0</v>
      </c>
      <c r="P10" s="667">
        <v>0</v>
      </c>
      <c r="Q10" s="667">
        <v>0</v>
      </c>
      <c r="R10" s="667">
        <v>0</v>
      </c>
      <c r="S10" s="667">
        <v>0</v>
      </c>
      <c r="T10" s="667">
        <v>0</v>
      </c>
      <c r="U10" s="667">
        <v>0</v>
      </c>
      <c r="V10" s="667">
        <v>0</v>
      </c>
      <c r="W10" s="667">
        <v>0</v>
      </c>
      <c r="X10" s="667">
        <v>0</v>
      </c>
      <c r="Y10" s="667">
        <v>0</v>
      </c>
      <c r="Z10" s="667">
        <f t="shared" si="2"/>
        <v>0</v>
      </c>
      <c r="AA10" s="668"/>
      <c r="AB10" s="336"/>
      <c r="AC10" s="336"/>
      <c r="AD10" s="336"/>
    </row>
    <row r="11" spans="2:30" s="346" customFormat="1" x14ac:dyDescent="0.25">
      <c r="B11" s="645">
        <v>7</v>
      </c>
      <c r="C11" s="647" t="s">
        <v>772</v>
      </c>
      <c r="D11" s="667">
        <v>0</v>
      </c>
      <c r="E11" s="667">
        <v>0</v>
      </c>
      <c r="F11" s="667">
        <v>0</v>
      </c>
      <c r="G11" s="667">
        <v>0</v>
      </c>
      <c r="H11" s="667">
        <v>0</v>
      </c>
      <c r="I11" s="667">
        <v>0</v>
      </c>
      <c r="J11" s="667">
        <v>0</v>
      </c>
      <c r="K11" s="667">
        <v>0</v>
      </c>
      <c r="L11" s="667">
        <v>0</v>
      </c>
      <c r="M11" s="667">
        <v>0</v>
      </c>
      <c r="N11" s="680">
        <v>300000</v>
      </c>
      <c r="O11" s="680">
        <v>100000</v>
      </c>
      <c r="P11" s="680">
        <v>200000</v>
      </c>
      <c r="Q11" s="680">
        <v>370000</v>
      </c>
      <c r="R11" s="680">
        <v>350000</v>
      </c>
      <c r="S11" s="680">
        <v>470000</v>
      </c>
      <c r="T11" s="680">
        <v>530000</v>
      </c>
      <c r="U11" s="680">
        <v>670000</v>
      </c>
      <c r="V11" s="680">
        <v>540000</v>
      </c>
      <c r="W11" s="680">
        <v>450000</v>
      </c>
      <c r="X11" s="680">
        <v>240000</v>
      </c>
      <c r="Y11" s="680">
        <v>200000</v>
      </c>
      <c r="Z11" s="680">
        <f t="shared" si="2"/>
        <v>4420000</v>
      </c>
      <c r="AA11" s="668"/>
      <c r="AB11" s="336"/>
      <c r="AC11" s="336"/>
      <c r="AD11" s="336"/>
    </row>
    <row r="12" spans="2:30" s="346" customFormat="1" x14ac:dyDescent="0.25">
      <c r="B12" s="645"/>
      <c r="C12" s="647"/>
      <c r="D12" s="667"/>
      <c r="E12" s="667"/>
      <c r="F12" s="667"/>
      <c r="G12" s="667"/>
      <c r="H12" s="667"/>
      <c r="I12" s="667"/>
      <c r="J12" s="667"/>
      <c r="K12" s="667"/>
      <c r="L12" s="667"/>
      <c r="M12" s="667"/>
      <c r="N12" s="667"/>
      <c r="O12" s="667"/>
      <c r="P12" s="667"/>
      <c r="Q12" s="667"/>
      <c r="R12" s="667"/>
      <c r="S12" s="667"/>
      <c r="T12" s="667"/>
      <c r="U12" s="667"/>
      <c r="V12" s="667"/>
      <c r="W12" s="667"/>
      <c r="X12" s="667"/>
      <c r="Y12" s="667"/>
      <c r="Z12" s="667"/>
      <c r="AA12" s="668"/>
      <c r="AB12" s="336"/>
      <c r="AC12" s="336"/>
      <c r="AD12" s="336"/>
    </row>
    <row r="13" spans="2:30" s="346" customFormat="1" x14ac:dyDescent="0.25">
      <c r="B13" s="643" t="s">
        <v>505</v>
      </c>
      <c r="C13" s="644" t="s">
        <v>774</v>
      </c>
      <c r="D13" s="665">
        <f>SUM(D14:D22)</f>
        <v>39701.64</v>
      </c>
      <c r="E13" s="665">
        <f t="shared" ref="E13:S13" si="3">SUM(E14:E22)</f>
        <v>152475.84</v>
      </c>
      <c r="F13" s="665">
        <f t="shared" si="3"/>
        <v>237946.5</v>
      </c>
      <c r="G13" s="665">
        <f t="shared" si="3"/>
        <v>257805.90000000002</v>
      </c>
      <c r="H13" s="665">
        <f t="shared" si="3"/>
        <v>216000</v>
      </c>
      <c r="I13" s="665">
        <f t="shared" si="3"/>
        <v>216000</v>
      </c>
      <c r="J13" s="665">
        <f t="shared" si="3"/>
        <v>374984.53698630136</v>
      </c>
      <c r="K13" s="665">
        <f t="shared" si="3"/>
        <v>375456</v>
      </c>
      <c r="L13" s="665">
        <f t="shared" si="3"/>
        <v>1870370.4169863013</v>
      </c>
      <c r="M13" s="665">
        <f t="shared" si="3"/>
        <v>375856</v>
      </c>
      <c r="N13" s="665">
        <f t="shared" si="3"/>
        <v>438228</v>
      </c>
      <c r="O13" s="665">
        <f t="shared" si="3"/>
        <v>438228</v>
      </c>
      <c r="P13" s="665">
        <f t="shared" si="3"/>
        <v>547212</v>
      </c>
      <c r="Q13" s="665">
        <f t="shared" si="3"/>
        <v>767479.19672499993</v>
      </c>
      <c r="R13" s="665">
        <f t="shared" si="3"/>
        <v>841039.74190000002</v>
      </c>
      <c r="S13" s="665">
        <f t="shared" si="3"/>
        <v>814092.56579999998</v>
      </c>
      <c r="T13" s="665">
        <f t="shared" ref="T13:Z13" si="4">SUM(T14:T22)</f>
        <v>1118816.763</v>
      </c>
      <c r="U13" s="665">
        <f t="shared" si="4"/>
        <v>725235.33440000005</v>
      </c>
      <c r="V13" s="665">
        <f t="shared" si="4"/>
        <v>835254.35100000002</v>
      </c>
      <c r="W13" s="665">
        <f t="shared" si="4"/>
        <v>1453067.8933333333</v>
      </c>
      <c r="X13" s="665">
        <f t="shared" si="4"/>
        <v>1796081.8333333333</v>
      </c>
      <c r="Y13" s="665">
        <f t="shared" si="4"/>
        <v>1454194.1733333333</v>
      </c>
      <c r="Z13" s="665">
        <f t="shared" si="4"/>
        <v>11980241.852825001</v>
      </c>
      <c r="AA13" s="665">
        <v>113918.35135135135</v>
      </c>
      <c r="AB13" s="336"/>
      <c r="AC13" s="336"/>
      <c r="AD13" s="336"/>
    </row>
    <row r="14" spans="2:30" s="346" customFormat="1" x14ac:dyDescent="0.25">
      <c r="B14" s="645">
        <v>1</v>
      </c>
      <c r="C14" s="646" t="s">
        <v>745</v>
      </c>
      <c r="D14" s="667">
        <f>D5*66%</f>
        <v>39701.64</v>
      </c>
      <c r="E14" s="667">
        <f>E5*66%</f>
        <v>152475.84</v>
      </c>
      <c r="F14" s="667">
        <f>F5*66%</f>
        <v>237946.5</v>
      </c>
      <c r="G14" s="667">
        <f>G5*66%</f>
        <v>257805.90000000002</v>
      </c>
      <c r="H14" s="667">
        <f>108000*2</f>
        <v>216000</v>
      </c>
      <c r="I14" s="667">
        <f>H14</f>
        <v>216000</v>
      </c>
      <c r="J14" s="667">
        <f>93864*4-J1</f>
        <v>374984.53698630136</v>
      </c>
      <c r="K14" s="667">
        <v>375456</v>
      </c>
      <c r="L14" s="667">
        <f>SUM(D14:K14)</f>
        <v>1870370.4169863013</v>
      </c>
      <c r="M14" s="667">
        <v>375856</v>
      </c>
      <c r="N14" s="667">
        <v>438228</v>
      </c>
      <c r="O14" s="667">
        <v>438228</v>
      </c>
      <c r="P14" s="667">
        <v>546480</v>
      </c>
      <c r="Q14" s="667">
        <v>546480</v>
      </c>
      <c r="R14" s="667">
        <f>546480</f>
        <v>546480</v>
      </c>
      <c r="S14" s="667">
        <f>546480</f>
        <v>546480</v>
      </c>
      <c r="T14" s="667">
        <f>546480</f>
        <v>546480</v>
      </c>
      <c r="U14" s="667">
        <v>564096</v>
      </c>
      <c r="V14" s="667">
        <v>564096</v>
      </c>
      <c r="W14" s="667">
        <v>879992</v>
      </c>
      <c r="X14" s="667">
        <v>897104</v>
      </c>
      <c r="Y14" s="667">
        <v>940368</v>
      </c>
      <c r="Z14" s="667">
        <f>SUM(M14:Y14)+K14</f>
        <v>8205824</v>
      </c>
      <c r="AA14" s="668">
        <v>79351.351351351346</v>
      </c>
      <c r="AB14" s="336"/>
      <c r="AC14" s="336"/>
      <c r="AD14" s="336"/>
    </row>
    <row r="15" spans="2:30" s="346" customFormat="1" x14ac:dyDescent="0.25">
      <c r="B15" s="645">
        <v>2</v>
      </c>
      <c r="C15" s="646" t="s">
        <v>759</v>
      </c>
      <c r="D15" s="667">
        <v>0</v>
      </c>
      <c r="E15" s="667">
        <v>0</v>
      </c>
      <c r="F15" s="667">
        <v>0</v>
      </c>
      <c r="G15" s="667">
        <v>0</v>
      </c>
      <c r="H15" s="667">
        <v>0</v>
      </c>
      <c r="I15" s="667">
        <v>0</v>
      </c>
      <c r="J15" s="667">
        <v>0</v>
      </c>
      <c r="K15" s="667">
        <v>0</v>
      </c>
      <c r="L15" s="667">
        <v>0</v>
      </c>
      <c r="M15" s="667">
        <v>0</v>
      </c>
      <c r="N15" s="667">
        <v>0</v>
      </c>
      <c r="O15" s="667">
        <v>0</v>
      </c>
      <c r="P15" s="667">
        <v>0</v>
      </c>
      <c r="Q15" s="667">
        <v>3695.4750000000004</v>
      </c>
      <c r="R15" s="667">
        <v>0</v>
      </c>
      <c r="S15" s="667">
        <v>0</v>
      </c>
      <c r="T15" s="667">
        <f>TIMS!F6</f>
        <v>338835</v>
      </c>
      <c r="U15" s="667">
        <v>0</v>
      </c>
      <c r="V15" s="667">
        <f>TIMS!G6</f>
        <v>0</v>
      </c>
      <c r="W15" s="667">
        <f>TIMS!I6</f>
        <v>140110</v>
      </c>
      <c r="X15" s="667">
        <f>TIMS!J6</f>
        <v>37165.5</v>
      </c>
      <c r="Y15" s="667">
        <f>TIMS!K6</f>
        <v>31054.000000000004</v>
      </c>
      <c r="Z15" s="667">
        <f t="shared" ref="Z15:Z22" si="5">SUM(M15:Y15)+K15</f>
        <v>550859.97499999998</v>
      </c>
      <c r="AA15" s="668">
        <v>7976.9999999999991</v>
      </c>
      <c r="AB15" s="336"/>
      <c r="AC15" s="336">
        <v>2196</v>
      </c>
      <c r="AD15" s="336"/>
    </row>
    <row r="16" spans="2:30" s="346" customFormat="1" ht="27" x14ac:dyDescent="0.25">
      <c r="B16" s="645">
        <v>3</v>
      </c>
      <c r="C16" s="646" t="s">
        <v>746</v>
      </c>
      <c r="D16" s="667">
        <v>0</v>
      </c>
      <c r="E16" s="667">
        <v>0</v>
      </c>
      <c r="F16" s="667">
        <v>0</v>
      </c>
      <c r="G16" s="667">
        <v>0</v>
      </c>
      <c r="H16" s="667">
        <v>0</v>
      </c>
      <c r="I16" s="667">
        <v>0</v>
      </c>
      <c r="J16" s="667">
        <v>0</v>
      </c>
      <c r="K16" s="667">
        <v>0</v>
      </c>
      <c r="L16" s="667">
        <v>0</v>
      </c>
      <c r="M16" s="667">
        <v>0</v>
      </c>
      <c r="N16" s="667">
        <v>0</v>
      </c>
      <c r="O16" s="667">
        <v>0</v>
      </c>
      <c r="P16" s="667">
        <v>0</v>
      </c>
      <c r="Q16" s="667">
        <v>0</v>
      </c>
      <c r="R16" s="667">
        <v>0</v>
      </c>
      <c r="S16" s="667">
        <v>0</v>
      </c>
      <c r="T16" s="667">
        <v>0</v>
      </c>
      <c r="U16" s="667">
        <v>0</v>
      </c>
      <c r="V16" s="667">
        <v>0</v>
      </c>
      <c r="W16" s="667">
        <v>0</v>
      </c>
      <c r="X16" s="667">
        <f>(500000*0.1)+360000</f>
        <v>410000</v>
      </c>
      <c r="Y16" s="667">
        <v>0</v>
      </c>
      <c r="Z16" s="667">
        <f t="shared" si="5"/>
        <v>410000</v>
      </c>
      <c r="AA16" s="668"/>
      <c r="AB16" s="336"/>
      <c r="AC16" s="336"/>
      <c r="AD16" s="336"/>
    </row>
    <row r="17" spans="2:30" s="346" customFormat="1" x14ac:dyDescent="0.25">
      <c r="B17" s="645">
        <v>4</v>
      </c>
      <c r="C17" s="646" t="s">
        <v>758</v>
      </c>
      <c r="D17" s="667">
        <v>0</v>
      </c>
      <c r="E17" s="667">
        <v>0</v>
      </c>
      <c r="F17" s="667">
        <v>0</v>
      </c>
      <c r="G17" s="667">
        <v>0</v>
      </c>
      <c r="H17" s="667">
        <v>0</v>
      </c>
      <c r="I17" s="667">
        <v>0</v>
      </c>
      <c r="J17" s="667">
        <v>0</v>
      </c>
      <c r="K17" s="667">
        <v>0</v>
      </c>
      <c r="L17" s="667">
        <v>0</v>
      </c>
      <c r="M17" s="667">
        <v>0</v>
      </c>
      <c r="N17" s="667">
        <v>0</v>
      </c>
      <c r="O17" s="667">
        <v>0</v>
      </c>
      <c r="P17" s="667">
        <v>732</v>
      </c>
      <c r="Q17" s="667">
        <v>732</v>
      </c>
      <c r="R17" s="667">
        <v>732</v>
      </c>
      <c r="S17" s="667">
        <v>1350</v>
      </c>
      <c r="T17" s="667">
        <v>1350</v>
      </c>
      <c r="U17" s="667">
        <v>1227</v>
      </c>
      <c r="V17" s="667">
        <v>1520.5</v>
      </c>
      <c r="W17" s="667">
        <v>1520.5</v>
      </c>
      <c r="X17" s="667">
        <v>1229</v>
      </c>
      <c r="Y17" s="667">
        <v>1651.24</v>
      </c>
      <c r="Z17" s="667">
        <f t="shared" si="5"/>
        <v>12044.24</v>
      </c>
      <c r="AA17" s="668"/>
      <c r="AB17" s="336"/>
      <c r="AC17" s="336"/>
      <c r="AD17" s="336"/>
    </row>
    <row r="18" spans="2:30" s="346" customFormat="1" x14ac:dyDescent="0.25">
      <c r="B18" s="645">
        <v>5</v>
      </c>
      <c r="C18" s="646" t="s">
        <v>771</v>
      </c>
      <c r="D18" s="667">
        <v>0</v>
      </c>
      <c r="E18" s="667">
        <v>0</v>
      </c>
      <c r="F18" s="667">
        <v>0</v>
      </c>
      <c r="G18" s="667">
        <v>0</v>
      </c>
      <c r="H18" s="667">
        <v>0</v>
      </c>
      <c r="I18" s="667">
        <v>0</v>
      </c>
      <c r="J18" s="667">
        <v>0</v>
      </c>
      <c r="K18" s="667">
        <v>0</v>
      </c>
      <c r="L18" s="667">
        <v>0</v>
      </c>
      <c r="M18" s="667">
        <v>0</v>
      </c>
      <c r="N18" s="667">
        <v>0</v>
      </c>
      <c r="O18" s="667">
        <v>0</v>
      </c>
      <c r="P18" s="667">
        <v>0</v>
      </c>
      <c r="Q18" s="667">
        <v>0</v>
      </c>
      <c r="R18" s="667">
        <v>0</v>
      </c>
      <c r="S18" s="667">
        <v>0</v>
      </c>
      <c r="T18" s="667">
        <v>0</v>
      </c>
      <c r="U18" s="667">
        <v>0</v>
      </c>
      <c r="V18" s="667">
        <v>0</v>
      </c>
      <c r="W18" s="667">
        <v>0</v>
      </c>
      <c r="X18" s="667">
        <v>16000</v>
      </c>
      <c r="Y18" s="667">
        <v>40000</v>
      </c>
      <c r="Z18" s="667">
        <f t="shared" si="5"/>
        <v>56000</v>
      </c>
      <c r="AA18" s="668"/>
      <c r="AB18" s="336"/>
      <c r="AC18" s="336"/>
      <c r="AD18" s="336"/>
    </row>
    <row r="19" spans="2:30" s="346" customFormat="1" x14ac:dyDescent="0.25">
      <c r="B19" s="645">
        <v>6</v>
      </c>
      <c r="C19" s="646" t="s">
        <v>757</v>
      </c>
      <c r="D19" s="667">
        <v>0</v>
      </c>
      <c r="E19" s="667">
        <v>0</v>
      </c>
      <c r="F19" s="667">
        <v>0</v>
      </c>
      <c r="G19" s="667">
        <v>0</v>
      </c>
      <c r="H19" s="667">
        <v>0</v>
      </c>
      <c r="I19" s="667">
        <v>0</v>
      </c>
      <c r="J19" s="667">
        <v>0</v>
      </c>
      <c r="K19" s="667">
        <v>0</v>
      </c>
      <c r="L19" s="667">
        <v>0</v>
      </c>
      <c r="M19" s="667">
        <v>0</v>
      </c>
      <c r="N19" s="667">
        <v>0</v>
      </c>
      <c r="O19" s="667">
        <v>0</v>
      </c>
      <c r="P19" s="667">
        <v>0</v>
      </c>
      <c r="Q19" s="667">
        <v>0</v>
      </c>
      <c r="R19" s="667">
        <v>0</v>
      </c>
      <c r="S19" s="667">
        <v>0</v>
      </c>
      <c r="T19" s="667">
        <v>0</v>
      </c>
      <c r="U19" s="667">
        <v>0</v>
      </c>
      <c r="V19" s="667">
        <v>95903.64</v>
      </c>
      <c r="W19" s="667">
        <v>244632.06000000003</v>
      </c>
      <c r="X19" s="667">
        <v>247770</v>
      </c>
      <c r="Y19" s="667">
        <v>254307.6</v>
      </c>
      <c r="Z19" s="667">
        <f t="shared" si="5"/>
        <v>842613.29999999993</v>
      </c>
      <c r="AA19" s="668">
        <v>26589.999999999996</v>
      </c>
      <c r="AB19" s="336"/>
      <c r="AC19" s="336"/>
      <c r="AD19" s="336"/>
    </row>
    <row r="20" spans="2:30" s="346" customFormat="1" x14ac:dyDescent="0.25">
      <c r="B20" s="645">
        <v>7</v>
      </c>
      <c r="C20" s="646" t="s">
        <v>747</v>
      </c>
      <c r="D20" s="667">
        <v>0</v>
      </c>
      <c r="E20" s="667">
        <v>0</v>
      </c>
      <c r="F20" s="667">
        <v>0</v>
      </c>
      <c r="G20" s="667">
        <v>0</v>
      </c>
      <c r="H20" s="667">
        <v>0</v>
      </c>
      <c r="I20" s="667">
        <v>0</v>
      </c>
      <c r="J20" s="667">
        <v>0</v>
      </c>
      <c r="K20" s="667">
        <v>0</v>
      </c>
      <c r="L20" s="667">
        <v>0</v>
      </c>
      <c r="M20" s="667">
        <v>0</v>
      </c>
      <c r="N20" s="667">
        <v>0</v>
      </c>
      <c r="O20" s="667">
        <v>0</v>
      </c>
      <c r="P20" s="667">
        <v>0</v>
      </c>
      <c r="Q20" s="667">
        <v>0</v>
      </c>
      <c r="R20" s="667">
        <v>0</v>
      </c>
      <c r="S20" s="667">
        <v>0</v>
      </c>
      <c r="T20" s="667">
        <v>0</v>
      </c>
      <c r="U20" s="667">
        <v>0</v>
      </c>
      <c r="V20" s="667">
        <v>0</v>
      </c>
      <c r="W20" s="667">
        <v>0</v>
      </c>
      <c r="X20" s="667">
        <v>0</v>
      </c>
      <c r="Y20" s="667">
        <v>0</v>
      </c>
      <c r="Z20" s="667">
        <f t="shared" si="5"/>
        <v>0</v>
      </c>
      <c r="AA20" s="668"/>
      <c r="AB20" s="336"/>
      <c r="AC20" s="336"/>
      <c r="AD20" s="336"/>
    </row>
    <row r="21" spans="2:30" s="346" customFormat="1" x14ac:dyDescent="0.25">
      <c r="B21" s="645">
        <v>8</v>
      </c>
      <c r="C21" s="646" t="s">
        <v>748</v>
      </c>
      <c r="D21" s="667">
        <v>0</v>
      </c>
      <c r="E21" s="667">
        <v>0</v>
      </c>
      <c r="F21" s="667">
        <v>0</v>
      </c>
      <c r="G21" s="667">
        <v>0</v>
      </c>
      <c r="H21" s="667">
        <v>0</v>
      </c>
      <c r="I21" s="667">
        <v>0</v>
      </c>
      <c r="J21" s="667">
        <v>0</v>
      </c>
      <c r="K21" s="667">
        <v>0</v>
      </c>
      <c r="L21" s="667">
        <v>0</v>
      </c>
      <c r="M21" s="667">
        <v>0</v>
      </c>
      <c r="N21" s="667">
        <v>0</v>
      </c>
      <c r="O21" s="667">
        <v>0</v>
      </c>
      <c r="P21" s="667">
        <v>0</v>
      </c>
      <c r="Q21" s="667">
        <v>0</v>
      </c>
      <c r="R21" s="667">
        <v>0</v>
      </c>
      <c r="S21" s="667">
        <v>0</v>
      </c>
      <c r="T21" s="667">
        <v>0</v>
      </c>
      <c r="U21" s="667">
        <v>0</v>
      </c>
      <c r="V21" s="667">
        <v>0</v>
      </c>
      <c r="W21" s="667">
        <v>186813.33333333334</v>
      </c>
      <c r="X21" s="667">
        <v>186813.33333333334</v>
      </c>
      <c r="Y21" s="667">
        <v>186813.33333333334</v>
      </c>
      <c r="Z21" s="667">
        <f t="shared" si="5"/>
        <v>560440</v>
      </c>
      <c r="AA21" s="668"/>
      <c r="AB21" s="336"/>
      <c r="AC21" s="336"/>
      <c r="AD21" s="336"/>
    </row>
    <row r="22" spans="2:30" s="346" customFormat="1" x14ac:dyDescent="0.25">
      <c r="B22" s="645">
        <v>9</v>
      </c>
      <c r="C22" s="646" t="s">
        <v>775</v>
      </c>
      <c r="D22" s="667">
        <v>0</v>
      </c>
      <c r="E22" s="667">
        <v>0</v>
      </c>
      <c r="F22" s="667">
        <v>0</v>
      </c>
      <c r="G22" s="667">
        <v>0</v>
      </c>
      <c r="H22" s="667">
        <v>0</v>
      </c>
      <c r="I22" s="667">
        <v>0</v>
      </c>
      <c r="J22" s="667">
        <v>0</v>
      </c>
      <c r="K22" s="667">
        <v>0</v>
      </c>
      <c r="L22" s="667">
        <v>0</v>
      </c>
      <c r="M22" s="667">
        <v>0</v>
      </c>
      <c r="N22" s="667">
        <v>0</v>
      </c>
      <c r="O22" s="667">
        <v>0</v>
      </c>
      <c r="P22" s="667">
        <v>0</v>
      </c>
      <c r="Q22" s="667">
        <f>32*121.67+'Kredi ne NBG '!D38*KK!R4</f>
        <v>216571.72172500001</v>
      </c>
      <c r="R22" s="667">
        <f>'Kredi ne NBG '!F49*KK!S4</f>
        <v>293827.74190000002</v>
      </c>
      <c r="S22" s="667">
        <f>'Kredi ne NBG '!H45*KK!T4</f>
        <v>266262.56579999998</v>
      </c>
      <c r="T22" s="667">
        <f>'Kredi ne NBG '!J61*KK!U4</f>
        <v>232151.76299999998</v>
      </c>
      <c r="U22" s="667">
        <f>'Kredi ne NBG '!L61*KK!V4</f>
        <v>159912.33439999999</v>
      </c>
      <c r="V22" s="667">
        <f>'Kredi ne NBG '!N69*KK!W4</f>
        <v>173734.21100000004</v>
      </c>
      <c r="W22" s="667">
        <v>0</v>
      </c>
      <c r="X22" s="667">
        <v>0</v>
      </c>
      <c r="Y22" s="667">
        <v>0</v>
      </c>
      <c r="Z22" s="667">
        <f t="shared" si="5"/>
        <v>1342460.3378250003</v>
      </c>
      <c r="AA22" s="668"/>
      <c r="AB22" s="336"/>
      <c r="AC22" s="336"/>
      <c r="AD22" s="336"/>
    </row>
    <row r="23" spans="2:30" s="346" customFormat="1" x14ac:dyDescent="0.25">
      <c r="B23" s="648"/>
      <c r="C23" s="646"/>
      <c r="D23" s="667"/>
      <c r="E23" s="667"/>
      <c r="F23" s="667"/>
      <c r="G23" s="667"/>
      <c r="H23" s="667"/>
      <c r="I23" s="667"/>
      <c r="J23" s="667"/>
      <c r="K23" s="667"/>
      <c r="L23" s="667"/>
      <c r="M23" s="667"/>
      <c r="N23" s="667"/>
      <c r="O23" s="667"/>
      <c r="P23" s="667"/>
      <c r="Q23" s="667"/>
      <c r="R23" s="667"/>
      <c r="S23" s="667"/>
      <c r="T23" s="667"/>
      <c r="U23" s="667"/>
      <c r="V23" s="667"/>
      <c r="W23" s="667"/>
      <c r="X23" s="667"/>
      <c r="Y23" s="667"/>
      <c r="Z23" s="667"/>
      <c r="AA23" s="668"/>
      <c r="AB23" s="336"/>
      <c r="AC23" s="336"/>
      <c r="AD23" s="336"/>
    </row>
    <row r="24" spans="2:30" s="355" customFormat="1" x14ac:dyDescent="0.25">
      <c r="B24" s="649" t="s">
        <v>506</v>
      </c>
      <c r="C24" s="650" t="s">
        <v>749</v>
      </c>
      <c r="D24" s="665">
        <f>SUM(D25:D31)</f>
        <v>0</v>
      </c>
      <c r="E24" s="665">
        <f t="shared" ref="E24:Z24" si="6">SUM(E25:E31)</f>
        <v>0</v>
      </c>
      <c r="F24" s="665">
        <f t="shared" si="6"/>
        <v>0</v>
      </c>
      <c r="G24" s="665">
        <f t="shared" si="6"/>
        <v>0</v>
      </c>
      <c r="H24" s="665">
        <f t="shared" si="6"/>
        <v>0</v>
      </c>
      <c r="I24" s="665">
        <f t="shared" si="6"/>
        <v>0</v>
      </c>
      <c r="J24" s="665">
        <f t="shared" si="6"/>
        <v>0</v>
      </c>
      <c r="K24" s="665">
        <f t="shared" si="6"/>
        <v>267300</v>
      </c>
      <c r="L24" s="665">
        <f t="shared" si="6"/>
        <v>267300</v>
      </c>
      <c r="M24" s="665">
        <f t="shared" si="6"/>
        <v>0</v>
      </c>
      <c r="N24" s="665">
        <f t="shared" si="6"/>
        <v>604815.43999999994</v>
      </c>
      <c r="O24" s="665">
        <f t="shared" si="6"/>
        <v>863578.06</v>
      </c>
      <c r="P24" s="665">
        <f t="shared" si="6"/>
        <v>339106.54000000004</v>
      </c>
      <c r="Q24" s="665">
        <f t="shared" si="6"/>
        <v>12641684.719999999</v>
      </c>
      <c r="R24" s="665">
        <f t="shared" si="6"/>
        <v>-1543902.46</v>
      </c>
      <c r="S24" s="665">
        <f t="shared" si="6"/>
        <v>1270.4400000000605</v>
      </c>
      <c r="T24" s="665">
        <f>SUM(T25:T31)</f>
        <v>413557.02</v>
      </c>
      <c r="U24" s="665">
        <f>SUM(U25:U31)</f>
        <v>138927</v>
      </c>
      <c r="V24" s="665">
        <f t="shared" si="6"/>
        <v>2635869.77</v>
      </c>
      <c r="W24" s="665">
        <f t="shared" si="6"/>
        <v>198214.83000000007</v>
      </c>
      <c r="X24" s="665">
        <f t="shared" si="6"/>
        <v>64549.129999999888</v>
      </c>
      <c r="Y24" s="665">
        <f t="shared" si="6"/>
        <v>668773.14999999991</v>
      </c>
      <c r="Z24" s="665">
        <f t="shared" si="6"/>
        <v>17293743.640000001</v>
      </c>
      <c r="AA24" s="665">
        <f>SUM(AA25:AA31)</f>
        <v>9673</v>
      </c>
      <c r="AB24" s="354"/>
      <c r="AC24" s="354"/>
      <c r="AD24" s="354"/>
    </row>
    <row r="25" spans="2:30" s="364" customFormat="1" x14ac:dyDescent="0.25">
      <c r="B25" s="651">
        <v>1</v>
      </c>
      <c r="C25" s="652" t="s">
        <v>756</v>
      </c>
      <c r="D25" s="667">
        <v>0</v>
      </c>
      <c r="E25" s="667">
        <v>0</v>
      </c>
      <c r="F25" s="667">
        <v>0</v>
      </c>
      <c r="G25" s="667">
        <v>0</v>
      </c>
      <c r="H25" s="667">
        <v>0</v>
      </c>
      <c r="I25" s="667">
        <v>0</v>
      </c>
      <c r="J25" s="667">
        <v>0</v>
      </c>
      <c r="K25" s="667">
        <v>0</v>
      </c>
      <c r="L25" s="667">
        <f>SUM(D25:K25)</f>
        <v>0</v>
      </c>
      <c r="M25" s="670">
        <v>0</v>
      </c>
      <c r="N25" s="670">
        <v>0</v>
      </c>
      <c r="O25" s="670">
        <v>0</v>
      </c>
      <c r="P25" s="670">
        <v>0</v>
      </c>
      <c r="Q25" s="670">
        <v>0</v>
      </c>
      <c r="R25" s="670">
        <v>0</v>
      </c>
      <c r="S25" s="670">
        <v>0</v>
      </c>
      <c r="T25" s="670">
        <v>0</v>
      </c>
      <c r="U25" s="670">
        <v>0</v>
      </c>
      <c r="V25" s="670">
        <v>0</v>
      </c>
      <c r="W25" s="670">
        <v>0</v>
      </c>
      <c r="X25" s="670">
        <v>0</v>
      </c>
      <c r="Y25" s="670">
        <v>0</v>
      </c>
      <c r="Z25" s="671">
        <f t="shared" ref="Z25:Z31" si="7">SUM(M25:Y25)+K25</f>
        <v>0</v>
      </c>
      <c r="AA25" s="670"/>
      <c r="AB25" s="363"/>
      <c r="AC25" s="363"/>
      <c r="AD25" s="363"/>
    </row>
    <row r="26" spans="2:30" s="364" customFormat="1" x14ac:dyDescent="0.25">
      <c r="B26" s="651">
        <v>2</v>
      </c>
      <c r="C26" s="652" t="s">
        <v>580</v>
      </c>
      <c r="D26" s="667">
        <v>0</v>
      </c>
      <c r="E26" s="667">
        <v>0</v>
      </c>
      <c r="F26" s="667">
        <v>0</v>
      </c>
      <c r="G26" s="667">
        <v>0</v>
      </c>
      <c r="H26" s="667">
        <v>0</v>
      </c>
      <c r="I26" s="667">
        <v>0</v>
      </c>
      <c r="J26" s="667">
        <v>0</v>
      </c>
      <c r="K26" s="667">
        <f>2000*133.65</f>
        <v>267300</v>
      </c>
      <c r="L26" s="667">
        <f t="shared" ref="L26:L34" si="8">SUM(D26:K26)</f>
        <v>267300</v>
      </c>
      <c r="M26" s="670">
        <v>0</v>
      </c>
      <c r="N26" s="670">
        <v>0</v>
      </c>
      <c r="O26" s="670">
        <v>0</v>
      </c>
      <c r="P26" s="670">
        <v>0</v>
      </c>
      <c r="Q26" s="670">
        <v>0</v>
      </c>
      <c r="R26" s="670">
        <v>0</v>
      </c>
      <c r="S26" s="670">
        <v>0</v>
      </c>
      <c r="T26" s="670">
        <v>0</v>
      </c>
      <c r="U26" s="670">
        <v>0</v>
      </c>
      <c r="V26" s="670">
        <v>0</v>
      </c>
      <c r="W26" s="670">
        <v>0</v>
      </c>
      <c r="X26" s="670">
        <v>0</v>
      </c>
      <c r="Y26" s="670">
        <v>0</v>
      </c>
      <c r="Z26" s="671">
        <f t="shared" si="7"/>
        <v>267300</v>
      </c>
      <c r="AA26" s="670"/>
      <c r="AB26" s="363"/>
      <c r="AC26" s="363"/>
      <c r="AD26" s="363"/>
    </row>
    <row r="27" spans="2:30" s="364" customFormat="1" x14ac:dyDescent="0.25">
      <c r="B27" s="651">
        <v>3</v>
      </c>
      <c r="C27" s="652" t="s">
        <v>755</v>
      </c>
      <c r="D27" s="667">
        <v>0</v>
      </c>
      <c r="E27" s="667">
        <v>0</v>
      </c>
      <c r="F27" s="667">
        <v>0</v>
      </c>
      <c r="G27" s="667">
        <v>0</v>
      </c>
      <c r="H27" s="667">
        <v>0</v>
      </c>
      <c r="I27" s="667">
        <v>0</v>
      </c>
      <c r="J27" s="667">
        <v>0</v>
      </c>
      <c r="K27" s="667">
        <v>0</v>
      </c>
      <c r="L27" s="667">
        <f t="shared" si="8"/>
        <v>0</v>
      </c>
      <c r="M27" s="670">
        <v>0</v>
      </c>
      <c r="N27" s="670">
        <v>0</v>
      </c>
      <c r="O27" s="670">
        <v>0</v>
      </c>
      <c r="P27" s="670">
        <v>0</v>
      </c>
      <c r="Q27" s="670">
        <f>94830*121.99</f>
        <v>11568311.699999999</v>
      </c>
      <c r="R27" s="670">
        <v>0</v>
      </c>
      <c r="S27" s="670">
        <v>0</v>
      </c>
      <c r="T27" s="670">
        <v>0</v>
      </c>
      <c r="U27" s="670">
        <v>0</v>
      </c>
      <c r="V27" s="670">
        <v>0</v>
      </c>
      <c r="W27" s="670">
        <v>0</v>
      </c>
      <c r="X27" s="670">
        <v>0</v>
      </c>
      <c r="Y27" s="670">
        <v>0</v>
      </c>
      <c r="Z27" s="671">
        <f t="shared" si="7"/>
        <v>11568311.699999999</v>
      </c>
      <c r="AA27" s="670"/>
      <c r="AB27" s="363"/>
      <c r="AC27" s="363"/>
      <c r="AD27" s="363"/>
    </row>
    <row r="28" spans="2:30" s="364" customFormat="1" x14ac:dyDescent="0.25">
      <c r="B28" s="651">
        <v>4</v>
      </c>
      <c r="C28" s="652" t="s">
        <v>588</v>
      </c>
      <c r="D28" s="667">
        <v>0</v>
      </c>
      <c r="E28" s="667">
        <v>0</v>
      </c>
      <c r="F28" s="667">
        <v>0</v>
      </c>
      <c r="G28" s="667">
        <v>0</v>
      </c>
      <c r="H28" s="667">
        <v>0</v>
      </c>
      <c r="I28" s="667">
        <v>0</v>
      </c>
      <c r="J28" s="667">
        <v>0</v>
      </c>
      <c r="K28" s="667">
        <v>0</v>
      </c>
      <c r="L28" s="667">
        <f t="shared" si="8"/>
        <v>0</v>
      </c>
      <c r="M28" s="670">
        <v>0</v>
      </c>
      <c r="N28" s="670">
        <v>0</v>
      </c>
      <c r="O28" s="670">
        <v>0</v>
      </c>
      <c r="P28" s="670">
        <v>0</v>
      </c>
      <c r="Q28" s="670">
        <f>5500*123.25</f>
        <v>677875</v>
      </c>
      <c r="R28" s="670">
        <v>0</v>
      </c>
      <c r="S28" s="670">
        <v>0</v>
      </c>
      <c r="T28" s="670">
        <v>0</v>
      </c>
      <c r="U28" s="670">
        <v>0</v>
      </c>
      <c r="V28" s="670">
        <v>0</v>
      </c>
      <c r="W28" s="670">
        <v>0</v>
      </c>
      <c r="X28" s="670">
        <v>0</v>
      </c>
      <c r="Y28" s="670">
        <v>0</v>
      </c>
      <c r="Z28" s="671">
        <f t="shared" si="7"/>
        <v>677875</v>
      </c>
      <c r="AA28" s="670"/>
      <c r="AB28" s="363"/>
      <c r="AC28" s="363"/>
      <c r="AD28" s="363"/>
    </row>
    <row r="29" spans="2:30" s="364" customFormat="1" x14ac:dyDescent="0.25">
      <c r="B29" s="651">
        <v>5</v>
      </c>
      <c r="C29" s="652" t="s">
        <v>754</v>
      </c>
      <c r="D29" s="667">
        <v>0</v>
      </c>
      <c r="E29" s="667">
        <v>0</v>
      </c>
      <c r="F29" s="667">
        <v>0</v>
      </c>
      <c r="G29" s="667">
        <v>0</v>
      </c>
      <c r="H29" s="667">
        <v>0</v>
      </c>
      <c r="I29" s="667">
        <v>0</v>
      </c>
      <c r="J29" s="667">
        <v>0</v>
      </c>
      <c r="K29" s="667">
        <v>0</v>
      </c>
      <c r="L29" s="667">
        <f t="shared" si="8"/>
        <v>0</v>
      </c>
      <c r="M29" s="670">
        <v>0</v>
      </c>
      <c r="N29" s="670">
        <v>0</v>
      </c>
      <c r="O29" s="670">
        <v>0</v>
      </c>
      <c r="P29" s="670">
        <v>0</v>
      </c>
      <c r="Q29" s="670">
        <v>0</v>
      </c>
      <c r="R29" s="670">
        <v>0</v>
      </c>
      <c r="S29" s="670">
        <v>0</v>
      </c>
      <c r="T29" s="670">
        <v>0</v>
      </c>
      <c r="U29" s="670">
        <v>0</v>
      </c>
      <c r="V29" s="670">
        <f>11000*140.21</f>
        <v>1542310</v>
      </c>
      <c r="W29" s="670">
        <v>0</v>
      </c>
      <c r="X29" s="670">
        <v>0</v>
      </c>
      <c r="Y29" s="670">
        <v>0</v>
      </c>
      <c r="Z29" s="671">
        <f t="shared" si="7"/>
        <v>1542310</v>
      </c>
      <c r="AA29" s="670"/>
      <c r="AB29" s="363"/>
      <c r="AC29" s="363"/>
      <c r="AD29" s="363"/>
    </row>
    <row r="30" spans="2:30" s="364" customFormat="1" x14ac:dyDescent="0.25">
      <c r="B30" s="651">
        <v>6</v>
      </c>
      <c r="C30" s="652" t="s">
        <v>581</v>
      </c>
      <c r="D30" s="667">
        <v>0</v>
      </c>
      <c r="E30" s="667">
        <v>0</v>
      </c>
      <c r="F30" s="667">
        <v>0</v>
      </c>
      <c r="G30" s="667">
        <v>0</v>
      </c>
      <c r="H30" s="667">
        <v>0</v>
      </c>
      <c r="I30" s="667">
        <v>0</v>
      </c>
      <c r="J30" s="667">
        <v>0</v>
      </c>
      <c r="K30" s="667">
        <v>0</v>
      </c>
      <c r="L30" s="667">
        <f t="shared" si="8"/>
        <v>0</v>
      </c>
      <c r="M30" s="670">
        <v>0</v>
      </c>
      <c r="N30" s="670">
        <v>0</v>
      </c>
      <c r="O30" s="670">
        <v>0</v>
      </c>
      <c r="P30" s="670">
        <v>0</v>
      </c>
      <c r="Q30" s="670">
        <v>0</v>
      </c>
      <c r="R30" s="670">
        <v>0</v>
      </c>
      <c r="S30" s="670">
        <v>0</v>
      </c>
      <c r="T30" s="670">
        <v>0</v>
      </c>
      <c r="U30" s="670">
        <v>0</v>
      </c>
      <c r="V30" s="670">
        <v>0</v>
      </c>
      <c r="W30" s="670">
        <v>0</v>
      </c>
      <c r="X30" s="670">
        <v>0</v>
      </c>
      <c r="Y30" s="670">
        <v>0</v>
      </c>
      <c r="Z30" s="671">
        <f t="shared" si="7"/>
        <v>0</v>
      </c>
      <c r="AA30" s="670"/>
      <c r="AB30" s="363"/>
      <c r="AC30" s="363"/>
      <c r="AD30" s="363"/>
    </row>
    <row r="31" spans="2:30" s="371" customFormat="1" x14ac:dyDescent="0.25">
      <c r="B31" s="655">
        <v>7</v>
      </c>
      <c r="C31" s="656" t="s">
        <v>753</v>
      </c>
      <c r="D31" s="667">
        <v>0</v>
      </c>
      <c r="E31" s="667">
        <v>0</v>
      </c>
      <c r="F31" s="667">
        <v>0</v>
      </c>
      <c r="G31" s="667">
        <v>0</v>
      </c>
      <c r="H31" s="667">
        <v>0</v>
      </c>
      <c r="I31" s="667">
        <v>0</v>
      </c>
      <c r="J31" s="667">
        <v>0</v>
      </c>
      <c r="K31" s="667">
        <v>0</v>
      </c>
      <c r="L31" s="667">
        <v>0</v>
      </c>
      <c r="M31" s="667">
        <v>0</v>
      </c>
      <c r="N31" s="684">
        <f>N32-M32</f>
        <v>604815.43999999994</v>
      </c>
      <c r="O31" s="684">
        <f>O32-N32</f>
        <v>863578.06</v>
      </c>
      <c r="P31" s="684">
        <f>+' Likujditete'!S58</f>
        <v>339106.54000000004</v>
      </c>
      <c r="Q31" s="684">
        <f>+' Likujditete'!T58</f>
        <v>395498.02</v>
      </c>
      <c r="R31" s="684">
        <f t="shared" ref="R31:Y31" si="9">R32-Q32</f>
        <v>-1543902.46</v>
      </c>
      <c r="S31" s="684">
        <f t="shared" si="9"/>
        <v>1270.4400000000605</v>
      </c>
      <c r="T31" s="684">
        <f t="shared" si="9"/>
        <v>413557.02</v>
      </c>
      <c r="U31" s="684">
        <f t="shared" si="9"/>
        <v>138927</v>
      </c>
      <c r="V31" s="684">
        <f t="shared" si="9"/>
        <v>1093559.77</v>
      </c>
      <c r="W31" s="684">
        <f t="shared" si="9"/>
        <v>198214.83000000007</v>
      </c>
      <c r="X31" s="684">
        <f t="shared" si="9"/>
        <v>64549.129999999888</v>
      </c>
      <c r="Y31" s="684">
        <f t="shared" si="9"/>
        <v>668773.14999999991</v>
      </c>
      <c r="Z31" s="684">
        <f t="shared" si="7"/>
        <v>3237946.94</v>
      </c>
      <c r="AA31" s="672">
        <f>+' Likujditete'!AD58</f>
        <v>9673</v>
      </c>
      <c r="AB31" s="370"/>
      <c r="AC31" s="370"/>
      <c r="AD31" s="370"/>
    </row>
    <row r="32" spans="2:30" s="371" customFormat="1" x14ac:dyDescent="0.25">
      <c r="B32" s="655" t="s">
        <v>584</v>
      </c>
      <c r="C32" s="656" t="s">
        <v>752</v>
      </c>
      <c r="D32" s="667">
        <v>0</v>
      </c>
      <c r="E32" s="667">
        <v>0</v>
      </c>
      <c r="F32" s="667">
        <v>0</v>
      </c>
      <c r="G32" s="667">
        <v>0</v>
      </c>
      <c r="H32" s="667">
        <v>0</v>
      </c>
      <c r="I32" s="667">
        <v>0</v>
      </c>
      <c r="J32" s="667">
        <v>0</v>
      </c>
      <c r="K32" s="667">
        <v>0</v>
      </c>
      <c r="L32" s="667">
        <v>0</v>
      </c>
      <c r="M32" s="667">
        <v>0</v>
      </c>
      <c r="N32" s="672">
        <f>SUM(N33:N34)</f>
        <v>604815.43999999994</v>
      </c>
      <c r="O32" s="672">
        <f t="shared" ref="O32:Y32" si="10">SUM(O33:O34)</f>
        <v>1468393.5</v>
      </c>
      <c r="P32" s="672">
        <f>SUM(P33:P34)</f>
        <v>1807500.04</v>
      </c>
      <c r="Q32" s="672">
        <f t="shared" si="10"/>
        <v>2202998.06</v>
      </c>
      <c r="R32" s="672">
        <f>SUM(R33:R34)</f>
        <v>659095.6</v>
      </c>
      <c r="S32" s="672">
        <f t="shared" si="10"/>
        <v>660366.04</v>
      </c>
      <c r="T32" s="672">
        <f t="shared" si="10"/>
        <v>1073923.06</v>
      </c>
      <c r="U32" s="672">
        <f t="shared" si="10"/>
        <v>1212850.06</v>
      </c>
      <c r="V32" s="672">
        <f t="shared" si="10"/>
        <v>2306409.83</v>
      </c>
      <c r="W32" s="672">
        <f t="shared" si="10"/>
        <v>2504624.66</v>
      </c>
      <c r="X32" s="672">
        <f>SUM(X33:X34)</f>
        <v>2569173.79</v>
      </c>
      <c r="Y32" s="672">
        <f t="shared" si="10"/>
        <v>3237946.94</v>
      </c>
      <c r="Z32" s="672">
        <f>SUM(Z33:Z34)</f>
        <v>20308097.02</v>
      </c>
      <c r="AA32" s="672"/>
      <c r="AB32" s="370"/>
      <c r="AC32" s="370"/>
      <c r="AD32" s="370"/>
    </row>
    <row r="33" spans="2:30" s="375" customFormat="1" x14ac:dyDescent="0.25">
      <c r="B33" s="651" t="s">
        <v>585</v>
      </c>
      <c r="C33" s="657" t="s">
        <v>751</v>
      </c>
      <c r="D33" s="667">
        <v>0</v>
      </c>
      <c r="E33" s="667">
        <v>0</v>
      </c>
      <c r="F33" s="667">
        <v>0</v>
      </c>
      <c r="G33" s="667">
        <v>0</v>
      </c>
      <c r="H33" s="667">
        <v>0</v>
      </c>
      <c r="I33" s="667">
        <v>0</v>
      </c>
      <c r="J33" s="667">
        <v>0</v>
      </c>
      <c r="K33" s="667">
        <v>0</v>
      </c>
      <c r="L33" s="667">
        <f t="shared" si="8"/>
        <v>0</v>
      </c>
      <c r="M33" s="670">
        <f>+' Likujditete'!P57</f>
        <v>0</v>
      </c>
      <c r="N33" s="670">
        <f>' Likujditete'!Q53</f>
        <v>4815.4399999999996</v>
      </c>
      <c r="O33" s="670">
        <f>' Likujditete'!R53</f>
        <v>268393.5</v>
      </c>
      <c r="P33" s="670">
        <f>' Likujditete'!S53</f>
        <v>57500.04</v>
      </c>
      <c r="Q33" s="670">
        <f>' Likujditete'!T53</f>
        <v>52998.06</v>
      </c>
      <c r="R33" s="670">
        <f>' Likujditete'!U53</f>
        <v>9095.6</v>
      </c>
      <c r="S33" s="670">
        <f>' Likujditete'!V53</f>
        <v>48670.04</v>
      </c>
      <c r="T33" s="670">
        <f>' Likujditete'!W53</f>
        <v>62227.06</v>
      </c>
      <c r="U33" s="670">
        <f>' Likujditete'!X53</f>
        <v>61154.060000000005</v>
      </c>
      <c r="V33" s="670">
        <f>+' Likujditete'!Y57</f>
        <v>1154713.83</v>
      </c>
      <c r="W33" s="670">
        <f>' Likujditete'!Z53</f>
        <v>546609.66</v>
      </c>
      <c r="X33" s="670">
        <f>' Likujditete'!AA53</f>
        <v>611158.79</v>
      </c>
      <c r="Y33" s="670">
        <f>' Likujditete'!AB53</f>
        <v>1221931.94</v>
      </c>
      <c r="Z33" s="671">
        <f>SUM(M33:Y33)+K33</f>
        <v>4099268.02</v>
      </c>
      <c r="AA33" s="670">
        <f>+' Likujditete'!AD57</f>
        <v>1287604.94</v>
      </c>
      <c r="AB33" s="374"/>
      <c r="AC33" s="374"/>
      <c r="AD33" s="374"/>
    </row>
    <row r="34" spans="2:30" s="382" customFormat="1" x14ac:dyDescent="0.25">
      <c r="B34" s="658" t="s">
        <v>587</v>
      </c>
      <c r="C34" s="659" t="s">
        <v>582</v>
      </c>
      <c r="D34" s="667">
        <v>0</v>
      </c>
      <c r="E34" s="667">
        <v>0</v>
      </c>
      <c r="F34" s="667">
        <v>0</v>
      </c>
      <c r="G34" s="667">
        <v>0</v>
      </c>
      <c r="H34" s="667">
        <v>0</v>
      </c>
      <c r="I34" s="667">
        <v>0</v>
      </c>
      <c r="J34" s="667">
        <v>0</v>
      </c>
      <c r="K34" s="667">
        <v>0</v>
      </c>
      <c r="L34" s="667">
        <f t="shared" si="8"/>
        <v>0</v>
      </c>
      <c r="M34" s="673">
        <f>+' Likujditete'!P54</f>
        <v>0</v>
      </c>
      <c r="N34" s="673">
        <f>+' Likujditete'!Q56</f>
        <v>600000</v>
      </c>
      <c r="O34" s="673">
        <f>N34+600000</f>
        <v>1200000</v>
      </c>
      <c r="P34" s="673">
        <f>O34+550000</f>
        <v>1750000</v>
      </c>
      <c r="Q34" s="673">
        <f>P34+400000</f>
        <v>2150000</v>
      </c>
      <c r="R34" s="673">
        <f>Q34-2000000+500000</f>
        <v>650000</v>
      </c>
      <c r="S34" s="673">
        <f>R34+800000-838304</f>
        <v>611696</v>
      </c>
      <c r="T34" s="673">
        <f>S34+400000</f>
        <v>1011696</v>
      </c>
      <c r="U34" s="673">
        <f>T34+140000</f>
        <v>1151696</v>
      </c>
      <c r="V34" s="673">
        <f>+' Likujditete'!Y56</f>
        <v>1151696</v>
      </c>
      <c r="W34" s="673">
        <f>V34+400000+2900*KK!X4</f>
        <v>1958015</v>
      </c>
      <c r="X34" s="673">
        <f>W34</f>
        <v>1958015</v>
      </c>
      <c r="Y34" s="673">
        <f>X34+58000</f>
        <v>2016015</v>
      </c>
      <c r="Z34" s="671">
        <f>SUM(M34:Y34)+K34</f>
        <v>16208829</v>
      </c>
      <c r="AA34" s="673">
        <f>+' Likujditete'!AD54</f>
        <v>0</v>
      </c>
      <c r="AB34" s="381"/>
      <c r="AC34" s="381"/>
      <c r="AD34" s="381"/>
    </row>
    <row r="35" spans="2:30" s="382" customFormat="1" x14ac:dyDescent="0.25">
      <c r="B35" s="660"/>
      <c r="C35" s="659"/>
      <c r="D35" s="667"/>
      <c r="E35" s="667"/>
      <c r="F35" s="667"/>
      <c r="G35" s="667"/>
      <c r="H35" s="667"/>
      <c r="I35" s="667"/>
      <c r="J35" s="667"/>
      <c r="K35" s="667"/>
      <c r="L35" s="667"/>
      <c r="M35" s="673"/>
      <c r="N35" s="673"/>
      <c r="O35" s="673"/>
      <c r="P35" s="673"/>
      <c r="Q35" s="673"/>
      <c r="R35" s="673"/>
      <c r="S35" s="673"/>
      <c r="T35" s="673"/>
      <c r="U35" s="673"/>
      <c r="V35" s="673"/>
      <c r="W35" s="673"/>
      <c r="X35" s="673"/>
      <c r="Y35" s="673"/>
      <c r="Z35" s="671"/>
      <c r="AA35" s="673"/>
      <c r="AB35" s="381"/>
      <c r="AC35" s="381"/>
      <c r="AD35" s="381"/>
    </row>
    <row r="36" spans="2:30" s="355" customFormat="1" x14ac:dyDescent="0.25">
      <c r="B36" s="649" t="s">
        <v>507</v>
      </c>
      <c r="C36" s="650" t="s">
        <v>750</v>
      </c>
      <c r="D36" s="665">
        <f>SUM(D37:D45)</f>
        <v>0</v>
      </c>
      <c r="E36" s="665">
        <f t="shared" ref="E36:Q36" si="11">SUM(E37:E45)</f>
        <v>0</v>
      </c>
      <c r="F36" s="665">
        <f t="shared" si="11"/>
        <v>0</v>
      </c>
      <c r="G36" s="665">
        <f t="shared" si="11"/>
        <v>0</v>
      </c>
      <c r="H36" s="665">
        <f t="shared" si="11"/>
        <v>0</v>
      </c>
      <c r="I36" s="665">
        <f t="shared" si="11"/>
        <v>0</v>
      </c>
      <c r="J36" s="665">
        <f t="shared" si="11"/>
        <v>0</v>
      </c>
      <c r="K36" s="665">
        <f t="shared" si="11"/>
        <v>0</v>
      </c>
      <c r="L36" s="665">
        <f t="shared" si="11"/>
        <v>0</v>
      </c>
      <c r="M36" s="665">
        <f t="shared" si="11"/>
        <v>0</v>
      </c>
      <c r="N36" s="665">
        <f t="shared" si="11"/>
        <v>0</v>
      </c>
      <c r="O36" s="665">
        <f t="shared" si="11"/>
        <v>0</v>
      </c>
      <c r="P36" s="665">
        <f t="shared" si="11"/>
        <v>0</v>
      </c>
      <c r="Q36" s="665">
        <f t="shared" si="11"/>
        <v>11498161.371074999</v>
      </c>
      <c r="R36" s="665">
        <f t="shared" ref="R36:AA36" si="12">SUM(R37:R45)</f>
        <v>-2221690.3654</v>
      </c>
      <c r="S36" s="665">
        <f t="shared" si="12"/>
        <v>-558020.36430000002</v>
      </c>
      <c r="T36" s="665">
        <f t="shared" si="12"/>
        <v>-815622.86700000009</v>
      </c>
      <c r="U36" s="665">
        <f t="shared" si="12"/>
        <v>-1184147.9580000001</v>
      </c>
      <c r="V36" s="665">
        <f t="shared" si="12"/>
        <v>6412.3141999999061</v>
      </c>
      <c r="W36" s="665">
        <f t="shared" si="12"/>
        <v>-2250252.0671000001</v>
      </c>
      <c r="X36" s="665">
        <f t="shared" si="12"/>
        <v>-4155261.9</v>
      </c>
      <c r="Y36" s="665">
        <f t="shared" si="12"/>
        <v>0</v>
      </c>
      <c r="Z36" s="665">
        <f t="shared" si="12"/>
        <v>319578.16347499751</v>
      </c>
      <c r="AA36" s="665">
        <f t="shared" si="12"/>
        <v>0</v>
      </c>
      <c r="AB36" s="354"/>
      <c r="AC36" s="354"/>
      <c r="AD36" s="354"/>
    </row>
    <row r="37" spans="2:30" s="364" customFormat="1" x14ac:dyDescent="0.25">
      <c r="B37" s="651">
        <v>1</v>
      </c>
      <c r="C37" s="652" t="s">
        <v>760</v>
      </c>
      <c r="D37" s="667">
        <v>0</v>
      </c>
      <c r="E37" s="667">
        <v>0</v>
      </c>
      <c r="F37" s="667">
        <v>0</v>
      </c>
      <c r="G37" s="667">
        <v>0</v>
      </c>
      <c r="H37" s="667">
        <v>0</v>
      </c>
      <c r="I37" s="667">
        <v>0</v>
      </c>
      <c r="J37" s="667">
        <v>0</v>
      </c>
      <c r="K37" s="667">
        <v>0</v>
      </c>
      <c r="L37" s="667">
        <v>0</v>
      </c>
      <c r="M37" s="670">
        <v>0</v>
      </c>
      <c r="N37" s="670">
        <v>0</v>
      </c>
      <c r="O37" s="670">
        <v>0</v>
      </c>
      <c r="P37" s="670">
        <v>0</v>
      </c>
      <c r="Q37" s="670">
        <f>46000*121.67</f>
        <v>5596820</v>
      </c>
      <c r="R37" s="670">
        <v>0</v>
      </c>
      <c r="S37" s="670">
        <v>0</v>
      </c>
      <c r="T37" s="670">
        <v>0</v>
      </c>
      <c r="U37" s="670">
        <v>0</v>
      </c>
      <c r="V37" s="670">
        <v>0</v>
      </c>
      <c r="W37" s="670">
        <v>0</v>
      </c>
      <c r="X37" s="670">
        <v>0</v>
      </c>
      <c r="Y37" s="670">
        <v>0</v>
      </c>
      <c r="Z37" s="671">
        <f>SUM(M37:Y37)+K37</f>
        <v>5596820</v>
      </c>
      <c r="AA37" s="670"/>
      <c r="AB37" s="363"/>
      <c r="AC37" s="363"/>
      <c r="AD37" s="363"/>
    </row>
    <row r="38" spans="2:30" s="364" customFormat="1" x14ac:dyDescent="0.25">
      <c r="B38" s="651">
        <v>2</v>
      </c>
      <c r="C38" s="652" t="s">
        <v>761</v>
      </c>
      <c r="D38" s="667">
        <v>0</v>
      </c>
      <c r="E38" s="667">
        <v>0</v>
      </c>
      <c r="F38" s="667">
        <v>0</v>
      </c>
      <c r="G38" s="667">
        <v>0</v>
      </c>
      <c r="H38" s="667">
        <v>0</v>
      </c>
      <c r="I38" s="667">
        <v>0</v>
      </c>
      <c r="J38" s="667">
        <v>0</v>
      </c>
      <c r="K38" s="667">
        <v>0</v>
      </c>
      <c r="L38" s="667">
        <v>0</v>
      </c>
      <c r="M38" s="670">
        <v>0</v>
      </c>
      <c r="N38" s="670">
        <v>0</v>
      </c>
      <c r="O38" s="670">
        <v>0</v>
      </c>
      <c r="P38" s="670">
        <v>0</v>
      </c>
      <c r="Q38" s="670">
        <f>-601.09*KK!R4</f>
        <v>-74043.768925000011</v>
      </c>
      <c r="R38" s="670">
        <f>-16196.62*KK!S4</f>
        <v>-2221690.3654</v>
      </c>
      <c r="S38" s="670">
        <f>-4020.03*KK!T4</f>
        <v>-558020.36430000002</v>
      </c>
      <c r="T38" s="670">
        <f>-5897.49*KK!U4</f>
        <v>-815622.86700000009</v>
      </c>
      <c r="U38" s="670">
        <f>-3475.15*KK!V4</f>
        <v>-485547.95799999998</v>
      </c>
      <c r="V38" s="670">
        <f>-668.98*KK!W4</f>
        <v>-93797.685800000007</v>
      </c>
      <c r="W38" s="670">
        <f>-'Kredi ne NBG '!O56*KK!X4</f>
        <v>-2250252.0671000001</v>
      </c>
      <c r="X38" s="670">
        <v>0</v>
      </c>
      <c r="Y38" s="670">
        <v>0</v>
      </c>
      <c r="Z38" s="671">
        <f t="shared" ref="Z38:Z45" si="13">SUM(M38:Y38)+K38</f>
        <v>-6498975.0765250009</v>
      </c>
      <c r="AA38" s="670"/>
      <c r="AB38" s="363"/>
      <c r="AC38" s="363"/>
      <c r="AD38" s="363"/>
    </row>
    <row r="39" spans="2:30" s="364" customFormat="1" x14ac:dyDescent="0.25">
      <c r="B39" s="651">
        <v>3</v>
      </c>
      <c r="C39" s="652" t="s">
        <v>762</v>
      </c>
      <c r="D39" s="667">
        <v>0</v>
      </c>
      <c r="E39" s="667">
        <v>0</v>
      </c>
      <c r="F39" s="667">
        <v>0</v>
      </c>
      <c r="G39" s="667">
        <v>0</v>
      </c>
      <c r="H39" s="667">
        <v>0</v>
      </c>
      <c r="I39" s="667">
        <v>0</v>
      </c>
      <c r="J39" s="667">
        <v>0</v>
      </c>
      <c r="K39" s="667">
        <v>0</v>
      </c>
      <c r="L39" s="667">
        <v>0</v>
      </c>
      <c r="M39" s="670">
        <v>0</v>
      </c>
      <c r="N39" s="670">
        <v>0</v>
      </c>
      <c r="O39" s="670">
        <v>0</v>
      </c>
      <c r="P39" s="670">
        <v>0</v>
      </c>
      <c r="Q39" s="670">
        <f>Q27</f>
        <v>11568311.699999999</v>
      </c>
      <c r="R39" s="670">
        <v>0</v>
      </c>
      <c r="S39" s="670">
        <v>0</v>
      </c>
      <c r="T39" s="670">
        <v>0</v>
      </c>
      <c r="U39" s="670">
        <v>0</v>
      </c>
      <c r="V39" s="670">
        <v>0</v>
      </c>
      <c r="W39" s="670">
        <v>0</v>
      </c>
      <c r="X39" s="670">
        <v>0</v>
      </c>
      <c r="Y39" s="670">
        <v>0</v>
      </c>
      <c r="Z39" s="671">
        <f t="shared" si="13"/>
        <v>11568311.699999999</v>
      </c>
      <c r="AA39" s="670"/>
      <c r="AB39" s="363"/>
      <c r="AC39" s="363"/>
      <c r="AD39" s="363"/>
    </row>
    <row r="40" spans="2:30" s="364" customFormat="1" x14ac:dyDescent="0.25">
      <c r="B40" s="651">
        <v>4</v>
      </c>
      <c r="C40" s="652" t="s">
        <v>763</v>
      </c>
      <c r="D40" s="667">
        <v>0</v>
      </c>
      <c r="E40" s="667">
        <v>0</v>
      </c>
      <c r="F40" s="667">
        <v>0</v>
      </c>
      <c r="G40" s="667">
        <v>0</v>
      </c>
      <c r="H40" s="667">
        <v>0</v>
      </c>
      <c r="I40" s="667">
        <v>0</v>
      </c>
      <c r="J40" s="667">
        <v>0</v>
      </c>
      <c r="K40" s="667">
        <v>0</v>
      </c>
      <c r="L40" s="667">
        <v>0</v>
      </c>
      <c r="M40" s="670">
        <v>0</v>
      </c>
      <c r="N40" s="670">
        <v>0</v>
      </c>
      <c r="O40" s="670">
        <v>0</v>
      </c>
      <c r="P40" s="670">
        <v>0</v>
      </c>
      <c r="Q40" s="670">
        <f>-45968*121.67</f>
        <v>-5592926.5600000005</v>
      </c>
      <c r="R40" s="670">
        <v>0</v>
      </c>
      <c r="S40" s="670">
        <v>0</v>
      </c>
      <c r="T40" s="670">
        <v>0</v>
      </c>
      <c r="U40" s="670">
        <f>-5000*139.72</f>
        <v>-698600</v>
      </c>
      <c r="V40" s="670">
        <f>-40000</f>
        <v>-40000</v>
      </c>
      <c r="W40" s="670">
        <v>0</v>
      </c>
      <c r="X40" s="670">
        <f>-(230*138.33+24400*140.84+5000*137.39)</f>
        <v>-4155261.9</v>
      </c>
      <c r="Y40" s="670"/>
      <c r="Z40" s="671">
        <f t="shared" si="13"/>
        <v>-10486788.460000001</v>
      </c>
      <c r="AA40" s="670">
        <v>0</v>
      </c>
      <c r="AB40" s="363"/>
      <c r="AC40" s="363"/>
      <c r="AD40" s="363"/>
    </row>
    <row r="41" spans="2:30" s="364" customFormat="1" x14ac:dyDescent="0.25">
      <c r="B41" s="651">
        <v>5</v>
      </c>
      <c r="C41" s="652" t="s">
        <v>764</v>
      </c>
      <c r="D41" s="667">
        <v>0</v>
      </c>
      <c r="E41" s="667">
        <v>0</v>
      </c>
      <c r="F41" s="667">
        <v>0</v>
      </c>
      <c r="G41" s="667">
        <v>0</v>
      </c>
      <c r="H41" s="667">
        <v>0</v>
      </c>
      <c r="I41" s="667">
        <v>0</v>
      </c>
      <c r="J41" s="667">
        <v>0</v>
      </c>
      <c r="K41" s="667">
        <v>0</v>
      </c>
      <c r="L41" s="667">
        <v>0</v>
      </c>
      <c r="M41" s="670">
        <v>0</v>
      </c>
      <c r="N41" s="670">
        <v>0</v>
      </c>
      <c r="O41" s="670">
        <v>0</v>
      </c>
      <c r="P41" s="670">
        <v>0</v>
      </c>
      <c r="Q41" s="670">
        <v>0</v>
      </c>
      <c r="R41" s="670">
        <v>0</v>
      </c>
      <c r="S41" s="670">
        <v>0</v>
      </c>
      <c r="T41" s="670">
        <v>0</v>
      </c>
      <c r="U41" s="670">
        <v>0</v>
      </c>
      <c r="V41" s="670">
        <v>0</v>
      </c>
      <c r="W41" s="670">
        <v>0</v>
      </c>
      <c r="X41" s="670">
        <v>0</v>
      </c>
      <c r="Y41" s="670">
        <v>0</v>
      </c>
      <c r="Z41" s="671">
        <f t="shared" si="13"/>
        <v>0</v>
      </c>
      <c r="AA41" s="670"/>
      <c r="AB41" s="363"/>
      <c r="AC41" s="363"/>
      <c r="AD41" s="363"/>
    </row>
    <row r="42" spans="2:30" s="364" customFormat="1" x14ac:dyDescent="0.25">
      <c r="B42" s="651">
        <v>6</v>
      </c>
      <c r="C42" s="652" t="s">
        <v>765</v>
      </c>
      <c r="D42" s="667">
        <v>0</v>
      </c>
      <c r="E42" s="667">
        <v>0</v>
      </c>
      <c r="F42" s="667">
        <v>0</v>
      </c>
      <c r="G42" s="667">
        <v>0</v>
      </c>
      <c r="H42" s="667">
        <v>0</v>
      </c>
      <c r="I42" s="667">
        <v>0</v>
      </c>
      <c r="J42" s="667">
        <v>0</v>
      </c>
      <c r="K42" s="667">
        <v>0</v>
      </c>
      <c r="L42" s="667">
        <v>0</v>
      </c>
      <c r="M42" s="670">
        <v>0</v>
      </c>
      <c r="N42" s="670">
        <v>0</v>
      </c>
      <c r="O42" s="670">
        <v>0</v>
      </c>
      <c r="P42" s="670">
        <v>0</v>
      </c>
      <c r="Q42" s="670">
        <v>0</v>
      </c>
      <c r="R42" s="670">
        <v>0</v>
      </c>
      <c r="S42" s="670">
        <v>0</v>
      </c>
      <c r="T42" s="670">
        <v>0</v>
      </c>
      <c r="U42" s="670">
        <v>0</v>
      </c>
      <c r="V42" s="670">
        <v>0</v>
      </c>
      <c r="W42" s="670">
        <v>0</v>
      </c>
      <c r="X42" s="670">
        <v>0</v>
      </c>
      <c r="Y42" s="670">
        <v>0</v>
      </c>
      <c r="Z42" s="671">
        <f t="shared" si="13"/>
        <v>0</v>
      </c>
      <c r="AA42" s="670"/>
      <c r="AB42" s="363"/>
      <c r="AC42" s="363"/>
      <c r="AD42" s="363"/>
    </row>
    <row r="43" spans="2:30" s="364" customFormat="1" x14ac:dyDescent="0.25">
      <c r="B43" s="651">
        <v>7</v>
      </c>
      <c r="C43" s="652" t="s">
        <v>766</v>
      </c>
      <c r="D43" s="667">
        <v>0</v>
      </c>
      <c r="E43" s="667">
        <v>0</v>
      </c>
      <c r="F43" s="667">
        <v>0</v>
      </c>
      <c r="G43" s="667">
        <v>0</v>
      </c>
      <c r="H43" s="667">
        <v>0</v>
      </c>
      <c r="I43" s="667">
        <v>0</v>
      </c>
      <c r="J43" s="667">
        <v>0</v>
      </c>
      <c r="K43" s="667">
        <v>0</v>
      </c>
      <c r="L43" s="667">
        <v>0</v>
      </c>
      <c r="M43" s="670">
        <v>0</v>
      </c>
      <c r="N43" s="670">
        <v>0</v>
      </c>
      <c r="O43" s="670">
        <v>0</v>
      </c>
      <c r="P43" s="670">
        <v>0</v>
      </c>
      <c r="Q43" s="670">
        <v>0</v>
      </c>
      <c r="R43" s="670">
        <v>0</v>
      </c>
      <c r="S43" s="670">
        <v>0</v>
      </c>
      <c r="T43" s="670">
        <v>0</v>
      </c>
      <c r="U43" s="670">
        <v>0</v>
      </c>
      <c r="V43" s="670">
        <v>0</v>
      </c>
      <c r="W43" s="670">
        <v>0</v>
      </c>
      <c r="X43" s="670">
        <v>0</v>
      </c>
      <c r="Y43" s="670">
        <v>0</v>
      </c>
      <c r="Z43" s="671">
        <f t="shared" si="13"/>
        <v>0</v>
      </c>
      <c r="AA43" s="670"/>
      <c r="AB43" s="363"/>
      <c r="AC43" s="363"/>
      <c r="AD43" s="363"/>
    </row>
    <row r="44" spans="2:30" s="364" customFormat="1" x14ac:dyDescent="0.25">
      <c r="B44" s="651">
        <v>8</v>
      </c>
      <c r="C44" s="652" t="s">
        <v>767</v>
      </c>
      <c r="D44" s="667">
        <v>0</v>
      </c>
      <c r="E44" s="667">
        <v>0</v>
      </c>
      <c r="F44" s="667">
        <v>0</v>
      </c>
      <c r="G44" s="667">
        <v>0</v>
      </c>
      <c r="H44" s="667">
        <v>0</v>
      </c>
      <c r="I44" s="667">
        <v>0</v>
      </c>
      <c r="J44" s="667">
        <v>0</v>
      </c>
      <c r="K44" s="667">
        <v>0</v>
      </c>
      <c r="L44" s="667">
        <v>0</v>
      </c>
      <c r="M44" s="670">
        <v>0</v>
      </c>
      <c r="N44" s="670">
        <v>0</v>
      </c>
      <c r="O44" s="670">
        <v>0</v>
      </c>
      <c r="P44" s="670">
        <v>0</v>
      </c>
      <c r="Q44" s="670">
        <v>0</v>
      </c>
      <c r="R44" s="670">
        <v>0</v>
      </c>
      <c r="S44" s="670">
        <v>0</v>
      </c>
      <c r="T44" s="670">
        <v>0</v>
      </c>
      <c r="U44" s="670">
        <v>0</v>
      </c>
      <c r="V44" s="670">
        <f>11000*140.21</f>
        <v>1542310</v>
      </c>
      <c r="W44" s="670">
        <v>0</v>
      </c>
      <c r="X44" s="670">
        <v>0</v>
      </c>
      <c r="Y44" s="670">
        <v>0</v>
      </c>
      <c r="Z44" s="671">
        <f t="shared" si="13"/>
        <v>1542310</v>
      </c>
      <c r="AA44" s="670"/>
      <c r="AB44" s="363"/>
      <c r="AC44" s="363"/>
      <c r="AD44" s="363"/>
    </row>
    <row r="45" spans="2:30" s="364" customFormat="1" x14ac:dyDescent="0.25">
      <c r="B45" s="651">
        <v>9</v>
      </c>
      <c r="C45" s="652" t="s">
        <v>768</v>
      </c>
      <c r="D45" s="667">
        <v>0</v>
      </c>
      <c r="E45" s="667">
        <v>0</v>
      </c>
      <c r="F45" s="667">
        <v>0</v>
      </c>
      <c r="G45" s="667">
        <v>0</v>
      </c>
      <c r="H45" s="667">
        <v>0</v>
      </c>
      <c r="I45" s="667">
        <v>0</v>
      </c>
      <c r="J45" s="667">
        <v>0</v>
      </c>
      <c r="K45" s="667">
        <v>0</v>
      </c>
      <c r="L45" s="667">
        <v>0</v>
      </c>
      <c r="M45" s="670">
        <v>0</v>
      </c>
      <c r="N45" s="670">
        <v>0</v>
      </c>
      <c r="O45" s="670">
        <v>0</v>
      </c>
      <c r="P45" s="670">
        <v>0</v>
      </c>
      <c r="Q45" s="670">
        <v>0</v>
      </c>
      <c r="R45" s="670">
        <v>0</v>
      </c>
      <c r="S45" s="670">
        <v>0</v>
      </c>
      <c r="T45" s="670">
        <v>0</v>
      </c>
      <c r="U45" s="670">
        <v>0</v>
      </c>
      <c r="V45" s="670">
        <f>-10000*140.21</f>
        <v>-1402100</v>
      </c>
      <c r="W45" s="670">
        <v>0</v>
      </c>
      <c r="X45" s="670">
        <v>0</v>
      </c>
      <c r="Y45" s="670">
        <v>0</v>
      </c>
      <c r="Z45" s="671">
        <f t="shared" si="13"/>
        <v>-1402100</v>
      </c>
      <c r="AA45" s="670"/>
      <c r="AB45" s="363"/>
      <c r="AC45" s="363"/>
      <c r="AD45" s="363"/>
    </row>
    <row r="46" spans="2:30" s="364" customFormat="1" x14ac:dyDescent="0.25">
      <c r="B46" s="661"/>
      <c r="C46" s="652"/>
      <c r="D46" s="678"/>
      <c r="E46" s="679"/>
      <c r="F46" s="679"/>
      <c r="G46" s="679"/>
      <c r="H46" s="679"/>
      <c r="I46" s="679"/>
      <c r="J46" s="679"/>
      <c r="K46" s="679"/>
      <c r="L46" s="667"/>
      <c r="M46" s="670"/>
      <c r="N46" s="670"/>
      <c r="O46" s="670"/>
      <c r="P46" s="670"/>
      <c r="Q46" s="670"/>
      <c r="R46" s="670"/>
      <c r="S46" s="670"/>
      <c r="T46" s="670"/>
      <c r="U46" s="670"/>
      <c r="V46" s="670"/>
      <c r="W46" s="670"/>
      <c r="X46" s="670"/>
      <c r="Y46" s="670"/>
      <c r="Z46" s="671"/>
      <c r="AA46" s="670"/>
      <c r="AB46" s="363"/>
      <c r="AC46" s="363"/>
      <c r="AD46" s="363"/>
    </row>
    <row r="47" spans="2:30" s="355" customFormat="1" x14ac:dyDescent="0.25">
      <c r="B47" s="649" t="s">
        <v>508</v>
      </c>
      <c r="C47" s="650" t="s">
        <v>769</v>
      </c>
      <c r="D47" s="665">
        <f>+D24-D36</f>
        <v>0</v>
      </c>
      <c r="E47" s="665">
        <f t="shared" ref="E47:M47" si="14">+E24-E36</f>
        <v>0</v>
      </c>
      <c r="F47" s="665">
        <f t="shared" si="14"/>
        <v>0</v>
      </c>
      <c r="G47" s="665">
        <f t="shared" si="14"/>
        <v>0</v>
      </c>
      <c r="H47" s="665">
        <f t="shared" si="14"/>
        <v>0</v>
      </c>
      <c r="I47" s="665">
        <f t="shared" si="14"/>
        <v>0</v>
      </c>
      <c r="J47" s="665">
        <f t="shared" si="14"/>
        <v>0</v>
      </c>
      <c r="K47" s="665">
        <f t="shared" si="14"/>
        <v>267300</v>
      </c>
      <c r="L47" s="665">
        <f t="shared" si="14"/>
        <v>267300</v>
      </c>
      <c r="M47" s="665">
        <f t="shared" si="14"/>
        <v>0</v>
      </c>
      <c r="N47" s="665">
        <f t="shared" ref="N47:Y47" si="15">+N24-N36</f>
        <v>604815.43999999994</v>
      </c>
      <c r="O47" s="665">
        <f t="shared" si="15"/>
        <v>863578.06</v>
      </c>
      <c r="P47" s="665">
        <f t="shared" si="15"/>
        <v>339106.54000000004</v>
      </c>
      <c r="Q47" s="665">
        <f t="shared" si="15"/>
        <v>1143523.3489250001</v>
      </c>
      <c r="R47" s="665">
        <f t="shared" si="15"/>
        <v>677787.90540000005</v>
      </c>
      <c r="S47" s="665">
        <f t="shared" si="15"/>
        <v>559290.80430000008</v>
      </c>
      <c r="T47" s="665">
        <f t="shared" si="15"/>
        <v>1229179.8870000001</v>
      </c>
      <c r="U47" s="665">
        <f t="shared" si="15"/>
        <v>1323074.9580000001</v>
      </c>
      <c r="V47" s="665">
        <f t="shared" si="15"/>
        <v>2629457.4558000001</v>
      </c>
      <c r="W47" s="665">
        <f t="shared" si="15"/>
        <v>2448466.8971000002</v>
      </c>
      <c r="X47" s="665">
        <f t="shared" si="15"/>
        <v>4219811.0299999993</v>
      </c>
      <c r="Y47" s="665">
        <f t="shared" si="15"/>
        <v>668773.14999999991</v>
      </c>
      <c r="Z47" s="665">
        <f>SUM(L47:Y47)</f>
        <v>16974165.476525001</v>
      </c>
      <c r="AA47" s="665">
        <f>+AA24-AA36</f>
        <v>9673</v>
      </c>
      <c r="AB47" s="354"/>
      <c r="AC47" s="354"/>
      <c r="AD47" s="354"/>
    </row>
    <row r="48" spans="2:30" s="355" customFormat="1" x14ac:dyDescent="0.25">
      <c r="B48" s="662"/>
      <c r="C48" s="663"/>
      <c r="D48" s="674"/>
      <c r="E48" s="669"/>
      <c r="F48" s="669"/>
      <c r="G48" s="669"/>
      <c r="H48" s="669"/>
      <c r="I48" s="669"/>
      <c r="J48" s="669"/>
      <c r="K48" s="669"/>
      <c r="L48" s="669">
        <v>0</v>
      </c>
      <c r="M48" s="671"/>
      <c r="N48" s="671"/>
      <c r="O48" s="671"/>
      <c r="P48" s="671"/>
      <c r="Q48" s="671"/>
      <c r="R48" s="671"/>
      <c r="S48" s="671"/>
      <c r="T48" s="671"/>
      <c r="U48" s="671"/>
      <c r="V48" s="671"/>
      <c r="W48" s="671"/>
      <c r="X48" s="671"/>
      <c r="Y48" s="671"/>
      <c r="Z48" s="671">
        <f>SUM(L48:Y48)</f>
        <v>0</v>
      </c>
      <c r="AA48" s="671"/>
      <c r="AB48" s="354"/>
      <c r="AC48" s="354"/>
      <c r="AD48" s="354"/>
    </row>
    <row r="49" spans="2:30" s="355" customFormat="1" x14ac:dyDescent="0.25">
      <c r="B49" s="649" t="s">
        <v>513</v>
      </c>
      <c r="C49" s="650" t="s">
        <v>770</v>
      </c>
      <c r="D49" s="666">
        <f>(D4)-(D13)-(D47)</f>
        <v>20452.36</v>
      </c>
      <c r="E49" s="666">
        <f t="shared" ref="E49:K49" si="16">(E4)-(E13)-(E47)</f>
        <v>78548.160000000003</v>
      </c>
      <c r="F49" s="666">
        <f t="shared" si="16"/>
        <v>122578.5</v>
      </c>
      <c r="G49" s="666">
        <f t="shared" si="16"/>
        <v>203443.09999999998</v>
      </c>
      <c r="H49" s="666">
        <f t="shared" si="16"/>
        <v>387437</v>
      </c>
      <c r="I49" s="666">
        <f t="shared" si="16"/>
        <v>420075.5</v>
      </c>
      <c r="J49" s="666">
        <f t="shared" si="16"/>
        <v>233868.96301369864</v>
      </c>
      <c r="K49" s="666">
        <f t="shared" si="16"/>
        <v>122384</v>
      </c>
      <c r="L49" s="666">
        <f>(L4)-(L13)-(L47)</f>
        <v>1588787.5830136987</v>
      </c>
      <c r="M49" s="666">
        <f>(M4)-(M13)-(M47)</f>
        <v>557769</v>
      </c>
      <c r="N49" s="666">
        <f>(N4)-(N13)-(N47)</f>
        <v>102751.56000000006</v>
      </c>
      <c r="O49" s="681">
        <f>(O4)-(O13)-(O47)</f>
        <v>-208650.06000000006</v>
      </c>
      <c r="P49" s="666">
        <f>(P4)-(P13)-(P47)</f>
        <v>143385.45999999996</v>
      </c>
      <c r="Q49" s="681">
        <f t="shared" ref="Q49:Y49" si="17">(Q4)-(Q13)-(Q47)</f>
        <v>-287146.54564999999</v>
      </c>
      <c r="R49" s="681">
        <f t="shared" si="17"/>
        <v>-169092.64730000007</v>
      </c>
      <c r="S49" s="666">
        <f t="shared" si="17"/>
        <v>16091.629899999942</v>
      </c>
      <c r="T49" s="681">
        <f t="shared" si="17"/>
        <v>-828013.65000000014</v>
      </c>
      <c r="U49" s="681">
        <f t="shared" si="17"/>
        <v>-479573.29240000015</v>
      </c>
      <c r="V49" s="681">
        <f t="shared" si="17"/>
        <v>-1950139.8068000001</v>
      </c>
      <c r="W49" s="666">
        <f t="shared" si="17"/>
        <v>737109.20956666628</v>
      </c>
      <c r="X49" s="666">
        <f t="shared" si="17"/>
        <v>149414.13666666765</v>
      </c>
      <c r="Y49" s="666">
        <f t="shared" si="17"/>
        <v>476882.67666666675</v>
      </c>
      <c r="Z49" s="666"/>
      <c r="AA49" s="666"/>
      <c r="AB49" s="354"/>
      <c r="AC49" s="354"/>
      <c r="AD49" s="354"/>
    </row>
    <row r="50" spans="2:30" s="355" customFormat="1" x14ac:dyDescent="0.25">
      <c r="B50" s="662"/>
      <c r="C50" s="663"/>
      <c r="D50" s="664"/>
      <c r="E50" s="653"/>
      <c r="F50" s="653"/>
      <c r="G50" s="653"/>
      <c r="H50" s="653"/>
      <c r="I50" s="653"/>
      <c r="J50" s="653"/>
      <c r="K50" s="653"/>
      <c r="L50" s="653" t="s">
        <v>586</v>
      </c>
      <c r="M50" s="654"/>
      <c r="N50" s="654"/>
      <c r="O50" s="654"/>
      <c r="P50" s="654"/>
      <c r="Q50" s="654"/>
      <c r="R50" s="654"/>
      <c r="S50" s="654"/>
      <c r="T50" s="654"/>
      <c r="U50" s="654"/>
      <c r="V50" s="654"/>
      <c r="W50" s="654"/>
      <c r="X50" s="654"/>
      <c r="Y50" s="654"/>
      <c r="Z50" s="654"/>
      <c r="AA50" s="654"/>
      <c r="AB50" s="354"/>
      <c r="AC50" s="354"/>
      <c r="AD50" s="354"/>
    </row>
    <row r="51" spans="2:30" x14ac:dyDescent="0.25">
      <c r="T51" s="698"/>
      <c r="V51" s="698"/>
      <c r="W51" s="698">
        <f>Q49+R49+T49+U49+V49</f>
        <v>-3713965.9421500005</v>
      </c>
      <c r="Y51" s="692">
        <f>O49+Q49+R49+T49+U49+V49</f>
        <v>-3922616.0021500005</v>
      </c>
    </row>
    <row r="54" spans="2:30" x14ac:dyDescent="0.25">
      <c r="O54" s="695" t="s">
        <v>589</v>
      </c>
      <c r="P54" s="695" t="s">
        <v>509</v>
      </c>
      <c r="Q54" s="695" t="s">
        <v>510</v>
      </c>
      <c r="R54" s="695" t="s">
        <v>512</v>
      </c>
      <c r="S54" s="695" t="s">
        <v>511</v>
      </c>
      <c r="T54" s="695" t="s">
        <v>541</v>
      </c>
      <c r="U54" s="695" t="s">
        <v>590</v>
      </c>
    </row>
    <row r="55" spans="2:30" x14ac:dyDescent="0.25">
      <c r="O55" s="338"/>
      <c r="P55" s="338" t="s">
        <v>504</v>
      </c>
      <c r="Q55" s="338" t="s">
        <v>505</v>
      </c>
      <c r="R55" s="338" t="s">
        <v>506</v>
      </c>
      <c r="S55" s="338" t="s">
        <v>507</v>
      </c>
      <c r="T55" s="338" t="s">
        <v>591</v>
      </c>
      <c r="U55" s="338" t="s">
        <v>592</v>
      </c>
    </row>
    <row r="56" spans="2:30" x14ac:dyDescent="0.25">
      <c r="O56" s="338">
        <v>2003</v>
      </c>
      <c r="P56" s="694">
        <f>K4</f>
        <v>765140</v>
      </c>
      <c r="Q56" s="694">
        <f>K13</f>
        <v>375456</v>
      </c>
      <c r="R56" s="694">
        <f>K24</f>
        <v>267300</v>
      </c>
      <c r="S56" s="694">
        <f>K36</f>
        <v>0</v>
      </c>
      <c r="T56" s="694">
        <f>R56-S56</f>
        <v>267300</v>
      </c>
      <c r="U56" s="694">
        <f>(P56)-(Q56)-(T56)</f>
        <v>122384</v>
      </c>
    </row>
    <row r="57" spans="2:30" x14ac:dyDescent="0.25">
      <c r="O57" s="338">
        <v>2004</v>
      </c>
      <c r="P57" s="694">
        <f>M4</f>
        <v>933625</v>
      </c>
      <c r="Q57" s="694">
        <f>M13</f>
        <v>375856</v>
      </c>
      <c r="R57" s="694">
        <f>M24</f>
        <v>0</v>
      </c>
      <c r="S57" s="694">
        <f>M36</f>
        <v>0</v>
      </c>
      <c r="T57" s="694">
        <f t="shared" ref="T57:T69" si="18">R57-S57</f>
        <v>0</v>
      </c>
      <c r="U57" s="694">
        <f t="shared" ref="U57:U69" si="19">(P57)-(Q57)-(T57)</f>
        <v>557769</v>
      </c>
    </row>
    <row r="58" spans="2:30" x14ac:dyDescent="0.25">
      <c r="O58" s="338">
        <v>2005</v>
      </c>
      <c r="P58" s="694">
        <f>N4</f>
        <v>1145795</v>
      </c>
      <c r="Q58" s="694">
        <f>N13</f>
        <v>438228</v>
      </c>
      <c r="R58" s="694">
        <f>N24</f>
        <v>604815.43999999994</v>
      </c>
      <c r="S58" s="694">
        <f>N36</f>
        <v>0</v>
      </c>
      <c r="T58" s="694">
        <f t="shared" si="18"/>
        <v>604815.43999999994</v>
      </c>
      <c r="U58" s="694">
        <f t="shared" si="19"/>
        <v>102751.56000000006</v>
      </c>
    </row>
    <row r="59" spans="2:30" x14ac:dyDescent="0.25">
      <c r="O59" s="338">
        <v>2006</v>
      </c>
      <c r="P59" s="694">
        <f>O4</f>
        <v>1093156</v>
      </c>
      <c r="Q59" s="694">
        <f>O13</f>
        <v>438228</v>
      </c>
      <c r="R59" s="694">
        <f>O24</f>
        <v>863578.06</v>
      </c>
      <c r="S59" s="694">
        <f>O36</f>
        <v>0</v>
      </c>
      <c r="T59" s="694">
        <f t="shared" si="18"/>
        <v>863578.06</v>
      </c>
      <c r="U59" s="697">
        <f t="shared" si="19"/>
        <v>-208650.06000000006</v>
      </c>
    </row>
    <row r="60" spans="2:30" x14ac:dyDescent="0.25">
      <c r="O60" s="338">
        <v>2007</v>
      </c>
      <c r="P60" s="694">
        <f>P4</f>
        <v>1029704</v>
      </c>
      <c r="Q60" s="694">
        <f>P13</f>
        <v>547212</v>
      </c>
      <c r="R60" s="694">
        <f>P24</f>
        <v>339106.54000000004</v>
      </c>
      <c r="S60" s="694">
        <f>P36</f>
        <v>0</v>
      </c>
      <c r="T60" s="694">
        <f t="shared" si="18"/>
        <v>339106.54000000004</v>
      </c>
      <c r="U60" s="694">
        <f t="shared" si="19"/>
        <v>143385.45999999996</v>
      </c>
    </row>
    <row r="61" spans="2:30" x14ac:dyDescent="0.25">
      <c r="O61" s="338">
        <v>2008</v>
      </c>
      <c r="P61" s="694">
        <f>Q4</f>
        <v>1623856</v>
      </c>
      <c r="Q61" s="694">
        <f>Q13</f>
        <v>767479.19672499993</v>
      </c>
      <c r="R61" s="694">
        <f>Q24</f>
        <v>12641684.719999999</v>
      </c>
      <c r="S61" s="694">
        <f>Q36</f>
        <v>11498161.371074999</v>
      </c>
      <c r="T61" s="694">
        <f t="shared" si="18"/>
        <v>1143523.3489250001</v>
      </c>
      <c r="U61" s="697">
        <f t="shared" si="19"/>
        <v>-287146.54564999999</v>
      </c>
    </row>
    <row r="62" spans="2:30" x14ac:dyDescent="0.25">
      <c r="O62" s="338">
        <v>2009</v>
      </c>
      <c r="P62" s="694">
        <f>R4</f>
        <v>1349735</v>
      </c>
      <c r="Q62" s="694">
        <f>R13</f>
        <v>841039.74190000002</v>
      </c>
      <c r="R62" s="694">
        <f>R24</f>
        <v>-1543902.46</v>
      </c>
      <c r="S62" s="694">
        <f>R36</f>
        <v>-2221690.3654</v>
      </c>
      <c r="T62" s="694">
        <f t="shared" si="18"/>
        <v>677787.90540000005</v>
      </c>
      <c r="U62" s="697">
        <f t="shared" si="19"/>
        <v>-169092.64730000007</v>
      </c>
    </row>
    <row r="63" spans="2:30" x14ac:dyDescent="0.25">
      <c r="O63" s="338">
        <v>2010</v>
      </c>
      <c r="P63" s="694">
        <f>S4</f>
        <v>1389475</v>
      </c>
      <c r="Q63" s="694">
        <f>S13</f>
        <v>814092.56579999998</v>
      </c>
      <c r="R63" s="694">
        <f>S24</f>
        <v>1270.4400000000605</v>
      </c>
      <c r="S63" s="694">
        <f>S36</f>
        <v>-558020.36430000002</v>
      </c>
      <c r="T63" s="694">
        <f t="shared" si="18"/>
        <v>559290.80430000008</v>
      </c>
      <c r="U63" s="694">
        <f t="shared" si="19"/>
        <v>16091.629899999942</v>
      </c>
    </row>
    <row r="64" spans="2:30" x14ac:dyDescent="0.25">
      <c r="O64" s="338">
        <v>2011</v>
      </c>
      <c r="P64" s="694">
        <f>T4</f>
        <v>1519983</v>
      </c>
      <c r="Q64" s="694">
        <f>T13</f>
        <v>1118816.763</v>
      </c>
      <c r="R64" s="694">
        <f>T24</f>
        <v>413557.02</v>
      </c>
      <c r="S64" s="694">
        <f>T36</f>
        <v>-815622.86700000009</v>
      </c>
      <c r="T64" s="694">
        <f t="shared" si="18"/>
        <v>1229179.8870000001</v>
      </c>
      <c r="U64" s="697">
        <f t="shared" si="19"/>
        <v>-828013.65000000014</v>
      </c>
    </row>
    <row r="65" spans="15:21" x14ac:dyDescent="0.25">
      <c r="O65" s="338">
        <v>2012</v>
      </c>
      <c r="P65" s="694">
        <f>U4</f>
        <v>1568737</v>
      </c>
      <c r="Q65" s="694">
        <f>U13</f>
        <v>725235.33440000005</v>
      </c>
      <c r="R65" s="694">
        <f>U24</f>
        <v>138927</v>
      </c>
      <c r="S65" s="694">
        <f>U36</f>
        <v>-1184147.9580000001</v>
      </c>
      <c r="T65" s="694">
        <f t="shared" si="18"/>
        <v>1323074.9580000001</v>
      </c>
      <c r="U65" s="697">
        <f t="shared" si="19"/>
        <v>-479573.29240000015</v>
      </c>
    </row>
    <row r="66" spans="15:21" x14ac:dyDescent="0.25">
      <c r="O66" s="338">
        <v>2013</v>
      </c>
      <c r="P66" s="694">
        <f>V4</f>
        <v>1514572</v>
      </c>
      <c r="Q66" s="694">
        <f>V13</f>
        <v>835254.35100000002</v>
      </c>
      <c r="R66" s="694">
        <f>V24</f>
        <v>2635869.77</v>
      </c>
      <c r="S66" s="694">
        <f>V36</f>
        <v>6412.3141999999061</v>
      </c>
      <c r="T66" s="694">
        <f t="shared" si="18"/>
        <v>2629457.4558000001</v>
      </c>
      <c r="U66" s="697">
        <f t="shared" si="19"/>
        <v>-1950139.8068000001</v>
      </c>
    </row>
    <row r="67" spans="15:21" x14ac:dyDescent="0.25">
      <c r="O67" s="338">
        <v>2014</v>
      </c>
      <c r="P67" s="694">
        <f>W4</f>
        <v>4638644</v>
      </c>
      <c r="Q67" s="694">
        <f>W13</f>
        <v>1453067.8933333333</v>
      </c>
      <c r="R67" s="694">
        <f>W24</f>
        <v>198214.83000000007</v>
      </c>
      <c r="S67" s="694">
        <f>W36</f>
        <v>-2250252.0671000001</v>
      </c>
      <c r="T67" s="694">
        <f t="shared" si="18"/>
        <v>2448466.8971000002</v>
      </c>
      <c r="U67" s="694">
        <f t="shared" si="19"/>
        <v>737109.20956666628</v>
      </c>
    </row>
    <row r="68" spans="15:21" x14ac:dyDescent="0.25">
      <c r="O68" s="338">
        <v>2015</v>
      </c>
      <c r="P68" s="694">
        <f>X4</f>
        <v>6165307</v>
      </c>
      <c r="Q68" s="694">
        <f>X13</f>
        <v>1796081.8333333333</v>
      </c>
      <c r="R68" s="694">
        <f>X24</f>
        <v>64549.129999999888</v>
      </c>
      <c r="S68" s="694">
        <f>X36</f>
        <v>-4155261.9</v>
      </c>
      <c r="T68" s="694">
        <f t="shared" si="18"/>
        <v>4219811.0299999993</v>
      </c>
      <c r="U68" s="694">
        <f t="shared" si="19"/>
        <v>149414.13666666765</v>
      </c>
    </row>
    <row r="69" spans="15:21" x14ac:dyDescent="0.25">
      <c r="O69" s="338">
        <v>2016</v>
      </c>
      <c r="P69" s="694">
        <f>Y4</f>
        <v>2599850</v>
      </c>
      <c r="Q69" s="694">
        <f>Y13</f>
        <v>1454194.1733333333</v>
      </c>
      <c r="R69" s="694">
        <f>Y24</f>
        <v>668773.14999999991</v>
      </c>
      <c r="S69" s="694">
        <f>Y36</f>
        <v>0</v>
      </c>
      <c r="T69" s="694">
        <f t="shared" si="18"/>
        <v>668773.14999999991</v>
      </c>
      <c r="U69" s="694">
        <f t="shared" si="19"/>
        <v>476882.67666666675</v>
      </c>
    </row>
    <row r="70" spans="15:21" x14ac:dyDescent="0.25">
      <c r="O70" s="695" t="s">
        <v>62</v>
      </c>
      <c r="P70" s="696">
        <f>SUM(P56:P69)</f>
        <v>27337579</v>
      </c>
      <c r="Q70" s="696">
        <f>SUM(Q56:Q69)</f>
        <v>11980241.852825001</v>
      </c>
      <c r="R70" s="696">
        <f>SUM(R56:R69)</f>
        <v>17293743.639999993</v>
      </c>
      <c r="S70" s="696">
        <f>SUM(S56:S69)</f>
        <v>319578.16347499797</v>
      </c>
      <c r="T70" s="696">
        <f>SUM(T56:T69)</f>
        <v>16974165.476525001</v>
      </c>
      <c r="U70" s="696"/>
    </row>
    <row r="71" spans="15:21" x14ac:dyDescent="0.25">
      <c r="O71" s="338"/>
      <c r="P71" s="338"/>
      <c r="Q71" s="338"/>
      <c r="R71" s="338"/>
      <c r="S71" s="338"/>
      <c r="T71" s="338"/>
      <c r="U71" s="697">
        <f>U59+U61+U62+U64+U65+U66</f>
        <v>-3922616.0021500005</v>
      </c>
    </row>
    <row r="72" spans="15:21" x14ac:dyDescent="0.25">
      <c r="O72" s="338"/>
      <c r="P72" s="338"/>
      <c r="Q72" s="338"/>
      <c r="R72" s="338"/>
      <c r="S72" s="338"/>
      <c r="T72" s="338"/>
      <c r="U72" s="338"/>
    </row>
    <row r="73" spans="15:21" x14ac:dyDescent="0.25">
      <c r="O73" s="338"/>
      <c r="P73" s="338"/>
      <c r="Q73" s="338"/>
      <c r="R73" s="338"/>
      <c r="S73" s="338"/>
      <c r="T73" s="338"/>
      <c r="U73" s="338"/>
    </row>
    <row r="74" spans="15:21" x14ac:dyDescent="0.25">
      <c r="O74" s="338"/>
      <c r="P74" s="338"/>
      <c r="Q74" s="338"/>
      <c r="R74" s="338"/>
      <c r="S74" s="338"/>
      <c r="T74" s="338"/>
      <c r="U74" s="338"/>
    </row>
    <row r="75" spans="15:21" x14ac:dyDescent="0.25">
      <c r="O75" s="338"/>
      <c r="P75" s="338"/>
      <c r="Q75" s="338"/>
      <c r="R75" s="338"/>
      <c r="S75" s="338"/>
      <c r="T75" s="338"/>
      <c r="U75" s="338"/>
    </row>
    <row r="76" spans="15:21" x14ac:dyDescent="0.25">
      <c r="O76" s="338"/>
      <c r="P76" s="338"/>
      <c r="Q76" s="338"/>
      <c r="R76" s="338"/>
      <c r="S76" s="338"/>
      <c r="T76" s="338"/>
      <c r="U76" s="338"/>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B9D75-68E2-4ED8-ACA8-3EEBA1AC4791}">
  <dimension ref="A2:G52"/>
  <sheetViews>
    <sheetView zoomScale="91" zoomScaleNormal="91" workbookViewId="0">
      <selection activeCell="H24" sqref="H24"/>
    </sheetView>
  </sheetViews>
  <sheetFormatPr defaultColWidth="37.28515625" defaultRowHeight="12.75" x14ac:dyDescent="0.25"/>
  <cols>
    <col min="1" max="1" width="10.5703125" style="868" customWidth="1"/>
    <col min="2" max="2" width="5.140625" style="868" bestFit="1" customWidth="1"/>
    <col min="3" max="3" width="38" style="891" bestFit="1" customWidth="1"/>
    <col min="4" max="4" width="11.85546875" style="871" bestFit="1" customWidth="1"/>
    <col min="5" max="5" width="12" style="871" customWidth="1"/>
    <col min="6" max="6" width="7.7109375" style="871" bestFit="1" customWidth="1"/>
    <col min="7" max="7" width="37.28515625" style="871"/>
    <col min="8" max="16384" width="37.28515625" style="872"/>
  </cols>
  <sheetData>
    <row r="2" spans="1:7" ht="24" x14ac:dyDescent="0.25">
      <c r="C2" s="891" t="s">
        <v>736</v>
      </c>
    </row>
    <row r="3" spans="1:7" s="851" customFormat="1" x14ac:dyDescent="0.25">
      <c r="A3" s="849"/>
      <c r="B3" s="873" t="s">
        <v>502</v>
      </c>
      <c r="C3" s="873" t="s">
        <v>692</v>
      </c>
      <c r="D3" s="874">
        <v>2006</v>
      </c>
      <c r="E3" s="874" t="s">
        <v>677</v>
      </c>
      <c r="F3" s="871"/>
      <c r="G3" s="850"/>
    </row>
    <row r="4" spans="1:7" s="851" customFormat="1" x14ac:dyDescent="0.25">
      <c r="A4" s="849"/>
      <c r="B4" s="875"/>
      <c r="C4" s="875"/>
      <c r="D4" s="876"/>
      <c r="E4" s="876"/>
      <c r="F4" s="871"/>
      <c r="G4" s="850"/>
    </row>
    <row r="5" spans="1:7" s="854" customFormat="1" ht="12" customHeight="1" x14ac:dyDescent="0.25">
      <c r="A5" s="852"/>
      <c r="B5" s="877" t="s">
        <v>504</v>
      </c>
      <c r="C5" s="877" t="s">
        <v>509</v>
      </c>
      <c r="D5" s="878"/>
      <c r="E5" s="879">
        <f>SUM(E6:E7)</f>
        <v>786928.5</v>
      </c>
      <c r="F5" s="864"/>
      <c r="G5" s="853"/>
    </row>
    <row r="6" spans="1:7" s="854" customFormat="1" x14ac:dyDescent="0.25">
      <c r="A6" s="852"/>
      <c r="B6" s="880">
        <v>1</v>
      </c>
      <c r="C6" s="881" t="s">
        <v>693</v>
      </c>
      <c r="D6" s="882"/>
      <c r="E6" s="882">
        <f>[1]sp_NRP_Balance!$M$116</f>
        <v>677095</v>
      </c>
      <c r="F6" s="864"/>
      <c r="G6" s="853"/>
    </row>
    <row r="7" spans="1:7" s="854" customFormat="1" x14ac:dyDescent="0.25">
      <c r="A7" s="852"/>
      <c r="B7" s="880">
        <v>2</v>
      </c>
      <c r="C7" s="881" t="s">
        <v>694</v>
      </c>
      <c r="D7" s="882"/>
      <c r="E7" s="882">
        <f>'Te Ardhurat '!O25/12*7</f>
        <v>109833.5</v>
      </c>
      <c r="F7" s="864"/>
      <c r="G7" s="853"/>
    </row>
    <row r="8" spans="1:7" s="854" customFormat="1" ht="7.5" customHeight="1" x14ac:dyDescent="0.25">
      <c r="A8" s="852"/>
      <c r="B8" s="880"/>
      <c r="C8" s="881"/>
      <c r="D8" s="882"/>
      <c r="E8" s="882"/>
      <c r="F8" s="864"/>
      <c r="G8" s="853"/>
    </row>
    <row r="9" spans="1:7" s="854" customFormat="1" x14ac:dyDescent="0.25">
      <c r="A9" s="852"/>
      <c r="B9" s="877" t="s">
        <v>505</v>
      </c>
      <c r="C9" s="877" t="s">
        <v>510</v>
      </c>
      <c r="D9" s="884"/>
      <c r="E9" s="884">
        <f>SUM(E10:E16)</f>
        <v>550592</v>
      </c>
      <c r="F9" s="864"/>
      <c r="G9" s="853"/>
    </row>
    <row r="10" spans="1:7" s="854" customFormat="1" x14ac:dyDescent="0.25">
      <c r="A10" s="852"/>
      <c r="B10" s="880">
        <v>1</v>
      </c>
      <c r="C10" s="881" t="s">
        <v>516</v>
      </c>
      <c r="D10" s="882"/>
      <c r="E10" s="882">
        <f>943872/12*7</f>
        <v>550592</v>
      </c>
      <c r="F10" s="864"/>
      <c r="G10" s="853"/>
    </row>
    <row r="11" spans="1:7" s="854" customFormat="1" hidden="1" x14ac:dyDescent="0.25">
      <c r="A11" s="852"/>
      <c r="B11" s="880">
        <v>2</v>
      </c>
      <c r="C11" s="881" t="s">
        <v>696</v>
      </c>
      <c r="D11" s="882"/>
      <c r="E11" s="882"/>
      <c r="F11" s="864"/>
      <c r="G11" s="853"/>
    </row>
    <row r="12" spans="1:7" s="854" customFormat="1" hidden="1" x14ac:dyDescent="0.25">
      <c r="A12" s="852"/>
      <c r="B12" s="880">
        <v>3</v>
      </c>
      <c r="C12" s="881" t="s">
        <v>697</v>
      </c>
      <c r="D12" s="882"/>
      <c r="E12" s="882"/>
      <c r="F12" s="864"/>
      <c r="G12" s="853"/>
    </row>
    <row r="13" spans="1:7" s="854" customFormat="1" hidden="1" x14ac:dyDescent="0.25">
      <c r="A13" s="852"/>
      <c r="B13" s="880">
        <v>4</v>
      </c>
      <c r="C13" s="883" t="s">
        <v>698</v>
      </c>
      <c r="D13" s="882"/>
      <c r="E13" s="882"/>
      <c r="F13" s="864"/>
      <c r="G13" s="853"/>
    </row>
    <row r="14" spans="1:7" s="854" customFormat="1" hidden="1" x14ac:dyDescent="0.25">
      <c r="A14" s="852"/>
      <c r="B14" s="880">
        <v>5</v>
      </c>
      <c r="C14" s="881" t="s">
        <v>699</v>
      </c>
      <c r="D14" s="882"/>
      <c r="E14" s="882"/>
      <c r="F14" s="864"/>
      <c r="G14" s="853"/>
    </row>
    <row r="15" spans="1:7" s="854" customFormat="1" hidden="1" x14ac:dyDescent="0.25">
      <c r="A15" s="852"/>
      <c r="B15" s="880">
        <v>6</v>
      </c>
      <c r="C15" s="881" t="s">
        <v>700</v>
      </c>
      <c r="D15" s="882"/>
      <c r="E15" s="882"/>
      <c r="F15" s="864"/>
      <c r="G15" s="853"/>
    </row>
    <row r="16" spans="1:7" s="854" customFormat="1" hidden="1" x14ac:dyDescent="0.25">
      <c r="A16" s="852"/>
      <c r="B16" s="880">
        <v>7</v>
      </c>
      <c r="C16" s="881" t="s">
        <v>701</v>
      </c>
      <c r="D16" s="882"/>
      <c r="E16" s="882"/>
      <c r="F16" s="864"/>
      <c r="G16" s="853"/>
    </row>
    <row r="17" spans="1:7" s="854" customFormat="1" ht="8.25" customHeight="1" x14ac:dyDescent="0.25">
      <c r="A17" s="852"/>
      <c r="B17" s="880"/>
      <c r="C17" s="881"/>
      <c r="D17" s="882"/>
      <c r="E17" s="882"/>
      <c r="F17" s="864"/>
      <c r="G17" s="853"/>
    </row>
    <row r="18" spans="1:7" s="854" customFormat="1" x14ac:dyDescent="0.25">
      <c r="A18" s="852"/>
      <c r="B18" s="877" t="s">
        <v>506</v>
      </c>
      <c r="C18" s="877" t="s">
        <v>512</v>
      </c>
      <c r="D18" s="885"/>
      <c r="E18" s="884">
        <f>SUM(E19:E20)</f>
        <v>7179284.3300000001</v>
      </c>
      <c r="F18" s="864"/>
      <c r="G18" s="853"/>
    </row>
    <row r="19" spans="1:7" s="854" customFormat="1" x14ac:dyDescent="0.25">
      <c r="A19" s="852"/>
      <c r="B19" s="886">
        <v>1</v>
      </c>
      <c r="C19" s="887" t="s">
        <v>735</v>
      </c>
      <c r="D19" s="888"/>
      <c r="E19" s="882">
        <f>'KPA_ndërt.2 kate+ papaf.'!K42</f>
        <v>7363200</v>
      </c>
      <c r="F19" s="864"/>
      <c r="G19" s="853"/>
    </row>
    <row r="20" spans="1:7" s="854" customFormat="1" x14ac:dyDescent="0.25">
      <c r="A20" s="852"/>
      <c r="B20" s="880">
        <v>2</v>
      </c>
      <c r="C20" s="881" t="s">
        <v>703</v>
      </c>
      <c r="D20" s="882"/>
      <c r="E20" s="882">
        <f>E21-D21</f>
        <v>-183915.66999999993</v>
      </c>
      <c r="F20" s="864"/>
      <c r="G20" s="853"/>
    </row>
    <row r="21" spans="1:7" s="854" customFormat="1" x14ac:dyDescent="0.25">
      <c r="A21" s="852"/>
      <c r="B21" s="880" t="s">
        <v>573</v>
      </c>
      <c r="C21" s="881" t="s">
        <v>704</v>
      </c>
      <c r="D21" s="889">
        <f>D22+D23</f>
        <v>1468393.5</v>
      </c>
      <c r="E21" s="889">
        <f>E22+E23</f>
        <v>1284477.83</v>
      </c>
      <c r="F21" s="864"/>
      <c r="G21" s="853"/>
    </row>
    <row r="22" spans="1:7" s="854" customFormat="1" x14ac:dyDescent="0.25">
      <c r="A22" s="852"/>
      <c r="B22" s="880" t="s">
        <v>574</v>
      </c>
      <c r="C22" s="881" t="s">
        <v>705</v>
      </c>
      <c r="D22" s="882">
        <f>Analiza_KPA!O33</f>
        <v>268393.5</v>
      </c>
      <c r="E22" s="889">
        <f>[1]sp_NRP_Balance!$L$174</f>
        <v>84477.83</v>
      </c>
      <c r="F22" s="864"/>
      <c r="G22" s="853"/>
    </row>
    <row r="23" spans="1:7" s="854" customFormat="1" x14ac:dyDescent="0.25">
      <c r="A23" s="852"/>
      <c r="B23" s="880" t="s">
        <v>575</v>
      </c>
      <c r="C23" s="881" t="s">
        <v>715</v>
      </c>
      <c r="D23" s="889">
        <f>Analiza_KPA!O34</f>
        <v>1200000</v>
      </c>
      <c r="E23" s="889">
        <f>D23</f>
        <v>1200000</v>
      </c>
      <c r="F23" s="864"/>
      <c r="G23" s="853"/>
    </row>
    <row r="24" spans="1:7" s="854" customFormat="1" ht="9" customHeight="1" x14ac:dyDescent="0.25">
      <c r="A24" s="852"/>
      <c r="B24" s="880"/>
      <c r="C24" s="881"/>
      <c r="D24" s="882"/>
      <c r="E24" s="882"/>
      <c r="F24" s="864"/>
      <c r="G24" s="853"/>
    </row>
    <row r="25" spans="1:7" s="854" customFormat="1" x14ac:dyDescent="0.25">
      <c r="A25" s="852"/>
      <c r="B25" s="877" t="s">
        <v>507</v>
      </c>
      <c r="C25" s="877" t="s">
        <v>511</v>
      </c>
      <c r="D25" s="884">
        <f>SUM(D26:D28)</f>
        <v>0</v>
      </c>
      <c r="E25" s="884">
        <f>SUM(E26:E28)</f>
        <v>0</v>
      </c>
      <c r="F25" s="864"/>
      <c r="G25" s="853"/>
    </row>
    <row r="26" spans="1:7" s="854" customFormat="1" x14ac:dyDescent="0.25">
      <c r="A26" s="852"/>
      <c r="B26" s="880">
        <v>1</v>
      </c>
      <c r="C26" s="881" t="s">
        <v>706</v>
      </c>
      <c r="D26" s="882" t="s">
        <v>707</v>
      </c>
      <c r="E26" s="882" t="s">
        <v>707</v>
      </c>
      <c r="F26" s="864"/>
      <c r="G26" s="853"/>
    </row>
    <row r="27" spans="1:7" s="854" customFormat="1" x14ac:dyDescent="0.25">
      <c r="A27" s="852"/>
      <c r="B27" s="880">
        <v>2</v>
      </c>
      <c r="C27" s="881" t="s">
        <v>708</v>
      </c>
      <c r="D27" s="882" t="s">
        <v>707</v>
      </c>
      <c r="E27" s="882" t="s">
        <v>707</v>
      </c>
      <c r="F27" s="864"/>
      <c r="G27" s="853"/>
    </row>
    <row r="28" spans="1:7" s="854" customFormat="1" x14ac:dyDescent="0.25">
      <c r="A28" s="852"/>
      <c r="B28" s="880">
        <v>3</v>
      </c>
      <c r="C28" s="881" t="s">
        <v>709</v>
      </c>
      <c r="D28" s="882" t="s">
        <v>707</v>
      </c>
      <c r="E28" s="882" t="s">
        <v>707</v>
      </c>
      <c r="F28" s="864"/>
      <c r="G28" s="853"/>
    </row>
    <row r="29" spans="1:7" s="854" customFormat="1" ht="9" customHeight="1" x14ac:dyDescent="0.25">
      <c r="A29" s="852"/>
      <c r="B29" s="880"/>
      <c r="C29" s="881"/>
      <c r="D29" s="882"/>
      <c r="E29" s="882"/>
      <c r="F29" s="864"/>
      <c r="G29" s="853"/>
    </row>
    <row r="30" spans="1:7" s="854" customFormat="1" x14ac:dyDescent="0.25">
      <c r="A30" s="852"/>
      <c r="B30" s="877" t="s">
        <v>508</v>
      </c>
      <c r="C30" s="877" t="s">
        <v>676</v>
      </c>
      <c r="D30" s="885"/>
      <c r="E30" s="884">
        <f>E18-E25</f>
        <v>7179284.3300000001</v>
      </c>
      <c r="F30" s="864"/>
      <c r="G30" s="853"/>
    </row>
    <row r="31" spans="1:7" s="854" customFormat="1" ht="9" customHeight="1" x14ac:dyDescent="0.25">
      <c r="A31" s="852"/>
      <c r="B31" s="881"/>
      <c r="C31" s="881"/>
      <c r="D31" s="882"/>
      <c r="E31" s="882"/>
      <c r="F31" s="864"/>
      <c r="G31" s="853"/>
    </row>
    <row r="32" spans="1:7" s="854" customFormat="1" hidden="1" x14ac:dyDescent="0.25">
      <c r="A32" s="852"/>
      <c r="B32" s="881"/>
      <c r="C32" s="881"/>
      <c r="D32" s="882"/>
      <c r="E32" s="882"/>
      <c r="F32" s="864"/>
      <c r="G32" s="853"/>
    </row>
    <row r="33" spans="1:7" s="857" customFormat="1" hidden="1" x14ac:dyDescent="0.25">
      <c r="A33" s="855"/>
      <c r="B33" s="881"/>
      <c r="C33" s="881"/>
      <c r="D33" s="882"/>
      <c r="E33" s="882"/>
      <c r="F33" s="890"/>
      <c r="G33" s="856"/>
    </row>
    <row r="34" spans="1:7" s="860" customFormat="1" hidden="1" x14ac:dyDescent="0.25">
      <c r="A34" s="858"/>
      <c r="B34" s="881"/>
      <c r="C34" s="881"/>
      <c r="D34" s="882"/>
      <c r="E34" s="882"/>
      <c r="F34" s="859"/>
      <c r="G34" s="859"/>
    </row>
    <row r="35" spans="1:7" s="863" customFormat="1" hidden="1" x14ac:dyDescent="0.25">
      <c r="A35" s="861"/>
      <c r="B35" s="881"/>
      <c r="C35" s="881"/>
      <c r="D35" s="882"/>
      <c r="E35" s="882"/>
      <c r="F35" s="862"/>
      <c r="G35" s="862"/>
    </row>
    <row r="36" spans="1:7" s="854" customFormat="1" ht="20.25" hidden="1" customHeight="1" x14ac:dyDescent="0.25">
      <c r="A36" s="852"/>
      <c r="B36" s="881"/>
      <c r="C36" s="881"/>
      <c r="D36" s="882"/>
      <c r="E36" s="882"/>
      <c r="F36" s="864"/>
      <c r="G36" s="853"/>
    </row>
    <row r="37" spans="1:7" s="865" customFormat="1" hidden="1" x14ac:dyDescent="0.25">
      <c r="A37" s="858"/>
      <c r="B37" s="881"/>
      <c r="C37" s="881"/>
      <c r="D37" s="882"/>
      <c r="E37" s="882"/>
      <c r="F37" s="864"/>
      <c r="G37" s="864"/>
    </row>
    <row r="38" spans="1:7" s="865" customFormat="1" hidden="1" x14ac:dyDescent="0.25">
      <c r="A38" s="858"/>
      <c r="B38" s="881"/>
      <c r="C38" s="881"/>
      <c r="D38" s="882"/>
      <c r="E38" s="882"/>
      <c r="F38" s="864"/>
      <c r="G38" s="864"/>
    </row>
    <row r="39" spans="1:7" s="865" customFormat="1" hidden="1" x14ac:dyDescent="0.25">
      <c r="A39" s="858"/>
      <c r="B39" s="881"/>
      <c r="C39" s="881"/>
      <c r="D39" s="882"/>
      <c r="E39" s="882"/>
      <c r="F39" s="864"/>
      <c r="G39" s="864"/>
    </row>
    <row r="40" spans="1:7" s="865" customFormat="1" hidden="1" x14ac:dyDescent="0.25">
      <c r="A40" s="858"/>
      <c r="B40" s="881"/>
      <c r="C40" s="881"/>
      <c r="D40" s="882"/>
      <c r="E40" s="882"/>
      <c r="F40" s="864"/>
      <c r="G40" s="864"/>
    </row>
    <row r="41" spans="1:7" s="865" customFormat="1" hidden="1" x14ac:dyDescent="0.25">
      <c r="A41" s="858"/>
      <c r="B41" s="881"/>
      <c r="C41" s="881"/>
      <c r="D41" s="882"/>
      <c r="E41" s="882"/>
      <c r="F41" s="864"/>
      <c r="G41" s="864"/>
    </row>
    <row r="42" spans="1:7" s="865" customFormat="1" hidden="1" x14ac:dyDescent="0.25">
      <c r="A42" s="858"/>
      <c r="B42" s="881"/>
      <c r="C42" s="881"/>
      <c r="D42" s="882"/>
      <c r="E42" s="882"/>
      <c r="F42" s="864"/>
      <c r="G42" s="864"/>
    </row>
    <row r="43" spans="1:7" s="865" customFormat="1" hidden="1" x14ac:dyDescent="0.25">
      <c r="A43" s="858"/>
      <c r="B43" s="881"/>
      <c r="C43" s="881"/>
      <c r="D43" s="882"/>
      <c r="E43" s="882"/>
      <c r="F43" s="864"/>
      <c r="G43" s="864"/>
    </row>
    <row r="44" spans="1:7" s="865" customFormat="1" hidden="1" x14ac:dyDescent="0.25">
      <c r="A44" s="858"/>
      <c r="B44" s="881"/>
      <c r="C44" s="881"/>
      <c r="D44" s="882"/>
      <c r="E44" s="882"/>
      <c r="F44" s="864"/>
      <c r="G44" s="864"/>
    </row>
    <row r="45" spans="1:7" s="865" customFormat="1" hidden="1" x14ac:dyDescent="0.25">
      <c r="A45" s="858"/>
      <c r="B45" s="881"/>
      <c r="C45" s="881"/>
      <c r="D45" s="882"/>
      <c r="E45" s="882"/>
      <c r="F45" s="864"/>
      <c r="G45" s="864"/>
    </row>
    <row r="46" spans="1:7" s="854" customFormat="1" hidden="1" x14ac:dyDescent="0.25">
      <c r="A46" s="852"/>
      <c r="B46" s="881"/>
      <c r="C46" s="881"/>
      <c r="D46" s="882"/>
      <c r="E46" s="882"/>
      <c r="F46" s="864"/>
      <c r="G46" s="853"/>
    </row>
    <row r="47" spans="1:7" s="854" customFormat="1" hidden="1" x14ac:dyDescent="0.25">
      <c r="A47" s="852"/>
      <c r="B47" s="881"/>
      <c r="C47" s="881"/>
      <c r="D47" s="882"/>
      <c r="E47" s="882"/>
      <c r="F47" s="864"/>
      <c r="G47" s="853"/>
    </row>
    <row r="48" spans="1:7" s="859" customFormat="1" x14ac:dyDescent="0.25">
      <c r="A48" s="858"/>
      <c r="B48" s="877" t="s">
        <v>513</v>
      </c>
      <c r="C48" s="877" t="s">
        <v>710</v>
      </c>
      <c r="D48" s="885"/>
      <c r="E48" s="916">
        <f>E5-E9-E30</f>
        <v>-6942947.8300000001</v>
      </c>
    </row>
    <row r="49" spans="1:7" s="867" customFormat="1" x14ac:dyDescent="0.25">
      <c r="A49" s="866"/>
      <c r="B49" s="881"/>
      <c r="C49" s="881"/>
      <c r="D49" s="882"/>
      <c r="E49" s="882"/>
    </row>
    <row r="50" spans="1:7" s="870" customFormat="1" x14ac:dyDescent="0.25">
      <c r="A50" s="868"/>
      <c r="B50" s="868"/>
      <c r="C50" s="868"/>
      <c r="D50" s="869"/>
      <c r="E50" s="869"/>
      <c r="F50" s="869"/>
      <c r="G50" s="869"/>
    </row>
    <row r="51" spans="1:7" x14ac:dyDescent="0.25">
      <c r="D51" s="864"/>
      <c r="E51" s="864"/>
    </row>
    <row r="52" spans="1:7" x14ac:dyDescent="0.25">
      <c r="D52" s="864"/>
      <c r="E52" s="864"/>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AX33"/>
  <sheetViews>
    <sheetView topLeftCell="H1" workbookViewId="0">
      <selection activeCell="U32" sqref="U32"/>
    </sheetView>
  </sheetViews>
  <sheetFormatPr defaultColWidth="9.140625" defaultRowHeight="12.75" x14ac:dyDescent="0.25"/>
  <cols>
    <col min="1" max="1" width="9.140625" style="487"/>
    <col min="2" max="2" width="21.140625" style="492" customWidth="1"/>
    <col min="3" max="9" width="9.140625" style="487" customWidth="1"/>
    <col min="10" max="16" width="13.140625" style="487" bestFit="1" customWidth="1"/>
    <col min="17" max="28" width="15.140625" style="487" bestFit="1" customWidth="1"/>
    <col min="29" max="29" width="9.28515625" style="487" bestFit="1" customWidth="1"/>
    <col min="30" max="33" width="9.140625" style="487"/>
    <col min="34" max="50" width="9.28515625" style="487" bestFit="1" customWidth="1"/>
    <col min="51" max="16384" width="9.140625" style="487"/>
  </cols>
  <sheetData>
    <row r="3" spans="2:50" s="492" customFormat="1" x14ac:dyDescent="0.25">
      <c r="B3" s="486"/>
      <c r="C3" s="486">
        <v>1993</v>
      </c>
      <c r="D3" s="486">
        <v>1994</v>
      </c>
      <c r="E3" s="486">
        <v>1995</v>
      </c>
      <c r="F3" s="486">
        <v>1996</v>
      </c>
      <c r="G3" s="486">
        <v>1997</v>
      </c>
      <c r="H3" s="486">
        <v>1998</v>
      </c>
      <c r="I3" s="486">
        <v>1999</v>
      </c>
      <c r="J3" s="486">
        <v>2000</v>
      </c>
      <c r="K3" s="486">
        <v>2001</v>
      </c>
      <c r="L3" s="486">
        <v>2002</v>
      </c>
      <c r="M3" s="486">
        <v>2003</v>
      </c>
      <c r="N3" s="486">
        <v>2004</v>
      </c>
      <c r="O3" s="486">
        <v>2005</v>
      </c>
      <c r="P3" s="486">
        <v>2006</v>
      </c>
      <c r="Q3" s="486">
        <v>2007</v>
      </c>
      <c r="R3" s="486">
        <v>2008</v>
      </c>
      <c r="S3" s="486">
        <v>2009</v>
      </c>
      <c r="T3" s="486">
        <v>2010</v>
      </c>
      <c r="U3" s="486">
        <v>2011</v>
      </c>
      <c r="V3" s="486">
        <v>2012</v>
      </c>
      <c r="W3" s="486">
        <v>2013</v>
      </c>
      <c r="X3" s="486">
        <v>2014</v>
      </c>
      <c r="Y3" s="486">
        <v>2015</v>
      </c>
      <c r="Z3" s="486">
        <v>2016</v>
      </c>
      <c r="AA3" s="486">
        <v>2017</v>
      </c>
      <c r="AB3" s="486">
        <v>2018</v>
      </c>
      <c r="AC3" s="486">
        <v>2019</v>
      </c>
      <c r="AJ3" s="492" t="s">
        <v>8</v>
      </c>
    </row>
    <row r="4" spans="2:50" x14ac:dyDescent="0.25">
      <c r="B4" s="486" t="s">
        <v>9</v>
      </c>
      <c r="C4" s="488"/>
      <c r="D4" s="488"/>
      <c r="E4" s="488"/>
      <c r="F4" s="488"/>
      <c r="G4" s="488"/>
      <c r="H4" s="488"/>
      <c r="I4" s="488"/>
      <c r="J4" s="488">
        <v>132.57</v>
      </c>
      <c r="K4" s="488">
        <v>120.72</v>
      </c>
      <c r="L4" s="488">
        <v>140.18</v>
      </c>
      <c r="M4" s="488">
        <v>133.65</v>
      </c>
      <c r="N4" s="488">
        <v>126.74</v>
      </c>
      <c r="O4" s="488">
        <v>122.54</v>
      </c>
      <c r="P4" s="488">
        <v>123.703</v>
      </c>
      <c r="Q4" s="488">
        <v>120.91</v>
      </c>
      <c r="R4" s="488">
        <v>123.1825</v>
      </c>
      <c r="S4" s="488">
        <v>137.16999999999999</v>
      </c>
      <c r="T4" s="488">
        <v>138.81</v>
      </c>
      <c r="U4" s="488">
        <v>138.30000000000001</v>
      </c>
      <c r="V4" s="488">
        <v>139.72</v>
      </c>
      <c r="W4" s="488">
        <v>140.21</v>
      </c>
      <c r="X4" s="488">
        <v>140.11000000000001</v>
      </c>
      <c r="Y4" s="488">
        <v>137.65</v>
      </c>
      <c r="Z4" s="488">
        <v>135.27000000000001</v>
      </c>
      <c r="AA4" s="488">
        <v>132.94999999999999</v>
      </c>
      <c r="AB4" s="488">
        <v>123.42</v>
      </c>
      <c r="AC4" s="488">
        <v>121.77</v>
      </c>
    </row>
    <row r="5" spans="2:50" x14ac:dyDescent="0.25">
      <c r="B5" s="486" t="s">
        <v>10</v>
      </c>
      <c r="C5" s="488">
        <v>102.06</v>
      </c>
      <c r="D5" s="488">
        <v>94.62</v>
      </c>
      <c r="E5" s="488">
        <v>92.79</v>
      </c>
      <c r="F5" s="488">
        <v>104.5</v>
      </c>
      <c r="G5" s="488">
        <v>148.93</v>
      </c>
      <c r="H5" s="488">
        <v>150.63999999999999</v>
      </c>
      <c r="I5" s="488">
        <v>137.69</v>
      </c>
      <c r="J5" s="488">
        <v>142.63999999999999</v>
      </c>
      <c r="K5" s="488">
        <v>136.55000000000001</v>
      </c>
      <c r="L5" s="488">
        <v>133.74</v>
      </c>
      <c r="M5" s="488">
        <v>108.69</v>
      </c>
      <c r="N5" s="488">
        <v>94.58</v>
      </c>
      <c r="O5" s="488">
        <v>103.33</v>
      </c>
      <c r="P5" s="488">
        <v>93.671999999999997</v>
      </c>
      <c r="Q5" s="488">
        <v>83.03</v>
      </c>
      <c r="R5" s="488">
        <v>90.96</v>
      </c>
      <c r="S5" s="488">
        <v>93.98</v>
      </c>
      <c r="T5" s="488">
        <v>104.95</v>
      </c>
      <c r="U5" s="488">
        <v>105.08</v>
      </c>
      <c r="V5" s="488">
        <v>106.57</v>
      </c>
      <c r="W5" s="488">
        <v>102.38</v>
      </c>
      <c r="X5" s="488">
        <v>113.64</v>
      </c>
      <c r="Y5" s="488">
        <v>126.64</v>
      </c>
      <c r="Z5" s="488">
        <v>128.29</v>
      </c>
      <c r="AA5" s="488">
        <v>111.1</v>
      </c>
      <c r="AB5" s="488">
        <v>107.82</v>
      </c>
      <c r="AC5" s="488">
        <v>108.64</v>
      </c>
      <c r="AJ5" s="487" t="s">
        <v>11</v>
      </c>
      <c r="AK5" s="487">
        <v>2003</v>
      </c>
      <c r="AL5" s="487">
        <v>2004</v>
      </c>
      <c r="AM5" s="487">
        <v>2005</v>
      </c>
      <c r="AN5" s="487">
        <v>2006</v>
      </c>
      <c r="AO5" s="487">
        <v>2007</v>
      </c>
      <c r="AP5" s="487">
        <v>2008</v>
      </c>
      <c r="AQ5" s="487">
        <v>2009</v>
      </c>
      <c r="AR5" s="487">
        <v>2010</v>
      </c>
      <c r="AS5" s="487">
        <v>2011</v>
      </c>
      <c r="AT5" s="487">
        <v>2012</v>
      </c>
      <c r="AU5" s="487">
        <v>2013</v>
      </c>
      <c r="AV5" s="487">
        <v>2014</v>
      </c>
      <c r="AW5" s="487">
        <v>2015</v>
      </c>
      <c r="AX5" s="487">
        <v>2016</v>
      </c>
    </row>
    <row r="6" spans="2:50" x14ac:dyDescent="0.25">
      <c r="B6" s="486" t="s">
        <v>12</v>
      </c>
      <c r="C6" s="488"/>
      <c r="D6" s="488"/>
      <c r="E6" s="488"/>
      <c r="F6" s="488"/>
      <c r="G6" s="488"/>
      <c r="H6" s="488"/>
      <c r="I6" s="488"/>
      <c r="J6" s="488">
        <v>212.23</v>
      </c>
      <c r="K6" s="488">
        <v>197.86</v>
      </c>
      <c r="L6" s="488">
        <v>215.31</v>
      </c>
      <c r="M6" s="488">
        <v>189.92</v>
      </c>
      <c r="N6" s="488">
        <v>178.69</v>
      </c>
      <c r="O6" s="488">
        <v>178.65</v>
      </c>
      <c r="P6" s="488">
        <v>184.65</v>
      </c>
      <c r="Q6" s="488">
        <v>166.02</v>
      </c>
      <c r="R6" s="488">
        <v>127.66</v>
      </c>
      <c r="S6" s="488">
        <v>154.63999999999999</v>
      </c>
      <c r="T6" s="488">
        <v>161.46</v>
      </c>
      <c r="U6" s="488">
        <v>165.92</v>
      </c>
      <c r="V6" s="488">
        <v>171.18</v>
      </c>
      <c r="W6" s="488">
        <v>168.39</v>
      </c>
      <c r="X6" s="488">
        <v>179.48</v>
      </c>
      <c r="Y6" s="488">
        <v>186.59</v>
      </c>
      <c r="Z6" s="488">
        <v>157.56</v>
      </c>
      <c r="AA6" s="488">
        <v>149.94999999999999</v>
      </c>
      <c r="AB6" s="488">
        <v>137.41999999999999</v>
      </c>
      <c r="AC6" s="488">
        <v>143</v>
      </c>
      <c r="AJ6" s="487" t="s">
        <v>13</v>
      </c>
      <c r="AK6" s="487">
        <v>342252</v>
      </c>
      <c r="AL6" s="487">
        <v>342252</v>
      </c>
      <c r="AM6" s="487">
        <v>342252</v>
      </c>
      <c r="AN6" s="487">
        <v>342252</v>
      </c>
      <c r="AO6" s="487">
        <v>342252</v>
      </c>
      <c r="AP6" s="487">
        <v>385152</v>
      </c>
      <c r="AQ6" s="487">
        <v>385152</v>
      </c>
      <c r="AR6" s="487">
        <v>385152</v>
      </c>
      <c r="AS6" s="487">
        <v>385152</v>
      </c>
      <c r="AT6" s="487">
        <v>385152</v>
      </c>
      <c r="AU6" s="487">
        <v>385152</v>
      </c>
      <c r="AV6" s="487">
        <v>360060</v>
      </c>
      <c r="AW6" s="487">
        <v>400452</v>
      </c>
      <c r="AX6" s="487">
        <v>397224</v>
      </c>
    </row>
    <row r="7" spans="2:50" x14ac:dyDescent="0.25">
      <c r="AG7" s="487" t="s">
        <v>14</v>
      </c>
      <c r="AH7" s="487">
        <v>642857.14285714284</v>
      </c>
      <c r="AI7" s="487">
        <v>642857.14285714284</v>
      </c>
      <c r="AJ7" s="487">
        <v>642857.14285714284</v>
      </c>
      <c r="AK7" s="487">
        <v>642857.14285714284</v>
      </c>
      <c r="AL7" s="487">
        <v>642857.14285714284</v>
      </c>
      <c r="AM7" s="487">
        <v>642857.14285714284</v>
      </c>
      <c r="AN7" s="487">
        <v>642857.14285714284</v>
      </c>
      <c r="AO7" s="487">
        <v>642857.14285714284</v>
      </c>
      <c r="AP7" s="487">
        <v>642857.14285714284</v>
      </c>
      <c r="AQ7" s="487">
        <v>642857.14285714284</v>
      </c>
      <c r="AR7" s="487">
        <v>642857.14285714284</v>
      </c>
      <c r="AS7" s="487">
        <v>642857.14285714284</v>
      </c>
      <c r="AT7" s="487">
        <v>642857.14285714284</v>
      </c>
      <c r="AU7" s="487">
        <v>642857.14285714284</v>
      </c>
    </row>
    <row r="9" spans="2:50" x14ac:dyDescent="0.25">
      <c r="B9" s="492" t="s">
        <v>15</v>
      </c>
    </row>
    <row r="10" spans="2:50" s="492" customFormat="1" x14ac:dyDescent="0.25">
      <c r="B10" s="486"/>
      <c r="C10" s="486"/>
      <c r="D10" s="486"/>
      <c r="E10" s="486"/>
      <c r="F10" s="486"/>
      <c r="G10" s="486"/>
      <c r="H10" s="486"/>
      <c r="I10" s="486"/>
      <c r="J10" s="486">
        <v>2000</v>
      </c>
      <c r="K10" s="486">
        <v>2001</v>
      </c>
      <c r="L10" s="486">
        <v>2002</v>
      </c>
      <c r="M10" s="486">
        <v>2003</v>
      </c>
      <c r="N10" s="486">
        <v>2004</v>
      </c>
      <c r="O10" s="486">
        <v>2005</v>
      </c>
      <c r="P10" s="486">
        <v>2006</v>
      </c>
      <c r="Q10" s="486">
        <v>2007</v>
      </c>
      <c r="R10" s="486">
        <v>2008</v>
      </c>
      <c r="S10" s="486">
        <v>2009</v>
      </c>
      <c r="T10" s="486">
        <v>2010</v>
      </c>
      <c r="U10" s="486">
        <v>2011</v>
      </c>
      <c r="V10" s="486">
        <v>2012</v>
      </c>
      <c r="W10" s="486">
        <v>2013</v>
      </c>
      <c r="X10" s="486">
        <v>2014</v>
      </c>
      <c r="Y10" s="486">
        <v>2015</v>
      </c>
      <c r="Z10" s="486">
        <v>2016</v>
      </c>
      <c r="AA10" s="486">
        <v>2017</v>
      </c>
      <c r="AB10" s="486">
        <v>2018</v>
      </c>
    </row>
    <row r="11" spans="2:50" x14ac:dyDescent="0.25">
      <c r="B11" s="486" t="s">
        <v>16</v>
      </c>
      <c r="C11" s="488"/>
      <c r="D11" s="488"/>
      <c r="E11" s="488"/>
      <c r="F11" s="488"/>
      <c r="G11" s="488"/>
      <c r="H11" s="488"/>
      <c r="I11" s="488"/>
      <c r="J11" s="560">
        <v>108000</v>
      </c>
      <c r="K11" s="560">
        <v>108000</v>
      </c>
      <c r="L11" s="560">
        <v>93894</v>
      </c>
      <c r="M11" s="560">
        <v>93964</v>
      </c>
      <c r="N11" s="560">
        <v>93964</v>
      </c>
      <c r="O11" s="560">
        <v>109557</v>
      </c>
      <c r="P11" s="560">
        <v>109557</v>
      </c>
      <c r="Q11" s="560">
        <v>136620</v>
      </c>
      <c r="R11" s="560">
        <v>136620</v>
      </c>
      <c r="S11" s="560">
        <v>136620</v>
      </c>
      <c r="T11" s="560">
        <v>136620</v>
      </c>
      <c r="U11" s="560">
        <v>136620</v>
      </c>
      <c r="V11" s="560">
        <v>139548</v>
      </c>
      <c r="W11" s="560">
        <v>141024</v>
      </c>
      <c r="X11" s="560">
        <v>219998</v>
      </c>
      <c r="Y11" s="560">
        <v>224276</v>
      </c>
      <c r="Z11" s="560">
        <v>235092</v>
      </c>
      <c r="AA11" s="560">
        <v>238054.05405405405</v>
      </c>
      <c r="AB11" s="560">
        <v>246275.67567567565</v>
      </c>
    </row>
    <row r="12" spans="2:50" x14ac:dyDescent="0.25">
      <c r="B12" s="486" t="s">
        <v>17</v>
      </c>
      <c r="C12" s="488"/>
      <c r="D12" s="488"/>
      <c r="E12" s="488"/>
      <c r="F12" s="488"/>
      <c r="G12" s="488"/>
      <c r="H12" s="488"/>
      <c r="I12" s="488"/>
      <c r="J12" s="560">
        <v>216000</v>
      </c>
      <c r="K12" s="560">
        <v>216000</v>
      </c>
      <c r="L12" s="560">
        <v>187788</v>
      </c>
      <c r="M12" s="560">
        <v>187928</v>
      </c>
      <c r="N12" s="560">
        <v>187928</v>
      </c>
      <c r="O12" s="560">
        <v>219114</v>
      </c>
      <c r="P12" s="560">
        <v>219114</v>
      </c>
      <c r="Q12" s="560">
        <v>273240</v>
      </c>
      <c r="R12" s="560">
        <v>273240</v>
      </c>
      <c r="S12" s="560">
        <v>273240</v>
      </c>
      <c r="T12" s="560">
        <v>273240</v>
      </c>
      <c r="U12" s="560">
        <v>273240</v>
      </c>
      <c r="V12" s="560">
        <v>279096</v>
      </c>
      <c r="W12" s="560">
        <v>282048</v>
      </c>
      <c r="X12" s="560">
        <v>439996</v>
      </c>
      <c r="Y12" s="560">
        <v>448552</v>
      </c>
      <c r="Z12" s="560">
        <v>470184</v>
      </c>
      <c r="AA12" s="560">
        <v>476108.10810810811</v>
      </c>
      <c r="AB12" s="560">
        <v>492551.3513513513</v>
      </c>
    </row>
    <row r="13" spans="2:50" x14ac:dyDescent="0.25">
      <c r="B13" s="486" t="s">
        <v>18</v>
      </c>
      <c r="C13" s="488"/>
      <c r="D13" s="488"/>
      <c r="E13" s="488"/>
      <c r="F13" s="488"/>
      <c r="G13" s="488"/>
      <c r="H13" s="488"/>
      <c r="I13" s="488"/>
      <c r="J13" s="560">
        <v>324000</v>
      </c>
      <c r="K13" s="560">
        <v>324000</v>
      </c>
      <c r="L13" s="560">
        <v>281682</v>
      </c>
      <c r="M13" s="560">
        <v>281892</v>
      </c>
      <c r="N13" s="560">
        <v>281892</v>
      </c>
      <c r="O13" s="560">
        <v>328671</v>
      </c>
      <c r="P13" s="560">
        <v>328671</v>
      </c>
      <c r="Q13" s="560">
        <v>409860</v>
      </c>
      <c r="R13" s="560">
        <v>409860</v>
      </c>
      <c r="S13" s="560">
        <v>409860</v>
      </c>
      <c r="T13" s="560">
        <v>409860</v>
      </c>
      <c r="U13" s="560">
        <v>409860</v>
      </c>
      <c r="V13" s="560">
        <v>418644</v>
      </c>
      <c r="W13" s="560">
        <v>423072</v>
      </c>
      <c r="X13" s="560">
        <v>659994</v>
      </c>
      <c r="Y13" s="560">
        <v>672828</v>
      </c>
      <c r="Z13" s="560">
        <v>705276</v>
      </c>
      <c r="AA13" s="560">
        <v>714162.16216216213</v>
      </c>
      <c r="AB13" s="560">
        <v>738827.02702702698</v>
      </c>
    </row>
    <row r="14" spans="2:50" x14ac:dyDescent="0.25">
      <c r="B14" s="486" t="s">
        <v>19</v>
      </c>
      <c r="C14" s="488"/>
      <c r="D14" s="488"/>
      <c r="E14" s="488"/>
      <c r="F14" s="488"/>
      <c r="G14" s="488"/>
      <c r="H14" s="488"/>
      <c r="I14" s="488"/>
      <c r="J14" s="560">
        <v>432000</v>
      </c>
      <c r="K14" s="560">
        <v>432000</v>
      </c>
      <c r="L14" s="560">
        <v>375576</v>
      </c>
      <c r="M14" s="560">
        <v>375856</v>
      </c>
      <c r="N14" s="560">
        <v>375856</v>
      </c>
      <c r="O14" s="560">
        <v>438228</v>
      </c>
      <c r="P14" s="560">
        <v>438228</v>
      </c>
      <c r="Q14" s="560">
        <v>546480</v>
      </c>
      <c r="R14" s="560">
        <v>546480</v>
      </c>
      <c r="S14" s="560">
        <v>546480</v>
      </c>
      <c r="T14" s="560">
        <v>546480</v>
      </c>
      <c r="U14" s="560">
        <v>546480</v>
      </c>
      <c r="V14" s="560">
        <v>558192</v>
      </c>
      <c r="W14" s="560">
        <v>564096</v>
      </c>
      <c r="X14" s="560">
        <v>879992</v>
      </c>
      <c r="Y14" s="560">
        <v>897104</v>
      </c>
      <c r="Z14" s="560">
        <v>940368</v>
      </c>
      <c r="AA14" s="560">
        <v>952216.21621621621</v>
      </c>
      <c r="AB14" s="560">
        <v>985102.70270270261</v>
      </c>
    </row>
    <row r="15" spans="2:50" x14ac:dyDescent="0.25">
      <c r="B15" s="486" t="s">
        <v>20</v>
      </c>
      <c r="C15" s="488"/>
      <c r="D15" s="488"/>
      <c r="E15" s="488"/>
      <c r="F15" s="488"/>
      <c r="G15" s="488"/>
      <c r="H15" s="488"/>
      <c r="I15" s="488"/>
      <c r="J15" s="560">
        <v>540000</v>
      </c>
      <c r="K15" s="560">
        <v>540000</v>
      </c>
      <c r="L15" s="560">
        <v>469470</v>
      </c>
      <c r="M15" s="560">
        <v>469820</v>
      </c>
      <c r="N15" s="560">
        <v>469820</v>
      </c>
      <c r="O15" s="560">
        <v>547785</v>
      </c>
      <c r="P15" s="560">
        <v>547785</v>
      </c>
      <c r="Q15" s="560">
        <v>683100</v>
      </c>
      <c r="R15" s="560">
        <v>683100</v>
      </c>
      <c r="S15" s="560">
        <v>683100</v>
      </c>
      <c r="T15" s="560">
        <v>683100</v>
      </c>
      <c r="U15" s="560">
        <v>683100</v>
      </c>
      <c r="V15" s="560">
        <v>697740</v>
      </c>
      <c r="W15" s="560">
        <v>705120</v>
      </c>
      <c r="X15" s="560">
        <v>1099990</v>
      </c>
      <c r="Y15" s="560">
        <v>1121380</v>
      </c>
      <c r="Z15" s="560">
        <v>1175460</v>
      </c>
      <c r="AA15" s="560">
        <v>1190270.2702702703</v>
      </c>
      <c r="AB15" s="560">
        <v>1231378.3783783782</v>
      </c>
    </row>
    <row r="16" spans="2:50" x14ac:dyDescent="0.25">
      <c r="B16" s="486" t="s">
        <v>21</v>
      </c>
      <c r="C16" s="488"/>
      <c r="D16" s="488"/>
      <c r="E16" s="488"/>
      <c r="F16" s="488"/>
      <c r="G16" s="488"/>
      <c r="H16" s="488"/>
      <c r="I16" s="488"/>
      <c r="J16" s="560">
        <v>648000</v>
      </c>
      <c r="K16" s="560">
        <v>648000</v>
      </c>
      <c r="L16" s="560">
        <v>563364</v>
      </c>
      <c r="M16" s="560">
        <v>563784</v>
      </c>
      <c r="N16" s="560">
        <v>563784</v>
      </c>
      <c r="O16" s="560">
        <v>657342</v>
      </c>
      <c r="P16" s="560">
        <v>657342</v>
      </c>
      <c r="Q16" s="560">
        <v>819720</v>
      </c>
      <c r="R16" s="560">
        <v>819720</v>
      </c>
      <c r="S16" s="560">
        <v>819720</v>
      </c>
      <c r="T16" s="560">
        <v>819720</v>
      </c>
      <c r="U16" s="560">
        <v>819720</v>
      </c>
      <c r="V16" s="560">
        <v>837288</v>
      </c>
      <c r="W16" s="560">
        <v>846144</v>
      </c>
      <c r="X16" s="560">
        <v>1319988</v>
      </c>
      <c r="Y16" s="560">
        <v>1345656</v>
      </c>
      <c r="Z16" s="560">
        <v>1410552</v>
      </c>
      <c r="AA16" s="560">
        <v>1428324.3243243243</v>
      </c>
      <c r="AB16" s="560">
        <v>1477654.054054054</v>
      </c>
    </row>
    <row r="17" spans="1:29" x14ac:dyDescent="0.25">
      <c r="B17" s="486" t="s">
        <v>22</v>
      </c>
      <c r="C17" s="488"/>
      <c r="D17" s="488"/>
      <c r="E17" s="488"/>
      <c r="F17" s="488"/>
      <c r="G17" s="488"/>
      <c r="H17" s="488"/>
      <c r="I17" s="488"/>
      <c r="J17" s="560">
        <v>756000</v>
      </c>
      <c r="K17" s="560">
        <v>756000</v>
      </c>
      <c r="L17" s="560">
        <v>657258</v>
      </c>
      <c r="M17" s="560">
        <v>657748</v>
      </c>
      <c r="N17" s="560">
        <v>657748</v>
      </c>
      <c r="O17" s="560">
        <v>766899</v>
      </c>
      <c r="P17" s="560">
        <v>766899</v>
      </c>
      <c r="Q17" s="560">
        <v>956340</v>
      </c>
      <c r="R17" s="560">
        <v>956340</v>
      </c>
      <c r="S17" s="560">
        <v>956340</v>
      </c>
      <c r="T17" s="560">
        <v>956340</v>
      </c>
      <c r="U17" s="560">
        <v>956340</v>
      </c>
      <c r="V17" s="560">
        <v>976836</v>
      </c>
      <c r="W17" s="560">
        <v>987168</v>
      </c>
      <c r="X17" s="560">
        <v>1539986</v>
      </c>
      <c r="Y17" s="560">
        <v>1569932</v>
      </c>
      <c r="Z17" s="560">
        <v>1645644</v>
      </c>
      <c r="AA17" s="560">
        <v>1666378.3783783785</v>
      </c>
      <c r="AB17" s="560">
        <v>1723929.7297297295</v>
      </c>
    </row>
    <row r="18" spans="1:29" x14ac:dyDescent="0.25">
      <c r="B18" s="486" t="s">
        <v>23</v>
      </c>
      <c r="C18" s="488"/>
      <c r="D18" s="488"/>
      <c r="E18" s="488"/>
      <c r="F18" s="488"/>
      <c r="G18" s="488"/>
      <c r="H18" s="488"/>
      <c r="I18" s="488"/>
      <c r="J18" s="560">
        <v>864000</v>
      </c>
      <c r="K18" s="560">
        <v>864000</v>
      </c>
      <c r="L18" s="560">
        <v>751152</v>
      </c>
      <c r="M18" s="560">
        <v>751712</v>
      </c>
      <c r="N18" s="560">
        <v>751712</v>
      </c>
      <c r="O18" s="560">
        <v>876456</v>
      </c>
      <c r="P18" s="560">
        <v>876456</v>
      </c>
      <c r="Q18" s="560">
        <v>1092960</v>
      </c>
      <c r="R18" s="560">
        <v>1092960</v>
      </c>
      <c r="S18" s="560">
        <v>1092960</v>
      </c>
      <c r="T18" s="560">
        <v>1092960</v>
      </c>
      <c r="U18" s="560">
        <v>1092960</v>
      </c>
      <c r="V18" s="560">
        <v>1116384</v>
      </c>
      <c r="W18" s="560">
        <v>1128192</v>
      </c>
      <c r="X18" s="560">
        <v>1759984</v>
      </c>
      <c r="Y18" s="560">
        <v>1794208</v>
      </c>
      <c r="Z18" s="560">
        <v>1880736</v>
      </c>
      <c r="AA18" s="560">
        <v>1904432.4324324324</v>
      </c>
      <c r="AB18" s="560">
        <v>1970205.4054054052</v>
      </c>
    </row>
    <row r="19" spans="1:29" x14ac:dyDescent="0.25">
      <c r="B19" s="486"/>
      <c r="C19" s="488"/>
      <c r="D19" s="488"/>
      <c r="E19" s="488"/>
      <c r="F19" s="488"/>
      <c r="G19" s="488"/>
      <c r="H19" s="488"/>
      <c r="I19" s="488"/>
      <c r="J19" s="488"/>
      <c r="K19" s="488"/>
      <c r="L19" s="488"/>
      <c r="M19" s="488"/>
      <c r="N19" s="488"/>
      <c r="O19" s="488"/>
      <c r="P19" s="488"/>
      <c r="Q19" s="488"/>
      <c r="R19" s="488"/>
      <c r="S19" s="488"/>
      <c r="T19" s="488"/>
      <c r="U19" s="488"/>
      <c r="V19" s="488"/>
      <c r="W19" s="488"/>
      <c r="X19" s="488"/>
      <c r="Y19" s="488"/>
      <c r="Z19" s="488"/>
      <c r="AA19" s="488"/>
      <c r="AB19" s="488"/>
    </row>
    <row r="20" spans="1:29" x14ac:dyDescent="0.25">
      <c r="A20" s="487" t="s">
        <v>24</v>
      </c>
      <c r="B20" s="492" t="s">
        <v>25</v>
      </c>
    </row>
    <row r="21" spans="1:29" x14ac:dyDescent="0.25">
      <c r="B21" s="492" t="s">
        <v>26</v>
      </c>
    </row>
    <row r="22" spans="1:29" x14ac:dyDescent="0.25">
      <c r="B22" s="492" t="s">
        <v>27</v>
      </c>
      <c r="AA22" s="499"/>
    </row>
    <row r="23" spans="1:29" x14ac:dyDescent="0.25">
      <c r="B23" s="492" t="s">
        <v>28</v>
      </c>
      <c r="AA23" s="499"/>
    </row>
    <row r="24" spans="1:29" x14ac:dyDescent="0.25">
      <c r="AA24" s="497"/>
      <c r="AB24" s="499"/>
    </row>
    <row r="28" spans="1:29" s="492" customFormat="1" x14ac:dyDescent="0.25">
      <c r="B28" s="486"/>
      <c r="C28" s="486"/>
      <c r="D28" s="486"/>
      <c r="E28" s="486"/>
      <c r="F28" s="486"/>
      <c r="G28" s="486"/>
      <c r="H28" s="486"/>
      <c r="I28" s="486"/>
      <c r="J28" s="486">
        <v>2000</v>
      </c>
      <c r="K28" s="486">
        <v>2001</v>
      </c>
      <c r="L28" s="486">
        <v>2002</v>
      </c>
      <c r="M28" s="486">
        <v>2003</v>
      </c>
      <c r="N28" s="486">
        <v>2004</v>
      </c>
      <c r="O28" s="486">
        <v>2005</v>
      </c>
      <c r="P28" s="486">
        <v>2006</v>
      </c>
      <c r="Q28" s="486">
        <v>2007</v>
      </c>
      <c r="R28" s="486">
        <v>2008</v>
      </c>
      <c r="S28" s="486">
        <v>2009</v>
      </c>
      <c r="T28" s="486">
        <v>2010</v>
      </c>
      <c r="U28" s="486">
        <v>2011</v>
      </c>
      <c r="V28" s="486">
        <v>2012</v>
      </c>
      <c r="W28" s="486">
        <v>2013</v>
      </c>
      <c r="X28" s="486">
        <v>2014</v>
      </c>
      <c r="Y28" s="486">
        <v>2015</v>
      </c>
      <c r="Z28" s="486">
        <v>2016</v>
      </c>
      <c r="AA28" s="486">
        <v>2017</v>
      </c>
      <c r="AB28" s="486">
        <v>2018</v>
      </c>
    </row>
    <row r="29" spans="1:29" x14ac:dyDescent="0.25">
      <c r="B29" s="486" t="s">
        <v>17</v>
      </c>
      <c r="C29" s="488"/>
      <c r="D29" s="488"/>
      <c r="E29" s="488"/>
      <c r="F29" s="488"/>
      <c r="G29" s="488"/>
      <c r="H29" s="488"/>
      <c r="I29" s="488"/>
      <c r="J29" s="560">
        <v>216000</v>
      </c>
      <c r="K29" s="560">
        <v>216000</v>
      </c>
      <c r="L29" s="560">
        <v>187788</v>
      </c>
      <c r="M29" s="560">
        <v>187928</v>
      </c>
      <c r="N29" s="560">
        <v>187928</v>
      </c>
      <c r="O29" s="560">
        <v>219114</v>
      </c>
      <c r="P29" s="560">
        <v>219114</v>
      </c>
      <c r="Q29" s="560">
        <v>273240</v>
      </c>
      <c r="R29" s="560">
        <v>273240</v>
      </c>
      <c r="S29" s="560">
        <v>273240</v>
      </c>
      <c r="T29" s="560">
        <v>273240</v>
      </c>
      <c r="U29" s="560">
        <v>273240</v>
      </c>
      <c r="V29" s="560">
        <v>279096</v>
      </c>
      <c r="W29" s="560">
        <v>282048</v>
      </c>
      <c r="X29" s="560">
        <v>439996</v>
      </c>
      <c r="Y29" s="560">
        <v>448552</v>
      </c>
      <c r="Z29" s="560">
        <v>470184</v>
      </c>
      <c r="AA29" s="560">
        <v>476108.10810810811</v>
      </c>
      <c r="AB29" s="560">
        <v>492551.3513513513</v>
      </c>
      <c r="AC29" s="499"/>
    </row>
    <row r="32" spans="1:29" x14ac:dyDescent="0.25">
      <c r="X32" s="487">
        <f>2900</f>
        <v>2900</v>
      </c>
    </row>
    <row r="33" spans="24:24" x14ac:dyDescent="0.25">
      <c r="X33" s="487">
        <f>X32*X4</f>
        <v>406319.00000000006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5"/>
  <sheetViews>
    <sheetView workbookViewId="0">
      <selection activeCell="J25" sqref="J25"/>
    </sheetView>
  </sheetViews>
  <sheetFormatPr defaultColWidth="9.140625" defaultRowHeight="11.25" x14ac:dyDescent="0.2"/>
  <cols>
    <col min="1" max="1" width="9.140625" style="326"/>
    <col min="2" max="2" width="8" style="327" bestFit="1" customWidth="1"/>
    <col min="3" max="3" width="11.7109375" style="326" customWidth="1"/>
    <col min="4" max="4" width="13.140625" style="326" customWidth="1"/>
    <col min="5" max="5" width="13" style="326" customWidth="1"/>
    <col min="6" max="6" width="17.42578125" style="326" customWidth="1"/>
    <col min="7" max="7" width="13.28515625" style="326" bestFit="1" customWidth="1"/>
    <col min="8" max="16384" width="9.140625" style="326"/>
  </cols>
  <sheetData>
    <row r="2" spans="2:7" x14ac:dyDescent="0.2">
      <c r="C2" s="329" t="s">
        <v>164</v>
      </c>
      <c r="D2" s="329" t="s">
        <v>165</v>
      </c>
      <c r="E2" s="329" t="s">
        <v>166</v>
      </c>
      <c r="F2" s="329" t="s">
        <v>167</v>
      </c>
    </row>
    <row r="3" spans="2:7" x14ac:dyDescent="0.2">
      <c r="B3" s="327" t="s">
        <v>488</v>
      </c>
      <c r="C3" s="330" t="s">
        <v>160</v>
      </c>
      <c r="D3" s="330" t="s">
        <v>161</v>
      </c>
      <c r="E3" s="330" t="s">
        <v>162</v>
      </c>
      <c r="F3" s="330" t="s">
        <v>163</v>
      </c>
      <c r="G3" s="328"/>
    </row>
    <row r="4" spans="2:7" x14ac:dyDescent="0.2">
      <c r="B4" s="327" t="s">
        <v>489</v>
      </c>
      <c r="C4" s="330" t="s">
        <v>168</v>
      </c>
      <c r="D4" s="330" t="s">
        <v>169</v>
      </c>
      <c r="E4" s="330" t="s">
        <v>162</v>
      </c>
      <c r="F4" s="330" t="s">
        <v>170</v>
      </c>
      <c r="G4" s="328"/>
    </row>
    <row r="5" spans="2:7" x14ac:dyDescent="0.2">
      <c r="B5" s="327" t="s">
        <v>171</v>
      </c>
      <c r="C5" s="330" t="s">
        <v>172</v>
      </c>
      <c r="D5" s="330" t="s">
        <v>173</v>
      </c>
      <c r="E5" s="330" t="s">
        <v>162</v>
      </c>
      <c r="F5" s="330" t="s">
        <v>174</v>
      </c>
      <c r="G5" s="328"/>
    </row>
    <row r="6" spans="2:7" x14ac:dyDescent="0.2">
      <c r="B6" s="327" t="s">
        <v>487</v>
      </c>
      <c r="C6" s="330" t="s">
        <v>175</v>
      </c>
      <c r="D6" s="330" t="s">
        <v>173</v>
      </c>
      <c r="E6" s="330" t="s">
        <v>162</v>
      </c>
      <c r="F6" s="330" t="s">
        <v>176</v>
      </c>
      <c r="G6" s="328"/>
    </row>
    <row r="7" spans="2:7" x14ac:dyDescent="0.2">
      <c r="C7" s="330"/>
      <c r="D7" s="330"/>
      <c r="E7" s="330"/>
      <c r="F7" s="330"/>
      <c r="G7" s="328"/>
    </row>
    <row r="8" spans="2:7" x14ac:dyDescent="0.2">
      <c r="C8" s="330"/>
      <c r="D8" s="330"/>
      <c r="E8" s="330"/>
      <c r="F8" s="330"/>
    </row>
    <row r="9" spans="2:7" x14ac:dyDescent="0.2">
      <c r="C9" s="330"/>
      <c r="D9" s="330"/>
      <c r="E9" s="330"/>
      <c r="F9" s="330"/>
    </row>
    <row r="10" spans="2:7" x14ac:dyDescent="0.2">
      <c r="C10" s="330"/>
      <c r="D10" s="330"/>
      <c r="E10" s="330"/>
      <c r="F10" s="330"/>
    </row>
    <row r="25" spans="6:6" x14ac:dyDescent="0.2">
      <c r="F25" s="328"/>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C47"/>
  <sheetViews>
    <sheetView zoomScale="80" zoomScaleNormal="80" workbookViewId="0">
      <pane xSplit="2" ySplit="3" topLeftCell="G13" activePane="bottomRight" state="frozen"/>
      <selection pane="topRight" activeCell="C1" sqref="C1"/>
      <selection pane="bottomLeft" activeCell="A4" sqref="A4"/>
      <selection pane="bottomRight" activeCell="B6" sqref="B6"/>
    </sheetView>
  </sheetViews>
  <sheetFormatPr defaultColWidth="37.28515625" defaultRowHeight="13.5" x14ac:dyDescent="0.25"/>
  <cols>
    <col min="1" max="1" width="10.5703125" style="332" customWidth="1"/>
    <col min="2" max="2" width="53.140625" style="333" bestFit="1" customWidth="1"/>
    <col min="3" max="3" width="12.42578125" style="334" hidden="1" customWidth="1"/>
    <col min="4" max="4" width="16" style="335" hidden="1" customWidth="1"/>
    <col min="5" max="8" width="13.7109375" style="335" hidden="1" customWidth="1"/>
    <col min="9" max="9" width="15.42578125" style="335" hidden="1" customWidth="1"/>
    <col min="10" max="10" width="13.7109375" style="335" hidden="1" customWidth="1"/>
    <col min="11" max="11" width="16.42578125" style="336" hidden="1" customWidth="1"/>
    <col min="12" max="12" width="18.140625" style="335" hidden="1" customWidth="1"/>
    <col min="13" max="13" width="18.7109375" style="335" hidden="1" customWidth="1"/>
    <col min="14" max="15" width="19.42578125" style="335" hidden="1" customWidth="1"/>
    <col min="16" max="16" width="20.140625" style="337" hidden="1" customWidth="1"/>
    <col min="17" max="17" width="20.140625" style="335" hidden="1" customWidth="1"/>
    <col min="18" max="18" width="18.7109375" style="335" hidden="1" customWidth="1"/>
    <col min="19" max="19" width="17.7109375" style="335" customWidth="1"/>
    <col min="20" max="20" width="20.140625" style="335" customWidth="1"/>
    <col min="21" max="21" width="17.7109375" style="335" customWidth="1"/>
    <col min="22" max="23" width="20.140625" style="335" customWidth="1"/>
    <col min="24" max="24" width="18.7109375" style="335" customWidth="1"/>
    <col min="25" max="25" width="21.7109375" style="336" customWidth="1"/>
    <col min="26" max="26" width="18.7109375" style="335" customWidth="1"/>
    <col min="27" max="29" width="37.28515625" style="335"/>
    <col min="30" max="16384" width="37.28515625" style="338"/>
  </cols>
  <sheetData>
    <row r="2" spans="1:29" ht="40.5" x14ac:dyDescent="0.25">
      <c r="L2" s="332" t="s">
        <v>139</v>
      </c>
    </row>
    <row r="3" spans="1:29" s="346" customFormat="1" ht="27" x14ac:dyDescent="0.25">
      <c r="A3" s="339"/>
      <c r="B3" s="340"/>
      <c r="C3" s="341">
        <v>1996</v>
      </c>
      <c r="D3" s="341">
        <v>1997</v>
      </c>
      <c r="E3" s="341">
        <v>1998</v>
      </c>
      <c r="F3" s="341">
        <v>1999</v>
      </c>
      <c r="G3" s="341">
        <v>2000</v>
      </c>
      <c r="H3" s="341">
        <v>2001</v>
      </c>
      <c r="I3" s="341">
        <v>2002</v>
      </c>
      <c r="J3" s="341">
        <v>2003</v>
      </c>
      <c r="K3" s="342" t="s">
        <v>457</v>
      </c>
      <c r="L3" s="343">
        <v>2004</v>
      </c>
      <c r="M3" s="343">
        <v>2005</v>
      </c>
      <c r="N3" s="343">
        <v>2006</v>
      </c>
      <c r="O3" s="343">
        <v>2007</v>
      </c>
      <c r="P3" s="344">
        <v>2008</v>
      </c>
      <c r="Q3" s="343">
        <v>2009</v>
      </c>
      <c r="R3" s="343">
        <v>2010</v>
      </c>
      <c r="S3" s="343">
        <v>2011</v>
      </c>
      <c r="T3" s="343">
        <v>2012</v>
      </c>
      <c r="U3" s="343">
        <v>2013</v>
      </c>
      <c r="V3" s="343">
        <v>2014</v>
      </c>
      <c r="W3" s="343">
        <v>2015</v>
      </c>
      <c r="X3" s="343">
        <v>2016</v>
      </c>
      <c r="Y3" s="343" t="s">
        <v>7</v>
      </c>
      <c r="Z3" s="345" t="s">
        <v>137</v>
      </c>
      <c r="AA3" s="336"/>
      <c r="AB3" s="336"/>
      <c r="AC3" s="336"/>
    </row>
    <row r="4" spans="1:29" s="355" customFormat="1" x14ac:dyDescent="0.25">
      <c r="A4" s="347"/>
      <c r="B4" s="348" t="s">
        <v>2</v>
      </c>
      <c r="C4" s="349"/>
      <c r="D4" s="350">
        <f t="shared" ref="D4:J4" si="0">SUM(D5:D11)</f>
        <v>0</v>
      </c>
      <c r="E4" s="350">
        <f t="shared" si="0"/>
        <v>0</v>
      </c>
      <c r="F4" s="350">
        <f t="shared" si="0"/>
        <v>0</v>
      </c>
      <c r="G4" s="350">
        <f t="shared" si="0"/>
        <v>0</v>
      </c>
      <c r="H4" s="350">
        <f t="shared" si="0"/>
        <v>0</v>
      </c>
      <c r="I4" s="350">
        <f t="shared" si="0"/>
        <v>0</v>
      </c>
      <c r="J4" s="350">
        <f t="shared" si="0"/>
        <v>267300</v>
      </c>
      <c r="K4" s="351">
        <v>267300</v>
      </c>
      <c r="L4" s="352">
        <f t="shared" ref="L4:Z4" si="1">SUM(L5:L11)</f>
        <v>0</v>
      </c>
      <c r="M4" s="352">
        <f t="shared" si="1"/>
        <v>604815.43999999994</v>
      </c>
      <c r="N4" s="352">
        <f t="shared" si="1"/>
        <v>863578.06</v>
      </c>
      <c r="O4" s="352">
        <f t="shared" si="1"/>
        <v>339106.54000000004</v>
      </c>
      <c r="P4" s="353">
        <f t="shared" si="1"/>
        <v>12754398.244999999</v>
      </c>
      <c r="Q4" s="352">
        <f t="shared" si="1"/>
        <v>-1543902.46</v>
      </c>
      <c r="R4" s="352">
        <f t="shared" si="1"/>
        <v>1270.4400000000605</v>
      </c>
      <c r="S4" s="352">
        <f t="shared" si="1"/>
        <v>413557.02</v>
      </c>
      <c r="T4" s="352">
        <f t="shared" si="1"/>
        <v>138927</v>
      </c>
      <c r="U4" s="352">
        <f t="shared" si="1"/>
        <v>1484173.77</v>
      </c>
      <c r="V4" s="352">
        <f t="shared" si="1"/>
        <v>198214.83000000007</v>
      </c>
      <c r="W4" s="352">
        <f t="shared" si="1"/>
        <v>64549.129999999888</v>
      </c>
      <c r="X4" s="352">
        <f t="shared" si="1"/>
        <v>666773.14999999991</v>
      </c>
      <c r="Y4" s="352">
        <f>SUM(Y5:Y11)</f>
        <v>16252761.164999999</v>
      </c>
      <c r="Z4" s="352">
        <f t="shared" si="1"/>
        <v>9673</v>
      </c>
      <c r="AA4" s="354"/>
      <c r="AB4" s="354"/>
      <c r="AC4" s="354"/>
    </row>
    <row r="5" spans="1:29" s="364" customFormat="1" x14ac:dyDescent="0.25">
      <c r="A5" s="356"/>
      <c r="B5" s="357" t="s">
        <v>140</v>
      </c>
      <c r="C5" s="358"/>
      <c r="D5" s="358"/>
      <c r="E5" s="359"/>
      <c r="F5" s="359"/>
      <c r="G5" s="359"/>
      <c r="H5" s="359"/>
      <c r="I5" s="359"/>
      <c r="J5" s="359"/>
      <c r="K5" s="351">
        <v>0</v>
      </c>
      <c r="L5" s="565">
        <v>0</v>
      </c>
      <c r="M5" s="565">
        <v>0</v>
      </c>
      <c r="N5" s="565">
        <v>0</v>
      </c>
      <c r="O5" s="565">
        <v>0</v>
      </c>
      <c r="P5" s="565">
        <v>0</v>
      </c>
      <c r="Q5" s="360"/>
      <c r="R5" s="360"/>
      <c r="S5" s="360"/>
      <c r="T5" s="360"/>
      <c r="U5" s="360"/>
      <c r="V5" s="360"/>
      <c r="W5" s="360"/>
      <c r="X5" s="360"/>
      <c r="Y5" s="362">
        <f>SUM(K5:X5)</f>
        <v>0</v>
      </c>
      <c r="Z5" s="360"/>
      <c r="AA5" s="363"/>
      <c r="AB5" s="363"/>
      <c r="AC5" s="363"/>
    </row>
    <row r="6" spans="1:29" s="364" customFormat="1" x14ac:dyDescent="0.25">
      <c r="A6" s="356"/>
      <c r="B6" s="357" t="s">
        <v>466</v>
      </c>
      <c r="C6" s="358"/>
      <c r="D6" s="358"/>
      <c r="E6" s="359"/>
      <c r="F6" s="359"/>
      <c r="G6" s="359"/>
      <c r="H6" s="359"/>
      <c r="I6" s="359"/>
      <c r="J6" s="359">
        <f>2000*KK!M4</f>
        <v>267300</v>
      </c>
      <c r="K6" s="351">
        <v>267300</v>
      </c>
      <c r="L6" s="565">
        <v>0</v>
      </c>
      <c r="M6" s="565">
        <v>0</v>
      </c>
      <c r="N6" s="565">
        <v>0</v>
      </c>
      <c r="O6" s="565">
        <v>0</v>
      </c>
      <c r="P6" s="565">
        <v>0</v>
      </c>
      <c r="Q6" s="360"/>
      <c r="R6" s="360"/>
      <c r="S6" s="360"/>
      <c r="T6" s="360"/>
      <c r="U6" s="360"/>
      <c r="V6" s="360"/>
      <c r="W6" s="360"/>
      <c r="X6" s="360"/>
      <c r="Y6" s="362">
        <f t="shared" ref="Y6:Y41" si="2">SUM(K6:X6)</f>
        <v>267300</v>
      </c>
      <c r="Z6" s="360"/>
      <c r="AA6" s="363"/>
      <c r="AB6" s="363"/>
      <c r="AC6" s="363"/>
    </row>
    <row r="7" spans="1:29" s="364" customFormat="1" x14ac:dyDescent="0.25">
      <c r="A7" s="356"/>
      <c r="B7" s="357" t="s">
        <v>141</v>
      </c>
      <c r="C7" s="358"/>
      <c r="D7" s="359"/>
      <c r="E7" s="359"/>
      <c r="F7" s="359"/>
      <c r="G7" s="359"/>
      <c r="H7" s="359"/>
      <c r="I7" s="359"/>
      <c r="J7" s="359"/>
      <c r="K7" s="351">
        <v>0</v>
      </c>
      <c r="L7" s="565">
        <v>0</v>
      </c>
      <c r="M7" s="565">
        <v>0</v>
      </c>
      <c r="N7" s="565">
        <v>0</v>
      </c>
      <c r="O7" s="565">
        <v>0</v>
      </c>
      <c r="P7" s="361">
        <f>94830*KK!R4</f>
        <v>11681396.475</v>
      </c>
      <c r="Q7" s="360"/>
      <c r="R7" s="360"/>
      <c r="S7" s="360"/>
      <c r="T7" s="360"/>
      <c r="U7" s="360"/>
      <c r="V7" s="360"/>
      <c r="W7" s="360"/>
      <c r="X7" s="360"/>
      <c r="Y7" s="362">
        <f t="shared" si="2"/>
        <v>11681396.475</v>
      </c>
      <c r="Z7" s="360"/>
      <c r="AA7" s="363"/>
      <c r="AB7" s="363"/>
      <c r="AC7" s="363"/>
    </row>
    <row r="8" spans="1:29" s="364" customFormat="1" x14ac:dyDescent="0.25">
      <c r="A8" s="356"/>
      <c r="B8" s="357" t="s">
        <v>484</v>
      </c>
      <c r="C8" s="358"/>
      <c r="D8" s="359"/>
      <c r="E8" s="359"/>
      <c r="F8" s="359"/>
      <c r="G8" s="359"/>
      <c r="H8" s="359"/>
      <c r="I8" s="359"/>
      <c r="J8" s="359"/>
      <c r="K8" s="351">
        <v>0</v>
      </c>
      <c r="L8" s="565">
        <v>0</v>
      </c>
      <c r="M8" s="565">
        <v>0</v>
      </c>
      <c r="N8" s="565">
        <v>0</v>
      </c>
      <c r="O8" s="565">
        <v>0</v>
      </c>
      <c r="P8" s="361">
        <f>5500*KK!R4</f>
        <v>677503.75</v>
      </c>
      <c r="Q8" s="360"/>
      <c r="R8" s="360"/>
      <c r="S8" s="360"/>
      <c r="T8" s="360"/>
      <c r="U8" s="360"/>
      <c r="V8" s="360"/>
      <c r="W8" s="360"/>
      <c r="X8" s="360"/>
      <c r="Y8" s="362">
        <f t="shared" si="2"/>
        <v>677503.75</v>
      </c>
      <c r="Z8" s="360"/>
      <c r="AA8" s="363"/>
      <c r="AB8" s="363"/>
      <c r="AC8" s="363"/>
    </row>
    <row r="9" spans="1:29" s="364" customFormat="1" x14ac:dyDescent="0.25">
      <c r="A9" s="356"/>
      <c r="B9" s="357" t="s">
        <v>142</v>
      </c>
      <c r="C9" s="358"/>
      <c r="D9" s="359"/>
      <c r="E9" s="359"/>
      <c r="F9" s="359"/>
      <c r="G9" s="359"/>
      <c r="H9" s="359"/>
      <c r="I9" s="359"/>
      <c r="J9" s="359"/>
      <c r="K9" s="351">
        <v>0</v>
      </c>
      <c r="L9" s="565">
        <v>0</v>
      </c>
      <c r="M9" s="565">
        <v>0</v>
      </c>
      <c r="N9" s="565">
        <v>0</v>
      </c>
      <c r="O9" s="565">
        <v>0</v>
      </c>
      <c r="P9" s="565">
        <v>0</v>
      </c>
      <c r="Q9" s="360"/>
      <c r="R9" s="360"/>
      <c r="S9" s="360"/>
      <c r="T9" s="360"/>
      <c r="U9" s="360">
        <f>11000*KK!W4</f>
        <v>1542310</v>
      </c>
      <c r="V9" s="360"/>
      <c r="W9" s="360"/>
      <c r="X9" s="360"/>
      <c r="Y9" s="362">
        <f t="shared" si="2"/>
        <v>1542310</v>
      </c>
      <c r="Z9" s="360"/>
      <c r="AA9" s="363"/>
      <c r="AB9" s="363"/>
      <c r="AC9" s="363"/>
    </row>
    <row r="10" spans="1:29" s="364" customFormat="1" x14ac:dyDescent="0.25">
      <c r="A10" s="356"/>
      <c r="B10" s="357" t="s">
        <v>218</v>
      </c>
      <c r="C10" s="358"/>
      <c r="D10" s="359"/>
      <c r="E10" s="359"/>
      <c r="F10" s="359"/>
      <c r="G10" s="359"/>
      <c r="H10" s="359"/>
      <c r="I10" s="359"/>
      <c r="J10" s="359"/>
      <c r="K10" s="351">
        <v>0</v>
      </c>
      <c r="L10" s="565">
        <v>0</v>
      </c>
      <c r="M10" s="565">
        <v>0</v>
      </c>
      <c r="N10" s="565">
        <v>0</v>
      </c>
      <c r="O10" s="565">
        <v>0</v>
      </c>
      <c r="P10" s="565">
        <v>0</v>
      </c>
      <c r="Q10" s="360"/>
      <c r="R10" s="360"/>
      <c r="S10" s="360"/>
      <c r="T10" s="360"/>
      <c r="U10" s="360"/>
      <c r="V10" s="360"/>
      <c r="W10" s="360"/>
      <c r="X10" s="360"/>
      <c r="Y10" s="362">
        <f t="shared" si="2"/>
        <v>0</v>
      </c>
      <c r="Z10" s="360"/>
      <c r="AA10" s="363"/>
      <c r="AB10" s="363"/>
      <c r="AC10" s="363"/>
    </row>
    <row r="11" spans="1:29" s="371" customFormat="1" x14ac:dyDescent="0.25">
      <c r="A11" s="365"/>
      <c r="B11" s="366" t="s">
        <v>0</v>
      </c>
      <c r="C11" s="367"/>
      <c r="D11" s="368"/>
      <c r="E11" s="368"/>
      <c r="F11" s="368"/>
      <c r="G11" s="368"/>
      <c r="H11" s="368"/>
      <c r="I11" s="368"/>
      <c r="J11" s="368">
        <f>+' Likujditete'!O58</f>
        <v>0</v>
      </c>
      <c r="K11" s="351">
        <v>0</v>
      </c>
      <c r="L11" s="369">
        <f>+' Likujditete'!P58</f>
        <v>0</v>
      </c>
      <c r="M11" s="369">
        <f>+' Likujditete'!Q58</f>
        <v>604815.43999999994</v>
      </c>
      <c r="N11" s="369">
        <f>+' Likujditete'!R58</f>
        <v>863578.06</v>
      </c>
      <c r="O11" s="369">
        <f>+' Likujditete'!S58</f>
        <v>339106.54000000004</v>
      </c>
      <c r="P11" s="369">
        <f>+' Likujditete'!T58</f>
        <v>395498.02</v>
      </c>
      <c r="Q11" s="369">
        <f>+' Likujditete'!U58</f>
        <v>-1543902.46</v>
      </c>
      <c r="R11" s="369">
        <f>+' Likujditete'!V58</f>
        <v>1270.4400000000605</v>
      </c>
      <c r="S11" s="369">
        <f>+' Likujditete'!W58</f>
        <v>413557.02</v>
      </c>
      <c r="T11" s="369">
        <f>+' Likujditete'!X58</f>
        <v>138927</v>
      </c>
      <c r="U11" s="369">
        <f>+' Likujditete'!Y58</f>
        <v>-58136.229999999981</v>
      </c>
      <c r="V11" s="369">
        <f>+' Likujditete'!Z58</f>
        <v>198214.83000000007</v>
      </c>
      <c r="W11" s="369">
        <f>+' Likujditete'!AA58</f>
        <v>64549.129999999888</v>
      </c>
      <c r="X11" s="369">
        <f>+' Likujditete'!AB58</f>
        <v>666773.14999999991</v>
      </c>
      <c r="Y11" s="362">
        <f t="shared" si="2"/>
        <v>2084250.94</v>
      </c>
      <c r="Z11" s="369">
        <f>+' Likujditete'!AD58</f>
        <v>9673</v>
      </c>
      <c r="AA11" s="370"/>
      <c r="AB11" s="370"/>
      <c r="AC11" s="370"/>
    </row>
    <row r="12" spans="1:29" s="375" customFormat="1" x14ac:dyDescent="0.25">
      <c r="A12" s="356"/>
      <c r="B12" s="372" t="s">
        <v>107</v>
      </c>
      <c r="C12" s="373"/>
      <c r="D12" s="359"/>
      <c r="E12" s="359"/>
      <c r="F12" s="359"/>
      <c r="G12" s="359"/>
      <c r="H12" s="359"/>
      <c r="I12" s="359"/>
      <c r="J12" s="359">
        <f>+' Likujditete'!O57</f>
        <v>0</v>
      </c>
      <c r="K12" s="351">
        <v>0</v>
      </c>
      <c r="L12" s="360">
        <f>+' Likujditete'!P57</f>
        <v>0</v>
      </c>
      <c r="M12" s="360">
        <f>+' Likujditete'!Q57</f>
        <v>604815.43999999994</v>
      </c>
      <c r="N12" s="360">
        <f>+' Likujditete'!R57</f>
        <v>1468393.5</v>
      </c>
      <c r="O12" s="360">
        <f>+' Likujditete'!S57</f>
        <v>1807500.04</v>
      </c>
      <c r="P12" s="360">
        <f>+' Likujditete'!T57</f>
        <v>2202998.06</v>
      </c>
      <c r="Q12" s="360">
        <f>+' Likujditete'!U57</f>
        <v>659095.6</v>
      </c>
      <c r="R12" s="360">
        <f>+' Likujditete'!V57</f>
        <v>660366.04</v>
      </c>
      <c r="S12" s="360">
        <f>+' Likujditete'!W57</f>
        <v>1073923.06</v>
      </c>
      <c r="T12" s="360">
        <f>+' Likujditete'!X57</f>
        <v>1212850.06</v>
      </c>
      <c r="U12" s="360">
        <f>+' Likujditete'!Y57</f>
        <v>1154713.83</v>
      </c>
      <c r="V12" s="360">
        <f>+' Likujditete'!Z57</f>
        <v>1352928.6600000001</v>
      </c>
      <c r="W12" s="360">
        <f>+' Likujditete'!AA57</f>
        <v>1417477.79</v>
      </c>
      <c r="X12" s="360">
        <f>+' Likujditete'!AB57</f>
        <v>2084250.94</v>
      </c>
      <c r="Y12" s="362">
        <f t="shared" si="2"/>
        <v>15699313.020000001</v>
      </c>
      <c r="Z12" s="360">
        <f>+' Likujditete'!AD57</f>
        <v>1287604.94</v>
      </c>
      <c r="AA12" s="374"/>
      <c r="AB12" s="374"/>
      <c r="AC12" s="374"/>
    </row>
    <row r="13" spans="1:29" s="382" customFormat="1" x14ac:dyDescent="0.25">
      <c r="A13" s="376"/>
      <c r="B13" s="377" t="s">
        <v>134</v>
      </c>
      <c r="C13" s="378"/>
      <c r="D13" s="379">
        <v>0</v>
      </c>
      <c r="E13" s="379">
        <v>0</v>
      </c>
      <c r="F13" s="379">
        <v>0</v>
      </c>
      <c r="G13" s="379">
        <v>0</v>
      </c>
      <c r="H13" s="379">
        <v>0</v>
      </c>
      <c r="I13" s="379">
        <v>0</v>
      </c>
      <c r="J13" s="379">
        <f>+' Likujditete'!O54</f>
        <v>0</v>
      </c>
      <c r="K13" s="351">
        <v>0</v>
      </c>
      <c r="L13" s="380">
        <f>+' Likujditete'!P54</f>
        <v>0</v>
      </c>
      <c r="M13" s="380">
        <f>+' Likujditete'!Q56</f>
        <v>600000</v>
      </c>
      <c r="N13" s="380">
        <f>+' Likujditete'!R56</f>
        <v>1200000</v>
      </c>
      <c r="O13" s="380">
        <f>+' Likujditete'!S56</f>
        <v>1750000</v>
      </c>
      <c r="P13" s="380">
        <f>+' Likujditete'!T56</f>
        <v>2150000</v>
      </c>
      <c r="Q13" s="380">
        <f>+' Likujditete'!U56</f>
        <v>650000</v>
      </c>
      <c r="R13" s="380">
        <f>+' Likujditete'!V56</f>
        <v>611696</v>
      </c>
      <c r="S13" s="380">
        <f>+' Likujditete'!W56</f>
        <v>1011696</v>
      </c>
      <c r="T13" s="380">
        <f>+' Likujditete'!X56</f>
        <v>1151696</v>
      </c>
      <c r="U13" s="380">
        <f>+' Likujditete'!Y56</f>
        <v>1151696</v>
      </c>
      <c r="V13" s="380">
        <f>+' Likujditete'!Z56</f>
        <v>806319</v>
      </c>
      <c r="W13" s="380">
        <f>+' Likujditete'!AA56</f>
        <v>806319</v>
      </c>
      <c r="X13" s="380">
        <f>+' Likujditete'!AB56</f>
        <v>862319</v>
      </c>
      <c r="Y13" s="362">
        <f t="shared" si="2"/>
        <v>12751741</v>
      </c>
      <c r="Z13" s="380">
        <f>+' Likujditete'!AD54</f>
        <v>0</v>
      </c>
      <c r="AA13" s="381"/>
      <c r="AB13" s="381"/>
      <c r="AC13" s="381"/>
    </row>
    <row r="14" spans="1:29" s="355" customFormat="1" ht="20.25" customHeight="1" x14ac:dyDescent="0.25">
      <c r="A14" s="347"/>
      <c r="B14" s="348" t="s">
        <v>1</v>
      </c>
      <c r="C14" s="350">
        <f t="shared" ref="C14:J14" si="3">SUM(C15:C23)</f>
        <v>0</v>
      </c>
      <c r="D14" s="350">
        <f t="shared" si="3"/>
        <v>0</v>
      </c>
      <c r="E14" s="350">
        <f t="shared" si="3"/>
        <v>0</v>
      </c>
      <c r="F14" s="350">
        <f t="shared" si="3"/>
        <v>0</v>
      </c>
      <c r="G14" s="350">
        <f t="shared" si="3"/>
        <v>0</v>
      </c>
      <c r="H14" s="350">
        <f t="shared" si="3"/>
        <v>0</v>
      </c>
      <c r="I14" s="350">
        <f t="shared" si="3"/>
        <v>0</v>
      </c>
      <c r="J14" s="350">
        <f t="shared" si="3"/>
        <v>0</v>
      </c>
      <c r="K14" s="351">
        <v>0</v>
      </c>
      <c r="L14" s="352">
        <f t="shared" ref="L14:X14" si="4">SUM(L15:L23)</f>
        <v>0</v>
      </c>
      <c r="M14" s="352">
        <f t="shared" si="4"/>
        <v>0</v>
      </c>
      <c r="N14" s="352">
        <f t="shared" si="4"/>
        <v>0</v>
      </c>
      <c r="O14" s="352">
        <f t="shared" si="4"/>
        <v>0</v>
      </c>
      <c r="P14" s="352">
        <f t="shared" si="4"/>
        <v>11430104.175000001</v>
      </c>
      <c r="Q14" s="352">
        <f t="shared" si="4"/>
        <v>-2532838.5632000002</v>
      </c>
      <c r="R14" s="352">
        <f t="shared" si="4"/>
        <v>-855658.1544</v>
      </c>
      <c r="S14" s="352">
        <f t="shared" si="4"/>
        <v>-1037710.539</v>
      </c>
      <c r="T14" s="352">
        <f t="shared" si="4"/>
        <v>-1383228</v>
      </c>
      <c r="U14" s="352">
        <f>SUM(U15:U23)</f>
        <v>-167691.16000000015</v>
      </c>
      <c r="V14" s="352">
        <f t="shared" si="4"/>
        <v>-2387474.4000000004</v>
      </c>
      <c r="W14" s="352">
        <f t="shared" si="4"/>
        <v>-4078569.5</v>
      </c>
      <c r="X14" s="352">
        <f t="shared" si="4"/>
        <v>0</v>
      </c>
      <c r="Y14" s="352">
        <f t="shared" si="2"/>
        <v>-1013066.1416000007</v>
      </c>
      <c r="Z14" s="352">
        <f>SUM(Z15:Z23)</f>
        <v>0</v>
      </c>
      <c r="AA14" s="354"/>
      <c r="AB14" s="354"/>
      <c r="AC14" s="354"/>
    </row>
    <row r="15" spans="1:29" s="364" customFormat="1" x14ac:dyDescent="0.25">
      <c r="A15" s="356"/>
      <c r="B15" s="357" t="s">
        <v>143</v>
      </c>
      <c r="C15" s="358"/>
      <c r="D15" s="359"/>
      <c r="E15" s="359"/>
      <c r="F15" s="359"/>
      <c r="G15" s="359"/>
      <c r="H15" s="359"/>
      <c r="I15" s="359"/>
      <c r="J15" s="359"/>
      <c r="K15" s="351">
        <v>0</v>
      </c>
      <c r="L15" s="565">
        <v>0</v>
      </c>
      <c r="M15" s="565">
        <v>0</v>
      </c>
      <c r="N15" s="565">
        <v>0</v>
      </c>
      <c r="O15" s="565">
        <v>0</v>
      </c>
      <c r="P15" s="361">
        <f>46000*KK!R4</f>
        <v>5666395</v>
      </c>
      <c r="Q15" s="360"/>
      <c r="R15" s="360"/>
      <c r="S15" s="360"/>
      <c r="T15" s="360"/>
      <c r="U15" s="360"/>
      <c r="V15" s="360"/>
      <c r="W15" s="360"/>
      <c r="X15" s="360"/>
      <c r="Y15" s="362">
        <f t="shared" si="2"/>
        <v>5666395</v>
      </c>
      <c r="Z15" s="360"/>
      <c r="AA15" s="363"/>
      <c r="AB15" s="363"/>
      <c r="AC15" s="363"/>
    </row>
    <row r="16" spans="1:29" s="364" customFormat="1" x14ac:dyDescent="0.25">
      <c r="A16" s="356"/>
      <c r="B16" s="357" t="s">
        <v>411</v>
      </c>
      <c r="C16" s="358"/>
      <c r="D16" s="359"/>
      <c r="E16" s="359"/>
      <c r="F16" s="359"/>
      <c r="G16" s="359"/>
      <c r="H16" s="359"/>
      <c r="I16" s="359"/>
      <c r="J16" s="359"/>
      <c r="K16" s="351">
        <v>0</v>
      </c>
      <c r="L16" s="565">
        <v>0</v>
      </c>
      <c r="M16" s="565">
        <v>0</v>
      </c>
      <c r="N16" s="565">
        <v>0</v>
      </c>
      <c r="O16" s="565">
        <v>0</v>
      </c>
      <c r="P16" s="361">
        <f>-'Kredi ne NBG '!D6</f>
        <v>-255234.14</v>
      </c>
      <c r="Q16" s="361">
        <f>-'Kredi ne NBG '!E6</f>
        <v>-2532838.5632000002</v>
      </c>
      <c r="R16" s="361">
        <f>-'Kredi ne NBG '!F6</f>
        <v>-855658.1544</v>
      </c>
      <c r="S16" s="361">
        <f>-'Kredi ne NBG '!G6</f>
        <v>-1037710.539</v>
      </c>
      <c r="T16" s="361">
        <f>-'Kredi ne NBG '!H6</f>
        <v>-684628</v>
      </c>
      <c r="U16" s="361">
        <f>-'Kredi ne NBG '!I6</f>
        <v>-267941.31</v>
      </c>
      <c r="V16" s="361">
        <f>-'Kredi ne NBG '!J6</f>
        <v>-2387474.4000000004</v>
      </c>
      <c r="W16" s="360"/>
      <c r="X16" s="360"/>
      <c r="Y16" s="362">
        <f t="shared" si="2"/>
        <v>-8021485.1066000005</v>
      </c>
      <c r="Z16" s="360"/>
      <c r="AA16" s="363"/>
      <c r="AB16" s="363"/>
      <c r="AC16" s="363"/>
    </row>
    <row r="17" spans="1:29" s="364" customFormat="1" x14ac:dyDescent="0.25">
      <c r="A17" s="356"/>
      <c r="B17" s="357" t="s">
        <v>406</v>
      </c>
      <c r="C17" s="358"/>
      <c r="D17" s="359"/>
      <c r="E17" s="359"/>
      <c r="F17" s="359"/>
      <c r="G17" s="359"/>
      <c r="H17" s="359"/>
      <c r="I17" s="359"/>
      <c r="J17" s="359"/>
      <c r="K17" s="351">
        <v>0</v>
      </c>
      <c r="L17" s="565">
        <v>0</v>
      </c>
      <c r="M17" s="565">
        <v>0</v>
      </c>
      <c r="N17" s="565">
        <v>0</v>
      </c>
      <c r="O17" s="565">
        <v>0</v>
      </c>
      <c r="P17" s="361">
        <f>+P7</f>
        <v>11681396.475</v>
      </c>
      <c r="Q17" s="360"/>
      <c r="R17" s="360"/>
      <c r="S17" s="360"/>
      <c r="T17" s="360"/>
      <c r="U17" s="360"/>
      <c r="V17" s="360"/>
      <c r="W17" s="360"/>
      <c r="X17" s="360"/>
      <c r="Y17" s="362">
        <f t="shared" si="2"/>
        <v>11681396.475</v>
      </c>
      <c r="Z17" s="360"/>
      <c r="AA17" s="363"/>
      <c r="AB17" s="363"/>
      <c r="AC17" s="363"/>
    </row>
    <row r="18" spans="1:29" s="364" customFormat="1" x14ac:dyDescent="0.25">
      <c r="A18" s="356"/>
      <c r="B18" s="357" t="s">
        <v>200</v>
      </c>
      <c r="C18" s="358"/>
      <c r="D18" s="359"/>
      <c r="E18" s="359"/>
      <c r="F18" s="359"/>
      <c r="G18" s="359"/>
      <c r="H18" s="359"/>
      <c r="I18" s="359"/>
      <c r="J18" s="359"/>
      <c r="K18" s="351">
        <v>0</v>
      </c>
      <c r="L18" s="565">
        <v>0</v>
      </c>
      <c r="M18" s="565">
        <v>0</v>
      </c>
      <c r="N18" s="565">
        <v>0</v>
      </c>
      <c r="O18" s="565">
        <v>0</v>
      </c>
      <c r="P18" s="361">
        <f>-(45968*KK!R4)</f>
        <v>-5662453.1600000001</v>
      </c>
      <c r="Q18" s="360">
        <v>0</v>
      </c>
      <c r="R18" s="360">
        <v>0</v>
      </c>
      <c r="S18" s="360">
        <v>0</v>
      </c>
      <c r="T18" s="360">
        <f>-5000*KK!V4</f>
        <v>-698600</v>
      </c>
      <c r="U18" s="360">
        <f>-(285)*KK!W4</f>
        <v>-39959.850000000006</v>
      </c>
      <c r="V18" s="360"/>
      <c r="W18" s="360">
        <f>-(230+24400+5000)*KK!Y4</f>
        <v>-4078569.5</v>
      </c>
      <c r="X18" s="360"/>
      <c r="Y18" s="362">
        <f t="shared" si="2"/>
        <v>-10479582.51</v>
      </c>
      <c r="Z18" s="360">
        <v>0</v>
      </c>
      <c r="AA18" s="363"/>
      <c r="AB18" s="363"/>
      <c r="AC18" s="363"/>
    </row>
    <row r="19" spans="1:29" s="364" customFormat="1" x14ac:dyDescent="0.25">
      <c r="A19" s="356"/>
      <c r="B19" s="357" t="s">
        <v>208</v>
      </c>
      <c r="C19" s="358"/>
      <c r="D19" s="359"/>
      <c r="E19" s="359"/>
      <c r="F19" s="359"/>
      <c r="G19" s="359"/>
      <c r="H19" s="359"/>
      <c r="I19" s="359"/>
      <c r="J19" s="359"/>
      <c r="K19" s="351">
        <v>0</v>
      </c>
      <c r="L19" s="565">
        <v>0</v>
      </c>
      <c r="M19" s="565">
        <v>0</v>
      </c>
      <c r="N19" s="565">
        <v>0</v>
      </c>
      <c r="O19" s="565">
        <v>0</v>
      </c>
      <c r="P19" s="565">
        <v>0</v>
      </c>
      <c r="Q19" s="360"/>
      <c r="R19" s="360"/>
      <c r="S19" s="360"/>
      <c r="T19" s="360"/>
      <c r="U19" s="383"/>
      <c r="V19" s="360"/>
      <c r="W19" s="360"/>
      <c r="X19" s="360"/>
      <c r="Y19" s="362">
        <f t="shared" si="2"/>
        <v>0</v>
      </c>
      <c r="Z19" s="360"/>
      <c r="AA19" s="363"/>
      <c r="AB19" s="363"/>
      <c r="AC19" s="363"/>
    </row>
    <row r="20" spans="1:29" s="364" customFormat="1" x14ac:dyDescent="0.25">
      <c r="A20" s="356"/>
      <c r="B20" s="357" t="s">
        <v>213</v>
      </c>
      <c r="C20" s="358"/>
      <c r="D20" s="359"/>
      <c r="E20" s="359"/>
      <c r="F20" s="359"/>
      <c r="G20" s="359"/>
      <c r="H20" s="359"/>
      <c r="I20" s="359"/>
      <c r="J20" s="359"/>
      <c r="K20" s="351">
        <v>0</v>
      </c>
      <c r="L20" s="565">
        <v>0</v>
      </c>
      <c r="M20" s="565">
        <v>0</v>
      </c>
      <c r="N20" s="565">
        <v>0</v>
      </c>
      <c r="O20" s="565">
        <v>0</v>
      </c>
      <c r="P20" s="565">
        <v>0</v>
      </c>
      <c r="Q20" s="360"/>
      <c r="R20" s="360"/>
      <c r="S20" s="360"/>
      <c r="T20" s="360"/>
      <c r="U20" s="360"/>
      <c r="V20" s="360"/>
      <c r="W20" s="360"/>
      <c r="X20" s="360"/>
      <c r="Y20" s="362">
        <f t="shared" si="2"/>
        <v>0</v>
      </c>
      <c r="Z20" s="360"/>
      <c r="AA20" s="363"/>
      <c r="AB20" s="363"/>
      <c r="AC20" s="363"/>
    </row>
    <row r="21" spans="1:29" s="364" customFormat="1" x14ac:dyDescent="0.25">
      <c r="A21" s="356"/>
      <c r="B21" s="357" t="s">
        <v>214</v>
      </c>
      <c r="C21" s="358"/>
      <c r="D21" s="359"/>
      <c r="E21" s="359"/>
      <c r="F21" s="359"/>
      <c r="G21" s="359"/>
      <c r="H21" s="359"/>
      <c r="I21" s="359"/>
      <c r="J21" s="359"/>
      <c r="K21" s="351">
        <v>0</v>
      </c>
      <c r="L21" s="565">
        <v>0</v>
      </c>
      <c r="M21" s="565">
        <v>0</v>
      </c>
      <c r="N21" s="565">
        <v>0</v>
      </c>
      <c r="O21" s="565">
        <v>0</v>
      </c>
      <c r="P21" s="565">
        <v>0</v>
      </c>
      <c r="Q21" s="360"/>
      <c r="R21" s="360"/>
      <c r="S21" s="360"/>
      <c r="T21" s="360"/>
      <c r="U21" s="360">
        <v>0</v>
      </c>
      <c r="V21" s="360"/>
      <c r="W21" s="360"/>
      <c r="X21" s="360"/>
      <c r="Y21" s="362">
        <f t="shared" si="2"/>
        <v>0</v>
      </c>
      <c r="Z21" s="360"/>
      <c r="AA21" s="363"/>
      <c r="AB21" s="363"/>
      <c r="AC21" s="363"/>
    </row>
    <row r="22" spans="1:29" s="364" customFormat="1" x14ac:dyDescent="0.25">
      <c r="A22" s="356"/>
      <c r="B22" s="357" t="s">
        <v>407</v>
      </c>
      <c r="C22" s="358"/>
      <c r="D22" s="359"/>
      <c r="E22" s="359"/>
      <c r="F22" s="359"/>
      <c r="G22" s="359"/>
      <c r="H22" s="359"/>
      <c r="I22" s="359"/>
      <c r="J22" s="359"/>
      <c r="K22" s="351">
        <v>0</v>
      </c>
      <c r="L22" s="565">
        <v>0</v>
      </c>
      <c r="M22" s="565">
        <v>0</v>
      </c>
      <c r="N22" s="565">
        <v>0</v>
      </c>
      <c r="O22" s="565">
        <v>0</v>
      </c>
      <c r="P22" s="565">
        <v>0</v>
      </c>
      <c r="Q22" s="360"/>
      <c r="R22" s="360"/>
      <c r="S22" s="360"/>
      <c r="T22" s="360"/>
      <c r="U22" s="360">
        <f>+U9</f>
        <v>1542310</v>
      </c>
      <c r="V22" s="360"/>
      <c r="W22" s="360"/>
      <c r="X22" s="360"/>
      <c r="Y22" s="362">
        <f t="shared" si="2"/>
        <v>1542310</v>
      </c>
      <c r="Z22" s="360"/>
      <c r="AA22" s="363"/>
      <c r="AB22" s="363"/>
      <c r="AC22" s="363"/>
    </row>
    <row r="23" spans="1:29" s="364" customFormat="1" x14ac:dyDescent="0.25">
      <c r="A23" s="356"/>
      <c r="B23" s="357" t="s">
        <v>199</v>
      </c>
      <c r="C23" s="358"/>
      <c r="D23" s="359"/>
      <c r="E23" s="359"/>
      <c r="F23" s="359"/>
      <c r="G23" s="359"/>
      <c r="H23" s="359"/>
      <c r="I23" s="359"/>
      <c r="J23" s="359"/>
      <c r="K23" s="351">
        <v>0</v>
      </c>
      <c r="L23" s="565">
        <v>0</v>
      </c>
      <c r="M23" s="565">
        <v>0</v>
      </c>
      <c r="N23" s="565">
        <v>0</v>
      </c>
      <c r="O23" s="565">
        <v>0</v>
      </c>
      <c r="P23" s="565">
        <v>0</v>
      </c>
      <c r="Q23" s="360"/>
      <c r="R23" s="360"/>
      <c r="S23" s="360"/>
      <c r="T23" s="360"/>
      <c r="U23" s="360">
        <f>-10000*KK!W4</f>
        <v>-1402100</v>
      </c>
      <c r="V23" s="360"/>
      <c r="W23" s="360"/>
      <c r="X23" s="360"/>
      <c r="Y23" s="362">
        <f t="shared" si="2"/>
        <v>-1402100</v>
      </c>
      <c r="Z23" s="360"/>
      <c r="AA23" s="363"/>
      <c r="AB23" s="363"/>
      <c r="AC23" s="363"/>
    </row>
    <row r="24" spans="1:29" s="355" customFormat="1" x14ac:dyDescent="0.25">
      <c r="A24" s="347"/>
      <c r="B24" s="348" t="s">
        <v>3</v>
      </c>
      <c r="C24" s="350">
        <f t="shared" ref="C24:J24" si="5">+C4-C14</f>
        <v>0</v>
      </c>
      <c r="D24" s="350">
        <f t="shared" si="5"/>
        <v>0</v>
      </c>
      <c r="E24" s="350">
        <f t="shared" si="5"/>
        <v>0</v>
      </c>
      <c r="F24" s="350">
        <f t="shared" si="5"/>
        <v>0</v>
      </c>
      <c r="G24" s="350">
        <f t="shared" si="5"/>
        <v>0</v>
      </c>
      <c r="H24" s="350">
        <f t="shared" si="5"/>
        <v>0</v>
      </c>
      <c r="I24" s="350">
        <f t="shared" si="5"/>
        <v>0</v>
      </c>
      <c r="J24" s="350">
        <f t="shared" si="5"/>
        <v>267300</v>
      </c>
      <c r="K24" s="351">
        <v>267300</v>
      </c>
      <c r="L24" s="352">
        <f t="shared" ref="L24:X24" si="6">+L4-L14</f>
        <v>0</v>
      </c>
      <c r="M24" s="352">
        <f t="shared" si="6"/>
        <v>604815.43999999994</v>
      </c>
      <c r="N24" s="352">
        <f t="shared" si="6"/>
        <v>863578.06</v>
      </c>
      <c r="O24" s="352">
        <f t="shared" si="6"/>
        <v>339106.54000000004</v>
      </c>
      <c r="P24" s="353">
        <f t="shared" si="6"/>
        <v>1324294.0699999984</v>
      </c>
      <c r="Q24" s="352">
        <f t="shared" si="6"/>
        <v>988936.10320000025</v>
      </c>
      <c r="R24" s="352">
        <f t="shared" si="6"/>
        <v>856928.59440000006</v>
      </c>
      <c r="S24" s="352">
        <f t="shared" si="6"/>
        <v>1451267.5589999999</v>
      </c>
      <c r="T24" s="352">
        <f t="shared" si="6"/>
        <v>1522155</v>
      </c>
      <c r="U24" s="352">
        <f t="shared" si="6"/>
        <v>1651864.9300000002</v>
      </c>
      <c r="V24" s="352">
        <f t="shared" si="6"/>
        <v>2585689.2300000004</v>
      </c>
      <c r="W24" s="352">
        <f t="shared" si="6"/>
        <v>4143118.63</v>
      </c>
      <c r="X24" s="352">
        <f t="shared" si="6"/>
        <v>666773.14999999991</v>
      </c>
      <c r="Y24" s="352">
        <f t="shared" si="2"/>
        <v>17265827.306599997</v>
      </c>
      <c r="Z24" s="352">
        <f>+Z4-Z14</f>
        <v>9673</v>
      </c>
      <c r="AA24" s="354"/>
      <c r="AB24" s="354"/>
      <c r="AC24" s="354"/>
    </row>
    <row r="25" spans="1:29" s="355" customFormat="1" x14ac:dyDescent="0.25">
      <c r="A25" s="347"/>
      <c r="B25" s="384"/>
      <c r="C25" s="349"/>
      <c r="D25" s="350"/>
      <c r="E25" s="350"/>
      <c r="F25" s="350"/>
      <c r="G25" s="350"/>
      <c r="H25" s="350"/>
      <c r="I25" s="350"/>
      <c r="J25" s="350"/>
      <c r="K25" s="351">
        <v>0</v>
      </c>
      <c r="L25" s="362"/>
      <c r="M25" s="362"/>
      <c r="N25" s="362"/>
      <c r="O25" s="362"/>
      <c r="P25" s="385"/>
      <c r="Q25" s="362"/>
      <c r="R25" s="362"/>
      <c r="S25" s="362"/>
      <c r="T25" s="362"/>
      <c r="U25" s="362"/>
      <c r="V25" s="362"/>
      <c r="W25" s="362"/>
      <c r="X25" s="362"/>
      <c r="Y25" s="362">
        <f t="shared" si="2"/>
        <v>0</v>
      </c>
      <c r="Z25" s="362"/>
      <c r="AA25" s="354"/>
      <c r="AB25" s="354"/>
      <c r="AC25" s="354"/>
    </row>
    <row r="26" spans="1:29" s="355" customFormat="1" x14ac:dyDescent="0.25">
      <c r="A26" s="347"/>
      <c r="B26" s="348" t="s">
        <v>4</v>
      </c>
      <c r="C26" s="350">
        <f t="shared" ref="C26:J26" si="7">SUM(C27:C32)</f>
        <v>60154</v>
      </c>
      <c r="D26" s="350">
        <f t="shared" si="7"/>
        <v>231024</v>
      </c>
      <c r="E26" s="350">
        <f t="shared" si="7"/>
        <v>360525</v>
      </c>
      <c r="F26" s="350">
        <f t="shared" si="7"/>
        <v>461249</v>
      </c>
      <c r="G26" s="350">
        <f t="shared" si="7"/>
        <v>603437</v>
      </c>
      <c r="H26" s="350">
        <f t="shared" si="7"/>
        <v>636075.5</v>
      </c>
      <c r="I26" s="350">
        <f t="shared" si="7"/>
        <v>608853.5</v>
      </c>
      <c r="J26" s="350">
        <f t="shared" si="7"/>
        <v>765140</v>
      </c>
      <c r="K26" s="351">
        <v>3726458</v>
      </c>
      <c r="L26" s="352">
        <f t="shared" ref="L26:X26" si="8">SUM(L27:L32)</f>
        <v>933625</v>
      </c>
      <c r="M26" s="352">
        <f t="shared" si="8"/>
        <v>1145795</v>
      </c>
      <c r="N26" s="352">
        <f t="shared" si="8"/>
        <v>1093156</v>
      </c>
      <c r="O26" s="352">
        <f t="shared" si="8"/>
        <v>1029704</v>
      </c>
      <c r="P26" s="352">
        <f t="shared" si="8"/>
        <v>1623856</v>
      </c>
      <c r="Q26" s="352">
        <f t="shared" si="8"/>
        <v>1349735</v>
      </c>
      <c r="R26" s="352">
        <f t="shared" si="8"/>
        <v>1389475</v>
      </c>
      <c r="S26" s="352">
        <f t="shared" si="8"/>
        <v>1519983</v>
      </c>
      <c r="T26" s="352">
        <f t="shared" si="8"/>
        <v>1568737</v>
      </c>
      <c r="U26" s="352">
        <f t="shared" si="8"/>
        <v>1514572</v>
      </c>
      <c r="V26" s="352">
        <f t="shared" si="8"/>
        <v>4643444</v>
      </c>
      <c r="W26" s="352">
        <f t="shared" si="8"/>
        <v>6069607</v>
      </c>
      <c r="X26" s="352">
        <f t="shared" si="8"/>
        <v>2607678</v>
      </c>
      <c r="Y26" s="352">
        <f t="shared" si="2"/>
        <v>30215825</v>
      </c>
      <c r="Z26" s="352">
        <f>SUM(Z27:Z32)</f>
        <v>175673</v>
      </c>
      <c r="AA26" s="354"/>
      <c r="AB26" s="354"/>
      <c r="AC26" s="354"/>
    </row>
    <row r="27" spans="1:29" s="364" customFormat="1" x14ac:dyDescent="0.25">
      <c r="A27" s="356"/>
      <c r="B27" s="357" t="s">
        <v>177</v>
      </c>
      <c r="C27" s="358">
        <f>+'Te Ardhurat '!D9</f>
        <v>60154</v>
      </c>
      <c r="D27" s="358">
        <f>+'Te Ardhurat '!E9</f>
        <v>231024</v>
      </c>
      <c r="E27" s="358">
        <f>+'Te Ardhurat '!F9</f>
        <v>360525</v>
      </c>
      <c r="F27" s="358">
        <f>+'Te Ardhurat '!G9</f>
        <v>390615</v>
      </c>
      <c r="G27" s="358">
        <f>+'Te Ardhurat '!H9</f>
        <v>442564</v>
      </c>
      <c r="H27" s="358">
        <f>+'Te Ardhurat '!I9</f>
        <v>446705</v>
      </c>
      <c r="I27" s="358">
        <f>+'Te Ardhurat '!J9</f>
        <v>414633</v>
      </c>
      <c r="J27" s="358">
        <f>+'Te Ardhurat '!K9</f>
        <v>473716</v>
      </c>
      <c r="K27" s="351">
        <v>2819936</v>
      </c>
      <c r="L27" s="386">
        <f>+'Te Ardhurat '!L9</f>
        <v>606194</v>
      </c>
      <c r="M27" s="386">
        <f>+'Te Ardhurat '!M9</f>
        <v>818245</v>
      </c>
      <c r="N27" s="386">
        <f>+'Te Ardhurat '!N9</f>
        <v>815652</v>
      </c>
      <c r="O27" s="386">
        <f>+'Te Ardhurat '!O9</f>
        <v>841418</v>
      </c>
      <c r="P27" s="387">
        <f>+'Te Ardhurat '!P9</f>
        <v>905278</v>
      </c>
      <c r="Q27" s="386">
        <f>+'Te Ardhurat '!Q9</f>
        <v>851469</v>
      </c>
      <c r="R27" s="386">
        <f>+'Te Ardhurat '!R9</f>
        <v>814286</v>
      </c>
      <c r="S27" s="386">
        <f>+'Te Ardhurat '!S9</f>
        <v>942368</v>
      </c>
      <c r="T27" s="386">
        <f>+'Te Ardhurat '!T9</f>
        <v>983776</v>
      </c>
      <c r="U27" s="386">
        <f>+'Te Ardhurat '!U9</f>
        <v>917794</v>
      </c>
      <c r="V27" s="386">
        <f>+'Te Ardhurat '!V9</f>
        <v>1091512</v>
      </c>
      <c r="W27" s="386">
        <f>+'Te Ardhurat '!W9</f>
        <v>1123493</v>
      </c>
      <c r="X27" s="386">
        <f>+'Te Ardhurat '!X9</f>
        <v>1170841</v>
      </c>
      <c r="Y27" s="362">
        <f t="shared" si="2"/>
        <v>14702262</v>
      </c>
      <c r="Z27" s="386">
        <f>+'Te Ardhurat '!Z9</f>
        <v>99845</v>
      </c>
      <c r="AA27" s="363"/>
      <c r="AB27" s="363"/>
      <c r="AC27" s="363"/>
    </row>
    <row r="28" spans="1:29" s="364" customFormat="1" x14ac:dyDescent="0.25">
      <c r="A28" s="356"/>
      <c r="B28" s="357" t="s">
        <v>178</v>
      </c>
      <c r="C28" s="358">
        <f>+'Te Ardhurat '!D25</f>
        <v>0</v>
      </c>
      <c r="D28" s="358">
        <f>+'Te Ardhurat '!E25</f>
        <v>0</v>
      </c>
      <c r="E28" s="358">
        <f>+'Te Ardhurat '!F25</f>
        <v>0</v>
      </c>
      <c r="F28" s="358">
        <f>+'Te Ardhurat '!G25</f>
        <v>70634</v>
      </c>
      <c r="G28" s="358">
        <f>+'Te Ardhurat '!H25</f>
        <v>160873</v>
      </c>
      <c r="H28" s="358">
        <f>+'Te Ardhurat '!I25</f>
        <v>189370.5</v>
      </c>
      <c r="I28" s="358">
        <f>+'Te Ardhurat '!J25</f>
        <v>194220.5</v>
      </c>
      <c r="J28" s="358">
        <f>+'Te Ardhurat '!K25</f>
        <v>291424</v>
      </c>
      <c r="K28" s="351">
        <v>906522</v>
      </c>
      <c r="L28" s="386">
        <f>+'Te Ardhurat '!L25</f>
        <v>327431</v>
      </c>
      <c r="M28" s="386">
        <f>+'Te Ardhurat '!M25</f>
        <v>327550</v>
      </c>
      <c r="N28" s="386">
        <f>+'Te Ardhurat '!N25</f>
        <v>277504</v>
      </c>
      <c r="O28" s="386">
        <f>+'Te Ardhurat '!O25</f>
        <v>188286</v>
      </c>
      <c r="P28" s="387">
        <f>+'Te Ardhurat '!P25</f>
        <v>318578</v>
      </c>
      <c r="Q28" s="386">
        <f>+'Te Ardhurat '!Q25</f>
        <v>498266</v>
      </c>
      <c r="R28" s="386">
        <f>+'Te Ardhurat '!R25</f>
        <v>575189</v>
      </c>
      <c r="S28" s="386">
        <f>+'Te Ardhurat '!S25</f>
        <v>577615</v>
      </c>
      <c r="T28" s="386">
        <f>+'Te Ardhurat '!T25</f>
        <v>584961</v>
      </c>
      <c r="U28" s="386">
        <f>+'Te Ardhurat '!U25</f>
        <v>596778</v>
      </c>
      <c r="V28" s="386">
        <f>+'Te Ardhurat '!V25</f>
        <v>749732</v>
      </c>
      <c r="W28" s="386">
        <f>+'Te Ardhurat '!W25</f>
        <v>816614</v>
      </c>
      <c r="X28" s="386">
        <f>+'Te Ardhurat '!X25</f>
        <v>904419</v>
      </c>
      <c r="Y28" s="362">
        <f t="shared" si="2"/>
        <v>7649445</v>
      </c>
      <c r="Z28" s="386">
        <f>+'Te Ardhurat '!Z25</f>
        <v>75828</v>
      </c>
      <c r="AA28" s="363"/>
      <c r="AB28" s="363"/>
      <c r="AC28" s="363"/>
    </row>
    <row r="29" spans="1:29" s="364" customFormat="1" ht="31.5" customHeight="1" x14ac:dyDescent="0.25">
      <c r="A29" s="356"/>
      <c r="B29" s="357" t="s">
        <v>179</v>
      </c>
      <c r="C29" s="358">
        <f>+'Te Ardhurat '!D33</f>
        <v>0</v>
      </c>
      <c r="D29" s="358">
        <f>+'Te Ardhurat '!E33</f>
        <v>0</v>
      </c>
      <c r="E29" s="358">
        <f>+'Te Ardhurat '!F33</f>
        <v>0</v>
      </c>
      <c r="F29" s="358">
        <f>+'Te Ardhurat '!G33</f>
        <v>0</v>
      </c>
      <c r="G29" s="358">
        <f>+'Te Ardhurat '!H33</f>
        <v>0</v>
      </c>
      <c r="H29" s="358">
        <f>+'Te Ardhurat '!I33</f>
        <v>0</v>
      </c>
      <c r="I29" s="358">
        <f>+'Te Ardhurat '!J33</f>
        <v>0</v>
      </c>
      <c r="J29" s="358">
        <f>+'Te Ardhurat '!K33</f>
        <v>0</v>
      </c>
      <c r="K29" s="351">
        <v>0</v>
      </c>
      <c r="L29" s="566">
        <f>+'Te Ardhurat '!L33</f>
        <v>0</v>
      </c>
      <c r="M29" s="566">
        <f>+'Te Ardhurat '!M33</f>
        <v>0</v>
      </c>
      <c r="N29" s="566">
        <f>+'Te Ardhurat '!N33</f>
        <v>0</v>
      </c>
      <c r="O29" s="566">
        <f>+'Te Ardhurat '!O33</f>
        <v>0</v>
      </c>
      <c r="P29" s="387">
        <f>+'Te Ardhurat '!P33</f>
        <v>400000</v>
      </c>
      <c r="Q29" s="386">
        <f>+'Te Ardhurat '!Q33</f>
        <v>0</v>
      </c>
      <c r="R29" s="386">
        <f>+'Te Ardhurat '!R33</f>
        <v>0</v>
      </c>
      <c r="S29" s="386">
        <f>+'Te Ardhurat '!S33</f>
        <v>0</v>
      </c>
      <c r="T29" s="386">
        <f>+'Te Ardhurat '!T33</f>
        <v>0</v>
      </c>
      <c r="U29" s="386">
        <f>+'Te Ardhurat '!U33</f>
        <v>0</v>
      </c>
      <c r="V29" s="386">
        <f>+'Te Ardhurat '!V33</f>
        <v>0</v>
      </c>
      <c r="W29" s="386">
        <f>+'Te Ardhurat '!W33</f>
        <v>0</v>
      </c>
      <c r="X29" s="386">
        <f>+'Te Ardhurat '!X33</f>
        <v>0</v>
      </c>
      <c r="Y29" s="362">
        <f t="shared" si="2"/>
        <v>400000</v>
      </c>
      <c r="Z29" s="386">
        <f>+'Te Ardhurat '!Z33</f>
        <v>0</v>
      </c>
      <c r="AA29" s="363"/>
      <c r="AB29" s="363"/>
      <c r="AC29" s="363"/>
    </row>
    <row r="30" spans="1:29" s="364" customFormat="1" x14ac:dyDescent="0.25">
      <c r="A30" s="356"/>
      <c r="B30" s="357" t="s">
        <v>203</v>
      </c>
      <c r="C30" s="358"/>
      <c r="D30" s="358"/>
      <c r="E30" s="358"/>
      <c r="F30" s="358"/>
      <c r="G30" s="358"/>
      <c r="H30" s="358"/>
      <c r="I30" s="358"/>
      <c r="J30" s="358"/>
      <c r="K30" s="351">
        <v>0</v>
      </c>
      <c r="L30" s="566">
        <f>+'Te Ardhurat '!L34</f>
        <v>0</v>
      </c>
      <c r="M30" s="566">
        <f>+'Te Ardhurat '!M34</f>
        <v>0</v>
      </c>
      <c r="N30" s="566">
        <f>+'Te Ardhurat '!N34</f>
        <v>0</v>
      </c>
      <c r="O30" s="566">
        <f>+'Te Ardhurat '!O34</f>
        <v>0</v>
      </c>
      <c r="P30" s="566">
        <f>+'Te Ardhurat '!P34</f>
        <v>0</v>
      </c>
      <c r="Q30" s="386"/>
      <c r="R30" s="386"/>
      <c r="S30" s="386"/>
      <c r="T30" s="386"/>
      <c r="U30" s="386"/>
      <c r="V30" s="386">
        <f>20000*KK!X4</f>
        <v>2802200.0000000005</v>
      </c>
      <c r="W30" s="386">
        <f>30000*KK!Y4</f>
        <v>4129500</v>
      </c>
      <c r="X30" s="386"/>
      <c r="Y30" s="362">
        <f t="shared" si="2"/>
        <v>6931700</v>
      </c>
      <c r="Z30" s="386"/>
      <c r="AA30" s="363"/>
      <c r="AB30" s="363"/>
      <c r="AC30" s="363"/>
    </row>
    <row r="31" spans="1:29" s="364" customFormat="1" ht="27" x14ac:dyDescent="0.25">
      <c r="A31" s="356"/>
      <c r="B31" s="357" t="s">
        <v>180</v>
      </c>
      <c r="C31" s="358">
        <f>+'Te Ardhurat '!D34</f>
        <v>0</v>
      </c>
      <c r="D31" s="358">
        <f>+'Te Ardhurat '!E34</f>
        <v>0</v>
      </c>
      <c r="E31" s="358">
        <f>+'Te Ardhurat '!F34</f>
        <v>0</v>
      </c>
      <c r="F31" s="358">
        <f>+'Te Ardhurat '!G34</f>
        <v>0</v>
      </c>
      <c r="G31" s="358">
        <f>+'Te Ardhurat '!H34</f>
        <v>0</v>
      </c>
      <c r="H31" s="358">
        <f>+'Te Ardhurat '!I34</f>
        <v>0</v>
      </c>
      <c r="I31" s="358">
        <f>+'Te Ardhurat '!J34</f>
        <v>0</v>
      </c>
      <c r="J31" s="358">
        <f>+'Te Ardhurat '!K34</f>
        <v>0</v>
      </c>
      <c r="K31" s="351">
        <v>0</v>
      </c>
      <c r="L31" s="566">
        <f>+'Te Ardhurat '!L35</f>
        <v>0</v>
      </c>
      <c r="M31" s="566">
        <f>+'Te Ardhurat '!M35</f>
        <v>0</v>
      </c>
      <c r="N31" s="566">
        <f>+'Te Ardhurat '!N35</f>
        <v>0</v>
      </c>
      <c r="O31" s="566">
        <f>+'Te Ardhurat '!O35</f>
        <v>0</v>
      </c>
      <c r="P31" s="566">
        <f>+'Te Ardhurat '!P35</f>
        <v>0</v>
      </c>
      <c r="Q31" s="386">
        <f>+'Te Ardhurat '!Q34</f>
        <v>0</v>
      </c>
      <c r="R31" s="386">
        <f>+'Te Ardhurat '!R34</f>
        <v>0</v>
      </c>
      <c r="S31" s="386">
        <f>+'Te Ardhurat '!S34</f>
        <v>0</v>
      </c>
      <c r="T31" s="386">
        <f>+'Te Ardhurat '!T34</f>
        <v>0</v>
      </c>
      <c r="U31" s="386">
        <f>+'Te Ardhurat '!U34</f>
        <v>0</v>
      </c>
      <c r="V31" s="386">
        <f>+'Te Ardhurat '!V34</f>
        <v>0</v>
      </c>
      <c r="W31" s="386">
        <f>+'Te Ardhurat '!W34</f>
        <v>0</v>
      </c>
      <c r="X31" s="386">
        <f>3800*KK!X4</f>
        <v>532418</v>
      </c>
      <c r="Y31" s="362">
        <f t="shared" si="2"/>
        <v>532418</v>
      </c>
      <c r="Z31" s="386">
        <f>+'Te Ardhurat '!Z34</f>
        <v>0</v>
      </c>
      <c r="AA31" s="363"/>
      <c r="AB31" s="363"/>
      <c r="AC31" s="363"/>
    </row>
    <row r="32" spans="1:29" s="364" customFormat="1" ht="27" x14ac:dyDescent="0.25">
      <c r="A32" s="356"/>
      <c r="B32" s="357" t="s">
        <v>206</v>
      </c>
      <c r="C32" s="358"/>
      <c r="D32" s="358"/>
      <c r="E32" s="358"/>
      <c r="F32" s="358"/>
      <c r="G32" s="358"/>
      <c r="H32" s="358"/>
      <c r="I32" s="358"/>
      <c r="J32" s="358"/>
      <c r="K32" s="351">
        <v>0</v>
      </c>
      <c r="L32" s="566">
        <f>+'Te Ardhurat '!L36</f>
        <v>0</v>
      </c>
      <c r="M32" s="566">
        <f>+'Te Ardhurat '!M36</f>
        <v>0</v>
      </c>
      <c r="N32" s="566">
        <f>+'Te Ardhurat '!N36</f>
        <v>0</v>
      </c>
      <c r="O32" s="566">
        <f>+'Te Ardhurat '!O36</f>
        <v>0</v>
      </c>
      <c r="P32" s="567">
        <v>0</v>
      </c>
      <c r="Q32" s="386"/>
      <c r="R32" s="386"/>
      <c r="S32" s="386"/>
      <c r="T32" s="386"/>
      <c r="U32" s="386"/>
      <c r="V32" s="386"/>
      <c r="W32" s="386"/>
      <c r="X32" s="386"/>
      <c r="Y32" s="362">
        <f t="shared" si="2"/>
        <v>0</v>
      </c>
      <c r="Z32" s="386"/>
      <c r="AA32" s="363"/>
      <c r="AB32" s="363"/>
      <c r="AC32" s="363"/>
    </row>
    <row r="33" spans="1:29" s="355" customFormat="1" ht="19.5" customHeight="1" x14ac:dyDescent="0.25">
      <c r="A33" s="347"/>
      <c r="B33" s="348" t="s">
        <v>5</v>
      </c>
      <c r="C33" s="350">
        <f t="shared" ref="C33:X33" si="9">SUM(C34:C41)</f>
        <v>19850.82</v>
      </c>
      <c r="D33" s="350">
        <f t="shared" si="9"/>
        <v>76237.919999999998</v>
      </c>
      <c r="E33" s="350">
        <f t="shared" si="9"/>
        <v>118973.25</v>
      </c>
      <c r="F33" s="350">
        <f t="shared" si="9"/>
        <v>152212.17000000001</v>
      </c>
      <c r="G33" s="350">
        <f t="shared" si="9"/>
        <v>324000</v>
      </c>
      <c r="H33" s="350">
        <f t="shared" si="9"/>
        <v>324000</v>
      </c>
      <c r="I33" s="350">
        <f t="shared" si="9"/>
        <v>367751.5</v>
      </c>
      <c r="J33" s="350">
        <f t="shared" si="9"/>
        <v>375856</v>
      </c>
      <c r="K33" s="351">
        <v>1758881.6600000001</v>
      </c>
      <c r="L33" s="352">
        <f t="shared" si="9"/>
        <v>375856</v>
      </c>
      <c r="M33" s="352">
        <f t="shared" si="9"/>
        <v>438228</v>
      </c>
      <c r="N33" s="352">
        <f t="shared" si="9"/>
        <v>438228</v>
      </c>
      <c r="O33" s="352">
        <f t="shared" si="9"/>
        <v>547212</v>
      </c>
      <c r="P33" s="352">
        <f t="shared" si="9"/>
        <v>550907.47499999998</v>
      </c>
      <c r="Q33" s="352">
        <f t="shared" si="9"/>
        <v>547212</v>
      </c>
      <c r="R33" s="352">
        <f t="shared" si="9"/>
        <v>547830</v>
      </c>
      <c r="S33" s="352">
        <f t="shared" si="9"/>
        <v>886665</v>
      </c>
      <c r="T33" s="352">
        <f t="shared" si="9"/>
        <v>559419</v>
      </c>
      <c r="U33" s="352">
        <f t="shared" si="9"/>
        <v>1054108.1399999999</v>
      </c>
      <c r="V33" s="352">
        <f t="shared" si="9"/>
        <v>1453067.8933333333</v>
      </c>
      <c r="W33" s="352">
        <f t="shared" si="9"/>
        <v>1796081.8333333333</v>
      </c>
      <c r="X33" s="352">
        <f t="shared" si="9"/>
        <v>1454194.1733333333</v>
      </c>
      <c r="Y33" s="352">
        <f t="shared" si="2"/>
        <v>12407891.175000001</v>
      </c>
      <c r="Z33" s="352">
        <f>SUM(Z34:Z41)</f>
        <v>113918.35135135135</v>
      </c>
      <c r="AA33" s="354"/>
      <c r="AB33" s="354"/>
      <c r="AC33" s="354"/>
    </row>
    <row r="34" spans="1:29" s="364" customFormat="1" x14ac:dyDescent="0.25">
      <c r="A34" s="356"/>
      <c r="B34" s="357" t="s">
        <v>98</v>
      </c>
      <c r="C34" s="358">
        <f>+(C27+C28)*0.33</f>
        <v>19850.82</v>
      </c>
      <c r="D34" s="358">
        <f>+(D27+D28)*0.33</f>
        <v>76237.919999999998</v>
      </c>
      <c r="E34" s="358">
        <f>+(E27+E28)*0.33</f>
        <v>118973.25</v>
      </c>
      <c r="F34" s="358">
        <f>+(F27+F28)*0.33</f>
        <v>152212.17000000001</v>
      </c>
      <c r="G34" s="359">
        <f>+KK!J13</f>
        <v>324000</v>
      </c>
      <c r="H34" s="359">
        <f>+KK!K13</f>
        <v>324000</v>
      </c>
      <c r="I34" s="359">
        <f>+KK!L13/12*1+KK!L14/12*11</f>
        <v>367751.5</v>
      </c>
      <c r="J34" s="359">
        <f>+KK!M14</f>
        <v>375856</v>
      </c>
      <c r="K34" s="351">
        <v>1758881.6600000001</v>
      </c>
      <c r="L34" s="360">
        <f>+KK!N14</f>
        <v>375856</v>
      </c>
      <c r="M34" s="360">
        <f>+KK!O14</f>
        <v>438228</v>
      </c>
      <c r="N34" s="360">
        <f>+KK!P14</f>
        <v>438228</v>
      </c>
      <c r="O34" s="360">
        <f>+KK!Q14</f>
        <v>546480</v>
      </c>
      <c r="P34" s="361">
        <f>+KK!R14</f>
        <v>546480</v>
      </c>
      <c r="Q34" s="360">
        <f>+KK!S14</f>
        <v>546480</v>
      </c>
      <c r="R34" s="360">
        <f>+KK!T14</f>
        <v>546480</v>
      </c>
      <c r="S34" s="360">
        <f>+KK!U14</f>
        <v>546480</v>
      </c>
      <c r="T34" s="360">
        <f>+KK!V14</f>
        <v>558192</v>
      </c>
      <c r="U34" s="360">
        <f>+KK!W14</f>
        <v>564096</v>
      </c>
      <c r="V34" s="360">
        <f>+KK!X14</f>
        <v>879992</v>
      </c>
      <c r="W34" s="360">
        <f>+KK!Y14</f>
        <v>897104</v>
      </c>
      <c r="X34" s="360">
        <f>+KK!Z14</f>
        <v>940368</v>
      </c>
      <c r="Y34" s="362">
        <f t="shared" si="2"/>
        <v>9583345.6600000001</v>
      </c>
      <c r="Z34" s="360">
        <f>+KK!AA14/12</f>
        <v>79351.351351351346</v>
      </c>
      <c r="AA34" s="363"/>
      <c r="AB34" s="363"/>
      <c r="AC34" s="363"/>
    </row>
    <row r="35" spans="1:29" s="364" customFormat="1" x14ac:dyDescent="0.25">
      <c r="A35" s="356"/>
      <c r="B35" s="357" t="s">
        <v>99</v>
      </c>
      <c r="C35" s="358"/>
      <c r="D35" s="359"/>
      <c r="E35" s="359"/>
      <c r="F35" s="359"/>
      <c r="G35" s="359"/>
      <c r="H35" s="359"/>
      <c r="I35" s="359"/>
      <c r="J35" s="359"/>
      <c r="K35" s="351">
        <v>0</v>
      </c>
      <c r="L35" s="565">
        <v>0</v>
      </c>
      <c r="M35" s="565">
        <v>0</v>
      </c>
      <c r="N35" s="565">
        <v>0</v>
      </c>
      <c r="O35" s="565">
        <v>0</v>
      </c>
      <c r="P35" s="361">
        <f>+TIMS!C6</f>
        <v>3695.4750000000004</v>
      </c>
      <c r="Q35" s="361">
        <f>+TIMS!D6</f>
        <v>0</v>
      </c>
      <c r="R35" s="361">
        <f>+TIMS!E6</f>
        <v>0</v>
      </c>
      <c r="S35" s="361">
        <f>+TIMS!F6</f>
        <v>338835</v>
      </c>
      <c r="T35" s="361">
        <f>+TIMS!G6</f>
        <v>0</v>
      </c>
      <c r="U35" s="361">
        <f>+TIMS!H6</f>
        <v>392588</v>
      </c>
      <c r="V35" s="361">
        <f>+TIMS!I6</f>
        <v>140110</v>
      </c>
      <c r="W35" s="361">
        <f>+TIMS!J6</f>
        <v>37165.5</v>
      </c>
      <c r="X35" s="361">
        <f>+TIMS!K6</f>
        <v>31054.000000000004</v>
      </c>
      <c r="Y35" s="362">
        <f t="shared" si="2"/>
        <v>943447.97499999998</v>
      </c>
      <c r="Z35" s="361">
        <f>+TIMS!M6</f>
        <v>7976.9999999999991</v>
      </c>
      <c r="AA35" s="363"/>
      <c r="AB35" s="363">
        <v>2196</v>
      </c>
      <c r="AC35" s="363"/>
    </row>
    <row r="36" spans="1:29" s="364" customFormat="1" ht="27" x14ac:dyDescent="0.25">
      <c r="A36" s="356"/>
      <c r="B36" s="357" t="s">
        <v>416</v>
      </c>
      <c r="C36" s="358"/>
      <c r="D36" s="359"/>
      <c r="E36" s="359"/>
      <c r="F36" s="359"/>
      <c r="G36" s="359"/>
      <c r="H36" s="359"/>
      <c r="I36" s="359"/>
      <c r="J36" s="359"/>
      <c r="K36" s="351">
        <v>0</v>
      </c>
      <c r="L36" s="565">
        <v>0</v>
      </c>
      <c r="M36" s="565">
        <v>0</v>
      </c>
      <c r="N36" s="565">
        <v>0</v>
      </c>
      <c r="O36" s="565">
        <v>0</v>
      </c>
      <c r="P36" s="565">
        <v>0</v>
      </c>
      <c r="Q36" s="360"/>
      <c r="R36" s="360"/>
      <c r="S36" s="360"/>
      <c r="T36" s="360"/>
      <c r="U36" s="360"/>
      <c r="V36" s="360"/>
      <c r="W36" s="360">
        <f>(500000*0.1)+360000</f>
        <v>410000</v>
      </c>
      <c r="X36" s="360"/>
      <c r="Y36" s="362">
        <f t="shared" si="2"/>
        <v>410000</v>
      </c>
      <c r="Z36" s="360"/>
      <c r="AA36" s="363"/>
      <c r="AB36" s="363"/>
      <c r="AC36" s="363"/>
    </row>
    <row r="37" spans="1:29" s="364" customFormat="1" ht="27" x14ac:dyDescent="0.25">
      <c r="A37" s="356"/>
      <c r="B37" s="357" t="s">
        <v>209</v>
      </c>
      <c r="C37" s="358"/>
      <c r="D37" s="359"/>
      <c r="E37" s="359"/>
      <c r="F37" s="359"/>
      <c r="G37" s="359"/>
      <c r="H37" s="359"/>
      <c r="I37" s="359"/>
      <c r="J37" s="359"/>
      <c r="K37" s="351">
        <v>0</v>
      </c>
      <c r="L37" s="565">
        <v>0</v>
      </c>
      <c r="M37" s="565">
        <v>0</v>
      </c>
      <c r="N37" s="565">
        <v>0</v>
      </c>
      <c r="O37" s="360">
        <v>732</v>
      </c>
      <c r="P37" s="360">
        <v>732</v>
      </c>
      <c r="Q37" s="360">
        <v>732</v>
      </c>
      <c r="R37" s="360">
        <v>1350</v>
      </c>
      <c r="S37" s="360">
        <v>1350</v>
      </c>
      <c r="T37" s="360">
        <v>1227</v>
      </c>
      <c r="U37" s="360">
        <v>1520.5</v>
      </c>
      <c r="V37" s="360">
        <v>1520.5</v>
      </c>
      <c r="W37" s="360">
        <v>1229</v>
      </c>
      <c r="X37" s="360">
        <v>1651.24</v>
      </c>
      <c r="Y37" s="362">
        <f t="shared" si="2"/>
        <v>12044.24</v>
      </c>
      <c r="Z37" s="360"/>
      <c r="AA37" s="363"/>
      <c r="AB37" s="363"/>
      <c r="AC37" s="363"/>
    </row>
    <row r="38" spans="1:29" s="364" customFormat="1" x14ac:dyDescent="0.25">
      <c r="A38" s="356"/>
      <c r="B38" s="357" t="s">
        <v>210</v>
      </c>
      <c r="C38" s="358"/>
      <c r="D38" s="359"/>
      <c r="E38" s="359"/>
      <c r="F38" s="359"/>
      <c r="G38" s="359"/>
      <c r="H38" s="359"/>
      <c r="I38" s="359"/>
      <c r="J38" s="359"/>
      <c r="K38" s="351">
        <v>0</v>
      </c>
      <c r="L38" s="565">
        <v>0</v>
      </c>
      <c r="M38" s="565">
        <v>0</v>
      </c>
      <c r="N38" s="565">
        <v>0</v>
      </c>
      <c r="O38" s="565">
        <v>0</v>
      </c>
      <c r="P38" s="565">
        <v>0</v>
      </c>
      <c r="Q38" s="360"/>
      <c r="R38" s="360"/>
      <c r="S38" s="360"/>
      <c r="T38" s="360"/>
      <c r="U38" s="360"/>
      <c r="V38" s="360"/>
      <c r="W38" s="360">
        <f>40000/10*4</f>
        <v>16000</v>
      </c>
      <c r="X38" s="360">
        <v>40000</v>
      </c>
      <c r="Y38" s="362">
        <f t="shared" si="2"/>
        <v>56000</v>
      </c>
      <c r="Z38" s="360"/>
      <c r="AA38" s="363"/>
      <c r="AB38" s="363"/>
      <c r="AC38" s="363"/>
    </row>
    <row r="39" spans="1:29" s="364" customFormat="1" ht="27" x14ac:dyDescent="0.25">
      <c r="A39" s="356"/>
      <c r="B39" s="357" t="s">
        <v>211</v>
      </c>
      <c r="C39" s="358"/>
      <c r="D39" s="359"/>
      <c r="E39" s="359"/>
      <c r="F39" s="359"/>
      <c r="G39" s="359"/>
      <c r="H39" s="359"/>
      <c r="I39" s="359"/>
      <c r="J39" s="359"/>
      <c r="K39" s="350">
        <v>0</v>
      </c>
      <c r="L39" s="565">
        <v>0</v>
      </c>
      <c r="M39" s="565">
        <v>0</v>
      </c>
      <c r="N39" s="565">
        <v>0</v>
      </c>
      <c r="O39" s="565">
        <v>0</v>
      </c>
      <c r="P39" s="565">
        <v>0</v>
      </c>
      <c r="Q39" s="360"/>
      <c r="R39" s="360"/>
      <c r="S39" s="360"/>
      <c r="T39" s="360"/>
      <c r="U39" s="360">
        <f>1710/10*4*KK!W4</f>
        <v>95903.64</v>
      </c>
      <c r="V39" s="360">
        <f>+(1710/10*6+1800/10*4)*KK!X4</f>
        <v>244632.06000000003</v>
      </c>
      <c r="W39" s="360">
        <f>+(1800/10*4+1800/10*6)*KK!Y4</f>
        <v>247770</v>
      </c>
      <c r="X39" s="360">
        <f>+(1800/10*6+2000/10*4)*KK!Z4</f>
        <v>254307.6</v>
      </c>
      <c r="Y39" s="362">
        <f t="shared" si="2"/>
        <v>842613.29999999993</v>
      </c>
      <c r="Z39" s="360">
        <f>+(200)*KK!AA4</f>
        <v>26589.999999999996</v>
      </c>
      <c r="AA39" s="363"/>
      <c r="AB39" s="363"/>
      <c r="AC39" s="363"/>
    </row>
    <row r="40" spans="1:29" s="364" customFormat="1" ht="27" x14ac:dyDescent="0.25">
      <c r="A40" s="356"/>
      <c r="B40" s="357" t="s">
        <v>482</v>
      </c>
      <c r="C40" s="358"/>
      <c r="D40" s="359"/>
      <c r="E40" s="359"/>
      <c r="F40" s="359"/>
      <c r="G40" s="359"/>
      <c r="H40" s="359"/>
      <c r="I40" s="359"/>
      <c r="J40" s="359"/>
      <c r="K40" s="350">
        <v>0</v>
      </c>
      <c r="L40" s="565">
        <v>0</v>
      </c>
      <c r="M40" s="565">
        <v>0</v>
      </c>
      <c r="N40" s="565">
        <v>0</v>
      </c>
      <c r="O40" s="565">
        <v>0</v>
      </c>
      <c r="P40" s="565">
        <v>0</v>
      </c>
      <c r="Q40" s="360"/>
      <c r="R40" s="360"/>
      <c r="S40" s="360"/>
      <c r="T40" s="360"/>
      <c r="U40" s="360"/>
      <c r="V40" s="360"/>
      <c r="W40" s="360"/>
      <c r="X40" s="360"/>
      <c r="Y40" s="362">
        <f t="shared" si="2"/>
        <v>0</v>
      </c>
      <c r="Z40" s="360"/>
      <c r="AA40" s="363"/>
      <c r="AB40" s="363"/>
      <c r="AC40" s="363"/>
    </row>
    <row r="41" spans="1:29" s="364" customFormat="1" x14ac:dyDescent="0.25">
      <c r="A41" s="356"/>
      <c r="B41" s="357" t="s">
        <v>212</v>
      </c>
      <c r="C41" s="358"/>
      <c r="D41" s="359"/>
      <c r="E41" s="359"/>
      <c r="F41" s="359"/>
      <c r="G41" s="359"/>
      <c r="H41" s="359"/>
      <c r="I41" s="359"/>
      <c r="J41" s="359"/>
      <c r="K41" s="350">
        <v>0</v>
      </c>
      <c r="L41" s="565">
        <v>0</v>
      </c>
      <c r="M41" s="565">
        <v>0</v>
      </c>
      <c r="N41" s="565">
        <v>0</v>
      </c>
      <c r="O41" s="565">
        <v>0</v>
      </c>
      <c r="P41" s="565">
        <v>0</v>
      </c>
      <c r="Q41" s="360"/>
      <c r="R41" s="360"/>
      <c r="S41" s="360"/>
      <c r="T41" s="360"/>
      <c r="U41" s="360"/>
      <c r="V41" s="360">
        <f>4000*KK!X4/3</f>
        <v>186813.33333333334</v>
      </c>
      <c r="W41" s="360">
        <v>186813.33333333334</v>
      </c>
      <c r="X41" s="360">
        <v>186813.33333333334</v>
      </c>
      <c r="Y41" s="362">
        <f t="shared" si="2"/>
        <v>560440</v>
      </c>
      <c r="Z41" s="360"/>
      <c r="AA41" s="363"/>
      <c r="AB41" s="363"/>
      <c r="AC41" s="363"/>
    </row>
    <row r="42" spans="1:29" s="355" customFormat="1" x14ac:dyDescent="0.25">
      <c r="A42" s="347"/>
      <c r="B42" s="384" t="s">
        <v>6</v>
      </c>
      <c r="C42" s="350">
        <f t="shared" ref="C42:J42" si="10">+C26-C24-C33</f>
        <v>40303.18</v>
      </c>
      <c r="D42" s="350">
        <f t="shared" si="10"/>
        <v>154786.08000000002</v>
      </c>
      <c r="E42" s="350">
        <f t="shared" si="10"/>
        <v>241551.75</v>
      </c>
      <c r="F42" s="350">
        <f t="shared" si="10"/>
        <v>309036.82999999996</v>
      </c>
      <c r="G42" s="350">
        <f t="shared" si="10"/>
        <v>279437</v>
      </c>
      <c r="H42" s="350">
        <f t="shared" si="10"/>
        <v>312075.5</v>
      </c>
      <c r="I42" s="350">
        <f t="shared" si="10"/>
        <v>241102</v>
      </c>
      <c r="J42" s="350">
        <f t="shared" si="10"/>
        <v>121984</v>
      </c>
      <c r="K42" s="350">
        <v>1700276.3399999999</v>
      </c>
      <c r="L42" s="362">
        <f t="shared" ref="L42:X42" si="11">+L26-L24-L33</f>
        <v>557769</v>
      </c>
      <c r="M42" s="362">
        <f t="shared" si="11"/>
        <v>102751.56000000006</v>
      </c>
      <c r="N42" s="388">
        <f t="shared" si="11"/>
        <v>-208650.06000000006</v>
      </c>
      <c r="O42" s="362">
        <f t="shared" si="11"/>
        <v>143385.45999999996</v>
      </c>
      <c r="P42" s="389">
        <f t="shared" si="11"/>
        <v>-251345.54499999841</v>
      </c>
      <c r="Q42" s="388">
        <f t="shared" si="11"/>
        <v>-186413.10320000025</v>
      </c>
      <c r="R42" s="388">
        <f t="shared" si="11"/>
        <v>-15283.59440000006</v>
      </c>
      <c r="S42" s="388">
        <f t="shared" si="11"/>
        <v>-817949.55899999989</v>
      </c>
      <c r="T42" s="388">
        <f t="shared" si="11"/>
        <v>-512837</v>
      </c>
      <c r="U42" s="388">
        <f t="shared" si="11"/>
        <v>-1191401.07</v>
      </c>
      <c r="V42" s="362">
        <f t="shared" si="11"/>
        <v>604686.87666666624</v>
      </c>
      <c r="W42" s="362">
        <f t="shared" si="11"/>
        <v>130406.53666666686</v>
      </c>
      <c r="X42" s="362">
        <f t="shared" si="11"/>
        <v>486710.67666666675</v>
      </c>
      <c r="Y42" s="362">
        <f>SUM(K42:X42)</f>
        <v>542106.51840000087</v>
      </c>
      <c r="Z42" s="362">
        <f>+Z26-Z24-Z33</f>
        <v>52081.648648648654</v>
      </c>
      <c r="AA42" s="354"/>
      <c r="AB42" s="354"/>
      <c r="AC42" s="354"/>
    </row>
    <row r="43" spans="1:29" s="374" customFormat="1" x14ac:dyDescent="0.25">
      <c r="A43" s="356"/>
      <c r="B43" s="390"/>
      <c r="C43" s="390"/>
      <c r="D43" s="391"/>
      <c r="E43" s="391"/>
      <c r="F43" s="391"/>
      <c r="G43" s="391"/>
      <c r="H43" s="391"/>
      <c r="I43" s="391"/>
      <c r="J43" s="391"/>
      <c r="K43" s="391"/>
      <c r="L43" s="392"/>
      <c r="M43" s="392"/>
      <c r="N43" s="392"/>
      <c r="O43" s="392"/>
      <c r="P43" s="392"/>
      <c r="Q43" s="392"/>
      <c r="R43" s="392"/>
      <c r="S43" s="392"/>
      <c r="T43" s="392"/>
      <c r="U43" s="392"/>
      <c r="V43" s="392"/>
      <c r="W43" s="392"/>
      <c r="X43" s="392"/>
      <c r="Y43" s="391"/>
    </row>
    <row r="44" spans="1:29" s="394" customFormat="1" ht="40.5" x14ac:dyDescent="0.25">
      <c r="A44" s="393"/>
      <c r="B44" s="393"/>
      <c r="C44" s="393"/>
      <c r="D44" s="393" t="s">
        <v>480</v>
      </c>
      <c r="G44" s="395"/>
      <c r="I44" s="396" t="s">
        <v>481</v>
      </c>
      <c r="J44" s="395"/>
      <c r="K44" s="397"/>
      <c r="L44" s="395"/>
      <c r="M44" s="395"/>
      <c r="N44" s="396"/>
      <c r="O44" s="395"/>
      <c r="P44" s="395"/>
      <c r="Q44" s="395"/>
      <c r="R44" s="395"/>
      <c r="S44" s="395"/>
      <c r="T44" s="395"/>
      <c r="U44" s="395"/>
      <c r="V44" s="395"/>
      <c r="W44" s="395"/>
      <c r="X44" s="395"/>
      <c r="Y44" s="398">
        <f>+N42+P42+Q42+R42+S42+T42+U42</f>
        <v>-3183879.9315999988</v>
      </c>
      <c r="Z44" s="395"/>
    </row>
    <row r="45" spans="1:29" s="401" customFormat="1" x14ac:dyDescent="0.25">
      <c r="A45" s="332"/>
      <c r="B45" s="332"/>
      <c r="C45" s="399"/>
      <c r="D45" s="399"/>
      <c r="E45" s="399"/>
      <c r="F45" s="399"/>
      <c r="G45" s="399"/>
      <c r="H45" s="399"/>
      <c r="I45" s="399"/>
      <c r="J45" s="399"/>
      <c r="K45" s="400"/>
      <c r="L45" s="399"/>
      <c r="M45" s="399"/>
      <c r="N45" s="399"/>
      <c r="O45" s="399"/>
      <c r="P45" s="399"/>
      <c r="Q45" s="399"/>
      <c r="R45" s="399"/>
      <c r="S45" s="399"/>
      <c r="T45" s="399"/>
      <c r="U45" s="399"/>
      <c r="V45" s="399"/>
      <c r="W45" s="399"/>
      <c r="X45" s="399"/>
      <c r="Y45" s="399"/>
      <c r="Z45" s="399"/>
      <c r="AA45" s="399"/>
      <c r="AB45" s="399"/>
      <c r="AC45" s="399"/>
    </row>
    <row r="46" spans="1:29" x14ac:dyDescent="0.25">
      <c r="T46" s="363"/>
      <c r="U46" s="363"/>
      <c r="V46" s="363"/>
      <c r="W46" s="363"/>
      <c r="X46" s="363"/>
    </row>
    <row r="47" spans="1:29" x14ac:dyDescent="0.25">
      <c r="T47" s="363"/>
      <c r="U47" s="363"/>
      <c r="V47" s="363"/>
      <c r="W47" s="363"/>
      <c r="X47" s="363"/>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K81"/>
  <sheetViews>
    <sheetView zoomScale="59" zoomScaleNormal="59" workbookViewId="0">
      <pane xSplit="1" ySplit="3" topLeftCell="B14" activePane="bottomRight" state="frozen"/>
      <selection pane="topRight" activeCell="B1" sqref="B1"/>
      <selection pane="bottomLeft" activeCell="A4" sqref="A4"/>
      <selection pane="bottomRight" activeCell="T52" sqref="T52"/>
    </sheetView>
  </sheetViews>
  <sheetFormatPr defaultColWidth="9.140625" defaultRowHeight="15" x14ac:dyDescent="0.25"/>
  <cols>
    <col min="1" max="1" width="9.140625" style="59" customWidth="1"/>
    <col min="2" max="2" width="54.7109375" style="58" bestFit="1" customWidth="1"/>
    <col min="3" max="3" width="21" style="59" bestFit="1" customWidth="1"/>
    <col min="4" max="4" width="17.140625" style="43" bestFit="1" customWidth="1"/>
    <col min="5" max="5" width="13" style="59" bestFit="1" customWidth="1"/>
    <col min="6" max="7" width="13" style="59" customWidth="1"/>
    <col min="8" max="8" width="12.7109375" style="59" customWidth="1"/>
    <col min="9" max="14" width="7.85546875" style="59" customWidth="1"/>
    <col min="15" max="15" width="21.5703125" style="58" customWidth="1"/>
    <col min="16" max="16" width="21.5703125" style="59" customWidth="1"/>
    <col min="17" max="17" width="33.7109375" style="59" customWidth="1"/>
    <col min="18" max="18" width="32.85546875" style="59" customWidth="1"/>
    <col min="19" max="19" width="24.5703125" style="59" customWidth="1"/>
    <col min="20" max="20" width="29.85546875" style="59" customWidth="1"/>
    <col min="21" max="21" width="26" style="59" customWidth="1"/>
    <col min="22" max="22" width="24.28515625" style="59" customWidth="1"/>
    <col min="23" max="23" width="25.7109375" style="59" customWidth="1"/>
    <col min="24" max="24" width="27.7109375" style="59" bestFit="1" customWidth="1"/>
    <col min="25" max="25" width="29.5703125" style="59" customWidth="1"/>
    <col min="26" max="26" width="35" style="59" customWidth="1"/>
    <col min="27" max="27" width="25" style="59" customWidth="1"/>
    <col min="28" max="28" width="19" style="59" customWidth="1"/>
    <col min="29" max="29" width="9.42578125" style="59" bestFit="1" customWidth="1"/>
    <col min="30" max="30" width="20" style="59" bestFit="1" customWidth="1"/>
    <col min="31" max="32" width="7.5703125" style="59" bestFit="1" customWidth="1"/>
    <col min="33" max="16384" width="9.140625" style="59"/>
  </cols>
  <sheetData>
    <row r="2" spans="2:31" s="40" customFormat="1" x14ac:dyDescent="0.25">
      <c r="B2" s="41"/>
      <c r="D2" s="42"/>
      <c r="O2" s="41"/>
    </row>
    <row r="3" spans="2:31" s="607" customFormat="1" ht="33" customHeight="1" x14ac:dyDescent="0.3">
      <c r="B3" s="608" t="s">
        <v>435</v>
      </c>
      <c r="C3" s="607" t="s">
        <v>100</v>
      </c>
      <c r="D3" s="609" t="s">
        <v>101</v>
      </c>
      <c r="E3" s="607" t="s">
        <v>133</v>
      </c>
      <c r="H3" s="607">
        <v>1996</v>
      </c>
      <c r="I3" s="607">
        <v>1997</v>
      </c>
      <c r="J3" s="607">
        <v>1998</v>
      </c>
      <c r="K3" s="607">
        <v>1999</v>
      </c>
      <c r="L3" s="607">
        <v>2000</v>
      </c>
      <c r="M3" s="607">
        <v>2001</v>
      </c>
      <c r="N3" s="607">
        <v>2002</v>
      </c>
      <c r="O3" s="608">
        <v>2003</v>
      </c>
      <c r="P3" s="607">
        <v>2004</v>
      </c>
      <c r="Q3" s="607">
        <v>2005</v>
      </c>
      <c r="R3" s="607">
        <v>2006</v>
      </c>
      <c r="S3" s="607">
        <v>2007</v>
      </c>
      <c r="T3" s="607">
        <v>2008</v>
      </c>
      <c r="U3" s="607">
        <v>2009</v>
      </c>
      <c r="V3" s="607">
        <v>2010</v>
      </c>
      <c r="W3" s="607">
        <v>2011</v>
      </c>
      <c r="X3" s="607">
        <v>2012</v>
      </c>
      <c r="Y3" s="607">
        <v>2013</v>
      </c>
      <c r="Z3" s="607">
        <v>2014</v>
      </c>
      <c r="AA3" s="607">
        <v>2015</v>
      </c>
      <c r="AB3" s="607">
        <v>2016</v>
      </c>
      <c r="AC3" s="607" t="s">
        <v>62</v>
      </c>
      <c r="AD3" s="607" t="s">
        <v>135</v>
      </c>
    </row>
    <row r="4" spans="2:31" s="55" customFormat="1" ht="27.75" customHeight="1" x14ac:dyDescent="0.25">
      <c r="B4" s="54"/>
      <c r="D4" s="56"/>
      <c r="I4" s="57"/>
      <c r="J4" s="57"/>
      <c r="K4" s="57"/>
      <c r="L4" s="57"/>
      <c r="M4" s="57"/>
      <c r="N4" s="57"/>
      <c r="O4" s="137"/>
      <c r="P4" s="57"/>
      <c r="Q4" s="57"/>
      <c r="R4" s="57"/>
      <c r="S4" s="57"/>
      <c r="T4" s="57"/>
      <c r="U4" s="57"/>
      <c r="V4" s="57"/>
      <c r="W4" s="57"/>
      <c r="X4" s="57"/>
      <c r="Y4" s="57"/>
      <c r="Z4" s="57"/>
      <c r="AA4" s="57"/>
      <c r="AB4" s="57"/>
      <c r="AC4" s="57"/>
      <c r="AD4" s="57"/>
      <c r="AE4" s="57"/>
    </row>
    <row r="5" spans="2:31" s="209" customFormat="1" x14ac:dyDescent="0.25">
      <c r="B5" s="208" t="s">
        <v>220</v>
      </c>
      <c r="C5" s="209" t="s">
        <v>221</v>
      </c>
      <c r="D5" s="216">
        <v>18791341016015</v>
      </c>
      <c r="E5" s="209" t="s">
        <v>145</v>
      </c>
      <c r="I5" s="210"/>
      <c r="J5" s="210"/>
      <c r="K5" s="210"/>
      <c r="L5" s="210"/>
      <c r="M5" s="210"/>
      <c r="N5" s="210"/>
      <c r="O5" s="211"/>
      <c r="P5" s="210"/>
      <c r="Q5" s="210"/>
      <c r="R5" s="210"/>
      <c r="S5" s="210"/>
      <c r="T5" s="210">
        <f>0.41*KK!R4</f>
        <v>50.504824999999997</v>
      </c>
      <c r="U5" s="210">
        <f>0.62*KK!S4</f>
        <v>85.045399999999987</v>
      </c>
      <c r="V5" s="210">
        <f>4.65*KK!T4</f>
        <v>645.46650000000011</v>
      </c>
      <c r="W5" s="210">
        <f>0.37*KK!U4</f>
        <v>51.171000000000006</v>
      </c>
      <c r="X5" s="210">
        <v>0</v>
      </c>
      <c r="Y5" s="210">
        <f>2.82*KK!W4</f>
        <v>395.3922</v>
      </c>
      <c r="Z5" s="210">
        <f>24.85*KK!X4</f>
        <v>3481.7335000000007</v>
      </c>
      <c r="AA5" s="210"/>
      <c r="AB5" s="210"/>
      <c r="AC5" s="210"/>
      <c r="AD5" s="210"/>
      <c r="AE5" s="210"/>
    </row>
    <row r="6" spans="2:31" s="209" customFormat="1" x14ac:dyDescent="0.25">
      <c r="B6" s="208" t="s">
        <v>222</v>
      </c>
      <c r="D6" s="212"/>
      <c r="E6" s="209" t="s">
        <v>145</v>
      </c>
      <c r="I6" s="210"/>
      <c r="J6" s="210"/>
      <c r="K6" s="210"/>
      <c r="L6" s="210"/>
      <c r="M6" s="210"/>
      <c r="N6" s="210"/>
      <c r="O6" s="211"/>
      <c r="P6" s="210"/>
      <c r="Q6" s="210"/>
      <c r="R6" s="210"/>
      <c r="S6" s="210"/>
      <c r="T6" s="210">
        <f>346+345+345+346+345+345</f>
        <v>2072</v>
      </c>
      <c r="U6" s="210">
        <f>345+346+345.24+345+345.24+15000+230.24+356.24+231+230+230+231+230</f>
        <v>18464.960000000003</v>
      </c>
      <c r="V6" s="210">
        <f>230*7+231+230.24+231+126+231+3405+100</f>
        <v>6164.24</v>
      </c>
      <c r="W6" s="210">
        <f>201+204+205+205+205+205+205+3290+180.86+180.86+180.86+180.75+2060</f>
        <v>7503.329999999999</v>
      </c>
      <c r="X6" s="210">
        <f>165+165+165+165+162+165+165+3090+198+180+150+130</f>
        <v>4900</v>
      </c>
      <c r="Y6" s="210">
        <f>140+138+138+140+140+140+137+140+138+140+100+150+130+140</f>
        <v>1911</v>
      </c>
      <c r="Z6" s="210">
        <f>140*8+100+135+135+15550</f>
        <v>17040</v>
      </c>
      <c r="AA6" s="210"/>
      <c r="AB6" s="210"/>
      <c r="AC6" s="210"/>
      <c r="AD6" s="210"/>
      <c r="AE6" s="210"/>
    </row>
    <row r="7" spans="2:31" s="213" customFormat="1" ht="30" x14ac:dyDescent="0.25">
      <c r="D7" s="214"/>
      <c r="I7" s="215"/>
      <c r="J7" s="215"/>
      <c r="K7" s="215"/>
      <c r="L7" s="215"/>
      <c r="M7" s="215"/>
      <c r="N7" s="215"/>
      <c r="O7" s="215"/>
      <c r="P7" s="215"/>
      <c r="Q7" s="215"/>
      <c r="R7" s="215"/>
      <c r="S7" s="215"/>
      <c r="T7" s="215"/>
      <c r="U7" s="215" t="s">
        <v>224</v>
      </c>
      <c r="V7" s="215" t="s">
        <v>223</v>
      </c>
      <c r="W7" s="215" t="s">
        <v>225</v>
      </c>
      <c r="X7" s="215" t="s">
        <v>227</v>
      </c>
      <c r="Y7" s="215"/>
      <c r="Z7" s="215" t="s">
        <v>228</v>
      </c>
      <c r="AA7" s="215"/>
      <c r="AB7" s="215"/>
      <c r="AC7" s="215"/>
      <c r="AD7" s="215"/>
      <c r="AE7" s="215"/>
    </row>
    <row r="8" spans="2:31" s="209" customFormat="1" ht="30" x14ac:dyDescent="0.25">
      <c r="B8" s="208"/>
      <c r="D8" s="212"/>
      <c r="I8" s="210"/>
      <c r="J8" s="210"/>
      <c r="K8" s="210"/>
      <c r="L8" s="210"/>
      <c r="M8" s="210"/>
      <c r="N8" s="210"/>
      <c r="O8" s="211"/>
      <c r="P8" s="210"/>
      <c r="Q8" s="210"/>
      <c r="R8" s="210"/>
      <c r="S8" s="210"/>
      <c r="T8" s="210"/>
      <c r="U8" s="210"/>
      <c r="V8" s="210"/>
      <c r="W8" s="215" t="s">
        <v>226</v>
      </c>
      <c r="X8" s="210"/>
      <c r="Y8" s="210"/>
      <c r="Z8" s="210"/>
      <c r="AA8" s="210"/>
      <c r="AB8" s="210"/>
      <c r="AC8" s="210"/>
      <c r="AD8" s="210"/>
      <c r="AE8" s="210"/>
    </row>
    <row r="9" spans="2:31" x14ac:dyDescent="0.25">
      <c r="I9" s="60"/>
      <c r="J9" s="60"/>
      <c r="K9" s="60"/>
      <c r="L9" s="60"/>
      <c r="M9" s="60"/>
      <c r="N9" s="60"/>
      <c r="O9" s="138"/>
      <c r="P9" s="60"/>
      <c r="Q9" s="60"/>
      <c r="R9" s="60"/>
      <c r="S9" s="60"/>
      <c r="T9" s="60"/>
      <c r="U9" s="60"/>
      <c r="V9" s="60"/>
      <c r="W9" s="60"/>
      <c r="X9" s="60"/>
      <c r="Y9" s="60"/>
      <c r="Z9" s="60"/>
      <c r="AA9" s="60"/>
      <c r="AB9" s="60"/>
      <c r="AC9" s="44"/>
      <c r="AD9" s="60"/>
      <c r="AE9" s="60"/>
    </row>
    <row r="10" spans="2:31" s="55" customFormat="1" x14ac:dyDescent="0.25">
      <c r="B10" s="54" t="s">
        <v>230</v>
      </c>
      <c r="C10" s="55" t="s">
        <v>238</v>
      </c>
      <c r="D10" s="56">
        <v>525206</v>
      </c>
      <c r="E10" s="55" t="s">
        <v>239</v>
      </c>
      <c r="I10" s="57"/>
      <c r="J10" s="57"/>
      <c r="K10" s="57"/>
      <c r="L10" s="57"/>
      <c r="M10" s="57"/>
      <c r="N10" s="57"/>
      <c r="O10" s="137"/>
      <c r="P10" s="57"/>
      <c r="Q10" s="575">
        <v>4568.4399999999996</v>
      </c>
      <c r="R10" s="575">
        <v>268021.28999999998</v>
      </c>
      <c r="S10" s="575">
        <v>57127.83</v>
      </c>
      <c r="T10" s="575">
        <v>52625.52</v>
      </c>
      <c r="U10" s="57">
        <v>11.43</v>
      </c>
      <c r="V10" s="57">
        <v>233.04</v>
      </c>
      <c r="W10" s="57">
        <v>308.06</v>
      </c>
      <c r="X10" s="57">
        <v>-60.17</v>
      </c>
      <c r="Y10" s="57">
        <v>598.48</v>
      </c>
      <c r="Z10" s="57">
        <v>83216.14</v>
      </c>
      <c r="AA10" s="57">
        <v>6144.87</v>
      </c>
      <c r="AB10" s="57">
        <v>411888.02</v>
      </c>
      <c r="AC10" s="57"/>
      <c r="AD10" s="57">
        <v>451733.02</v>
      </c>
      <c r="AE10" s="57"/>
    </row>
    <row r="11" spans="2:31" x14ac:dyDescent="0.25">
      <c r="B11" s="58" t="s">
        <v>233</v>
      </c>
      <c r="I11" s="60"/>
      <c r="J11" s="60"/>
      <c r="K11" s="60"/>
      <c r="L11" s="60"/>
      <c r="M11" s="60"/>
      <c r="N11" s="60"/>
      <c r="O11" s="138"/>
      <c r="P11" s="60"/>
      <c r="Q11" s="60">
        <f>27726+65858+69069+65221+83364+63936+65221+68432+10000+67305+62123</f>
        <v>648255</v>
      </c>
      <c r="R11" s="60">
        <f>23495+68432+65081+65081+68292+68292+68292+64088+62445+74824+71362+79158+15000+42095</f>
        <v>835937</v>
      </c>
      <c r="S11" s="60">
        <f>24027+71195+69348+75976+72976+72703+40605+36021+66228+76627+79229+65136+68450+14507+49943+30000</f>
        <v>912971</v>
      </c>
      <c r="T11" s="60">
        <f>64450+85761+76775+76438+74579+74326+6449+93825+68121+74716+70320+70320+52500</f>
        <v>888580</v>
      </c>
      <c r="U11" s="60">
        <f>26820+70320+66495+66495+91257+66495+77050+66495+66495+66495+66495+77772</f>
        <v>808684</v>
      </c>
      <c r="V11" s="60">
        <f>31772+49833+65772+65773+65772+65772+65772+65772+65380+68872+66876+49537+12564+75877+9000+5381</f>
        <v>829725</v>
      </c>
      <c r="W11" s="60">
        <f>67774+72258+77639+72258+88401+72258+66877+83020+76833+85400+69526+87247+9000</f>
        <v>928491</v>
      </c>
      <c r="X11" s="60">
        <f>81650+69526+80718+80718+86314+69526+69526+81151+74699+69249+73809+71264+77012+9000</f>
        <v>994162</v>
      </c>
      <c r="Y11" s="60">
        <f>71264+77012+82760+71264+71264+73180+71264+72801+72477+72477+85081+78249+11714</f>
        <v>910807</v>
      </c>
      <c r="Z11" s="60">
        <f>78249+89195+120275+89195+95857+95857+95857+108513+89014+105426+60648+51843+978</f>
        <v>1080907</v>
      </c>
      <c r="AA11" s="60">
        <f>90762+86345+95055+91791+96155+89608+102577+89608+99519+91334+91334+96334</f>
        <v>1120422</v>
      </c>
      <c r="AB11" s="60">
        <f>93834+97167+91334+96333+91334+86941+91334+93060+93060+114222+104537+111673</f>
        <v>1164829</v>
      </c>
      <c r="AC11" s="44"/>
      <c r="AD11" s="60">
        <v>99845</v>
      </c>
      <c r="AE11" s="60"/>
    </row>
    <row r="12" spans="2:31" s="55" customFormat="1" x14ac:dyDescent="0.25">
      <c r="B12" s="54"/>
      <c r="D12" s="56"/>
      <c r="I12" s="57"/>
      <c r="J12" s="57"/>
      <c r="K12" s="57"/>
      <c r="L12" s="57"/>
      <c r="M12" s="57"/>
      <c r="N12" s="57"/>
      <c r="O12" s="137"/>
      <c r="P12" s="57"/>
      <c r="Q12" s="57"/>
      <c r="R12" s="57"/>
      <c r="S12" s="57"/>
      <c r="T12" s="57"/>
      <c r="U12" s="57"/>
      <c r="V12" s="57"/>
      <c r="W12" s="57"/>
      <c r="X12" s="57"/>
      <c r="Y12" s="57"/>
      <c r="Z12" s="57"/>
      <c r="AA12" s="57"/>
      <c r="AB12" s="57"/>
      <c r="AC12" s="57"/>
      <c r="AD12" s="57"/>
      <c r="AE12" s="57"/>
    </row>
    <row r="13" spans="2:31" x14ac:dyDescent="0.25">
      <c r="I13" s="60"/>
      <c r="J13" s="60"/>
      <c r="K13" s="60"/>
      <c r="L13" s="60"/>
      <c r="M13" s="60"/>
      <c r="N13" s="60"/>
      <c r="O13" s="138"/>
      <c r="P13" s="60"/>
      <c r="Q13" s="60"/>
      <c r="R13" s="60"/>
      <c r="S13" s="60"/>
      <c r="T13" s="60"/>
      <c r="U13" s="60"/>
      <c r="V13" s="60"/>
      <c r="W13" s="60"/>
      <c r="X13" s="60"/>
      <c r="Y13" s="60"/>
      <c r="Z13" s="60"/>
      <c r="AA13" s="60"/>
      <c r="AB13" s="60"/>
      <c r="AC13" s="44"/>
      <c r="AD13" s="60"/>
      <c r="AE13" s="60"/>
    </row>
    <row r="14" spans="2:31" x14ac:dyDescent="0.25">
      <c r="I14" s="60"/>
      <c r="J14" s="60"/>
      <c r="K14" s="60"/>
      <c r="L14" s="60"/>
      <c r="M14" s="60"/>
      <c r="N14" s="60"/>
      <c r="O14" s="138"/>
      <c r="P14" s="60"/>
      <c r="Q14" s="60"/>
      <c r="R14" s="60"/>
      <c r="S14" s="60"/>
      <c r="T14" s="60"/>
      <c r="U14" s="60"/>
      <c r="V14" s="60"/>
      <c r="W14" s="60"/>
      <c r="X14" s="60"/>
      <c r="Y14" s="60"/>
      <c r="Z14" s="60"/>
      <c r="AA14" s="60"/>
      <c r="AB14" s="60"/>
      <c r="AC14" s="44"/>
      <c r="AD14" s="60"/>
      <c r="AE14" s="60"/>
    </row>
    <row r="15" spans="2:31" s="40" customFormat="1" x14ac:dyDescent="0.25">
      <c r="B15" s="54" t="s">
        <v>230</v>
      </c>
      <c r="C15" s="55" t="s">
        <v>238</v>
      </c>
      <c r="D15" s="56">
        <v>525206</v>
      </c>
      <c r="E15" s="55" t="s">
        <v>243</v>
      </c>
      <c r="F15" s="55"/>
      <c r="G15" s="55"/>
      <c r="I15" s="44"/>
      <c r="J15" s="44"/>
      <c r="K15" s="44"/>
      <c r="L15" s="44"/>
      <c r="M15" s="44"/>
      <c r="N15" s="44"/>
      <c r="O15" s="139"/>
      <c r="P15" s="44"/>
      <c r="Q15" s="44"/>
      <c r="R15" s="44"/>
      <c r="S15" s="44"/>
      <c r="T15" s="44"/>
      <c r="U15" s="44"/>
      <c r="V15" s="44"/>
      <c r="W15" s="44"/>
      <c r="X15" s="44"/>
      <c r="Y15" s="44"/>
      <c r="Z15" s="44"/>
      <c r="AA15" s="44"/>
      <c r="AB15" s="44"/>
      <c r="AC15" s="44"/>
      <c r="AD15" s="44"/>
      <c r="AE15" s="44"/>
    </row>
    <row r="16" spans="2:31" x14ac:dyDescent="0.25">
      <c r="I16" s="60"/>
      <c r="J16" s="60"/>
      <c r="K16" s="60"/>
      <c r="L16" s="60"/>
      <c r="M16" s="60"/>
      <c r="N16" s="60"/>
      <c r="O16" s="138"/>
      <c r="P16" s="60"/>
      <c r="Q16" s="60"/>
      <c r="R16" s="60"/>
      <c r="S16" s="60"/>
      <c r="T16" s="60"/>
      <c r="U16" s="60"/>
      <c r="V16" s="60"/>
      <c r="W16" s="60"/>
      <c r="X16" s="60"/>
      <c r="Y16" s="60"/>
      <c r="Z16" s="60"/>
      <c r="AA16" s="60"/>
      <c r="AB16" s="60"/>
      <c r="AC16" s="44"/>
      <c r="AD16" s="60"/>
      <c r="AE16" s="60"/>
    </row>
    <row r="17" spans="2:32" s="52" customFormat="1" ht="18.75" x14ac:dyDescent="0.3">
      <c r="B17" s="51" t="s">
        <v>104</v>
      </c>
      <c r="D17" s="53"/>
      <c r="I17" s="66">
        <f t="shared" ref="I17:N17" si="0">SUM(I4:I16)</f>
        <v>0</v>
      </c>
      <c r="J17" s="66">
        <f t="shared" si="0"/>
        <v>0</v>
      </c>
      <c r="K17" s="66">
        <f t="shared" si="0"/>
        <v>0</v>
      </c>
      <c r="L17" s="66">
        <f t="shared" si="0"/>
        <v>0</v>
      </c>
      <c r="M17" s="66">
        <f t="shared" si="0"/>
        <v>0</v>
      </c>
      <c r="N17" s="66">
        <f t="shared" si="0"/>
        <v>0</v>
      </c>
      <c r="O17" s="140">
        <f>+O10+O15</f>
        <v>0</v>
      </c>
      <c r="P17" s="140">
        <f>+P10+P15</f>
        <v>0</v>
      </c>
      <c r="Q17" s="140">
        <f>+Q10+Q15</f>
        <v>4568.4399999999996</v>
      </c>
      <c r="R17" s="140">
        <f t="shared" ref="R17:AD17" si="1">+R10+R15</f>
        <v>268021.28999999998</v>
      </c>
      <c r="S17" s="140">
        <f t="shared" si="1"/>
        <v>57127.83</v>
      </c>
      <c r="T17" s="140">
        <f t="shared" si="1"/>
        <v>52625.52</v>
      </c>
      <c r="U17" s="140">
        <f t="shared" si="1"/>
        <v>11.43</v>
      </c>
      <c r="V17" s="140">
        <f t="shared" si="1"/>
        <v>233.04</v>
      </c>
      <c r="W17" s="140">
        <f t="shared" si="1"/>
        <v>308.06</v>
      </c>
      <c r="X17" s="140">
        <f t="shared" si="1"/>
        <v>-60.17</v>
      </c>
      <c r="Y17" s="140">
        <f t="shared" si="1"/>
        <v>598.48</v>
      </c>
      <c r="Z17" s="140">
        <f t="shared" si="1"/>
        <v>83216.14</v>
      </c>
      <c r="AA17" s="140">
        <f t="shared" si="1"/>
        <v>6144.87</v>
      </c>
      <c r="AB17" s="140">
        <f t="shared" si="1"/>
        <v>411888.02</v>
      </c>
      <c r="AC17" s="140">
        <f t="shared" si="1"/>
        <v>0</v>
      </c>
      <c r="AD17" s="140">
        <f t="shared" si="1"/>
        <v>451733.02</v>
      </c>
      <c r="AE17" s="140"/>
      <c r="AF17" s="140"/>
    </row>
    <row r="18" spans="2:32" x14ac:dyDescent="0.25">
      <c r="AC18" s="44"/>
    </row>
    <row r="19" spans="2:32" s="605" customFormat="1" ht="18.75" x14ac:dyDescent="0.3">
      <c r="B19" s="604" t="s">
        <v>434</v>
      </c>
      <c r="C19" s="605" t="s">
        <v>100</v>
      </c>
      <c r="D19" s="606" t="s">
        <v>101</v>
      </c>
      <c r="E19" s="605" t="s">
        <v>133</v>
      </c>
      <c r="H19" s="605">
        <v>1996</v>
      </c>
      <c r="I19" s="605">
        <v>1997</v>
      </c>
      <c r="J19" s="605">
        <v>1998</v>
      </c>
      <c r="K19" s="605">
        <v>1999</v>
      </c>
      <c r="L19" s="605">
        <v>2000</v>
      </c>
      <c r="M19" s="605">
        <v>2001</v>
      </c>
      <c r="N19" s="605">
        <v>2002</v>
      </c>
      <c r="O19" s="604">
        <v>2003</v>
      </c>
      <c r="P19" s="605">
        <v>2004</v>
      </c>
      <c r="Q19" s="605">
        <v>2005</v>
      </c>
      <c r="R19" s="605">
        <v>2006</v>
      </c>
      <c r="S19" s="605">
        <v>2007</v>
      </c>
      <c r="T19" s="605">
        <v>2008</v>
      </c>
      <c r="U19" s="605">
        <v>2009</v>
      </c>
      <c r="V19" s="605">
        <v>2010</v>
      </c>
      <c r="W19" s="605">
        <v>2011</v>
      </c>
      <c r="X19" s="605">
        <v>2012</v>
      </c>
      <c r="Y19" s="605">
        <v>2013</v>
      </c>
      <c r="Z19" s="605">
        <v>2014</v>
      </c>
      <c r="AA19" s="605">
        <v>2015</v>
      </c>
      <c r="AB19" s="605">
        <v>2016</v>
      </c>
      <c r="AC19" s="607" t="s">
        <v>62</v>
      </c>
      <c r="AD19" s="607" t="s">
        <v>135</v>
      </c>
    </row>
    <row r="20" spans="2:32" s="55" customFormat="1" x14ac:dyDescent="0.25">
      <c r="B20" s="54"/>
      <c r="D20" s="70"/>
      <c r="I20" s="57"/>
      <c r="J20" s="57"/>
      <c r="K20" s="57"/>
      <c r="L20" s="57"/>
      <c r="M20" s="57"/>
      <c r="N20" s="57"/>
      <c r="O20" s="137"/>
      <c r="P20" s="57"/>
      <c r="Q20" s="57"/>
      <c r="R20" s="57"/>
      <c r="S20" s="57"/>
      <c r="T20" s="57"/>
      <c r="U20" s="57"/>
      <c r="V20" s="57"/>
      <c r="W20" s="57"/>
      <c r="X20" s="57"/>
      <c r="Y20" s="57"/>
      <c r="Z20" s="57"/>
      <c r="AA20" s="57"/>
      <c r="AB20" s="57"/>
      <c r="AC20" s="57"/>
      <c r="AD20" s="57"/>
      <c r="AE20" s="57"/>
    </row>
    <row r="21" spans="2:32" s="93" customFormat="1" x14ac:dyDescent="0.25">
      <c r="B21" s="54" t="s">
        <v>230</v>
      </c>
      <c r="C21" s="55" t="s">
        <v>231</v>
      </c>
      <c r="D21" s="94">
        <v>267207</v>
      </c>
      <c r="E21" s="93" t="s">
        <v>232</v>
      </c>
      <c r="I21" s="145"/>
      <c r="J21" s="145"/>
      <c r="K21" s="145"/>
      <c r="L21" s="145"/>
      <c r="M21" s="145"/>
      <c r="N21" s="145"/>
      <c r="O21" s="146"/>
      <c r="P21" s="145"/>
      <c r="Q21" s="145"/>
      <c r="R21" s="145"/>
      <c r="S21" s="145"/>
      <c r="T21" s="145"/>
      <c r="U21" s="145">
        <v>9084</v>
      </c>
      <c r="V21" s="145">
        <v>48437</v>
      </c>
      <c r="W21" s="145">
        <v>61919</v>
      </c>
      <c r="X21" s="145">
        <v>61214.23</v>
      </c>
      <c r="Y21" s="145">
        <v>2419.35</v>
      </c>
      <c r="Z21" s="145">
        <v>0</v>
      </c>
      <c r="AA21" s="145"/>
      <c r="AB21" s="145"/>
      <c r="AC21" s="145"/>
      <c r="AD21" s="145"/>
      <c r="AE21" s="145"/>
    </row>
    <row r="22" spans="2:32" x14ac:dyDescent="0.25">
      <c r="B22" s="58" t="s">
        <v>234</v>
      </c>
      <c r="I22" s="60"/>
      <c r="J22" s="60"/>
      <c r="K22" s="60"/>
      <c r="L22" s="60"/>
      <c r="M22" s="60"/>
      <c r="N22" s="60"/>
      <c r="O22" s="138"/>
      <c r="P22" s="60"/>
      <c r="Q22" s="60"/>
      <c r="R22" s="60"/>
      <c r="S22" s="60"/>
      <c r="T22" s="60"/>
      <c r="U22" s="60">
        <f>33225+45567*9+53756+9000</f>
        <v>506084</v>
      </c>
      <c r="V22" s="60">
        <f>45591*9+50664+49750+9000+47620</f>
        <v>567353</v>
      </c>
      <c r="W22" s="60">
        <f>47620*9+49785+38549+9000+52865</f>
        <v>578779</v>
      </c>
      <c r="X22" s="60">
        <f>48574*5+50807+37408+49133+49733+49058*3+9000</f>
        <v>586125</v>
      </c>
      <c r="Y22" s="60">
        <f>49058*3+37781+50750+50733*3+51790+51281*2+4490+46566</f>
        <v>593312</v>
      </c>
      <c r="Z22" s="60"/>
      <c r="AA22" s="60"/>
      <c r="AB22" s="60"/>
      <c r="AC22" s="44"/>
      <c r="AD22" s="60"/>
      <c r="AE22" s="60"/>
    </row>
    <row r="23" spans="2:32" x14ac:dyDescent="0.25">
      <c r="I23" s="60"/>
      <c r="J23" s="60"/>
      <c r="K23" s="60"/>
      <c r="L23" s="60"/>
      <c r="M23" s="60"/>
      <c r="N23" s="60"/>
      <c r="O23" s="138"/>
      <c r="P23" s="60"/>
      <c r="Q23" s="60"/>
      <c r="R23" s="60"/>
      <c r="S23" s="60"/>
      <c r="T23" s="60"/>
      <c r="U23" s="60"/>
      <c r="V23" s="60"/>
      <c r="W23" s="60"/>
      <c r="X23" s="60"/>
      <c r="Y23" s="60"/>
      <c r="Z23" s="60"/>
      <c r="AA23" s="60"/>
      <c r="AB23" s="60"/>
      <c r="AC23" s="44"/>
      <c r="AD23" s="60"/>
      <c r="AE23" s="60"/>
    </row>
    <row r="24" spans="2:32" s="93" customFormat="1" x14ac:dyDescent="0.25">
      <c r="B24" s="54" t="s">
        <v>230</v>
      </c>
      <c r="C24" s="55" t="s">
        <v>235</v>
      </c>
      <c r="D24" s="94">
        <v>507253775</v>
      </c>
      <c r="E24" s="93" t="s">
        <v>232</v>
      </c>
      <c r="I24" s="145"/>
      <c r="J24" s="145"/>
      <c r="K24" s="145"/>
      <c r="L24" s="145"/>
      <c r="M24" s="145"/>
      <c r="N24" s="145"/>
      <c r="O24" s="146"/>
      <c r="P24" s="145"/>
      <c r="Q24" s="576">
        <v>247</v>
      </c>
      <c r="R24" s="576">
        <v>372.21</v>
      </c>
      <c r="S24" s="576">
        <f>R24</f>
        <v>372.21</v>
      </c>
      <c r="T24" s="576">
        <v>372.54</v>
      </c>
      <c r="U24" s="145">
        <v>0.17</v>
      </c>
      <c r="V24" s="145">
        <v>0</v>
      </c>
      <c r="W24" s="145">
        <v>0</v>
      </c>
      <c r="X24" s="145">
        <v>0</v>
      </c>
      <c r="Y24" s="145">
        <v>0</v>
      </c>
      <c r="Z24" s="145">
        <v>463393.52</v>
      </c>
      <c r="AA24" s="145">
        <v>605013.92000000004</v>
      </c>
      <c r="AB24" s="145">
        <v>810043.92</v>
      </c>
      <c r="AC24" s="145"/>
      <c r="AD24" s="145">
        <v>835871.92</v>
      </c>
      <c r="AE24" s="145"/>
    </row>
    <row r="25" spans="2:32" ht="45" x14ac:dyDescent="0.25">
      <c r="B25" s="58" t="s">
        <v>236</v>
      </c>
      <c r="I25" s="60"/>
      <c r="J25" s="60"/>
      <c r="K25" s="60"/>
      <c r="L25" s="60"/>
      <c r="M25" s="60"/>
      <c r="N25" s="60"/>
      <c r="O25" s="138"/>
      <c r="P25" s="60"/>
      <c r="Q25" s="60">
        <f>27624*9+28379</f>
        <v>276995</v>
      </c>
      <c r="R25" s="60">
        <f>28379*8+40593</f>
        <v>267625</v>
      </c>
      <c r="S25" s="60"/>
      <c r="T25" s="60"/>
      <c r="U25" s="60">
        <v>26571</v>
      </c>
      <c r="W25" s="60"/>
      <c r="X25" s="60"/>
      <c r="Y25" s="60"/>
      <c r="Z25" s="60">
        <f>53229*3+55728*5+60228+62657+60228+60228</f>
        <v>681668</v>
      </c>
      <c r="AA25" s="60">
        <f>15660+60228+57256+58742+60625+54289+74890+68472+74890+74716+74890+74890+74890</f>
        <v>824438</v>
      </c>
      <c r="AB25" s="60">
        <f>73418+71313+74890+75140+75142*7+75828</f>
        <v>896583</v>
      </c>
      <c r="AC25" s="44"/>
      <c r="AD25" s="60">
        <v>75828</v>
      </c>
      <c r="AE25" s="60"/>
    </row>
    <row r="26" spans="2:32" x14ac:dyDescent="0.25">
      <c r="I26" s="60"/>
      <c r="J26" s="60"/>
      <c r="K26" s="60"/>
      <c r="L26" s="60"/>
      <c r="M26" s="60"/>
      <c r="N26" s="60"/>
      <c r="O26" s="138"/>
      <c r="P26" s="60"/>
      <c r="Q26" s="60"/>
      <c r="R26" s="60"/>
      <c r="S26" s="60"/>
      <c r="T26" s="60"/>
      <c r="U26" s="60"/>
      <c r="V26" s="60"/>
      <c r="W26" s="60"/>
      <c r="X26" s="60"/>
      <c r="Y26" s="60"/>
      <c r="Z26" s="60"/>
      <c r="AA26" s="60"/>
      <c r="AB26" s="60"/>
      <c r="AC26" s="44"/>
      <c r="AD26" s="60"/>
      <c r="AE26" s="60"/>
    </row>
    <row r="27" spans="2:32" s="55" customFormat="1" hidden="1" x14ac:dyDescent="0.25">
      <c r="B27" s="54"/>
      <c r="D27" s="56"/>
      <c r="I27" s="57"/>
      <c r="J27" s="57"/>
      <c r="K27" s="57"/>
      <c r="L27" s="57"/>
      <c r="M27" s="57"/>
      <c r="N27" s="57"/>
      <c r="O27" s="137"/>
      <c r="P27" s="57"/>
      <c r="Q27" s="57"/>
      <c r="R27" s="57"/>
      <c r="S27" s="57"/>
      <c r="T27" s="57"/>
      <c r="U27" s="57"/>
      <c r="V27" s="57"/>
      <c r="W27" s="57"/>
      <c r="X27" s="57"/>
      <c r="Y27" s="57"/>
      <c r="Z27" s="57"/>
      <c r="AA27" s="57"/>
      <c r="AB27" s="57"/>
      <c r="AC27" s="57"/>
      <c r="AE27" s="57"/>
    </row>
    <row r="28" spans="2:32" hidden="1" x14ac:dyDescent="0.25">
      <c r="I28" s="60"/>
      <c r="J28" s="60"/>
      <c r="K28" s="60"/>
      <c r="L28" s="60"/>
      <c r="M28" s="60"/>
      <c r="N28" s="60"/>
      <c r="O28" s="138"/>
      <c r="P28" s="60"/>
      <c r="Q28" s="60"/>
      <c r="R28" s="60"/>
      <c r="S28" s="60"/>
      <c r="T28" s="60"/>
      <c r="U28" s="60"/>
      <c r="V28" s="60"/>
      <c r="W28" s="60"/>
      <c r="X28" s="60"/>
      <c r="Y28" s="60"/>
      <c r="Z28" s="60"/>
      <c r="AA28" s="60"/>
      <c r="AB28" s="60"/>
      <c r="AC28" s="44"/>
      <c r="AD28" s="60"/>
      <c r="AE28" s="60"/>
    </row>
    <row r="29" spans="2:32" hidden="1" x14ac:dyDescent="0.25">
      <c r="I29" s="60"/>
      <c r="J29" s="60"/>
      <c r="K29" s="60"/>
      <c r="L29" s="60"/>
      <c r="M29" s="60"/>
      <c r="N29" s="60"/>
      <c r="O29" s="138"/>
      <c r="P29" s="60"/>
      <c r="Q29" s="60"/>
      <c r="R29" s="60"/>
      <c r="S29" s="60"/>
      <c r="T29" s="60"/>
      <c r="U29" s="60"/>
      <c r="V29" s="60"/>
      <c r="W29" s="60"/>
      <c r="X29" s="60"/>
      <c r="Y29" s="60"/>
      <c r="Z29" s="60"/>
      <c r="AA29" s="60"/>
      <c r="AB29" s="60"/>
      <c r="AC29" s="44"/>
      <c r="AD29" s="60"/>
      <c r="AE29" s="60"/>
    </row>
    <row r="30" spans="2:32" s="55" customFormat="1" hidden="1" x14ac:dyDescent="0.25">
      <c r="B30" s="54"/>
      <c r="D30" s="202"/>
      <c r="I30" s="57"/>
      <c r="J30" s="57"/>
      <c r="K30" s="57"/>
      <c r="L30" s="57"/>
      <c r="M30" s="57"/>
      <c r="N30" s="57"/>
      <c r="O30" s="137"/>
      <c r="P30" s="57"/>
      <c r="Q30" s="57"/>
      <c r="R30" s="57"/>
      <c r="S30" s="57"/>
      <c r="T30" s="57"/>
      <c r="U30" s="57"/>
      <c r="V30" s="57"/>
      <c r="W30" s="57"/>
      <c r="X30" s="57"/>
      <c r="Y30" s="57"/>
      <c r="Z30" s="57"/>
      <c r="AA30" s="57"/>
      <c r="AB30" s="57"/>
      <c r="AC30" s="57"/>
      <c r="AD30" s="57"/>
      <c r="AE30" s="57"/>
    </row>
    <row r="31" spans="2:32" x14ac:dyDescent="0.25">
      <c r="I31" s="60"/>
      <c r="J31" s="60"/>
      <c r="K31" s="60"/>
      <c r="L31" s="60"/>
      <c r="M31" s="60"/>
      <c r="N31" s="60"/>
      <c r="O31" s="138"/>
      <c r="P31" s="60"/>
      <c r="Q31" s="60"/>
      <c r="R31" s="60"/>
      <c r="S31" s="60"/>
      <c r="T31" s="60"/>
      <c r="U31" s="60"/>
      <c r="V31" s="60"/>
      <c r="W31" s="60"/>
      <c r="X31" s="60"/>
      <c r="Y31" s="60"/>
      <c r="Z31" s="60"/>
      <c r="AA31" s="60"/>
      <c r="AB31" s="60"/>
      <c r="AC31" s="44"/>
      <c r="AD31" s="60"/>
      <c r="AE31" s="60"/>
    </row>
    <row r="32" spans="2:32" s="40" customFormat="1" x14ac:dyDescent="0.25">
      <c r="B32" s="41"/>
      <c r="D32" s="65"/>
      <c r="I32" s="44"/>
      <c r="J32" s="44"/>
      <c r="K32" s="44"/>
      <c r="L32" s="44"/>
      <c r="M32" s="44"/>
      <c r="N32" s="44"/>
      <c r="O32" s="139"/>
      <c r="P32" s="44"/>
      <c r="Q32" s="44"/>
      <c r="R32" s="44"/>
      <c r="S32" s="44"/>
      <c r="T32" s="44"/>
      <c r="U32" s="44"/>
      <c r="V32" s="44"/>
      <c r="W32" s="44"/>
      <c r="X32" s="44"/>
      <c r="Y32" s="44"/>
      <c r="Z32" s="44"/>
      <c r="AA32" s="44"/>
      <c r="AB32" s="44"/>
      <c r="AC32" s="44"/>
      <c r="AD32" s="44"/>
      <c r="AE32" s="44"/>
    </row>
    <row r="33" spans="2:35" s="68" customFormat="1" ht="18.75" x14ac:dyDescent="0.3">
      <c r="B33" s="67" t="s">
        <v>103</v>
      </c>
      <c r="D33" s="69"/>
      <c r="I33" s="71">
        <f t="shared" ref="I33:N33" si="2">SUM(I20:I32)</f>
        <v>0</v>
      </c>
      <c r="J33" s="71">
        <f t="shared" si="2"/>
        <v>0</v>
      </c>
      <c r="K33" s="71">
        <f t="shared" si="2"/>
        <v>0</v>
      </c>
      <c r="L33" s="71">
        <f t="shared" si="2"/>
        <v>0</v>
      </c>
      <c r="M33" s="71">
        <f t="shared" si="2"/>
        <v>0</v>
      </c>
      <c r="N33" s="71">
        <f t="shared" si="2"/>
        <v>0</v>
      </c>
      <c r="O33" s="71">
        <f t="shared" ref="O33:U33" si="3">+O21+O24</f>
        <v>0</v>
      </c>
      <c r="P33" s="71">
        <f t="shared" si="3"/>
        <v>0</v>
      </c>
      <c r="Q33" s="71">
        <f t="shared" si="3"/>
        <v>247</v>
      </c>
      <c r="R33" s="71">
        <f t="shared" si="3"/>
        <v>372.21</v>
      </c>
      <c r="S33" s="71">
        <f t="shared" si="3"/>
        <v>372.21</v>
      </c>
      <c r="T33" s="71">
        <f t="shared" si="3"/>
        <v>372.54</v>
      </c>
      <c r="U33" s="71">
        <f t="shared" si="3"/>
        <v>9084.17</v>
      </c>
      <c r="V33" s="71">
        <f>+V21+V24</f>
        <v>48437</v>
      </c>
      <c r="W33" s="71">
        <f t="shared" ref="W33:AD33" si="4">+W21+W24</f>
        <v>61919</v>
      </c>
      <c r="X33" s="71">
        <f t="shared" si="4"/>
        <v>61214.23</v>
      </c>
      <c r="Y33" s="71">
        <f t="shared" si="4"/>
        <v>2419.35</v>
      </c>
      <c r="Z33" s="71">
        <f t="shared" si="4"/>
        <v>463393.52</v>
      </c>
      <c r="AA33" s="71">
        <f t="shared" si="4"/>
        <v>605013.92000000004</v>
      </c>
      <c r="AB33" s="71">
        <f t="shared" si="4"/>
        <v>810043.92</v>
      </c>
      <c r="AC33" s="71">
        <f t="shared" si="4"/>
        <v>0</v>
      </c>
      <c r="AD33" s="71">
        <f t="shared" si="4"/>
        <v>835871.92</v>
      </c>
      <c r="AE33" s="71"/>
      <c r="AF33" s="71"/>
    </row>
    <row r="34" spans="2:35" s="40" customFormat="1" x14ac:dyDescent="0.25">
      <c r="B34" s="41"/>
      <c r="D34" s="65"/>
      <c r="I34" s="44"/>
      <c r="J34" s="44"/>
      <c r="K34" s="44"/>
      <c r="L34" s="44"/>
      <c r="M34" s="44"/>
      <c r="N34" s="44"/>
      <c r="O34" s="139"/>
      <c r="P34" s="44"/>
      <c r="Q34" s="44"/>
      <c r="R34" s="44"/>
      <c r="S34" s="44"/>
      <c r="T34" s="44"/>
      <c r="U34" s="44"/>
      <c r="V34" s="44"/>
      <c r="W34" s="44"/>
      <c r="X34" s="44"/>
      <c r="Y34" s="44"/>
      <c r="Z34" s="44"/>
      <c r="AA34" s="44"/>
      <c r="AB34" s="44"/>
      <c r="AC34" s="44"/>
      <c r="AD34" s="44"/>
      <c r="AE34" s="44"/>
    </row>
    <row r="35" spans="2:35" s="40" customFormat="1" x14ac:dyDescent="0.25">
      <c r="B35" s="41"/>
      <c r="D35" s="65"/>
      <c r="I35" s="44"/>
      <c r="J35" s="44"/>
      <c r="K35" s="44"/>
      <c r="L35" s="44"/>
      <c r="M35" s="44"/>
      <c r="N35" s="44"/>
      <c r="O35" s="139"/>
      <c r="P35" s="44"/>
      <c r="Q35" s="44"/>
      <c r="R35" s="44"/>
      <c r="S35" s="44"/>
      <c r="T35" s="44"/>
      <c r="U35" s="44"/>
      <c r="V35" s="44"/>
      <c r="W35" s="44"/>
      <c r="X35" s="44"/>
      <c r="Y35" s="44"/>
      <c r="Z35" s="44"/>
      <c r="AA35" s="44"/>
      <c r="AB35" s="44"/>
      <c r="AC35" s="44"/>
      <c r="AD35" s="44"/>
      <c r="AE35" s="44"/>
    </row>
    <row r="36" spans="2:35" s="611" customFormat="1" ht="18.75" x14ac:dyDescent="0.3">
      <c r="B36" s="610" t="s">
        <v>237</v>
      </c>
      <c r="C36" s="611" t="s">
        <v>100</v>
      </c>
      <c r="D36" s="612" t="s">
        <v>101</v>
      </c>
      <c r="E36" s="611" t="s">
        <v>133</v>
      </c>
      <c r="H36" s="611">
        <v>1996</v>
      </c>
      <c r="I36" s="611">
        <v>1997</v>
      </c>
      <c r="J36" s="611">
        <v>1998</v>
      </c>
      <c r="K36" s="611">
        <v>1999</v>
      </c>
      <c r="L36" s="611">
        <v>2000</v>
      </c>
      <c r="M36" s="611">
        <v>2001</v>
      </c>
      <c r="N36" s="611">
        <v>2002</v>
      </c>
      <c r="O36" s="610">
        <v>2003</v>
      </c>
      <c r="P36" s="611">
        <v>2004</v>
      </c>
      <c r="Q36" s="611">
        <v>2005</v>
      </c>
      <c r="R36" s="611">
        <v>2006</v>
      </c>
      <c r="S36" s="611">
        <v>2007</v>
      </c>
      <c r="T36" s="611">
        <v>2008</v>
      </c>
      <c r="U36" s="611">
        <v>2009</v>
      </c>
      <c r="V36" s="611">
        <v>2010</v>
      </c>
      <c r="W36" s="611">
        <v>2011</v>
      </c>
      <c r="X36" s="611">
        <v>2012</v>
      </c>
      <c r="Y36" s="611">
        <v>2013</v>
      </c>
      <c r="Z36" s="611">
        <v>2014</v>
      </c>
      <c r="AA36" s="611">
        <v>2015</v>
      </c>
      <c r="AB36" s="611">
        <v>2016</v>
      </c>
      <c r="AC36" s="607" t="s">
        <v>62</v>
      </c>
      <c r="AD36" s="607" t="s">
        <v>135</v>
      </c>
    </row>
    <row r="37" spans="2:35" s="148" customFormat="1" ht="18.75" x14ac:dyDescent="0.3">
      <c r="B37" s="147" t="s">
        <v>241</v>
      </c>
      <c r="C37" s="148" t="s">
        <v>240</v>
      </c>
      <c r="D37" s="149">
        <v>847639</v>
      </c>
      <c r="E37" s="148" t="s">
        <v>232</v>
      </c>
      <c r="O37" s="147"/>
      <c r="X37" s="156">
        <v>13525</v>
      </c>
      <c r="Y37" s="156">
        <v>22222.54</v>
      </c>
      <c r="Z37" s="156">
        <v>112722.54</v>
      </c>
      <c r="AA37" s="156">
        <v>442.54</v>
      </c>
    </row>
    <row r="38" spans="2:35" s="151" customFormat="1" ht="37.5" x14ac:dyDescent="0.3">
      <c r="B38" s="150" t="s">
        <v>242</v>
      </c>
      <c r="D38" s="86"/>
      <c r="O38" s="150"/>
      <c r="X38" s="157">
        <f>10600*10+43200+43200+28800</f>
        <v>221200</v>
      </c>
      <c r="Y38" s="157">
        <f>10800*15+11100*4+22200</f>
        <v>228600</v>
      </c>
      <c r="Z38" s="157">
        <f>11100*20+22200*2+13500+13500+3000</f>
        <v>296400</v>
      </c>
      <c r="AA38" s="157">
        <f>11250*18+11530*2+22780*2+2000</f>
        <v>273120</v>
      </c>
      <c r="AH38"/>
      <c r="AI38"/>
    </row>
    <row r="39" spans="2:35" s="151" customFormat="1" ht="18.75" x14ac:dyDescent="0.3">
      <c r="B39" s="150"/>
      <c r="D39" s="86"/>
      <c r="O39" s="150"/>
      <c r="X39" s="157"/>
      <c r="Y39" s="157"/>
      <c r="Z39" s="157"/>
      <c r="AA39" s="157"/>
      <c r="AH39"/>
      <c r="AI39"/>
    </row>
    <row r="40" spans="2:35" s="148" customFormat="1" ht="18.75" x14ac:dyDescent="0.3">
      <c r="B40" s="147" t="s">
        <v>241</v>
      </c>
      <c r="C40" s="148" t="s">
        <v>238</v>
      </c>
      <c r="D40" s="149">
        <v>185095</v>
      </c>
      <c r="E40" s="148" t="s">
        <v>243</v>
      </c>
      <c r="O40" s="147"/>
      <c r="X40" s="156"/>
      <c r="Y40" s="156"/>
      <c r="Z40" s="156"/>
      <c r="AA40" s="156"/>
      <c r="AH40"/>
      <c r="AI40"/>
    </row>
    <row r="41" spans="2:35" s="151" customFormat="1" ht="18.75" x14ac:dyDescent="0.3">
      <c r="B41" s="150"/>
      <c r="D41" s="86"/>
      <c r="O41" s="150"/>
      <c r="X41" s="157"/>
      <c r="Y41" s="157"/>
      <c r="Z41" s="157"/>
      <c r="AA41" s="157"/>
      <c r="AH41"/>
      <c r="AI41" s="39"/>
    </row>
    <row r="42" spans="2:35" s="151" customFormat="1" ht="18.75" x14ac:dyDescent="0.3">
      <c r="B42" s="150"/>
      <c r="D42" s="86"/>
      <c r="O42" s="150"/>
      <c r="X42" s="157"/>
      <c r="Y42" s="157"/>
      <c r="Z42" s="157"/>
      <c r="AA42" s="157"/>
      <c r="AH42"/>
      <c r="AI42"/>
    </row>
    <row r="43" spans="2:35" s="148" customFormat="1" ht="18.75" x14ac:dyDescent="0.3">
      <c r="B43" s="147" t="s">
        <v>244</v>
      </c>
      <c r="C43" s="148" t="s">
        <v>238</v>
      </c>
      <c r="D43" s="149">
        <v>185095</v>
      </c>
      <c r="E43" s="148" t="s">
        <v>245</v>
      </c>
      <c r="O43" s="147"/>
      <c r="S43" s="148">
        <v>0</v>
      </c>
      <c r="T43" s="156">
        <f>5042*KK!R5</f>
        <v>458620.31999999995</v>
      </c>
      <c r="U43" s="156">
        <f>5084.09*KK!S5</f>
        <v>477802.77820000006</v>
      </c>
      <c r="V43" s="148">
        <v>0</v>
      </c>
      <c r="X43" s="156"/>
      <c r="Y43" s="156"/>
      <c r="Z43" s="156"/>
      <c r="AA43" s="156"/>
      <c r="AH43"/>
      <c r="AI43"/>
    </row>
    <row r="44" spans="2:35" s="162" customFormat="1" ht="18.75" x14ac:dyDescent="0.3">
      <c r="B44" s="161" t="s">
        <v>246</v>
      </c>
      <c r="C44" s="162" t="s">
        <v>534</v>
      </c>
      <c r="D44" s="163"/>
      <c r="I44" s="164"/>
      <c r="J44" s="164"/>
      <c r="K44" s="164"/>
      <c r="L44" s="164"/>
      <c r="M44" s="164"/>
      <c r="N44" s="164"/>
      <c r="O44" s="165"/>
      <c r="P44" s="164"/>
      <c r="Q44" s="164"/>
      <c r="R44" s="164"/>
      <c r="S44" s="166">
        <f>(104483.5-100000)*KK!Q5</f>
        <v>372265.005</v>
      </c>
      <c r="T44" s="164"/>
      <c r="U44" s="164"/>
      <c r="V44" s="164"/>
      <c r="W44" s="164"/>
      <c r="X44" s="164"/>
      <c r="Y44" s="164"/>
      <c r="Z44" s="164"/>
      <c r="AA44" s="164"/>
      <c r="AB44" s="164"/>
      <c r="AC44" s="164"/>
      <c r="AD44" s="164"/>
      <c r="AE44" s="164"/>
      <c r="AH44"/>
      <c r="AI44"/>
    </row>
    <row r="45" spans="2:35" s="97" customFormat="1" x14ac:dyDescent="0.25">
      <c r="B45" s="152"/>
      <c r="D45" s="153"/>
      <c r="I45" s="154"/>
      <c r="J45" s="154"/>
      <c r="K45" s="154"/>
      <c r="L45" s="154"/>
      <c r="M45" s="154"/>
      <c r="N45" s="154"/>
      <c r="O45" s="155"/>
      <c r="P45" s="154"/>
      <c r="Q45" s="154"/>
      <c r="R45" s="154"/>
      <c r="S45" s="154"/>
      <c r="T45" s="154"/>
      <c r="U45" s="154"/>
      <c r="V45" s="154"/>
      <c r="W45" s="154"/>
      <c r="X45" s="154"/>
      <c r="Y45" s="154"/>
      <c r="Z45" s="154"/>
      <c r="AA45" s="154"/>
      <c r="AB45" s="154"/>
      <c r="AC45" s="154"/>
      <c r="AD45" s="154"/>
      <c r="AE45" s="154"/>
      <c r="AH45"/>
      <c r="AI45"/>
    </row>
    <row r="46" spans="2:35" s="55" customFormat="1" ht="18.75" x14ac:dyDescent="0.3">
      <c r="B46" s="54" t="s">
        <v>410</v>
      </c>
      <c r="C46" s="55" t="s">
        <v>409</v>
      </c>
      <c r="D46" s="149">
        <v>170205510001</v>
      </c>
      <c r="E46" s="55" t="s">
        <v>403</v>
      </c>
      <c r="I46" s="57"/>
      <c r="J46" s="57"/>
      <c r="K46" s="57"/>
      <c r="L46" s="57"/>
      <c r="M46" s="57"/>
      <c r="N46" s="57"/>
      <c r="O46" s="137"/>
      <c r="P46" s="57"/>
      <c r="Q46" s="57"/>
      <c r="R46" s="57"/>
      <c r="S46" s="57"/>
      <c r="T46" s="57"/>
      <c r="U46" s="57"/>
      <c r="V46" s="57">
        <v>0</v>
      </c>
      <c r="W46" s="57"/>
      <c r="X46" s="57"/>
      <c r="Y46" s="57"/>
      <c r="Z46" s="57"/>
      <c r="AA46" s="57"/>
      <c r="AB46" s="57"/>
      <c r="AC46" s="57"/>
      <c r="AD46" s="57"/>
      <c r="AE46" s="57"/>
    </row>
    <row r="47" spans="2:35" s="97" customFormat="1" x14ac:dyDescent="0.25">
      <c r="B47" s="152"/>
      <c r="D47" s="153"/>
      <c r="I47" s="154"/>
      <c r="J47" s="154"/>
      <c r="K47" s="154"/>
      <c r="L47" s="154"/>
      <c r="M47" s="154"/>
      <c r="N47" s="154"/>
      <c r="O47" s="155"/>
      <c r="P47" s="154"/>
      <c r="Q47" s="154"/>
      <c r="R47" s="154"/>
      <c r="S47" s="154"/>
      <c r="T47" s="154"/>
      <c r="U47" s="154"/>
      <c r="V47" s="154"/>
      <c r="W47" s="154"/>
      <c r="X47" s="154"/>
      <c r="Y47" s="154"/>
      <c r="Z47" s="154"/>
      <c r="AA47" s="154"/>
      <c r="AB47" s="154"/>
      <c r="AC47" s="154"/>
      <c r="AD47" s="154"/>
      <c r="AE47" s="154"/>
    </row>
    <row r="48" spans="2:35" s="97" customFormat="1" x14ac:dyDescent="0.25">
      <c r="B48" s="152"/>
      <c r="D48" s="153"/>
      <c r="I48" s="154"/>
      <c r="J48" s="154"/>
      <c r="K48" s="154"/>
      <c r="L48" s="154"/>
      <c r="M48" s="154"/>
      <c r="N48" s="154"/>
      <c r="O48" s="155"/>
      <c r="P48" s="154"/>
      <c r="Q48" s="154"/>
      <c r="R48" s="154"/>
      <c r="S48" s="154"/>
      <c r="T48" s="154"/>
      <c r="U48" s="154"/>
      <c r="V48" s="154"/>
      <c r="W48" s="154"/>
      <c r="X48" s="154"/>
      <c r="Y48" s="154"/>
      <c r="Z48" s="154"/>
      <c r="AA48" s="154"/>
      <c r="AB48" s="154"/>
      <c r="AC48" s="154"/>
      <c r="AD48" s="154"/>
      <c r="AE48" s="154"/>
    </row>
    <row r="49" spans="2:37" s="73" customFormat="1" ht="18.75" x14ac:dyDescent="0.3">
      <c r="B49" s="72" t="s">
        <v>104</v>
      </c>
      <c r="D49" s="75"/>
      <c r="I49" s="76"/>
      <c r="J49" s="76"/>
      <c r="K49" s="76"/>
      <c r="L49" s="76"/>
      <c r="M49" s="76"/>
      <c r="N49" s="76"/>
      <c r="O49" s="142"/>
      <c r="P49" s="76">
        <f t="shared" ref="P49:Y49" si="5">+P45</f>
        <v>0</v>
      </c>
      <c r="Q49" s="76">
        <f t="shared" si="5"/>
        <v>0</v>
      </c>
      <c r="R49" s="76">
        <f t="shared" si="5"/>
        <v>0</v>
      </c>
      <c r="S49" s="76">
        <f t="shared" si="5"/>
        <v>0</v>
      </c>
      <c r="T49" s="76">
        <f t="shared" si="5"/>
        <v>0</v>
      </c>
      <c r="U49" s="76">
        <f t="shared" si="5"/>
        <v>0</v>
      </c>
      <c r="V49" s="76">
        <f t="shared" si="5"/>
        <v>0</v>
      </c>
      <c r="W49" s="76">
        <f t="shared" si="5"/>
        <v>0</v>
      </c>
      <c r="X49" s="76">
        <f t="shared" si="5"/>
        <v>0</v>
      </c>
      <c r="Y49" s="76">
        <f t="shared" si="5"/>
        <v>0</v>
      </c>
      <c r="Z49" s="76">
        <f>+Z45</f>
        <v>0</v>
      </c>
      <c r="AA49" s="76">
        <f>+AA45</f>
        <v>0</v>
      </c>
      <c r="AB49" s="76">
        <f>+AB45</f>
        <v>0</v>
      </c>
      <c r="AC49" s="74"/>
      <c r="AD49" s="76"/>
      <c r="AE49" s="76"/>
    </row>
    <row r="50" spans="2:37" s="40" customFormat="1" x14ac:dyDescent="0.25">
      <c r="B50" s="41"/>
      <c r="D50" s="43"/>
      <c r="I50" s="44"/>
      <c r="J50" s="44"/>
      <c r="K50" s="44"/>
      <c r="L50" s="44"/>
      <c r="M50" s="44"/>
      <c r="N50" s="44"/>
      <c r="O50" s="139"/>
      <c r="P50" s="44"/>
      <c r="Q50" s="44"/>
      <c r="R50" s="44"/>
      <c r="S50" s="44"/>
      <c r="T50" s="44"/>
      <c r="U50" s="44"/>
      <c r="V50" s="44"/>
      <c r="W50" s="44"/>
      <c r="X50" s="44"/>
      <c r="Y50" s="44"/>
      <c r="Z50" s="44"/>
      <c r="AA50" s="44"/>
      <c r="AB50" s="44"/>
      <c r="AC50" s="44"/>
      <c r="AD50" s="44"/>
      <c r="AE50" s="44"/>
    </row>
    <row r="51" spans="2:37" s="78" customFormat="1" ht="18.75" x14ac:dyDescent="0.3">
      <c r="B51" s="77"/>
      <c r="D51" s="79"/>
      <c r="H51" s="78">
        <v>1996</v>
      </c>
      <c r="I51" s="78">
        <v>1997</v>
      </c>
      <c r="J51" s="78">
        <v>1998</v>
      </c>
      <c r="K51" s="78">
        <v>1999</v>
      </c>
      <c r="L51" s="78">
        <v>2000</v>
      </c>
      <c r="M51" s="78">
        <v>2001</v>
      </c>
      <c r="N51" s="78">
        <v>2002</v>
      </c>
      <c r="O51" s="77">
        <v>2003</v>
      </c>
      <c r="P51" s="78">
        <v>2004</v>
      </c>
      <c r="Q51" s="78">
        <v>2005</v>
      </c>
      <c r="R51" s="78">
        <v>2006</v>
      </c>
      <c r="S51" s="78">
        <v>2007</v>
      </c>
      <c r="T51" s="78">
        <v>2008</v>
      </c>
      <c r="U51" s="78">
        <v>2009</v>
      </c>
      <c r="V51" s="78">
        <v>2010</v>
      </c>
      <c r="W51" s="78">
        <v>2011</v>
      </c>
      <c r="X51" s="78">
        <v>2012</v>
      </c>
      <c r="Y51" s="78">
        <v>2013</v>
      </c>
      <c r="Z51" s="78">
        <v>2014</v>
      </c>
      <c r="AA51" s="78">
        <v>2015</v>
      </c>
      <c r="AB51" s="78">
        <v>2016</v>
      </c>
      <c r="AC51" s="135" t="s">
        <v>62</v>
      </c>
      <c r="AD51" s="135" t="s">
        <v>135</v>
      </c>
    </row>
    <row r="52" spans="2:37" s="80" customFormat="1" ht="243.75" x14ac:dyDescent="0.25">
      <c r="B52" s="80" t="s">
        <v>194</v>
      </c>
      <c r="D52" s="81"/>
      <c r="O52" s="80" t="s">
        <v>446</v>
      </c>
      <c r="P52" s="80" t="s">
        <v>192</v>
      </c>
      <c r="Q52" s="136" t="s">
        <v>447</v>
      </c>
      <c r="R52" s="136" t="s">
        <v>448</v>
      </c>
      <c r="S52" s="136" t="s">
        <v>449</v>
      </c>
      <c r="T52" s="80" t="s">
        <v>450</v>
      </c>
      <c r="U52" s="80" t="s">
        <v>195</v>
      </c>
      <c r="V52" s="80" t="s">
        <v>196</v>
      </c>
      <c r="W52" s="80" t="s">
        <v>197</v>
      </c>
      <c r="X52" s="80" t="s">
        <v>198</v>
      </c>
      <c r="Y52" s="136" t="s">
        <v>201</v>
      </c>
      <c r="Z52" s="80" t="s">
        <v>202</v>
      </c>
      <c r="AA52" s="80" t="s">
        <v>204</v>
      </c>
      <c r="AB52" s="80" t="s">
        <v>205</v>
      </c>
      <c r="AD52" s="80" t="s">
        <v>207</v>
      </c>
    </row>
    <row r="53" spans="2:37" s="158" customFormat="1" ht="18.75" x14ac:dyDescent="0.3">
      <c r="B53" s="160" t="s">
        <v>105</v>
      </c>
      <c r="D53" s="159"/>
      <c r="I53" s="167">
        <f>+I49+I33+I17</f>
        <v>0</v>
      </c>
      <c r="J53" s="167">
        <f>+J49+J33+J17</f>
        <v>0</v>
      </c>
      <c r="K53" s="167">
        <f>+K49+K33+K17</f>
        <v>0</v>
      </c>
      <c r="L53" s="167">
        <f t="shared" ref="L53:AD53" si="6">+L33+L17</f>
        <v>0</v>
      </c>
      <c r="M53" s="167">
        <f t="shared" si="6"/>
        <v>0</v>
      </c>
      <c r="N53" s="167">
        <f t="shared" si="6"/>
        <v>0</v>
      </c>
      <c r="O53" s="167">
        <f t="shared" si="6"/>
        <v>0</v>
      </c>
      <c r="P53" s="167">
        <f t="shared" si="6"/>
        <v>0</v>
      </c>
      <c r="Q53" s="167">
        <f>+Q33+Q17</f>
        <v>4815.4399999999996</v>
      </c>
      <c r="R53" s="167">
        <f t="shared" si="6"/>
        <v>268393.5</v>
      </c>
      <c r="S53" s="167">
        <f t="shared" si="6"/>
        <v>57500.04</v>
      </c>
      <c r="T53" s="167">
        <f t="shared" si="6"/>
        <v>52998.06</v>
      </c>
      <c r="U53" s="167">
        <f t="shared" si="6"/>
        <v>9095.6</v>
      </c>
      <c r="V53" s="167">
        <f>+V33+V17</f>
        <v>48670.04</v>
      </c>
      <c r="W53" s="167">
        <f t="shared" si="6"/>
        <v>62227.06</v>
      </c>
      <c r="X53" s="167">
        <f t="shared" si="6"/>
        <v>61154.060000000005</v>
      </c>
      <c r="Y53" s="167">
        <f t="shared" si="6"/>
        <v>3017.83</v>
      </c>
      <c r="Z53" s="167">
        <f t="shared" si="6"/>
        <v>546609.66</v>
      </c>
      <c r="AA53" s="167">
        <f t="shared" si="6"/>
        <v>611158.79</v>
      </c>
      <c r="AB53" s="167">
        <f>+AB33+AB17</f>
        <v>1221931.94</v>
      </c>
      <c r="AC53" s="167">
        <f t="shared" si="6"/>
        <v>0</v>
      </c>
      <c r="AD53" s="167">
        <f t="shared" si="6"/>
        <v>1287604.94</v>
      </c>
      <c r="AE53" s="167"/>
      <c r="AF53" s="167"/>
      <c r="AG53" s="167"/>
      <c r="AH53" s="167"/>
    </row>
    <row r="54" spans="2:37" s="166" customFormat="1" ht="18.75" x14ac:dyDescent="0.3">
      <c r="B54" s="206" t="s">
        <v>451</v>
      </c>
      <c r="D54" s="207"/>
      <c r="O54" s="206">
        <v>0</v>
      </c>
      <c r="P54" s="166">
        <v>0</v>
      </c>
      <c r="Q54" s="166">
        <f>+P54</f>
        <v>0</v>
      </c>
      <c r="R54" s="166">
        <f t="shared" ref="R54:Y54" si="7">+Q56</f>
        <v>600000</v>
      </c>
      <c r="S54" s="166">
        <f>+R56</f>
        <v>1200000</v>
      </c>
      <c r="T54" s="166">
        <f>+S56</f>
        <v>1750000</v>
      </c>
      <c r="U54" s="166">
        <f>+T56</f>
        <v>2150000</v>
      </c>
      <c r="V54" s="166">
        <f t="shared" si="7"/>
        <v>650000</v>
      </c>
      <c r="W54" s="166">
        <f t="shared" si="7"/>
        <v>611696</v>
      </c>
      <c r="X54" s="166">
        <f t="shared" si="7"/>
        <v>1011696</v>
      </c>
      <c r="Y54" s="166">
        <f t="shared" si="7"/>
        <v>1151696</v>
      </c>
      <c r="Z54" s="166">
        <v>0</v>
      </c>
      <c r="AA54" s="166">
        <f>+Z56</f>
        <v>806319</v>
      </c>
      <c r="AB54" s="166">
        <f>+AA56</f>
        <v>806319</v>
      </c>
      <c r="AC54" s="205"/>
      <c r="AD54" s="166">
        <v>0</v>
      </c>
    </row>
    <row r="55" spans="2:37" s="166" customFormat="1" ht="18.75" x14ac:dyDescent="0.3">
      <c r="B55" s="206" t="s">
        <v>452</v>
      </c>
      <c r="D55" s="207"/>
      <c r="O55" s="206"/>
      <c r="Q55" s="577">
        <v>600000</v>
      </c>
      <c r="R55" s="577">
        <v>600000</v>
      </c>
      <c r="S55" s="577">
        <v>550000</v>
      </c>
      <c r="T55" s="577">
        <v>400000</v>
      </c>
      <c r="U55" s="166">
        <f>-2000000+500000</f>
        <v>-1500000</v>
      </c>
      <c r="V55" s="166">
        <f>-838304+800000</f>
        <v>-38304</v>
      </c>
      <c r="W55" s="166">
        <v>400000</v>
      </c>
      <c r="X55" s="166">
        <v>140000</v>
      </c>
      <c r="Z55" s="166">
        <f>400000+2900*KK!X4</f>
        <v>806319</v>
      </c>
      <c r="AB55" s="166">
        <v>56000</v>
      </c>
      <c r="AC55" s="205"/>
    </row>
    <row r="56" spans="2:37" s="83" customFormat="1" ht="18.75" x14ac:dyDescent="0.3">
      <c r="B56" s="82" t="s">
        <v>453</v>
      </c>
      <c r="D56" s="203"/>
      <c r="O56" s="82"/>
      <c r="Q56" s="83">
        <f>SUM(Q54:Q55)</f>
        <v>600000</v>
      </c>
      <c r="R56" s="83">
        <f>SUM(R54:R55)</f>
        <v>1200000</v>
      </c>
      <c r="S56" s="83">
        <f t="shared" ref="S56:AB56" si="8">SUM(S54:S55)</f>
        <v>1750000</v>
      </c>
      <c r="T56" s="83">
        <f t="shared" si="8"/>
        <v>2150000</v>
      </c>
      <c r="U56" s="83">
        <f>SUM(U54:U55)</f>
        <v>650000</v>
      </c>
      <c r="V56" s="83">
        <f t="shared" si="8"/>
        <v>611696</v>
      </c>
      <c r="W56" s="83">
        <f t="shared" si="8"/>
        <v>1011696</v>
      </c>
      <c r="X56" s="83">
        <f t="shared" si="8"/>
        <v>1151696</v>
      </c>
      <c r="Y56" s="83">
        <f t="shared" si="8"/>
        <v>1151696</v>
      </c>
      <c r="Z56" s="83">
        <f>SUM(Z54:Z55)</f>
        <v>806319</v>
      </c>
      <c r="AA56" s="83">
        <f>+AA54+AA55</f>
        <v>806319</v>
      </c>
      <c r="AB56" s="83">
        <f t="shared" si="8"/>
        <v>862319</v>
      </c>
      <c r="AC56" s="44"/>
      <c r="AD56" s="83">
        <v>0</v>
      </c>
    </row>
    <row r="57" spans="2:37" s="85" customFormat="1" ht="18.75" x14ac:dyDescent="0.3">
      <c r="B57" s="84" t="s">
        <v>136</v>
      </c>
      <c r="D57" s="86"/>
      <c r="I57" s="87">
        <f>SUM(I53:I54)</f>
        <v>0</v>
      </c>
      <c r="J57" s="87">
        <f t="shared" ref="J57:P57" si="9">SUM(J53:J54)</f>
        <v>0</v>
      </c>
      <c r="K57" s="87">
        <f t="shared" si="9"/>
        <v>0</v>
      </c>
      <c r="L57" s="87">
        <f t="shared" si="9"/>
        <v>0</v>
      </c>
      <c r="M57" s="87">
        <f t="shared" si="9"/>
        <v>0</v>
      </c>
      <c r="N57" s="87">
        <f t="shared" si="9"/>
        <v>0</v>
      </c>
      <c r="O57" s="143">
        <f t="shared" si="9"/>
        <v>0</v>
      </c>
      <c r="P57" s="87">
        <f t="shared" si="9"/>
        <v>0</v>
      </c>
      <c r="Q57" s="87">
        <f>+Q53+Q56</f>
        <v>604815.43999999994</v>
      </c>
      <c r="R57" s="87">
        <f t="shared" ref="R57:AD57" si="10">+R53+R56</f>
        <v>1468393.5</v>
      </c>
      <c r="S57" s="87">
        <f t="shared" si="10"/>
        <v>1807500.04</v>
      </c>
      <c r="T57" s="87">
        <f t="shared" si="10"/>
        <v>2202998.06</v>
      </c>
      <c r="U57" s="87">
        <f>+U53+U56</f>
        <v>659095.6</v>
      </c>
      <c r="V57" s="87">
        <f t="shared" si="10"/>
        <v>660366.04</v>
      </c>
      <c r="W57" s="87">
        <f t="shared" si="10"/>
        <v>1073923.06</v>
      </c>
      <c r="X57" s="87">
        <f t="shared" si="10"/>
        <v>1212850.06</v>
      </c>
      <c r="Y57" s="87">
        <f t="shared" si="10"/>
        <v>1154713.83</v>
      </c>
      <c r="Z57" s="87">
        <f>+Z53+Z56</f>
        <v>1352928.6600000001</v>
      </c>
      <c r="AA57" s="87">
        <f t="shared" si="10"/>
        <v>1417477.79</v>
      </c>
      <c r="AB57" s="87">
        <f t="shared" si="10"/>
        <v>2084250.94</v>
      </c>
      <c r="AC57" s="87">
        <f t="shared" si="10"/>
        <v>0</v>
      </c>
      <c r="AD57" s="87">
        <f t="shared" si="10"/>
        <v>1287604.94</v>
      </c>
      <c r="AE57" s="87"/>
      <c r="AF57" s="87"/>
      <c r="AG57" s="87"/>
      <c r="AH57" s="87"/>
      <c r="AI57" s="87"/>
    </row>
    <row r="58" spans="2:37" s="89" customFormat="1" ht="18.75" x14ac:dyDescent="0.3">
      <c r="B58" s="88" t="s">
        <v>106</v>
      </c>
      <c r="D58" s="90"/>
      <c r="I58" s="91">
        <f>+I57</f>
        <v>0</v>
      </c>
      <c r="J58" s="91">
        <f>+J57-I57</f>
        <v>0</v>
      </c>
      <c r="K58" s="91">
        <f t="shared" ref="K58:AB58" si="11">+K57-J57</f>
        <v>0</v>
      </c>
      <c r="L58" s="91">
        <f t="shared" si="11"/>
        <v>0</v>
      </c>
      <c r="M58" s="91">
        <f t="shared" si="11"/>
        <v>0</v>
      </c>
      <c r="N58" s="91">
        <f t="shared" si="11"/>
        <v>0</v>
      </c>
      <c r="O58" s="144">
        <f t="shared" si="11"/>
        <v>0</v>
      </c>
      <c r="P58" s="91">
        <f t="shared" si="11"/>
        <v>0</v>
      </c>
      <c r="Q58" s="91">
        <f>+Q57-P57</f>
        <v>604815.43999999994</v>
      </c>
      <c r="R58" s="91">
        <f t="shared" si="11"/>
        <v>863578.06</v>
      </c>
      <c r="S58" s="91">
        <f t="shared" si="11"/>
        <v>339106.54000000004</v>
      </c>
      <c r="T58" s="91">
        <f t="shared" si="11"/>
        <v>395498.02</v>
      </c>
      <c r="U58" s="91">
        <f>+U57-T57</f>
        <v>-1543902.46</v>
      </c>
      <c r="V58" s="91">
        <f t="shared" si="11"/>
        <v>1270.4400000000605</v>
      </c>
      <c r="W58" s="91">
        <f t="shared" si="11"/>
        <v>413557.02</v>
      </c>
      <c r="X58" s="91">
        <f t="shared" si="11"/>
        <v>138927</v>
      </c>
      <c r="Y58" s="91">
        <f>+Y57-X57</f>
        <v>-58136.229999999981</v>
      </c>
      <c r="Z58" s="91">
        <f>+Z57-Y57</f>
        <v>198214.83000000007</v>
      </c>
      <c r="AA58" s="91">
        <f>+AA57-Z57</f>
        <v>64549.129999999888</v>
      </c>
      <c r="AB58" s="91">
        <f t="shared" si="11"/>
        <v>666773.14999999991</v>
      </c>
      <c r="AC58" s="44"/>
      <c r="AD58" s="91">
        <f>+AD53-AB53-AB55</f>
        <v>9673</v>
      </c>
      <c r="AE58" s="91"/>
      <c r="AF58" s="91"/>
      <c r="AG58" s="91"/>
      <c r="AH58" s="91"/>
      <c r="AI58" s="91"/>
      <c r="AJ58" s="91"/>
      <c r="AK58" s="91"/>
    </row>
    <row r="59" spans="2:37" x14ac:dyDescent="0.25">
      <c r="AC59" s="44"/>
    </row>
    <row r="60" spans="2:37" s="93" customFormat="1" ht="42" customHeight="1" x14ac:dyDescent="0.25">
      <c r="B60" s="92"/>
      <c r="D60" s="94"/>
      <c r="O60" s="92"/>
      <c r="S60" s="95"/>
      <c r="T60" s="95"/>
      <c r="U60" s="95"/>
      <c r="V60" s="95">
        <f>U56+800000-838304</f>
        <v>611696</v>
      </c>
      <c r="W60" s="95">
        <f>V60+W55</f>
        <v>1011696</v>
      </c>
      <c r="X60" s="95">
        <f>W60+140000</f>
        <v>1151696</v>
      </c>
      <c r="Y60" s="95"/>
      <c r="Z60" s="95"/>
      <c r="AA60" s="95"/>
      <c r="AB60" s="95"/>
      <c r="AC60" s="44"/>
    </row>
    <row r="61" spans="2:37" x14ac:dyDescent="0.25">
      <c r="Q61" s="104">
        <f>Q55+Q24+Q10</f>
        <v>604815.43999999994</v>
      </c>
      <c r="R61" s="104">
        <f>R55+Q55+R24+R10</f>
        <v>1468393.5</v>
      </c>
      <c r="S61" s="104">
        <f>S55+R55+Q55+S24+S10</f>
        <v>1807500.04</v>
      </c>
      <c r="T61" s="104">
        <f>T55+S55+R55+Q55+T24+T10</f>
        <v>2202998.06</v>
      </c>
      <c r="U61" s="104"/>
      <c r="AC61" s="44"/>
    </row>
    <row r="62" spans="2:37" s="40" customFormat="1" x14ac:dyDescent="0.25">
      <c r="B62" s="41"/>
      <c r="D62" s="65"/>
      <c r="O62" s="41"/>
      <c r="AC62" s="44"/>
    </row>
    <row r="63" spans="2:37" s="40" customFormat="1" x14ac:dyDescent="0.25">
      <c r="B63" s="41"/>
      <c r="D63" s="65"/>
      <c r="I63" s="44"/>
      <c r="J63" s="44"/>
      <c r="K63" s="44"/>
      <c r="L63" s="44"/>
      <c r="M63" s="44"/>
      <c r="N63" s="44"/>
      <c r="O63" s="139"/>
      <c r="P63" s="44"/>
      <c r="Q63" s="586">
        <f>Q61-E61</f>
        <v>604815.43999999994</v>
      </c>
      <c r="R63" s="586">
        <f>R61-Q61</f>
        <v>863578.06</v>
      </c>
      <c r="S63" s="586">
        <f>S61-R61</f>
        <v>339106.54000000004</v>
      </c>
      <c r="T63" s="586">
        <f>T61-S61</f>
        <v>395498.02</v>
      </c>
      <c r="U63" s="44"/>
      <c r="V63" s="44"/>
      <c r="W63" s="44"/>
      <c r="X63" s="44"/>
      <c r="Y63" s="44"/>
      <c r="Z63" s="44"/>
      <c r="AA63" s="44"/>
      <c r="AB63" s="44"/>
      <c r="AC63" s="44"/>
      <c r="AE63" s="44"/>
    </row>
    <row r="64" spans="2:37" s="62" customFormat="1" x14ac:dyDescent="0.25">
      <c r="B64" s="61"/>
      <c r="C64" s="96"/>
      <c r="D64" s="63"/>
      <c r="I64" s="64"/>
      <c r="J64" s="64"/>
      <c r="K64" s="64"/>
      <c r="L64" s="64"/>
      <c r="M64" s="64"/>
      <c r="N64" s="64"/>
      <c r="O64" s="141"/>
      <c r="P64" s="64"/>
      <c r="Q64" s="64"/>
      <c r="R64" s="64"/>
      <c r="S64" s="64"/>
      <c r="T64" s="64"/>
      <c r="U64" s="64"/>
      <c r="V64" s="64"/>
      <c r="W64" s="64"/>
      <c r="X64" s="64"/>
      <c r="Y64" s="64"/>
      <c r="Z64" s="64"/>
      <c r="AA64" s="64"/>
      <c r="AB64" s="64"/>
      <c r="AC64" s="44"/>
      <c r="AD64" s="64"/>
      <c r="AE64" s="64"/>
    </row>
    <row r="65" spans="2:31" s="596" customFormat="1" x14ac:dyDescent="0.25">
      <c r="B65" s="593"/>
      <c r="C65" s="594"/>
      <c r="D65" s="595"/>
      <c r="I65" s="597"/>
      <c r="J65" s="597"/>
      <c r="K65" s="597"/>
      <c r="L65" s="597"/>
      <c r="M65" s="597"/>
      <c r="N65" s="597"/>
      <c r="O65" s="598"/>
      <c r="P65" s="597"/>
      <c r="Q65" s="597">
        <f>Q53</f>
        <v>4815.4399999999996</v>
      </c>
      <c r="R65" s="597">
        <f t="shared" ref="R65:AB65" si="12">R53</f>
        <v>268393.5</v>
      </c>
      <c r="S65" s="597">
        <f t="shared" si="12"/>
        <v>57500.04</v>
      </c>
      <c r="T65" s="597">
        <f t="shared" si="12"/>
        <v>52998.06</v>
      </c>
      <c r="U65" s="597">
        <f t="shared" si="12"/>
        <v>9095.6</v>
      </c>
      <c r="V65" s="597">
        <f t="shared" si="12"/>
        <v>48670.04</v>
      </c>
      <c r="W65" s="597">
        <f t="shared" si="12"/>
        <v>62227.06</v>
      </c>
      <c r="X65" s="597">
        <f t="shared" si="12"/>
        <v>61154.060000000005</v>
      </c>
      <c r="Y65" s="597">
        <f t="shared" si="12"/>
        <v>3017.83</v>
      </c>
      <c r="Z65" s="597">
        <f t="shared" si="12"/>
        <v>546609.66</v>
      </c>
      <c r="AA65" s="597">
        <f t="shared" si="12"/>
        <v>611158.79</v>
      </c>
      <c r="AB65" s="597">
        <f t="shared" si="12"/>
        <v>1221931.94</v>
      </c>
      <c r="AC65" s="597"/>
      <c r="AD65" s="597"/>
      <c r="AE65" s="597"/>
    </row>
    <row r="66" spans="2:31" s="590" customFormat="1" x14ac:dyDescent="0.25">
      <c r="B66" s="587"/>
      <c r="C66" s="588"/>
      <c r="D66" s="589"/>
      <c r="O66" s="587"/>
      <c r="Q66" s="591">
        <f>Q55</f>
        <v>600000</v>
      </c>
      <c r="R66" s="591">
        <f>Q66+600000</f>
        <v>1200000</v>
      </c>
      <c r="S66" s="591">
        <f>S55+R66</f>
        <v>1750000</v>
      </c>
      <c r="T66" s="591">
        <f>T55+S66</f>
        <v>2150000</v>
      </c>
      <c r="U66" s="591">
        <f>500000+T66-2000000</f>
        <v>650000</v>
      </c>
      <c r="V66" s="591">
        <f>U66+800000-838304</f>
        <v>611696</v>
      </c>
      <c r="W66" s="591">
        <f>V66+400000</f>
        <v>1011696</v>
      </c>
      <c r="X66" s="591">
        <f>W66+140000</f>
        <v>1151696</v>
      </c>
      <c r="Y66" s="591">
        <f>X66</f>
        <v>1151696</v>
      </c>
      <c r="Z66" s="591">
        <f>400000+2900*KK!X4</f>
        <v>806319</v>
      </c>
      <c r="AA66" s="591">
        <f>Z66</f>
        <v>806319</v>
      </c>
      <c r="AB66" s="591">
        <f>AA66+58000</f>
        <v>864319</v>
      </c>
      <c r="AC66" s="592"/>
    </row>
    <row r="67" spans="2:31" x14ac:dyDescent="0.25">
      <c r="Q67" s="104">
        <f>SUM(Q65:Q66)</f>
        <v>604815.43999999994</v>
      </c>
      <c r="R67" s="104">
        <f t="shared" ref="R67:AB67" si="13">SUM(R65:R66)</f>
        <v>1468393.5</v>
      </c>
      <c r="S67" s="104">
        <f t="shared" si="13"/>
        <v>1807500.04</v>
      </c>
      <c r="T67" s="104">
        <f t="shared" si="13"/>
        <v>2202998.06</v>
      </c>
      <c r="U67" s="104">
        <f t="shared" si="13"/>
        <v>659095.6</v>
      </c>
      <c r="V67" s="104">
        <f t="shared" si="13"/>
        <v>660366.04</v>
      </c>
      <c r="W67" s="104">
        <f t="shared" si="13"/>
        <v>1073923.06</v>
      </c>
      <c r="X67" s="104">
        <f t="shared" si="13"/>
        <v>1212850.06</v>
      </c>
      <c r="Y67" s="104">
        <f t="shared" si="13"/>
        <v>1154713.83</v>
      </c>
      <c r="Z67" s="104">
        <f t="shared" si="13"/>
        <v>1352928.6600000001</v>
      </c>
      <c r="AA67" s="104">
        <f t="shared" si="13"/>
        <v>1417477.79</v>
      </c>
      <c r="AB67" s="104">
        <f t="shared" si="13"/>
        <v>2086250.94</v>
      </c>
      <c r="AC67" s="44"/>
    </row>
    <row r="68" spans="2:31" s="600" customFormat="1" x14ac:dyDescent="0.25">
      <c r="B68" s="599"/>
      <c r="D68" s="601"/>
      <c r="O68" s="599"/>
      <c r="Q68" s="602">
        <f>Q67-P67</f>
        <v>604815.43999999994</v>
      </c>
      <c r="R68" s="602">
        <f t="shared" ref="R68:AB68" si="14">R67-Q67</f>
        <v>863578.06</v>
      </c>
      <c r="S68" s="602">
        <f t="shared" si="14"/>
        <v>339106.54000000004</v>
      </c>
      <c r="T68" s="602">
        <f t="shared" si="14"/>
        <v>395498.02</v>
      </c>
      <c r="U68" s="602">
        <f t="shared" si="14"/>
        <v>-1543902.46</v>
      </c>
      <c r="V68" s="602">
        <f t="shared" si="14"/>
        <v>1270.4400000000605</v>
      </c>
      <c r="W68" s="602">
        <f t="shared" si="14"/>
        <v>413557.02</v>
      </c>
      <c r="X68" s="602">
        <f t="shared" si="14"/>
        <v>138927</v>
      </c>
      <c r="Y68" s="602">
        <f t="shared" si="14"/>
        <v>-58136.229999999981</v>
      </c>
      <c r="Z68" s="602">
        <f t="shared" si="14"/>
        <v>198214.83000000007</v>
      </c>
      <c r="AA68" s="602">
        <f t="shared" si="14"/>
        <v>64549.129999999888</v>
      </c>
      <c r="AB68" s="602">
        <f t="shared" si="14"/>
        <v>668773.14999999991</v>
      </c>
      <c r="AC68" s="603"/>
    </row>
    <row r="69" spans="2:31" x14ac:dyDescent="0.25">
      <c r="T69" s="58"/>
      <c r="U69" s="58"/>
      <c r="V69" s="58"/>
      <c r="W69" s="58"/>
      <c r="AA69" s="105"/>
      <c r="AC69" s="44"/>
    </row>
    <row r="70" spans="2:31" x14ac:dyDescent="0.25">
      <c r="T70" s="60"/>
      <c r="AA70" s="105"/>
    </row>
    <row r="71" spans="2:31" x14ac:dyDescent="0.25">
      <c r="B71" s="41"/>
      <c r="C71" s="40"/>
      <c r="D71" s="65"/>
      <c r="AA71" s="105"/>
    </row>
    <row r="72" spans="2:31" x14ac:dyDescent="0.25">
      <c r="V72" s="104"/>
      <c r="X72" s="59">
        <v>143042</v>
      </c>
    </row>
    <row r="73" spans="2:31" x14ac:dyDescent="0.25">
      <c r="B73" s="98"/>
      <c r="C73" s="99"/>
      <c r="E73" s="99"/>
      <c r="F73" s="99"/>
      <c r="G73" s="99"/>
      <c r="H73" s="99"/>
      <c r="I73" s="99"/>
      <c r="J73" s="99"/>
      <c r="K73" s="99"/>
      <c r="X73" s="104">
        <f>X72-W53</f>
        <v>80814.94</v>
      </c>
    </row>
    <row r="74" spans="2:31" x14ac:dyDescent="0.25">
      <c r="B74" s="98"/>
      <c r="C74" s="99"/>
      <c r="E74" s="99"/>
      <c r="F74" s="99"/>
      <c r="G74" s="99"/>
      <c r="H74" s="99"/>
      <c r="I74" s="99"/>
      <c r="J74" s="99"/>
      <c r="K74" s="99"/>
      <c r="W74" s="59" t="s">
        <v>579</v>
      </c>
      <c r="X74" s="104">
        <f>X55/12*9.5</f>
        <v>110833.33333333333</v>
      </c>
    </row>
    <row r="75" spans="2:31" ht="35.25" customHeight="1" x14ac:dyDescent="0.25">
      <c r="B75" s="100"/>
      <c r="C75" s="100"/>
      <c r="D75" s="204"/>
      <c r="E75" s="101"/>
      <c r="F75" s="101"/>
      <c r="G75" s="101"/>
      <c r="H75" s="101"/>
      <c r="I75" s="102"/>
      <c r="J75" s="102"/>
      <c r="K75" s="103"/>
      <c r="X75" s="104">
        <f>X54+X74-W57</f>
        <v>48606.2733333332</v>
      </c>
      <c r="Y75" s="104">
        <f>X72+X75</f>
        <v>191648.2733333332</v>
      </c>
    </row>
    <row r="76" spans="2:31" x14ac:dyDescent="0.25">
      <c r="B76" s="100"/>
      <c r="C76" s="100"/>
      <c r="D76" s="204"/>
      <c r="E76" s="101"/>
      <c r="F76" s="101"/>
      <c r="G76" s="101"/>
      <c r="H76" s="101"/>
      <c r="I76" s="102"/>
      <c r="J76" s="102"/>
      <c r="K76" s="103"/>
    </row>
    <row r="77" spans="2:31" x14ac:dyDescent="0.25">
      <c r="B77" s="100"/>
      <c r="C77" s="100"/>
      <c r="D77" s="204"/>
      <c r="E77" s="101"/>
      <c r="F77" s="101"/>
      <c r="G77" s="101"/>
      <c r="H77" s="101"/>
      <c r="I77" s="102"/>
      <c r="J77" s="102"/>
      <c r="K77" s="103"/>
    </row>
    <row r="80" spans="2:31" x14ac:dyDescent="0.25">
      <c r="S80" s="104"/>
      <c r="T80" s="104"/>
      <c r="U80" s="104"/>
      <c r="V80" s="104"/>
      <c r="W80" s="104"/>
      <c r="X80" s="104"/>
      <c r="Y80" s="104"/>
      <c r="Z80" s="104"/>
      <c r="AA80" s="104"/>
      <c r="AB80" s="104"/>
      <c r="AC80" s="104"/>
      <c r="AD80" s="104"/>
    </row>
    <row r="81" spans="19:30" x14ac:dyDescent="0.25">
      <c r="S81" s="105"/>
      <c r="T81" s="105"/>
      <c r="U81" s="105"/>
      <c r="V81" s="105"/>
      <c r="W81" s="105"/>
      <c r="X81" s="105"/>
      <c r="Y81" s="105"/>
      <c r="Z81" s="105"/>
      <c r="AA81" s="105"/>
      <c r="AB81" s="105"/>
      <c r="AC81" s="105"/>
      <c r="AD81" s="105"/>
    </row>
  </sheetData>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52962-6817-4B65-AC08-72D1BE1AF78C}">
  <dimension ref="B3:M32"/>
  <sheetViews>
    <sheetView workbookViewId="0">
      <selection activeCell="J41" sqref="J41"/>
    </sheetView>
  </sheetViews>
  <sheetFormatPr defaultColWidth="9.140625" defaultRowHeight="11.25" x14ac:dyDescent="0.2"/>
  <cols>
    <col min="1" max="1" width="9.140625" style="326"/>
    <col min="2" max="2" width="3.42578125" style="326" customWidth="1"/>
    <col min="3" max="3" width="36" style="326" customWidth="1"/>
    <col min="4" max="5" width="10" style="326" bestFit="1" customWidth="1"/>
    <col min="6" max="6" width="11" style="326" bestFit="1" customWidth="1"/>
    <col min="7" max="7" width="12" style="326" bestFit="1" customWidth="1"/>
    <col min="8" max="8" width="9.140625" style="326"/>
    <col min="9" max="9" width="8" style="326" bestFit="1" customWidth="1"/>
    <col min="10" max="16384" width="9.140625" style="326"/>
  </cols>
  <sheetData>
    <row r="3" spans="2:9" ht="12" x14ac:dyDescent="0.25">
      <c r="G3" s="582" t="s">
        <v>523</v>
      </c>
    </row>
    <row r="4" spans="2:9" x14ac:dyDescent="0.2">
      <c r="B4" s="572" t="s">
        <v>502</v>
      </c>
      <c r="C4" s="572" t="s">
        <v>503</v>
      </c>
      <c r="D4" s="572">
        <v>2005</v>
      </c>
      <c r="E4" s="572">
        <v>2006</v>
      </c>
      <c r="F4" s="572">
        <v>2007</v>
      </c>
      <c r="G4" s="572">
        <v>2008</v>
      </c>
    </row>
    <row r="5" spans="2:9" ht="7.5" customHeight="1" x14ac:dyDescent="0.2"/>
    <row r="6" spans="2:9" x14ac:dyDescent="0.2">
      <c r="B6" s="572" t="s">
        <v>504</v>
      </c>
      <c r="C6" s="572" t="s">
        <v>509</v>
      </c>
      <c r="D6" s="573">
        <f>SUM(D7:D9)</f>
        <v>1145795</v>
      </c>
      <c r="E6" s="573">
        <f>SUM(E7:E9)</f>
        <v>1093156</v>
      </c>
      <c r="F6" s="573">
        <f>SUM(F7:F9)</f>
        <v>1029775</v>
      </c>
      <c r="G6" s="573">
        <f>SUM(G7:G9)</f>
        <v>1623858</v>
      </c>
    </row>
    <row r="7" spans="2:9" x14ac:dyDescent="0.2">
      <c r="B7" s="326">
        <v>1</v>
      </c>
      <c r="C7" s="326" t="s">
        <v>514</v>
      </c>
      <c r="D7" s="570">
        <f>'Te Ardhurat '!M5</f>
        <v>818245</v>
      </c>
      <c r="E7" s="570">
        <f>'Te Ardhurat '!N5</f>
        <v>815652</v>
      </c>
      <c r="F7" s="570">
        <f>'Te Ardhurat '!O5+'Te Ardhurat '!O6</f>
        <v>841418</v>
      </c>
      <c r="G7" s="570">
        <f>'Te Ardhurat '!P6</f>
        <v>905278</v>
      </c>
    </row>
    <row r="8" spans="2:9" x14ac:dyDescent="0.2">
      <c r="B8" s="326">
        <v>2</v>
      </c>
      <c r="C8" s="326" t="s">
        <v>515</v>
      </c>
      <c r="D8" s="570">
        <f>'Te Ardhurat '!M20</f>
        <v>327550</v>
      </c>
      <c r="E8" s="570">
        <f>'Te Ardhurat '!N20</f>
        <v>277504</v>
      </c>
      <c r="F8" s="570">
        <f>'Te Ardhurat '!O22+'Te Ardhurat '!O24</f>
        <v>188357</v>
      </c>
      <c r="G8" s="570">
        <f>'Te Ardhurat '!P22+'Te Ardhurat '!P24</f>
        <v>318580</v>
      </c>
    </row>
    <row r="9" spans="2:9" x14ac:dyDescent="0.2">
      <c r="B9" s="326">
        <v>4</v>
      </c>
      <c r="C9" s="326" t="s">
        <v>517</v>
      </c>
      <c r="D9" s="568">
        <v>0</v>
      </c>
      <c r="E9" s="568">
        <v>0</v>
      </c>
      <c r="F9" s="568">
        <v>0</v>
      </c>
      <c r="G9" s="571">
        <v>400000</v>
      </c>
    </row>
    <row r="10" spans="2:9" ht="7.5" customHeight="1" x14ac:dyDescent="0.2">
      <c r="D10" s="570"/>
      <c r="E10" s="570"/>
      <c r="F10" s="570"/>
      <c r="G10" s="570"/>
    </row>
    <row r="11" spans="2:9" x14ac:dyDescent="0.2">
      <c r="B11" s="572" t="s">
        <v>505</v>
      </c>
      <c r="C11" s="572" t="s">
        <v>510</v>
      </c>
      <c r="D11" s="573">
        <f>SUM(D12:D14)</f>
        <v>438228</v>
      </c>
      <c r="E11" s="573">
        <f>SUM(E12:E14)</f>
        <v>438228</v>
      </c>
      <c r="F11" s="573">
        <f>SUM(F12:F14)</f>
        <v>547212</v>
      </c>
      <c r="G11" s="573">
        <f>SUM(G12:G16)</f>
        <v>767489.43672500004</v>
      </c>
    </row>
    <row r="12" spans="2:9" x14ac:dyDescent="0.2">
      <c r="B12" s="326">
        <v>1</v>
      </c>
      <c r="C12" s="326" t="s">
        <v>516</v>
      </c>
      <c r="D12" s="570">
        <f>KK!O14</f>
        <v>438228</v>
      </c>
      <c r="E12" s="570">
        <f>KK!P14</f>
        <v>438228</v>
      </c>
      <c r="F12" s="570">
        <f>KK!Q14</f>
        <v>546480</v>
      </c>
      <c r="G12" s="570">
        <f>KK!R14</f>
        <v>546480</v>
      </c>
    </row>
    <row r="13" spans="2:9" x14ac:dyDescent="0.2">
      <c r="B13" s="326">
        <v>2</v>
      </c>
      <c r="C13" s="326" t="s">
        <v>518</v>
      </c>
      <c r="D13" s="568">
        <v>0</v>
      </c>
      <c r="E13" s="568">
        <v>0</v>
      </c>
      <c r="F13" s="568">
        <v>0</v>
      </c>
      <c r="G13" s="570">
        <f>TIMS!C6</f>
        <v>3695.4750000000004</v>
      </c>
    </row>
    <row r="14" spans="2:9" x14ac:dyDescent="0.2">
      <c r="B14" s="326">
        <v>3</v>
      </c>
      <c r="C14" s="326" t="s">
        <v>519</v>
      </c>
      <c r="D14" s="568">
        <v>0</v>
      </c>
      <c r="E14" s="568">
        <v>0</v>
      </c>
      <c r="F14" s="570">
        <f>2196/3</f>
        <v>732</v>
      </c>
      <c r="G14" s="570">
        <f>F14</f>
        <v>732</v>
      </c>
      <c r="I14" s="574">
        <v>2196</v>
      </c>
    </row>
    <row r="15" spans="2:9" x14ac:dyDescent="0.2">
      <c r="B15" s="326">
        <v>4</v>
      </c>
      <c r="C15" s="326" t="s">
        <v>531</v>
      </c>
      <c r="D15" s="568">
        <v>0</v>
      </c>
      <c r="E15" s="568">
        <v>0</v>
      </c>
      <c r="F15" s="568">
        <v>0</v>
      </c>
      <c r="G15" s="570">
        <f>1726.53*KK!R4</f>
        <v>212678.28172500001</v>
      </c>
      <c r="I15" s="574"/>
    </row>
    <row r="16" spans="2:9" x14ac:dyDescent="0.2">
      <c r="B16" s="326">
        <v>5</v>
      </c>
      <c r="C16" s="326" t="s">
        <v>533</v>
      </c>
      <c r="D16" s="568">
        <v>0</v>
      </c>
      <c r="E16" s="568">
        <v>0</v>
      </c>
      <c r="F16" s="568">
        <v>0</v>
      </c>
      <c r="G16" s="570">
        <f>32*121.99</f>
        <v>3903.68</v>
      </c>
      <c r="I16" s="574"/>
    </row>
    <row r="17" spans="2:13" ht="8.25" customHeight="1" x14ac:dyDescent="0.2">
      <c r="D17" s="570"/>
      <c r="E17" s="570"/>
      <c r="F17" s="570"/>
      <c r="G17" s="570"/>
      <c r="I17" s="328"/>
    </row>
    <row r="18" spans="2:13" x14ac:dyDescent="0.2">
      <c r="B18" s="572" t="s">
        <v>506</v>
      </c>
      <c r="C18" s="572" t="s">
        <v>512</v>
      </c>
      <c r="D18" s="573">
        <f>SUM(D19:D21)</f>
        <v>604815.43999999994</v>
      </c>
      <c r="E18" s="573">
        <f>SUM(E19:E21)</f>
        <v>863578.06</v>
      </c>
      <c r="F18" s="579">
        <f>SUM(F19:F21)</f>
        <v>339106.54000000004</v>
      </c>
      <c r="G18" s="573">
        <f>SUM(G19:G21)</f>
        <v>12641684.719999999</v>
      </c>
      <c r="I18" s="328"/>
    </row>
    <row r="19" spans="2:13" x14ac:dyDescent="0.2">
      <c r="B19" s="326">
        <v>1</v>
      </c>
      <c r="C19" s="326" t="s">
        <v>520</v>
      </c>
      <c r="D19" s="568">
        <v>0</v>
      </c>
      <c r="E19" s="568">
        <v>0</v>
      </c>
      <c r="F19" s="568">
        <v>0</v>
      </c>
      <c r="G19" s="571">
        <f>94830*121.99</f>
        <v>11568311.699999999</v>
      </c>
      <c r="I19" s="328"/>
      <c r="J19" s="326">
        <v>121.99</v>
      </c>
      <c r="K19" s="326" t="s">
        <v>527</v>
      </c>
    </row>
    <row r="20" spans="2:13" x14ac:dyDescent="0.2">
      <c r="B20" s="326">
        <v>2</v>
      </c>
      <c r="C20" s="326" t="s">
        <v>522</v>
      </c>
      <c r="D20" s="568">
        <v>0</v>
      </c>
      <c r="E20" s="568">
        <v>0</v>
      </c>
      <c r="F20" s="568">
        <v>0</v>
      </c>
      <c r="G20" s="571">
        <f>5500*123.25</f>
        <v>677875</v>
      </c>
      <c r="I20" s="328" t="s">
        <v>9</v>
      </c>
      <c r="J20" s="326">
        <v>123.25</v>
      </c>
      <c r="K20" s="326" t="s">
        <v>193</v>
      </c>
    </row>
    <row r="21" spans="2:13" x14ac:dyDescent="0.2">
      <c r="B21" s="326">
        <v>3</v>
      </c>
      <c r="C21" s="326" t="s">
        <v>521</v>
      </c>
      <c r="D21" s="569">
        <f>' Likujditete'!Q63</f>
        <v>604815.43999999994</v>
      </c>
      <c r="E21" s="569">
        <f>' Likujditete'!R63</f>
        <v>863578.06</v>
      </c>
      <c r="F21" s="569">
        <f>' Likujditete'!S63</f>
        <v>339106.54000000004</v>
      </c>
      <c r="G21" s="569">
        <f>' Likujditete'!T63</f>
        <v>395498.02</v>
      </c>
      <c r="I21" s="328"/>
    </row>
    <row r="22" spans="2:13" ht="9.75" customHeight="1" x14ac:dyDescent="0.2">
      <c r="D22" s="570"/>
      <c r="E22" s="570"/>
      <c r="F22" s="570"/>
      <c r="G22" s="570"/>
      <c r="I22" s="328"/>
    </row>
    <row r="23" spans="2:13" x14ac:dyDescent="0.2">
      <c r="B23" s="572" t="s">
        <v>507</v>
      </c>
      <c r="C23" s="572" t="s">
        <v>511</v>
      </c>
      <c r="D23" s="578">
        <f>SUM(D24:D25)</f>
        <v>0</v>
      </c>
      <c r="E23" s="578">
        <f>SUM(E24:E25)</f>
        <v>0</v>
      </c>
      <c r="F23" s="578">
        <f>SUM(F24:F25)</f>
        <v>0</v>
      </c>
      <c r="G23" s="573">
        <f>SUM(G24:G26)</f>
        <v>11479547.931074999</v>
      </c>
    </row>
    <row r="24" spans="2:13" x14ac:dyDescent="0.2">
      <c r="B24" s="326">
        <v>1</v>
      </c>
      <c r="C24" s="326" t="s">
        <v>530</v>
      </c>
      <c r="D24" s="568">
        <v>0</v>
      </c>
      <c r="E24" s="568">
        <v>0</v>
      </c>
      <c r="F24" s="568">
        <v>0</v>
      </c>
      <c r="G24" s="570">
        <f>48830*121.99</f>
        <v>5956771.7000000002</v>
      </c>
    </row>
    <row r="25" spans="2:13" x14ac:dyDescent="0.2">
      <c r="B25" s="326">
        <v>2</v>
      </c>
      <c r="C25" s="326" t="s">
        <v>526</v>
      </c>
      <c r="D25" s="568">
        <v>0</v>
      </c>
      <c r="E25" s="568">
        <v>0</v>
      </c>
      <c r="F25" s="568">
        <v>0</v>
      </c>
      <c r="G25" s="570">
        <f>46000*121.67</f>
        <v>5596820</v>
      </c>
      <c r="J25" s="326">
        <v>121.67</v>
      </c>
      <c r="K25" s="326" t="s">
        <v>183</v>
      </c>
      <c r="M25" s="326">
        <v>48830</v>
      </c>
    </row>
    <row r="26" spans="2:13" x14ac:dyDescent="0.2">
      <c r="B26" s="326">
        <v>3</v>
      </c>
      <c r="C26" s="326" t="s">
        <v>532</v>
      </c>
      <c r="D26" s="568">
        <v>0</v>
      </c>
      <c r="E26" s="568">
        <v>0</v>
      </c>
      <c r="F26" s="568">
        <v>0</v>
      </c>
      <c r="G26" s="570">
        <f>-601.09*KK!R4</f>
        <v>-74043.768925000011</v>
      </c>
    </row>
    <row r="27" spans="2:13" ht="9.75" customHeight="1" x14ac:dyDescent="0.2">
      <c r="D27" s="570"/>
      <c r="E27" s="570"/>
      <c r="F27" s="570"/>
      <c r="G27" s="570"/>
      <c r="M27" s="326">
        <v>46000</v>
      </c>
    </row>
    <row r="28" spans="2:13" x14ac:dyDescent="0.2">
      <c r="B28" s="572" t="s">
        <v>508</v>
      </c>
      <c r="C28" s="572" t="s">
        <v>525</v>
      </c>
      <c r="D28" s="573">
        <f>D18-(D23)</f>
        <v>604815.43999999994</v>
      </c>
      <c r="E28" s="573">
        <f>E18-(E23)</f>
        <v>863578.06</v>
      </c>
      <c r="F28" s="573">
        <f>F18-(F23)</f>
        <v>339106.54000000004</v>
      </c>
      <c r="G28" s="573">
        <f>G18-(G23)</f>
        <v>1162136.7889249995</v>
      </c>
      <c r="M28" s="326">
        <f>SUM(M25:M27)</f>
        <v>94830</v>
      </c>
    </row>
    <row r="29" spans="2:13" ht="9" customHeight="1" x14ac:dyDescent="0.2">
      <c r="D29" s="570"/>
      <c r="E29" s="570"/>
      <c r="F29" s="570"/>
      <c r="G29" s="570"/>
      <c r="M29" s="326">
        <f>M28-M27</f>
        <v>48830</v>
      </c>
    </row>
    <row r="30" spans="2:13" x14ac:dyDescent="0.2">
      <c r="B30" s="572" t="s">
        <v>513</v>
      </c>
      <c r="C30" s="572" t="s">
        <v>524</v>
      </c>
      <c r="D30" s="573">
        <f>D6-D11-D28</f>
        <v>102751.56000000006</v>
      </c>
      <c r="E30" s="581">
        <f>E6-E11-E28</f>
        <v>-208650.06000000006</v>
      </c>
      <c r="F30" s="573">
        <f>F6-F11-F28</f>
        <v>143456.45999999996</v>
      </c>
      <c r="G30" s="581">
        <f>G6-G11-G28</f>
        <v>-305768.22564999957</v>
      </c>
    </row>
    <row r="32" spans="2:13" x14ac:dyDescent="0.2">
      <c r="H32" s="583">
        <f>E30+G30</f>
        <v>-514418.28564999963</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AD672-7FDF-4034-B83C-0D7A8775ABEF}">
  <dimension ref="A2:P52"/>
  <sheetViews>
    <sheetView workbookViewId="0">
      <selection activeCell="J38" sqref="J38"/>
    </sheetView>
  </sheetViews>
  <sheetFormatPr defaultColWidth="8.85546875" defaultRowHeight="11.25" x14ac:dyDescent="0.2"/>
  <cols>
    <col min="1" max="1" width="8.85546875" style="326"/>
    <col min="2" max="2" width="3.42578125" style="616" bestFit="1" customWidth="1"/>
    <col min="3" max="3" width="19.85546875" style="616" customWidth="1"/>
    <col min="4" max="5" width="19.28515625" style="326" bestFit="1" customWidth="1"/>
    <col min="6" max="8" width="18.28515625" style="326" bestFit="1" customWidth="1"/>
    <col min="9" max="9" width="11" style="326" bestFit="1" customWidth="1"/>
    <col min="10" max="10" width="13.140625" style="326" bestFit="1" customWidth="1"/>
    <col min="11" max="16384" width="8.85546875" style="326"/>
  </cols>
  <sheetData>
    <row r="2" spans="1:10" x14ac:dyDescent="0.2">
      <c r="D2" s="617">
        <f>KK!T14</f>
        <v>546480</v>
      </c>
      <c r="E2" s="617">
        <f>KK!U14</f>
        <v>546480</v>
      </c>
      <c r="G2" s="617">
        <f>KK!V14</f>
        <v>558192</v>
      </c>
      <c r="H2" s="617">
        <f>KK!X14</f>
        <v>879992</v>
      </c>
    </row>
    <row r="3" spans="1:10" x14ac:dyDescent="0.2">
      <c r="D3" s="617"/>
    </row>
    <row r="4" spans="1:10" x14ac:dyDescent="0.2">
      <c r="D4" s="617">
        <f>D5/30</f>
        <v>1518</v>
      </c>
      <c r="E4" s="617">
        <f>E5/30</f>
        <v>1518</v>
      </c>
      <c r="H4" s="617">
        <f>H5/30</f>
        <v>2444.4222222222224</v>
      </c>
    </row>
    <row r="5" spans="1:10" x14ac:dyDescent="0.2">
      <c r="D5" s="617">
        <f>D2/12</f>
        <v>45540</v>
      </c>
      <c r="E5" s="617">
        <f>E2/12</f>
        <v>45540</v>
      </c>
      <c r="G5" s="617">
        <f>G2/12*7.5</f>
        <v>348870</v>
      </c>
      <c r="H5" s="617">
        <f>H2/12</f>
        <v>73332.666666666672</v>
      </c>
    </row>
    <row r="6" spans="1:10" x14ac:dyDescent="0.2">
      <c r="D6" s="617"/>
    </row>
    <row r="7" spans="1:10" x14ac:dyDescent="0.2">
      <c r="C7" s="618" t="s">
        <v>553</v>
      </c>
      <c r="D7" s="619" t="s">
        <v>552</v>
      </c>
      <c r="E7" s="328" t="s">
        <v>559</v>
      </c>
      <c r="F7" s="328" t="s">
        <v>560</v>
      </c>
      <c r="G7" s="328" t="s">
        <v>561</v>
      </c>
      <c r="H7" s="328" t="s">
        <v>562</v>
      </c>
    </row>
    <row r="8" spans="1:10" x14ac:dyDescent="0.2">
      <c r="A8" s="616" t="s">
        <v>549</v>
      </c>
      <c r="B8" s="616" t="s">
        <v>238</v>
      </c>
      <c r="C8" s="326"/>
      <c r="D8" s="326">
        <f>1079.55</f>
        <v>1079.55</v>
      </c>
      <c r="E8" s="613">
        <v>35819.65</v>
      </c>
      <c r="F8" s="613">
        <f>[2]sp_NRP_Balance!$L$533</f>
        <v>308.06</v>
      </c>
      <c r="G8" s="613">
        <f>[2]sp_NRP_Balance!$L$561</f>
        <v>225.03</v>
      </c>
      <c r="H8" s="326">
        <v>60641.78</v>
      </c>
    </row>
    <row r="9" spans="1:10" x14ac:dyDescent="0.2">
      <c r="A9" s="616" t="s">
        <v>550</v>
      </c>
      <c r="B9" s="616" t="s">
        <v>551</v>
      </c>
      <c r="C9" s="326"/>
      <c r="D9" s="326">
        <v>12067</v>
      </c>
      <c r="E9" s="613">
        <v>47671</v>
      </c>
      <c r="F9" s="613">
        <v>61919</v>
      </c>
      <c r="G9" s="624">
        <f>[3]Sheet1!$W$112</f>
        <v>242026.88</v>
      </c>
      <c r="H9" s="326">
        <v>342797</v>
      </c>
    </row>
    <row r="10" spans="1:10" x14ac:dyDescent="0.2">
      <c r="A10" s="616"/>
      <c r="C10" s="617">
        <f>' Likujditete'!U53</f>
        <v>9095.6</v>
      </c>
      <c r="D10" s="326">
        <f>SUM(D8:D9)</f>
        <v>13146.55</v>
      </c>
      <c r="E10" s="326">
        <f>SUM(E8:E9)</f>
        <v>83490.649999999994</v>
      </c>
      <c r="F10" s="326">
        <f>SUM(F8:F9)</f>
        <v>62227.06</v>
      </c>
      <c r="G10" s="326">
        <f>SUM(G8:G9)</f>
        <v>242251.91</v>
      </c>
      <c r="H10" s="326">
        <f>SUM(H8:H9)</f>
        <v>403438.78</v>
      </c>
      <c r="I10" s="617">
        <f>' Likujditete'!Y53</f>
        <v>3017.83</v>
      </c>
      <c r="J10" s="617">
        <f>H10-I10</f>
        <v>400420.95</v>
      </c>
    </row>
    <row r="11" spans="1:10" x14ac:dyDescent="0.2">
      <c r="A11" s="616"/>
      <c r="C11" s="617"/>
      <c r="D11" s="617">
        <f>D10-C10</f>
        <v>4050.9499999999989</v>
      </c>
      <c r="E11" s="617"/>
      <c r="F11" s="617"/>
      <c r="G11" s="617"/>
      <c r="H11" s="617"/>
    </row>
    <row r="12" spans="1:10" x14ac:dyDescent="0.2">
      <c r="A12" s="616"/>
      <c r="C12" s="617"/>
      <c r="E12" s="613"/>
      <c r="F12" s="613"/>
      <c r="G12" s="613"/>
    </row>
    <row r="13" spans="1:10" x14ac:dyDescent="0.2">
      <c r="A13" s="616"/>
      <c r="C13" s="617"/>
      <c r="D13" s="615">
        <v>3405</v>
      </c>
      <c r="E13" s="615">
        <v>3290</v>
      </c>
      <c r="F13" s="615">
        <v>2060</v>
      </c>
      <c r="G13" s="615">
        <v>3090</v>
      </c>
      <c r="H13" s="615">
        <v>15550</v>
      </c>
    </row>
    <row r="14" spans="1:10" x14ac:dyDescent="0.2">
      <c r="B14" s="620" t="s">
        <v>502</v>
      </c>
      <c r="C14" s="620" t="s">
        <v>540</v>
      </c>
      <c r="D14" s="621" t="s">
        <v>535</v>
      </c>
      <c r="E14" s="621" t="s">
        <v>536</v>
      </c>
      <c r="F14" s="621" t="s">
        <v>537</v>
      </c>
      <c r="G14" s="621" t="s">
        <v>538</v>
      </c>
      <c r="H14" s="621" t="s">
        <v>539</v>
      </c>
    </row>
    <row r="15" spans="1:10" x14ac:dyDescent="0.2">
      <c r="D15" s="328" t="s">
        <v>504</v>
      </c>
      <c r="E15" s="328" t="s">
        <v>505</v>
      </c>
      <c r="F15" s="328" t="s">
        <v>506</v>
      </c>
      <c r="G15" s="328" t="s">
        <v>507</v>
      </c>
      <c r="H15" s="328" t="s">
        <v>508</v>
      </c>
    </row>
    <row r="16" spans="1:10" x14ac:dyDescent="0.2">
      <c r="B16" s="620" t="s">
        <v>504</v>
      </c>
      <c r="C16" s="620" t="s">
        <v>509</v>
      </c>
      <c r="D16" s="626">
        <f>SUM(D17:D18)</f>
        <v>1207450</v>
      </c>
      <c r="E16" s="626">
        <f>SUM(E17:E18)</f>
        <v>843899</v>
      </c>
      <c r="F16" s="626">
        <f>SUM(F17:F18)</f>
        <v>663371</v>
      </c>
      <c r="G16" s="626">
        <f>SUM(G17:G18)</f>
        <v>1024913</v>
      </c>
      <c r="H16" s="626">
        <f>SUM(H17:H19)</f>
        <v>1664298</v>
      </c>
    </row>
    <row r="17" spans="2:16" x14ac:dyDescent="0.2">
      <c r="B17" s="616">
        <v>1</v>
      </c>
      <c r="C17" s="616" t="s">
        <v>542</v>
      </c>
      <c r="D17" s="625">
        <f>737467</f>
        <v>737467</v>
      </c>
      <c r="E17" s="569">
        <f>517465</f>
        <v>517465</v>
      </c>
      <c r="F17" s="569">
        <v>411026</v>
      </c>
      <c r="G17" s="569">
        <f>693828</f>
        <v>693828</v>
      </c>
      <c r="H17" s="569">
        <v>1058086</v>
      </c>
    </row>
    <row r="18" spans="2:16" x14ac:dyDescent="0.2">
      <c r="B18" s="616">
        <v>2</v>
      </c>
      <c r="C18" s="616" t="s">
        <v>543</v>
      </c>
      <c r="D18" s="625">
        <v>469983</v>
      </c>
      <c r="E18" s="569">
        <f>[4]Sheet1!$AG$19</f>
        <v>326434</v>
      </c>
      <c r="F18" s="569">
        <f>252345</f>
        <v>252345</v>
      </c>
      <c r="G18" s="569">
        <v>331085</v>
      </c>
      <c r="H18" s="569">
        <f>53229*3+55728*3+45000+55728*2+60228+62657</f>
        <v>606212</v>
      </c>
    </row>
    <row r="19" spans="2:16" x14ac:dyDescent="0.2">
      <c r="B19" s="616">
        <v>3</v>
      </c>
      <c r="C19" s="616" t="s">
        <v>568</v>
      </c>
      <c r="D19" s="625">
        <v>0</v>
      </c>
      <c r="E19" s="625">
        <v>0</v>
      </c>
      <c r="F19" s="625">
        <v>0</v>
      </c>
      <c r="G19" s="625">
        <v>0</v>
      </c>
      <c r="H19" s="569">
        <v>0</v>
      </c>
      <c r="J19" s="326" t="s">
        <v>569</v>
      </c>
      <c r="K19" s="326">
        <v>139.87</v>
      </c>
    </row>
    <row r="20" spans="2:16" x14ac:dyDescent="0.2">
      <c r="D20" s="625"/>
      <c r="E20" s="625"/>
      <c r="F20" s="625"/>
      <c r="G20" s="625"/>
      <c r="H20" s="625"/>
    </row>
    <row r="21" spans="2:16" x14ac:dyDescent="0.2">
      <c r="B21" s="620" t="s">
        <v>505</v>
      </c>
      <c r="C21" s="620" t="s">
        <v>510</v>
      </c>
      <c r="D21" s="626">
        <f>SUM(D22:D25)</f>
        <v>717617.75520000001</v>
      </c>
      <c r="E21" s="626">
        <f>SUM(E22:E25)</f>
        <v>802927.85100000002</v>
      </c>
      <c r="F21" s="626">
        <f>SUM(F22:F25)</f>
        <v>315888.91200000001</v>
      </c>
      <c r="G21" s="626">
        <f>SUM(G22:G25)</f>
        <v>454917.48</v>
      </c>
      <c r="H21" s="626">
        <f>SUM(H22:H25)</f>
        <v>882827.56122222228</v>
      </c>
      <c r="N21" s="326">
        <v>45968</v>
      </c>
    </row>
    <row r="22" spans="2:16" x14ac:dyDescent="0.2">
      <c r="B22" s="616">
        <v>1</v>
      </c>
      <c r="C22" s="616" t="s">
        <v>544</v>
      </c>
      <c r="D22" s="625">
        <f>45540*10+25*1518</f>
        <v>493350</v>
      </c>
      <c r="E22" s="625">
        <f>E5*7+E4</f>
        <v>320298</v>
      </c>
      <c r="F22" s="625">
        <f>E2-E22</f>
        <v>226182</v>
      </c>
      <c r="G22" s="625">
        <f>G2/12*7.5</f>
        <v>348870</v>
      </c>
      <c r="H22" s="625">
        <f>H5*10+7*H4</f>
        <v>750437.62222222227</v>
      </c>
      <c r="N22" s="326">
        <v>5000</v>
      </c>
    </row>
    <row r="23" spans="2:16" x14ac:dyDescent="0.2">
      <c r="B23" s="616">
        <v>2</v>
      </c>
      <c r="C23" s="616" t="s">
        <v>545</v>
      </c>
      <c r="D23" s="625">
        <v>0</v>
      </c>
      <c r="E23" s="625">
        <f>TIMS!F6</f>
        <v>338835</v>
      </c>
      <c r="F23" s="625">
        <v>0</v>
      </c>
      <c r="G23" s="625">
        <v>0</v>
      </c>
      <c r="H23" s="625">
        <v>0</v>
      </c>
      <c r="N23" s="326">
        <v>285</v>
      </c>
      <c r="P23" s="326" t="s">
        <v>570</v>
      </c>
    </row>
    <row r="24" spans="2:16" x14ac:dyDescent="0.2">
      <c r="B24" s="616">
        <v>3</v>
      </c>
      <c r="C24" s="616" t="s">
        <v>546</v>
      </c>
      <c r="D24" s="625">
        <f>'Kredi ne NBG '!H50*KK!T4</f>
        <v>222917.75519999999</v>
      </c>
      <c r="E24" s="625">
        <f>'Kredi ne NBG '!J58*KK!U4</f>
        <v>142444.85100000002</v>
      </c>
      <c r="F24" s="625">
        <f>'Kredi ne NBG '!J59*KK!U4</f>
        <v>89706.911999999997</v>
      </c>
      <c r="G24" s="625">
        <f>'Kredi ne NBG '!L58*KK!V4</f>
        <v>106047.48</v>
      </c>
      <c r="H24" s="569">
        <f>'Kredi ne NBG '!P53*KK!X4</f>
        <v>132389.93899999998</v>
      </c>
      <c r="N24" s="326">
        <v>24400</v>
      </c>
    </row>
    <row r="25" spans="2:16" x14ac:dyDescent="0.2">
      <c r="B25" s="616">
        <v>4</v>
      </c>
      <c r="C25" s="616" t="s">
        <v>548</v>
      </c>
      <c r="D25" s="625">
        <f>2700/2</f>
        <v>1350</v>
      </c>
      <c r="E25" s="625">
        <f>D25</f>
        <v>1350</v>
      </c>
      <c r="F25" s="625">
        <v>0</v>
      </c>
      <c r="G25" s="625">
        <v>0</v>
      </c>
      <c r="H25" s="625">
        <v>0</v>
      </c>
      <c r="N25" s="326">
        <v>5000</v>
      </c>
      <c r="P25" s="326">
        <v>140.44999999999999</v>
      </c>
    </row>
    <row r="26" spans="2:16" x14ac:dyDescent="0.2">
      <c r="D26" s="625"/>
      <c r="E26" s="625"/>
      <c r="F26" s="625"/>
      <c r="G26" s="625"/>
      <c r="H26" s="625"/>
      <c r="N26" s="326">
        <v>230</v>
      </c>
    </row>
    <row r="27" spans="2:16" x14ac:dyDescent="0.2">
      <c r="B27" s="620" t="s">
        <v>506</v>
      </c>
      <c r="C27" s="620" t="s">
        <v>512</v>
      </c>
      <c r="D27" s="626">
        <f>SUM(D28:D28)</f>
        <v>4050.9499999999989</v>
      </c>
      <c r="E27" s="626">
        <f>SUM(E28:E29)</f>
        <v>34820.609999999993</v>
      </c>
      <c r="F27" s="626">
        <f>SUM(F28:F29)</f>
        <v>27406.450000000004</v>
      </c>
      <c r="G27" s="626">
        <f>SUM(G28:G29)</f>
        <v>180024.85</v>
      </c>
      <c r="H27" s="626">
        <f>SUM(H28:H29)</f>
        <v>400420.95</v>
      </c>
      <c r="N27" s="326">
        <f>SUM(N21:N26)</f>
        <v>80883</v>
      </c>
      <c r="P27" s="326">
        <v>40000</v>
      </c>
    </row>
    <row r="28" spans="2:16" x14ac:dyDescent="0.2">
      <c r="B28" s="616">
        <v>1</v>
      </c>
      <c r="C28" s="616" t="s">
        <v>554</v>
      </c>
      <c r="D28" s="625">
        <f>D10-C10</f>
        <v>4050.9499999999989</v>
      </c>
      <c r="E28" s="625">
        <f>E10-' Likujditete'!V53</f>
        <v>34820.609999999993</v>
      </c>
      <c r="F28" s="625">
        <f>F10-E28</f>
        <v>27406.450000000004</v>
      </c>
      <c r="G28" s="625">
        <f>G10-' Likujditete'!W53</f>
        <v>180024.85</v>
      </c>
      <c r="H28" s="625">
        <f>J10</f>
        <v>400420.95</v>
      </c>
      <c r="N28" s="326">
        <f>80883</f>
        <v>80883</v>
      </c>
      <c r="P28" s="326">
        <f>P27/P25</f>
        <v>284.7988608045568</v>
      </c>
    </row>
    <row r="29" spans="2:16" x14ac:dyDescent="0.2">
      <c r="B29" s="616">
        <v>2</v>
      </c>
      <c r="C29" s="616" t="s">
        <v>555</v>
      </c>
      <c r="D29" s="625">
        <v>0</v>
      </c>
      <c r="E29" s="625">
        <v>0</v>
      </c>
      <c r="F29" s="625">
        <v>0</v>
      </c>
      <c r="G29" s="625">
        <v>0</v>
      </c>
      <c r="H29" s="625"/>
      <c r="N29" s="326">
        <f>N27-N28</f>
        <v>0</v>
      </c>
    </row>
    <row r="30" spans="2:16" x14ac:dyDescent="0.2">
      <c r="D30" s="625"/>
      <c r="E30" s="625"/>
      <c r="F30" s="625"/>
      <c r="G30" s="625"/>
      <c r="H30" s="625"/>
    </row>
    <row r="31" spans="2:16" x14ac:dyDescent="0.2">
      <c r="B31" s="620" t="s">
        <v>507</v>
      </c>
      <c r="C31" s="620" t="s">
        <v>511</v>
      </c>
      <c r="D31" s="626">
        <f>D32</f>
        <v>-96792.212999999989</v>
      </c>
      <c r="E31" s="626">
        <f>E32</f>
        <v>-62696.922000000006</v>
      </c>
      <c r="F31" s="626">
        <f>F32</f>
        <v>-752925.94500000007</v>
      </c>
      <c r="G31" s="626">
        <f>G32</f>
        <v>-54676.627600000007</v>
      </c>
      <c r="H31" s="626">
        <f>H32</f>
        <v>-76707.422800000015</v>
      </c>
    </row>
    <row r="32" spans="2:16" x14ac:dyDescent="0.2">
      <c r="B32" s="616">
        <v>1</v>
      </c>
      <c r="C32" s="616" t="s">
        <v>547</v>
      </c>
      <c r="D32" s="625">
        <f>-'Kredi ne NBG '!G50*KK!T4</f>
        <v>-96792.212999999989</v>
      </c>
      <c r="E32" s="569">
        <f>-'Kredi ne NBG '!I58*KK!U4</f>
        <v>-62696.922000000006</v>
      </c>
      <c r="F32" s="569">
        <f>-'Kredi ne NBG '!I59*KK!U4</f>
        <v>-752925.94500000007</v>
      </c>
      <c r="G32" s="569">
        <f>-'Kredi ne NBG '!K58*KK!V4</f>
        <v>-54676.627600000007</v>
      </c>
      <c r="H32" s="569">
        <f>-'Kredi ne NBG '!O53*KK!X4</f>
        <v>-76707.422800000015</v>
      </c>
    </row>
    <row r="33" spans="2:8" x14ac:dyDescent="0.2">
      <c r="D33" s="625"/>
      <c r="E33" s="625"/>
      <c r="F33" s="625"/>
      <c r="G33" s="625"/>
      <c r="H33" s="625"/>
    </row>
    <row r="34" spans="2:8" x14ac:dyDescent="0.2">
      <c r="B34" s="620" t="s">
        <v>508</v>
      </c>
      <c r="C34" s="620" t="s">
        <v>541</v>
      </c>
      <c r="D34" s="626">
        <f>D27-(D31)</f>
        <v>100843.16299999999</v>
      </c>
      <c r="E34" s="626">
        <f>E27-(E31)</f>
        <v>97517.532000000007</v>
      </c>
      <c r="F34" s="626">
        <f>F27-(F31)</f>
        <v>780332.39500000002</v>
      </c>
      <c r="G34" s="626">
        <f>G27-(G31)</f>
        <v>234701.47760000001</v>
      </c>
      <c r="H34" s="626">
        <f>H27-(H31)</f>
        <v>477128.37280000001</v>
      </c>
    </row>
    <row r="35" spans="2:8" x14ac:dyDescent="0.2">
      <c r="D35" s="625"/>
      <c r="E35" s="625"/>
      <c r="F35" s="625"/>
      <c r="G35" s="625"/>
      <c r="H35" s="625"/>
    </row>
    <row r="36" spans="2:8" x14ac:dyDescent="0.2">
      <c r="B36" s="620" t="s">
        <v>513</v>
      </c>
      <c r="C36" s="620" t="s">
        <v>556</v>
      </c>
      <c r="D36" s="626">
        <f>D16-D21-D34</f>
        <v>388989.08179999999</v>
      </c>
      <c r="E36" s="627">
        <f>E16-E21-E34</f>
        <v>-56546.383000000031</v>
      </c>
      <c r="F36" s="627">
        <f>F16-F21-F34</f>
        <v>-432850.30700000003</v>
      </c>
      <c r="G36" s="628">
        <f>G16-G21-G34</f>
        <v>335294.04240000003</v>
      </c>
      <c r="H36" s="628">
        <f>H16-H21-H34</f>
        <v>304342.0659777777</v>
      </c>
    </row>
    <row r="37" spans="2:8" x14ac:dyDescent="0.2">
      <c r="C37" s="616" t="s">
        <v>557</v>
      </c>
      <c r="D37" s="625">
        <f>D36/KK!T4</f>
        <v>2802.3131028023918</v>
      </c>
      <c r="E37" s="629">
        <f>E36/KK!U4</f>
        <v>-408.86755603759963</v>
      </c>
      <c r="F37" s="629">
        <f>F36/KK!U4</f>
        <v>-3129.7925307302962</v>
      </c>
      <c r="G37" s="625">
        <f>G36/KK!V4</f>
        <v>2399.7569596335529</v>
      </c>
      <c r="H37" s="617">
        <f>H36/KK!X4</f>
        <v>2172.1651986137867</v>
      </c>
    </row>
    <row r="38" spans="2:8" x14ac:dyDescent="0.2">
      <c r="C38" s="616" t="s">
        <v>558</v>
      </c>
      <c r="D38" s="625">
        <f>D13</f>
        <v>3405</v>
      </c>
      <c r="E38" s="625">
        <f>E13</f>
        <v>3290</v>
      </c>
      <c r="F38" s="625">
        <f>F13</f>
        <v>2060</v>
      </c>
      <c r="G38" s="625">
        <f>G13</f>
        <v>3090</v>
      </c>
      <c r="H38" s="625">
        <f>H13</f>
        <v>15550</v>
      </c>
    </row>
    <row r="39" spans="2:8" x14ac:dyDescent="0.2">
      <c r="D39" s="629">
        <f>D37-D38</f>
        <v>-602.68689719760823</v>
      </c>
      <c r="E39" s="625"/>
      <c r="F39" s="625"/>
      <c r="G39" s="629">
        <f>G37-G38</f>
        <v>-690.24304036644708</v>
      </c>
      <c r="H39" s="630">
        <f>H37-H38</f>
        <v>-13377.834801386212</v>
      </c>
    </row>
    <row r="40" spans="2:8" x14ac:dyDescent="0.2">
      <c r="D40" s="622"/>
      <c r="G40" s="622"/>
      <c r="H40" s="622"/>
    </row>
    <row r="41" spans="2:8" x14ac:dyDescent="0.2">
      <c r="C41" s="616" t="s">
        <v>564</v>
      </c>
      <c r="H41" s="614">
        <v>20000</v>
      </c>
    </row>
    <row r="42" spans="2:8" x14ac:dyDescent="0.2">
      <c r="C42" s="616" t="s">
        <v>565</v>
      </c>
      <c r="H42" s="326" t="s">
        <v>563</v>
      </c>
    </row>
    <row r="43" spans="2:8" x14ac:dyDescent="0.2">
      <c r="C43" s="616" t="s">
        <v>566</v>
      </c>
    </row>
    <row r="44" spans="2:8" x14ac:dyDescent="0.2">
      <c r="C44" s="616" t="s">
        <v>567</v>
      </c>
    </row>
    <row r="46" spans="2:8" x14ac:dyDescent="0.2">
      <c r="D46" s="326">
        <v>138.61000000000001</v>
      </c>
      <c r="E46" s="326">
        <v>139.5</v>
      </c>
      <c r="F46" s="326">
        <f>KK!U4</f>
        <v>138.30000000000001</v>
      </c>
      <c r="G46" s="326">
        <v>136.80000000000001</v>
      </c>
      <c r="H46" s="326">
        <v>139.16</v>
      </c>
    </row>
    <row r="47" spans="2:8" x14ac:dyDescent="0.2">
      <c r="D47" s="617">
        <f>D36/D46</f>
        <v>2806.3565529182597</v>
      </c>
      <c r="E47" s="617">
        <f>E36/E46</f>
        <v>-405.35041577060952</v>
      </c>
      <c r="F47" s="617">
        <f>F36/F46</f>
        <v>-3129.7925307302962</v>
      </c>
      <c r="G47" s="617">
        <f>G36/G46</f>
        <v>2450.9798421052633</v>
      </c>
      <c r="H47" s="617">
        <f>H36/H46</f>
        <v>2186.9938630193856</v>
      </c>
    </row>
    <row r="48" spans="2:8" x14ac:dyDescent="0.2">
      <c r="D48" s="617"/>
      <c r="E48" s="617"/>
      <c r="F48" s="617"/>
      <c r="G48" s="617"/>
      <c r="H48" s="617"/>
    </row>
    <row r="49" spans="4:8" x14ac:dyDescent="0.2">
      <c r="D49" s="630">
        <f>D47-D38</f>
        <v>-598.64344708174031</v>
      </c>
      <c r="E49" s="630">
        <f>E47-E38</f>
        <v>-3695.3504157706093</v>
      </c>
      <c r="F49" s="630">
        <f>F47-F38</f>
        <v>-5189.7925307302958</v>
      </c>
      <c r="G49" s="630">
        <f>G47-G38</f>
        <v>-639.02015789473671</v>
      </c>
      <c r="H49" s="630">
        <f>H47-H38</f>
        <v>-13363.006136980614</v>
      </c>
    </row>
    <row r="50" spans="4:8" x14ac:dyDescent="0.2">
      <c r="D50" s="630">
        <f>D49*D46</f>
        <v>-82977.968200000032</v>
      </c>
      <c r="E50" s="630">
        <f>E49*E46</f>
        <v>-515501.38299999997</v>
      </c>
      <c r="F50" s="630">
        <f>F49*F46</f>
        <v>-717748.30699999991</v>
      </c>
      <c r="G50" s="630">
        <f>G49*G46</f>
        <v>-87417.957599999994</v>
      </c>
      <c r="H50" s="630">
        <f>H49*H46</f>
        <v>-1859595.9340222222</v>
      </c>
    </row>
    <row r="51" spans="4:8" x14ac:dyDescent="0.2">
      <c r="H51" s="617">
        <v>20000</v>
      </c>
    </row>
    <row r="52" spans="4:8" x14ac:dyDescent="0.2">
      <c r="H52" s="617">
        <f>H49+H51</f>
        <v>6636.9938630193865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52"/>
  <sheetViews>
    <sheetView topLeftCell="B1" zoomScale="40" zoomScaleNormal="40" workbookViewId="0">
      <pane xSplit="1" ySplit="3" topLeftCell="C10" activePane="bottomRight" state="frozen"/>
      <selection activeCell="B1" sqref="B1"/>
      <selection pane="topRight" activeCell="C1" sqref="C1"/>
      <selection pane="bottomLeft" activeCell="B4" sqref="B4"/>
      <selection pane="bottomRight" activeCell="C4" sqref="C4"/>
    </sheetView>
  </sheetViews>
  <sheetFormatPr defaultColWidth="79.7109375" defaultRowHeight="27" x14ac:dyDescent="0.45"/>
  <cols>
    <col min="1" max="1" width="28.28515625" style="402" customWidth="1"/>
    <col min="2" max="2" width="78.42578125" style="403" customWidth="1"/>
    <col min="3" max="3" width="60.140625" style="404" customWidth="1"/>
    <col min="4" max="4" width="25.85546875" style="405" bestFit="1" customWidth="1"/>
    <col min="5" max="6" width="28.42578125" style="406" bestFit="1" customWidth="1"/>
    <col min="7" max="7" width="28.42578125" style="405" bestFit="1" customWidth="1"/>
    <col min="8" max="12" width="28.42578125" style="406" bestFit="1" customWidth="1"/>
    <col min="13" max="24" width="34.140625" style="406" bestFit="1" customWidth="1"/>
    <col min="25" max="25" width="36.5703125" style="407" bestFit="1" customWidth="1"/>
    <col min="26" max="26" width="27.28515625" style="406" customWidth="1"/>
    <col min="27" max="27" width="51.28515625" style="406" customWidth="1"/>
    <col min="28" max="28" width="35.5703125" style="402" customWidth="1"/>
    <col min="29" max="29" width="39.42578125" style="402" customWidth="1"/>
    <col min="30" max="16384" width="79.7109375" style="402"/>
  </cols>
  <sheetData>
    <row r="1" spans="1:29" x14ac:dyDescent="0.45">
      <c r="H1" s="407"/>
      <c r="I1" s="407"/>
      <c r="J1" s="407"/>
      <c r="K1" s="407"/>
      <c r="L1" s="407"/>
      <c r="M1" s="407"/>
      <c r="N1" s="407"/>
      <c r="O1" s="407"/>
      <c r="P1" s="407"/>
      <c r="Q1" s="407"/>
      <c r="R1" s="407"/>
      <c r="S1" s="407"/>
      <c r="T1" s="407"/>
      <c r="U1" s="407"/>
      <c r="V1" s="407"/>
      <c r="W1" s="407"/>
      <c r="X1" s="407"/>
      <c r="Z1" s="407"/>
    </row>
    <row r="2" spans="1:29" x14ac:dyDescent="0.45">
      <c r="H2" s="407"/>
      <c r="I2" s="407"/>
      <c r="J2" s="407"/>
      <c r="K2" s="407"/>
      <c r="L2" s="407"/>
      <c r="M2" s="407"/>
      <c r="N2" s="407"/>
      <c r="O2" s="407"/>
      <c r="P2" s="407"/>
      <c r="Q2" s="407"/>
      <c r="R2" s="407"/>
      <c r="S2" s="407"/>
      <c r="T2" s="407"/>
      <c r="U2" s="407"/>
      <c r="V2" s="407"/>
      <c r="W2" s="407"/>
      <c r="X2" s="407"/>
      <c r="Z2" s="407"/>
    </row>
    <row r="3" spans="1:29" s="413" customFormat="1" x14ac:dyDescent="0.45">
      <c r="A3" s="408"/>
      <c r="B3" s="409" t="s">
        <v>148</v>
      </c>
      <c r="C3" s="410" t="s">
        <v>152</v>
      </c>
      <c r="D3" s="411">
        <v>1996</v>
      </c>
      <c r="E3" s="412">
        <v>1997</v>
      </c>
      <c r="F3" s="412">
        <v>1998</v>
      </c>
      <c r="G3" s="412">
        <v>1999</v>
      </c>
      <c r="H3" s="412">
        <v>2000</v>
      </c>
      <c r="I3" s="412">
        <v>2001</v>
      </c>
      <c r="J3" s="412">
        <v>2002</v>
      </c>
      <c r="K3" s="412">
        <v>2003</v>
      </c>
      <c r="L3" s="412">
        <v>2004</v>
      </c>
      <c r="M3" s="412">
        <v>2005</v>
      </c>
      <c r="N3" s="412">
        <v>2006</v>
      </c>
      <c r="O3" s="412">
        <v>2007</v>
      </c>
      <c r="P3" s="412">
        <v>2008</v>
      </c>
      <c r="Q3" s="412">
        <v>2009</v>
      </c>
      <c r="R3" s="412">
        <v>2010</v>
      </c>
      <c r="S3" s="412">
        <v>2011</v>
      </c>
      <c r="T3" s="412">
        <v>2012</v>
      </c>
      <c r="U3" s="412">
        <v>2013</v>
      </c>
      <c r="V3" s="412">
        <v>2014</v>
      </c>
      <c r="W3" s="412">
        <v>2015</v>
      </c>
      <c r="X3" s="412">
        <v>2016</v>
      </c>
      <c r="Y3" s="412" t="s">
        <v>97</v>
      </c>
      <c r="Z3" s="412" t="s">
        <v>102</v>
      </c>
      <c r="AA3" s="412">
        <v>2017</v>
      </c>
      <c r="AB3" s="412">
        <v>2018</v>
      </c>
      <c r="AC3" s="412">
        <v>2019</v>
      </c>
    </row>
    <row r="4" spans="1:29" s="414" customFormat="1" ht="105.75" x14ac:dyDescent="0.45">
      <c r="B4" s="415" t="s">
        <v>490</v>
      </c>
      <c r="C4" s="416" t="s">
        <v>151</v>
      </c>
      <c r="D4" s="561">
        <v>60154</v>
      </c>
      <c r="E4" s="562">
        <v>231024</v>
      </c>
      <c r="F4" s="562">
        <v>360525</v>
      </c>
      <c r="G4" s="563">
        <v>390615</v>
      </c>
      <c r="H4" s="564">
        <v>442564</v>
      </c>
      <c r="I4" s="562">
        <v>446705</v>
      </c>
      <c r="J4" s="562">
        <v>414633</v>
      </c>
      <c r="K4" s="562">
        <v>473716</v>
      </c>
      <c r="L4" s="562">
        <v>244530</v>
      </c>
      <c r="M4" s="418"/>
      <c r="N4" s="418"/>
      <c r="O4" s="418"/>
      <c r="P4" s="418"/>
      <c r="Q4" s="418"/>
      <c r="R4" s="418"/>
      <c r="S4" s="418"/>
      <c r="T4" s="418"/>
      <c r="U4" s="418"/>
      <c r="V4" s="418"/>
      <c r="W4" s="418"/>
      <c r="X4" s="418"/>
      <c r="Y4" s="420">
        <f>SUM(D4:X4)</f>
        <v>3064466</v>
      </c>
      <c r="Z4" s="418"/>
      <c r="AA4" s="418"/>
      <c r="AB4" s="421"/>
      <c r="AC4" s="421"/>
    </row>
    <row r="5" spans="1:29" s="414" customFormat="1" ht="105.75" x14ac:dyDescent="0.45">
      <c r="B5" s="415" t="s">
        <v>491</v>
      </c>
      <c r="C5" s="416" t="s">
        <v>153</v>
      </c>
      <c r="D5" s="417"/>
      <c r="E5" s="418"/>
      <c r="F5" s="418"/>
      <c r="G5" s="419"/>
      <c r="H5" s="418"/>
      <c r="I5" s="418"/>
      <c r="J5" s="418"/>
      <c r="K5" s="418"/>
      <c r="L5" s="562">
        <v>361664</v>
      </c>
      <c r="M5" s="562">
        <v>818245</v>
      </c>
      <c r="N5" s="562">
        <v>815652</v>
      </c>
      <c r="O5" s="562">
        <v>289222</v>
      </c>
      <c r="P5" s="418"/>
      <c r="Q5" s="418"/>
      <c r="R5" s="418"/>
      <c r="S5" s="418"/>
      <c r="T5" s="418"/>
      <c r="U5" s="418"/>
      <c r="V5" s="418"/>
      <c r="W5" s="418"/>
      <c r="X5" s="418"/>
      <c r="Y5" s="420">
        <f>SUM(D5:X5)</f>
        <v>2284783</v>
      </c>
      <c r="Z5" s="418"/>
      <c r="AA5" s="418"/>
      <c r="AB5" s="421"/>
      <c r="AC5" s="421"/>
    </row>
    <row r="6" spans="1:29" s="414" customFormat="1" ht="105.75" x14ac:dyDescent="0.45">
      <c r="B6" s="415" t="s">
        <v>492</v>
      </c>
      <c r="C6" s="416" t="s">
        <v>154</v>
      </c>
      <c r="D6" s="417"/>
      <c r="E6" s="418"/>
      <c r="F6" s="418"/>
      <c r="G6" s="419"/>
      <c r="H6" s="418"/>
      <c r="I6" s="418"/>
      <c r="J6" s="418"/>
      <c r="K6" s="418"/>
      <c r="L6" s="418"/>
      <c r="M6" s="418"/>
      <c r="N6" s="418"/>
      <c r="O6" s="562">
        <v>552196</v>
      </c>
      <c r="P6" s="562">
        <v>905278</v>
      </c>
      <c r="Q6" s="562">
        <v>851469</v>
      </c>
      <c r="R6" s="562">
        <v>615717</v>
      </c>
      <c r="S6" s="418"/>
      <c r="T6" s="418"/>
      <c r="U6" s="418"/>
      <c r="V6" s="418"/>
      <c r="W6" s="418"/>
      <c r="X6" s="418"/>
      <c r="Y6" s="420">
        <f>SUM(D6:X6)</f>
        <v>2924660</v>
      </c>
      <c r="Z6" s="418"/>
      <c r="AA6" s="418"/>
      <c r="AB6" s="421"/>
      <c r="AC6" s="421"/>
    </row>
    <row r="7" spans="1:29" s="414" customFormat="1" ht="105.75" x14ac:dyDescent="0.45">
      <c r="B7" s="415" t="s">
        <v>493</v>
      </c>
      <c r="C7" s="416" t="s">
        <v>155</v>
      </c>
      <c r="D7" s="417"/>
      <c r="E7" s="418"/>
      <c r="F7" s="418"/>
      <c r="G7" s="419"/>
      <c r="H7" s="418"/>
      <c r="I7" s="418"/>
      <c r="J7" s="418"/>
      <c r="K7" s="418"/>
      <c r="L7" s="418"/>
      <c r="M7" s="418"/>
      <c r="N7" s="418"/>
      <c r="O7" s="418"/>
      <c r="P7" s="418"/>
      <c r="Q7" s="418"/>
      <c r="R7" s="562">
        <v>198569</v>
      </c>
      <c r="S7" s="562">
        <v>942368</v>
      </c>
      <c r="T7" s="562">
        <v>983776</v>
      </c>
      <c r="U7" s="562">
        <v>917794</v>
      </c>
      <c r="V7" s="562">
        <v>1091512</v>
      </c>
      <c r="W7" s="562">
        <v>1123493</v>
      </c>
      <c r="X7" s="562">
        <v>1170841</v>
      </c>
      <c r="Y7" s="420">
        <f>SUM(D7:X7)</f>
        <v>6428353</v>
      </c>
      <c r="Z7" s="418"/>
      <c r="AA7" s="418"/>
      <c r="AB7" s="421"/>
      <c r="AC7" s="421"/>
    </row>
    <row r="8" spans="1:29" s="414" customFormat="1" ht="158.25" x14ac:dyDescent="0.45">
      <c r="B8" s="415" t="s">
        <v>494</v>
      </c>
      <c r="C8" s="416" t="s">
        <v>215</v>
      </c>
      <c r="D8" s="417"/>
      <c r="E8" s="418"/>
      <c r="F8" s="418"/>
      <c r="G8" s="419"/>
      <c r="H8" s="418"/>
      <c r="I8" s="418"/>
      <c r="J8" s="418"/>
      <c r="K8" s="418"/>
      <c r="L8" s="418"/>
      <c r="M8" s="418"/>
      <c r="N8" s="418"/>
      <c r="O8" s="418"/>
      <c r="P8" s="418"/>
      <c r="Q8" s="418"/>
      <c r="R8" s="418"/>
      <c r="S8" s="418"/>
      <c r="T8" s="418"/>
      <c r="U8" s="418"/>
      <c r="V8" s="418"/>
      <c r="W8" s="418"/>
      <c r="X8" s="418"/>
      <c r="Y8" s="420"/>
      <c r="Z8" s="418">
        <f>+' Likujditete'!AD11</f>
        <v>99845</v>
      </c>
      <c r="AA8" s="418">
        <v>1264368</v>
      </c>
      <c r="AB8" s="421">
        <v>1227031</v>
      </c>
      <c r="AC8" s="421">
        <v>2481785</v>
      </c>
    </row>
    <row r="9" spans="1:29" s="426" customFormat="1" ht="57.75" customHeight="1" x14ac:dyDescent="0.45">
      <c r="A9" s="422"/>
      <c r="B9" s="423" t="s">
        <v>97</v>
      </c>
      <c r="C9" s="424"/>
      <c r="D9" s="425">
        <f t="shared" ref="D9:U9" si="0">SUM(D4:D7)</f>
        <v>60154</v>
      </c>
      <c r="E9" s="425">
        <f t="shared" si="0"/>
        <v>231024</v>
      </c>
      <c r="F9" s="425">
        <f t="shared" si="0"/>
        <v>360525</v>
      </c>
      <c r="G9" s="425">
        <f t="shared" si="0"/>
        <v>390615</v>
      </c>
      <c r="H9" s="425">
        <f t="shared" si="0"/>
        <v>442564</v>
      </c>
      <c r="I9" s="425">
        <f t="shared" si="0"/>
        <v>446705</v>
      </c>
      <c r="J9" s="425">
        <f t="shared" si="0"/>
        <v>414633</v>
      </c>
      <c r="K9" s="425">
        <f t="shared" si="0"/>
        <v>473716</v>
      </c>
      <c r="L9" s="425">
        <f t="shared" si="0"/>
        <v>606194</v>
      </c>
      <c r="M9" s="425">
        <f t="shared" si="0"/>
        <v>818245</v>
      </c>
      <c r="N9" s="425">
        <f t="shared" si="0"/>
        <v>815652</v>
      </c>
      <c r="O9" s="425">
        <f t="shared" si="0"/>
        <v>841418</v>
      </c>
      <c r="P9" s="425">
        <f t="shared" si="0"/>
        <v>905278</v>
      </c>
      <c r="Q9" s="425">
        <f t="shared" si="0"/>
        <v>851469</v>
      </c>
      <c r="R9" s="425">
        <f t="shared" si="0"/>
        <v>814286</v>
      </c>
      <c r="S9" s="425">
        <f t="shared" si="0"/>
        <v>942368</v>
      </c>
      <c r="T9" s="425">
        <f t="shared" si="0"/>
        <v>983776</v>
      </c>
      <c r="U9" s="425">
        <f t="shared" si="0"/>
        <v>917794</v>
      </c>
      <c r="V9" s="425">
        <f>SUM(V4:V8)</f>
        <v>1091512</v>
      </c>
      <c r="W9" s="425">
        <f t="shared" ref="W9:AC9" si="1">SUM(W4:W8)</f>
        <v>1123493</v>
      </c>
      <c r="X9" s="425">
        <f t="shared" si="1"/>
        <v>1170841</v>
      </c>
      <c r="Y9" s="425">
        <f t="shared" si="1"/>
        <v>14702262</v>
      </c>
      <c r="Z9" s="425">
        <f t="shared" si="1"/>
        <v>99845</v>
      </c>
      <c r="AA9" s="425">
        <f t="shared" si="1"/>
        <v>1264368</v>
      </c>
      <c r="AB9" s="425">
        <f t="shared" si="1"/>
        <v>1227031</v>
      </c>
      <c r="AC9" s="425">
        <f t="shared" si="1"/>
        <v>2481785</v>
      </c>
    </row>
    <row r="10" spans="1:29" s="427" customFormat="1" x14ac:dyDescent="0.45">
      <c r="B10" s="428"/>
      <c r="C10" s="429"/>
      <c r="D10" s="430"/>
      <c r="E10" s="431"/>
      <c r="F10" s="431"/>
      <c r="G10" s="431"/>
      <c r="H10" s="431"/>
      <c r="I10" s="431"/>
      <c r="J10" s="431"/>
      <c r="K10" s="431"/>
      <c r="L10" s="431"/>
      <c r="M10" s="431"/>
      <c r="N10" s="431"/>
      <c r="O10" s="431"/>
      <c r="P10" s="431"/>
      <c r="Q10" s="431"/>
      <c r="R10" s="431"/>
      <c r="S10" s="431"/>
      <c r="T10" s="431"/>
      <c r="U10" s="431"/>
      <c r="V10" s="431"/>
      <c r="W10" s="431"/>
      <c r="X10" s="431"/>
      <c r="Y10" s="431"/>
      <c r="Z10" s="431"/>
      <c r="AA10" s="431"/>
    </row>
    <row r="11" spans="1:29" s="432" customFormat="1" x14ac:dyDescent="0.45">
      <c r="B11" s="433" t="s">
        <v>156</v>
      </c>
      <c r="C11" s="434"/>
      <c r="D11" s="435"/>
      <c r="E11" s="436"/>
      <c r="F11" s="436"/>
      <c r="H11" s="436"/>
      <c r="I11" s="436"/>
      <c r="J11" s="436"/>
      <c r="K11" s="436"/>
      <c r="L11" s="436"/>
      <c r="M11" s="436">
        <f>+' Likujditete'!Q11</f>
        <v>648255</v>
      </c>
      <c r="N11" s="436">
        <f>+' Likujditete'!R11</f>
        <v>835937</v>
      </c>
      <c r="O11" s="436">
        <f>+' Likujditete'!S11</f>
        <v>912971</v>
      </c>
      <c r="P11" s="436">
        <f>+' Likujditete'!T11</f>
        <v>888580</v>
      </c>
      <c r="Q11" s="436">
        <f>+' Likujditete'!U11</f>
        <v>808684</v>
      </c>
      <c r="R11" s="436">
        <f>+' Likujditete'!V11</f>
        <v>829725</v>
      </c>
      <c r="S11" s="436">
        <f>+' Likujditete'!W11</f>
        <v>928491</v>
      </c>
      <c r="T11" s="436">
        <f>+' Likujditete'!X11</f>
        <v>994162</v>
      </c>
      <c r="U11" s="436">
        <f>+' Likujditete'!Y11</f>
        <v>910807</v>
      </c>
      <c r="V11" s="436">
        <f>+' Likujditete'!Z11</f>
        <v>1080907</v>
      </c>
      <c r="W11" s="436">
        <f>+' Likujditete'!AA11</f>
        <v>1120422</v>
      </c>
      <c r="X11" s="436">
        <f>+' Likujditete'!AB11</f>
        <v>1164829</v>
      </c>
      <c r="Y11" s="436"/>
      <c r="Z11" s="436">
        <f>+' Likujditete'!AD11</f>
        <v>99845</v>
      </c>
      <c r="AA11" s="436" t="e">
        <f>+' Likujditete'!#REF!</f>
        <v>#REF!</v>
      </c>
      <c r="AB11" s="436" t="e">
        <f>+' Likujditete'!#REF!</f>
        <v>#REF!</v>
      </c>
      <c r="AC11" s="436" t="e">
        <f>+' Likujditete'!#REF!</f>
        <v>#REF!</v>
      </c>
    </row>
    <row r="12" spans="1:29" s="427" customFormat="1" x14ac:dyDescent="0.45">
      <c r="B12" s="428"/>
      <c r="C12" s="429"/>
      <c r="D12" s="430"/>
      <c r="E12" s="431"/>
      <c r="F12" s="431"/>
      <c r="G12" s="431"/>
      <c r="H12" s="431"/>
      <c r="I12" s="431"/>
      <c r="J12" s="431"/>
      <c r="K12" s="431"/>
      <c r="L12" s="431"/>
      <c r="M12" s="431"/>
      <c r="N12" s="431"/>
      <c r="O12" s="431"/>
      <c r="P12" s="431"/>
      <c r="Q12" s="431"/>
      <c r="R12" s="431"/>
      <c r="S12" s="431"/>
      <c r="T12" s="431"/>
      <c r="U12" s="431"/>
      <c r="V12" s="431"/>
      <c r="W12" s="431"/>
      <c r="X12" s="431"/>
      <c r="Y12" s="431"/>
      <c r="Z12" s="431"/>
      <c r="AA12" s="431"/>
    </row>
    <row r="13" spans="1:29" s="427" customFormat="1" x14ac:dyDescent="0.45">
      <c r="B13" s="428"/>
      <c r="C13" s="429"/>
      <c r="D13" s="430"/>
      <c r="E13" s="431"/>
      <c r="F13" s="431"/>
      <c r="G13" s="431"/>
      <c r="H13" s="431"/>
      <c r="I13" s="431"/>
      <c r="J13" s="431"/>
      <c r="K13" s="431"/>
      <c r="L13" s="431"/>
      <c r="N13" s="431"/>
      <c r="O13" s="431"/>
      <c r="P13" s="431"/>
      <c r="Q13" s="431"/>
      <c r="R13" s="431"/>
      <c r="S13" s="431"/>
      <c r="T13" s="431"/>
      <c r="U13" s="431"/>
      <c r="V13" s="431"/>
      <c r="W13" s="431"/>
      <c r="X13" s="431"/>
      <c r="Y13" s="431"/>
      <c r="Z13" s="431"/>
      <c r="AA13" s="431"/>
    </row>
    <row r="14" spans="1:29" s="427" customFormat="1" x14ac:dyDescent="0.45">
      <c r="B14" s="428"/>
      <c r="C14" s="429"/>
      <c r="D14" s="430"/>
      <c r="E14" s="431"/>
      <c r="F14" s="431"/>
      <c r="G14" s="431"/>
      <c r="H14" s="431"/>
      <c r="I14" s="431"/>
      <c r="J14" s="431"/>
      <c r="K14" s="431"/>
      <c r="L14" s="431"/>
      <c r="M14" s="431"/>
      <c r="N14" s="431"/>
      <c r="O14" s="431"/>
      <c r="P14" s="431"/>
      <c r="Q14" s="431"/>
      <c r="R14" s="431"/>
      <c r="S14" s="431"/>
      <c r="T14" s="431"/>
      <c r="U14" s="431"/>
      <c r="V14" s="431"/>
      <c r="W14" s="431"/>
      <c r="X14" s="431"/>
      <c r="Y14" s="431"/>
      <c r="Z14" s="431"/>
      <c r="AA14" s="431"/>
    </row>
    <row r="15" spans="1:29" s="427" customFormat="1" x14ac:dyDescent="0.45">
      <c r="B15" s="428"/>
      <c r="C15" s="429"/>
      <c r="D15" s="430"/>
      <c r="E15" s="431"/>
      <c r="F15" s="431"/>
      <c r="G15" s="431"/>
      <c r="H15" s="431"/>
      <c r="I15" s="431"/>
      <c r="J15" s="431"/>
      <c r="K15" s="431"/>
      <c r="L15" s="431"/>
      <c r="M15" s="431"/>
      <c r="N15" s="431"/>
      <c r="O15" s="431"/>
      <c r="P15" s="431"/>
      <c r="Q15" s="431"/>
      <c r="R15" s="431"/>
      <c r="S15" s="431"/>
      <c r="T15" s="431"/>
      <c r="U15" s="431"/>
      <c r="V15" s="431"/>
      <c r="W15" s="431"/>
      <c r="X15" s="431"/>
      <c r="Y15" s="431"/>
      <c r="Z15" s="431"/>
      <c r="AA15" s="431"/>
    </row>
    <row r="16" spans="1:29" s="427" customFormat="1" x14ac:dyDescent="0.45">
      <c r="B16" s="428"/>
      <c r="C16" s="429"/>
      <c r="D16" s="430"/>
      <c r="E16" s="431"/>
      <c r="F16" s="431"/>
      <c r="G16" s="431"/>
      <c r="H16" s="431"/>
      <c r="I16" s="431"/>
      <c r="J16" s="431"/>
      <c r="K16" s="431"/>
      <c r="L16" s="431"/>
      <c r="M16" s="431"/>
      <c r="N16" s="431"/>
      <c r="O16" s="431"/>
      <c r="P16" s="431"/>
      <c r="Q16" s="431"/>
      <c r="R16" s="431"/>
      <c r="S16" s="431"/>
      <c r="T16" s="431"/>
      <c r="U16" s="431"/>
      <c r="V16" s="431"/>
      <c r="W16" s="431"/>
      <c r="X16" s="431"/>
      <c r="Y16" s="431"/>
      <c r="Z16" s="431"/>
      <c r="AA16" s="431"/>
    </row>
    <row r="17" spans="1:29" s="427" customFormat="1" x14ac:dyDescent="0.45">
      <c r="B17" s="428"/>
      <c r="C17" s="429"/>
      <c r="D17" s="430"/>
      <c r="E17" s="431"/>
      <c r="F17" s="431"/>
      <c r="G17" s="430"/>
      <c r="H17" s="431"/>
      <c r="I17" s="431"/>
      <c r="J17" s="431"/>
      <c r="K17" s="431"/>
      <c r="L17" s="431"/>
      <c r="M17" s="431"/>
      <c r="N17" s="431"/>
      <c r="O17" s="431"/>
      <c r="P17" s="431"/>
      <c r="Q17" s="431"/>
      <c r="R17" s="431"/>
      <c r="S17" s="431"/>
      <c r="T17" s="431"/>
      <c r="U17" s="431"/>
      <c r="V17" s="431"/>
      <c r="W17" s="431"/>
      <c r="X17" s="431"/>
      <c r="Y17" s="431"/>
      <c r="Z17" s="431"/>
      <c r="AA17" s="431"/>
    </row>
    <row r="18" spans="1:29" s="441" customFormat="1" ht="54" x14ac:dyDescent="0.45">
      <c r="A18" s="437"/>
      <c r="B18" s="438" t="s">
        <v>138</v>
      </c>
      <c r="C18" s="439" t="s">
        <v>152</v>
      </c>
      <c r="D18" s="411">
        <v>1996</v>
      </c>
      <c r="E18" s="440">
        <v>1997</v>
      </c>
      <c r="F18" s="440">
        <v>1998</v>
      </c>
      <c r="G18" s="440">
        <v>1999</v>
      </c>
      <c r="H18" s="440">
        <v>2000</v>
      </c>
      <c r="I18" s="440">
        <v>2001</v>
      </c>
      <c r="J18" s="440">
        <v>2002</v>
      </c>
      <c r="K18" s="440">
        <v>2003</v>
      </c>
      <c r="L18" s="440">
        <v>2004</v>
      </c>
      <c r="M18" s="440">
        <v>2005</v>
      </c>
      <c r="N18" s="440">
        <v>2006</v>
      </c>
      <c r="O18" s="440">
        <v>2007</v>
      </c>
      <c r="P18" s="440">
        <v>2008</v>
      </c>
      <c r="Q18" s="440">
        <v>2009</v>
      </c>
      <c r="R18" s="440">
        <v>2010</v>
      </c>
      <c r="S18" s="440">
        <v>2011</v>
      </c>
      <c r="T18" s="440">
        <v>2012</v>
      </c>
      <c r="U18" s="440">
        <v>2013</v>
      </c>
      <c r="V18" s="440">
        <v>2014</v>
      </c>
      <c r="W18" s="440">
        <v>2015</v>
      </c>
      <c r="X18" s="440">
        <v>2016</v>
      </c>
      <c r="Y18" s="440" t="s">
        <v>97</v>
      </c>
      <c r="Z18" s="440" t="s">
        <v>102</v>
      </c>
      <c r="AA18" s="440">
        <v>2017</v>
      </c>
      <c r="AB18" s="440">
        <v>2018</v>
      </c>
      <c r="AC18" s="440">
        <v>2019</v>
      </c>
    </row>
    <row r="19" spans="1:29" s="442" customFormat="1" ht="132" x14ac:dyDescent="0.45">
      <c r="B19" s="443" t="s">
        <v>149</v>
      </c>
      <c r="C19" s="444"/>
      <c r="D19" s="445"/>
      <c r="E19" s="446" t="s">
        <v>144</v>
      </c>
      <c r="F19" s="446" t="s">
        <v>144</v>
      </c>
      <c r="G19" s="446"/>
      <c r="H19" s="446"/>
      <c r="I19" s="446"/>
      <c r="J19" s="446"/>
      <c r="K19" s="446"/>
      <c r="L19" s="446"/>
      <c r="M19" s="446"/>
      <c r="N19" s="446"/>
      <c r="O19" s="446"/>
      <c r="P19" s="446"/>
      <c r="Q19" s="446"/>
      <c r="R19" s="446"/>
      <c r="S19" s="446"/>
      <c r="T19" s="446"/>
      <c r="U19" s="446"/>
      <c r="V19" s="446"/>
      <c r="W19" s="446"/>
      <c r="X19" s="446"/>
      <c r="Y19" s="420">
        <f t="shared" ref="Y19:Y24" si="2">SUM(D19:X19)</f>
        <v>0</v>
      </c>
      <c r="Z19" s="446"/>
      <c r="AA19" s="446"/>
      <c r="AB19" s="446"/>
      <c r="AC19" s="446"/>
    </row>
    <row r="20" spans="1:29" s="447" customFormat="1" ht="184.5" x14ac:dyDescent="0.45">
      <c r="B20" s="448" t="s">
        <v>495</v>
      </c>
      <c r="C20" s="449" t="s">
        <v>158</v>
      </c>
      <c r="D20" s="419"/>
      <c r="E20" s="418"/>
      <c r="F20" s="418"/>
      <c r="G20" s="562">
        <v>70634</v>
      </c>
      <c r="H20" s="562">
        <v>160873</v>
      </c>
      <c r="I20" s="562">
        <v>177089</v>
      </c>
      <c r="J20" s="562">
        <v>132813</v>
      </c>
      <c r="K20" s="562">
        <v>291424</v>
      </c>
      <c r="L20" s="562">
        <v>327431</v>
      </c>
      <c r="M20" s="562">
        <v>327550</v>
      </c>
      <c r="N20" s="562">
        <v>277504</v>
      </c>
      <c r="O20" s="418"/>
      <c r="P20" s="418"/>
      <c r="Q20" s="418"/>
      <c r="R20" s="418"/>
      <c r="S20" s="418"/>
      <c r="T20" s="418"/>
      <c r="U20" s="418"/>
      <c r="V20" s="418"/>
      <c r="W20" s="418"/>
      <c r="X20" s="418"/>
      <c r="Y20" s="420">
        <f t="shared" si="2"/>
        <v>1765318</v>
      </c>
      <c r="Z20" s="418"/>
      <c r="AA20" s="418"/>
      <c r="AB20" s="418"/>
      <c r="AC20" s="418"/>
    </row>
    <row r="21" spans="1:29" s="447" customFormat="1" ht="66" customHeight="1" x14ac:dyDescent="0.45">
      <c r="B21" s="448" t="s">
        <v>496</v>
      </c>
      <c r="C21" s="449" t="s">
        <v>501</v>
      </c>
      <c r="D21" s="419"/>
      <c r="E21" s="418"/>
      <c r="F21" s="418"/>
      <c r="G21" s="418"/>
      <c r="H21" s="418"/>
      <c r="I21" s="562">
        <f>73689/6</f>
        <v>12281.5</v>
      </c>
      <c r="J21" s="562">
        <f>73689/6*5</f>
        <v>61407.5</v>
      </c>
      <c r="K21" s="418"/>
      <c r="L21" s="418"/>
      <c r="M21" s="418"/>
      <c r="N21" s="418"/>
      <c r="O21" s="418"/>
      <c r="P21" s="418"/>
      <c r="Q21" s="418"/>
      <c r="R21" s="418"/>
      <c r="S21" s="418"/>
      <c r="T21" s="418"/>
      <c r="U21" s="418"/>
      <c r="V21" s="418"/>
      <c r="W21" s="418"/>
      <c r="X21" s="418"/>
      <c r="Y21" s="420">
        <f t="shared" si="2"/>
        <v>73689</v>
      </c>
      <c r="Z21" s="418"/>
      <c r="AA21" s="418"/>
      <c r="AB21" s="418"/>
      <c r="AC21" s="418"/>
    </row>
    <row r="22" spans="1:29" s="447" customFormat="1" ht="105.75" x14ac:dyDescent="0.45">
      <c r="B22" s="448"/>
      <c r="C22" s="449" t="s">
        <v>159</v>
      </c>
      <c r="D22" s="419"/>
      <c r="E22" s="418"/>
      <c r="F22" s="418"/>
      <c r="G22" s="418"/>
      <c r="H22" s="418"/>
      <c r="I22" s="418"/>
      <c r="J22" s="418"/>
      <c r="K22" s="418"/>
      <c r="L22" s="418"/>
      <c r="M22" s="418"/>
      <c r="N22" s="418"/>
      <c r="O22" s="562">
        <f>78360/10</f>
        <v>7836</v>
      </c>
      <c r="P22" s="562">
        <f t="shared" ref="P22:X22" si="3">78360/10</f>
        <v>7836</v>
      </c>
      <c r="Q22" s="562">
        <f t="shared" si="3"/>
        <v>7836</v>
      </c>
      <c r="R22" s="562">
        <f t="shared" si="3"/>
        <v>7836</v>
      </c>
      <c r="S22" s="562">
        <f t="shared" si="3"/>
        <v>7836</v>
      </c>
      <c r="T22" s="562">
        <f t="shared" si="3"/>
        <v>7836</v>
      </c>
      <c r="U22" s="562">
        <f t="shared" si="3"/>
        <v>7836</v>
      </c>
      <c r="V22" s="562">
        <f t="shared" si="3"/>
        <v>7836</v>
      </c>
      <c r="W22" s="562">
        <f t="shared" si="3"/>
        <v>7836</v>
      </c>
      <c r="X22" s="562">
        <f t="shared" si="3"/>
        <v>7836</v>
      </c>
      <c r="Y22" s="420">
        <f t="shared" si="2"/>
        <v>78360</v>
      </c>
      <c r="Z22" s="418"/>
      <c r="AA22" s="418"/>
      <c r="AB22" s="418"/>
      <c r="AC22" s="418"/>
    </row>
    <row r="23" spans="1:29" s="450" customFormat="1" ht="81" x14ac:dyDescent="0.45">
      <c r="B23" s="451" t="s">
        <v>433</v>
      </c>
      <c r="C23" s="452" t="s">
        <v>216</v>
      </c>
      <c r="D23" s="453"/>
      <c r="E23" s="454"/>
      <c r="F23" s="454"/>
      <c r="G23" s="454"/>
      <c r="H23" s="454"/>
      <c r="I23" s="454"/>
      <c r="J23" s="454"/>
      <c r="K23" s="454"/>
      <c r="L23" s="454"/>
      <c r="M23" s="454"/>
      <c r="N23" s="454"/>
      <c r="O23" s="454">
        <v>180450</v>
      </c>
      <c r="P23" s="454">
        <v>310742</v>
      </c>
      <c r="Q23" s="454">
        <v>490430</v>
      </c>
      <c r="R23" s="454">
        <v>567353</v>
      </c>
      <c r="S23" s="454">
        <v>569779</v>
      </c>
      <c r="T23" s="454">
        <v>577125</v>
      </c>
      <c r="U23" s="454">
        <v>588942</v>
      </c>
      <c r="V23" s="454">
        <v>741896</v>
      </c>
      <c r="W23" s="454">
        <v>808778</v>
      </c>
      <c r="X23" s="454">
        <v>896583</v>
      </c>
      <c r="Y23" s="455">
        <f t="shared" si="2"/>
        <v>5732078</v>
      </c>
      <c r="Z23" s="454">
        <v>75828</v>
      </c>
      <c r="AA23" s="454">
        <v>944538</v>
      </c>
      <c r="AB23" s="454">
        <v>957324</v>
      </c>
      <c r="AC23" s="454">
        <v>959965</v>
      </c>
    </row>
    <row r="24" spans="1:29" s="447" customFormat="1" ht="105.75" x14ac:dyDescent="0.45">
      <c r="B24" s="448" t="s">
        <v>497</v>
      </c>
      <c r="C24" s="449" t="s">
        <v>157</v>
      </c>
      <c r="D24" s="419"/>
      <c r="E24" s="418"/>
      <c r="F24" s="418"/>
      <c r="G24" s="418"/>
      <c r="H24" s="418"/>
      <c r="I24" s="418"/>
      <c r="J24" s="418"/>
      <c r="K24" s="418"/>
      <c r="L24" s="418"/>
      <c r="M24" s="418"/>
      <c r="N24" s="418"/>
      <c r="O24" s="562">
        <f>18268+18267+22434+21569+21569+26138+26138+26138</f>
        <v>180521</v>
      </c>
      <c r="P24" s="562">
        <f>5*26138+23649+2*23405+22160+31893+2*27771</f>
        <v>310744</v>
      </c>
      <c r="Q24" s="562">
        <f>27771+33226+45566*9+53756</f>
        <v>524847</v>
      </c>
      <c r="R24" s="562">
        <f>46591*9+50710+49750+47620</f>
        <v>567399</v>
      </c>
      <c r="S24" s="562">
        <f>47620*3+49785+47620+38549+47620*5+52865</f>
        <v>569779</v>
      </c>
      <c r="T24" s="562">
        <f>48574*3+50807+48574*2+37408+49133+49733+49058*3</f>
        <v>577125</v>
      </c>
      <c r="U24" s="562">
        <f>49058*2+37781+49058+50750+50773*3+51790+51281*2+46566</f>
        <v>588942</v>
      </c>
      <c r="V24" s="562">
        <f>53229*3+55728*5+60228*3+62657</f>
        <v>681668</v>
      </c>
      <c r="W24" s="562">
        <f>3*60228+61170+55718+77060*6+70457</f>
        <v>830389</v>
      </c>
      <c r="X24" s="418">
        <f>75548+73390+77060+77311+77312*7+78016</f>
        <v>922509</v>
      </c>
      <c r="Y24" s="420">
        <f t="shared" si="2"/>
        <v>5753923</v>
      </c>
      <c r="Z24" s="418"/>
      <c r="AA24" s="418" t="s">
        <v>217</v>
      </c>
      <c r="AB24" s="418"/>
      <c r="AC24" s="418"/>
    </row>
    <row r="25" spans="1:29" s="426" customFormat="1" ht="63" customHeight="1" x14ac:dyDescent="0.45">
      <c r="A25" s="422"/>
      <c r="B25" s="423" t="s">
        <v>97</v>
      </c>
      <c r="C25" s="424"/>
      <c r="D25" s="425">
        <f t="shared" ref="D25:N25" si="4">SUM(D19:D23)</f>
        <v>0</v>
      </c>
      <c r="E25" s="425">
        <f t="shared" si="4"/>
        <v>0</v>
      </c>
      <c r="F25" s="425">
        <f t="shared" si="4"/>
        <v>0</v>
      </c>
      <c r="G25" s="425">
        <f t="shared" si="4"/>
        <v>70634</v>
      </c>
      <c r="H25" s="425">
        <f t="shared" si="4"/>
        <v>160873</v>
      </c>
      <c r="I25" s="425">
        <f t="shared" si="4"/>
        <v>189370.5</v>
      </c>
      <c r="J25" s="425">
        <f t="shared" si="4"/>
        <v>194220.5</v>
      </c>
      <c r="K25" s="425">
        <f t="shared" si="4"/>
        <v>291424</v>
      </c>
      <c r="L25" s="425">
        <f t="shared" si="4"/>
        <v>327431</v>
      </c>
      <c r="M25" s="425">
        <f t="shared" si="4"/>
        <v>327550</v>
      </c>
      <c r="N25" s="425">
        <f t="shared" si="4"/>
        <v>277504</v>
      </c>
      <c r="O25" s="425">
        <f>SUM(O19:O23)</f>
        <v>188286</v>
      </c>
      <c r="P25" s="425">
        <f t="shared" ref="P25:AC25" si="5">SUM(P19:P23)</f>
        <v>318578</v>
      </c>
      <c r="Q25" s="425">
        <f t="shared" si="5"/>
        <v>498266</v>
      </c>
      <c r="R25" s="425">
        <f>SUM(R19:R23)</f>
        <v>575189</v>
      </c>
      <c r="S25" s="425">
        <f t="shared" si="5"/>
        <v>577615</v>
      </c>
      <c r="T25" s="425">
        <f t="shared" si="5"/>
        <v>584961</v>
      </c>
      <c r="U25" s="425">
        <f t="shared" si="5"/>
        <v>596778</v>
      </c>
      <c r="V25" s="425">
        <f t="shared" si="5"/>
        <v>749732</v>
      </c>
      <c r="W25" s="425">
        <f t="shared" si="5"/>
        <v>816614</v>
      </c>
      <c r="X25" s="425">
        <f t="shared" si="5"/>
        <v>904419</v>
      </c>
      <c r="Y25" s="425">
        <f t="shared" si="5"/>
        <v>7649445</v>
      </c>
      <c r="Z25" s="425">
        <f t="shared" si="5"/>
        <v>75828</v>
      </c>
      <c r="AA25" s="425">
        <f t="shared" si="5"/>
        <v>944538</v>
      </c>
      <c r="AB25" s="425">
        <f t="shared" si="5"/>
        <v>957324</v>
      </c>
      <c r="AC25" s="425">
        <f t="shared" si="5"/>
        <v>959965</v>
      </c>
    </row>
    <row r="26" spans="1:29" s="427" customFormat="1" x14ac:dyDescent="0.45">
      <c r="B26" s="428"/>
      <c r="C26" s="429"/>
      <c r="D26" s="431"/>
      <c r="E26" s="431"/>
      <c r="F26" s="431"/>
      <c r="G26" s="431"/>
      <c r="H26" s="431"/>
      <c r="I26" s="431"/>
      <c r="J26" s="431"/>
      <c r="K26" s="431"/>
      <c r="L26" s="431"/>
      <c r="N26" s="431"/>
      <c r="O26" s="431"/>
      <c r="P26" s="431"/>
      <c r="Q26" s="431"/>
      <c r="R26" s="431"/>
      <c r="S26" s="431"/>
      <c r="T26" s="431"/>
      <c r="U26" s="431"/>
      <c r="V26" s="431"/>
      <c r="W26" s="431"/>
      <c r="X26" s="431"/>
      <c r="Y26" s="431"/>
      <c r="Z26" s="431"/>
      <c r="AA26" s="431"/>
    </row>
    <row r="27" spans="1:29" s="432" customFormat="1" x14ac:dyDescent="0.45">
      <c r="B27" s="433" t="s">
        <v>156</v>
      </c>
      <c r="C27" s="434"/>
      <c r="D27" s="436"/>
      <c r="E27" s="436"/>
      <c r="F27" s="436"/>
      <c r="G27" s="436"/>
      <c r="H27" s="436"/>
      <c r="I27" s="436"/>
      <c r="J27" s="436"/>
      <c r="K27" s="436"/>
      <c r="L27" s="436"/>
      <c r="M27" s="436"/>
      <c r="N27" s="436"/>
      <c r="O27" s="436"/>
      <c r="P27" s="436"/>
      <c r="Q27" s="436">
        <f>+' Likujditete'!U22</f>
        <v>506084</v>
      </c>
      <c r="R27" s="436">
        <f>+' Likujditete'!V22</f>
        <v>567353</v>
      </c>
      <c r="S27" s="436">
        <f>+' Likujditete'!W22</f>
        <v>578779</v>
      </c>
      <c r="T27" s="436">
        <f>+' Likujditete'!X22</f>
        <v>586125</v>
      </c>
      <c r="U27" s="436">
        <f>+' Likujditete'!Y22</f>
        <v>593312</v>
      </c>
      <c r="V27" s="436">
        <f>+' Likujditete'!Z25</f>
        <v>681668</v>
      </c>
      <c r="W27" s="436">
        <f>+' Likujditete'!AA25</f>
        <v>824438</v>
      </c>
      <c r="X27" s="436">
        <f>+' Likujditete'!AB25</f>
        <v>896583</v>
      </c>
      <c r="Y27" s="436">
        <f>SUM(Q27:X27)</f>
        <v>5234342</v>
      </c>
      <c r="Z27" s="436"/>
      <c r="AA27" s="436"/>
    </row>
    <row r="28" spans="1:29" s="427" customFormat="1" x14ac:dyDescent="0.45">
      <c r="B28" s="428"/>
      <c r="C28" s="429"/>
      <c r="D28" s="431"/>
      <c r="E28" s="431"/>
      <c r="F28" s="431"/>
      <c r="G28" s="431"/>
      <c r="H28" s="431"/>
      <c r="I28" s="431"/>
      <c r="J28" s="431"/>
      <c r="K28" s="431"/>
      <c r="L28" s="431"/>
      <c r="M28" s="431"/>
      <c r="N28" s="431"/>
      <c r="O28" s="431"/>
      <c r="P28" s="431"/>
      <c r="Q28" s="431"/>
      <c r="R28" s="431"/>
      <c r="S28" s="431"/>
      <c r="T28" s="431"/>
      <c r="U28" s="431"/>
      <c r="V28" s="431"/>
      <c r="W28" s="431"/>
      <c r="X28" s="431"/>
      <c r="Y28" s="431"/>
      <c r="Z28" s="431"/>
      <c r="AA28" s="431"/>
    </row>
    <row r="29" spans="1:29" s="427" customFormat="1" x14ac:dyDescent="0.45">
      <c r="B29" s="428"/>
      <c r="C29" s="429"/>
      <c r="D29" s="431"/>
      <c r="E29" s="431"/>
      <c r="F29" s="431"/>
      <c r="G29" s="431"/>
      <c r="H29" s="431"/>
      <c r="I29" s="431"/>
      <c r="J29" s="431"/>
      <c r="K29" s="431"/>
      <c r="L29" s="431"/>
      <c r="M29" s="431"/>
      <c r="N29" s="431"/>
      <c r="O29" s="431"/>
      <c r="P29" s="431"/>
      <c r="Q29" s="431"/>
      <c r="R29" s="431"/>
      <c r="S29" s="431"/>
      <c r="T29" s="431"/>
      <c r="U29" s="431"/>
      <c r="V29" s="431"/>
      <c r="W29" s="431"/>
      <c r="X29" s="431"/>
      <c r="Y29" s="431"/>
      <c r="Z29" s="431"/>
      <c r="AA29" s="431"/>
    </row>
    <row r="30" spans="1:29" s="456" customFormat="1" x14ac:dyDescent="0.45">
      <c r="B30" s="457"/>
      <c r="C30" s="458"/>
      <c r="D30" s="459"/>
      <c r="Y30" s="431"/>
    </row>
    <row r="31" spans="1:29" s="441" customFormat="1" x14ac:dyDescent="0.45">
      <c r="A31" s="437"/>
      <c r="B31" s="438" t="s">
        <v>150</v>
      </c>
      <c r="C31" s="439"/>
      <c r="D31" s="411">
        <v>1996</v>
      </c>
      <c r="E31" s="440">
        <v>1997</v>
      </c>
      <c r="F31" s="440">
        <v>1998</v>
      </c>
      <c r="G31" s="440">
        <v>1999</v>
      </c>
      <c r="H31" s="440">
        <v>2000</v>
      </c>
      <c r="I31" s="440">
        <v>2001</v>
      </c>
      <c r="J31" s="440">
        <v>2002</v>
      </c>
      <c r="K31" s="440">
        <v>2003</v>
      </c>
      <c r="L31" s="440">
        <v>2004</v>
      </c>
      <c r="M31" s="440">
        <v>2005</v>
      </c>
      <c r="N31" s="440">
        <v>2006</v>
      </c>
      <c r="O31" s="440">
        <v>2007</v>
      </c>
      <c r="P31" s="440">
        <v>2008</v>
      </c>
      <c r="Q31" s="440">
        <v>2009</v>
      </c>
      <c r="R31" s="440">
        <v>2010</v>
      </c>
      <c r="S31" s="440">
        <v>2011</v>
      </c>
      <c r="T31" s="440">
        <v>2012</v>
      </c>
      <c r="U31" s="440">
        <v>2013</v>
      </c>
      <c r="V31" s="440">
        <v>2014</v>
      </c>
      <c r="W31" s="440">
        <v>2015</v>
      </c>
      <c r="X31" s="440">
        <v>2016</v>
      </c>
      <c r="Y31" s="440" t="s">
        <v>97</v>
      </c>
      <c r="Z31" s="440" t="s">
        <v>102</v>
      </c>
      <c r="AA31" s="440">
        <v>2017</v>
      </c>
    </row>
    <row r="32" spans="1:29" s="460" customFormat="1" ht="158.25" x14ac:dyDescent="0.45">
      <c r="B32" s="461" t="s">
        <v>498</v>
      </c>
      <c r="C32" s="449"/>
      <c r="D32" s="419"/>
      <c r="E32" s="418"/>
      <c r="F32" s="418"/>
      <c r="G32" s="419"/>
      <c r="H32" s="418"/>
      <c r="I32" s="418"/>
      <c r="J32" s="418"/>
      <c r="K32" s="418"/>
      <c r="L32" s="418"/>
      <c r="M32" s="418"/>
      <c r="N32" s="418"/>
      <c r="O32" s="418"/>
      <c r="P32" s="418"/>
      <c r="Q32" s="418"/>
      <c r="R32" s="418"/>
      <c r="S32" s="418"/>
      <c r="T32" s="418"/>
      <c r="U32" s="418"/>
      <c r="V32" s="418"/>
      <c r="W32" s="418"/>
      <c r="X32" s="418"/>
      <c r="Y32" s="420"/>
      <c r="Z32" s="418"/>
      <c r="AA32" s="418"/>
    </row>
    <row r="33" spans="1:27" s="460" customFormat="1" ht="157.5" x14ac:dyDescent="0.4">
      <c r="B33" s="462" t="s">
        <v>499</v>
      </c>
      <c r="C33" s="449" t="s">
        <v>181</v>
      </c>
      <c r="D33" s="419"/>
      <c r="E33" s="418"/>
      <c r="F33" s="418"/>
      <c r="G33" s="419"/>
      <c r="H33" s="418"/>
      <c r="I33" s="418"/>
      <c r="J33" s="418"/>
      <c r="K33" s="418"/>
      <c r="L33" s="418"/>
      <c r="M33" s="418"/>
      <c r="N33" s="418"/>
      <c r="O33" s="418"/>
      <c r="P33" s="418">
        <v>400000</v>
      </c>
      <c r="Q33" s="418"/>
      <c r="R33" s="418"/>
      <c r="S33" s="418"/>
      <c r="T33" s="418"/>
      <c r="U33" s="418"/>
      <c r="V33" s="418"/>
      <c r="W33" s="418"/>
      <c r="X33" s="418"/>
      <c r="Y33" s="418"/>
      <c r="Z33" s="418"/>
      <c r="AA33" s="418"/>
    </row>
    <row r="34" spans="1:27" s="460" customFormat="1" ht="132" x14ac:dyDescent="0.45">
      <c r="B34" s="462" t="s">
        <v>500</v>
      </c>
      <c r="C34" s="449" t="s">
        <v>182</v>
      </c>
      <c r="D34" s="419"/>
      <c r="E34" s="418"/>
      <c r="F34" s="418"/>
      <c r="G34" s="419"/>
      <c r="H34" s="418"/>
      <c r="I34" s="418"/>
      <c r="J34" s="418"/>
      <c r="K34" s="418"/>
      <c r="L34" s="418"/>
      <c r="M34" s="418"/>
      <c r="N34" s="418"/>
      <c r="O34" s="418"/>
      <c r="P34" s="418"/>
      <c r="Q34" s="418"/>
      <c r="R34" s="418"/>
      <c r="S34" s="418"/>
      <c r="T34" s="418"/>
      <c r="U34" s="418"/>
      <c r="V34" s="418"/>
      <c r="W34" s="418"/>
      <c r="X34" s="418">
        <f>3800*KK!Z4</f>
        <v>514026.00000000006</v>
      </c>
      <c r="Y34" s="420"/>
      <c r="Z34" s="418"/>
      <c r="AA34" s="418"/>
    </row>
    <row r="35" spans="1:27" s="460" customFormat="1" x14ac:dyDescent="0.45">
      <c r="B35" s="462"/>
      <c r="C35" s="449"/>
      <c r="D35" s="419"/>
      <c r="E35" s="418"/>
      <c r="F35" s="418"/>
      <c r="G35" s="419"/>
      <c r="H35" s="418"/>
      <c r="I35" s="418"/>
      <c r="J35" s="418"/>
      <c r="K35" s="418"/>
      <c r="L35" s="418"/>
      <c r="M35" s="418"/>
      <c r="N35" s="418"/>
      <c r="O35" s="418"/>
      <c r="P35" s="418"/>
      <c r="Q35" s="418"/>
      <c r="R35" s="418"/>
      <c r="S35" s="418"/>
      <c r="T35" s="418"/>
      <c r="U35" s="418"/>
      <c r="V35" s="418"/>
      <c r="W35" s="418"/>
      <c r="X35" s="418"/>
      <c r="Y35" s="420"/>
      <c r="Z35" s="418"/>
      <c r="AA35" s="418"/>
    </row>
    <row r="36" spans="1:27" s="426" customFormat="1" x14ac:dyDescent="0.45">
      <c r="A36" s="422"/>
      <c r="B36" s="423" t="s">
        <v>128</v>
      </c>
      <c r="C36" s="424"/>
      <c r="D36" s="425">
        <f>SUM(D32:D35)</f>
        <v>0</v>
      </c>
      <c r="E36" s="425">
        <f>SUM(E32:E35)</f>
        <v>0</v>
      </c>
      <c r="F36" s="425">
        <f t="shared" ref="F36:AA36" si="6">SUM(F32:F35)</f>
        <v>0</v>
      </c>
      <c r="G36" s="425">
        <f t="shared" si="6"/>
        <v>0</v>
      </c>
      <c r="H36" s="425">
        <f t="shared" si="6"/>
        <v>0</v>
      </c>
      <c r="I36" s="425">
        <f t="shared" si="6"/>
        <v>0</v>
      </c>
      <c r="J36" s="425">
        <f t="shared" si="6"/>
        <v>0</v>
      </c>
      <c r="K36" s="425">
        <f t="shared" si="6"/>
        <v>0</v>
      </c>
      <c r="L36" s="425">
        <f t="shared" si="6"/>
        <v>0</v>
      </c>
      <c r="M36" s="425">
        <f t="shared" si="6"/>
        <v>0</v>
      </c>
      <c r="N36" s="425">
        <f t="shared" si="6"/>
        <v>0</v>
      </c>
      <c r="O36" s="425">
        <f t="shared" si="6"/>
        <v>0</v>
      </c>
      <c r="P36" s="425">
        <f t="shared" si="6"/>
        <v>400000</v>
      </c>
      <c r="Q36" s="425">
        <f t="shared" si="6"/>
        <v>0</v>
      </c>
      <c r="R36" s="425">
        <f t="shared" si="6"/>
        <v>0</v>
      </c>
      <c r="S36" s="425">
        <f t="shared" si="6"/>
        <v>0</v>
      </c>
      <c r="T36" s="425">
        <f t="shared" si="6"/>
        <v>0</v>
      </c>
      <c r="U36" s="425">
        <f t="shared" si="6"/>
        <v>0</v>
      </c>
      <c r="V36" s="425">
        <f t="shared" si="6"/>
        <v>0</v>
      </c>
      <c r="W36" s="425">
        <f t="shared" si="6"/>
        <v>0</v>
      </c>
      <c r="X36" s="425">
        <f t="shared" si="6"/>
        <v>514026.00000000006</v>
      </c>
      <c r="Y36" s="425">
        <f t="shared" si="6"/>
        <v>0</v>
      </c>
      <c r="Z36" s="425">
        <f t="shared" si="6"/>
        <v>0</v>
      </c>
      <c r="AA36" s="425">
        <f t="shared" si="6"/>
        <v>0</v>
      </c>
    </row>
    <row r="37" spans="1:27" s="422" customFormat="1" x14ac:dyDescent="0.45">
      <c r="B37" s="463"/>
      <c r="C37" s="464"/>
      <c r="D37" s="465"/>
      <c r="E37" s="420"/>
      <c r="F37" s="420"/>
      <c r="G37" s="420"/>
      <c r="H37" s="420"/>
      <c r="I37" s="420"/>
      <c r="J37" s="420"/>
      <c r="K37" s="420"/>
      <c r="L37" s="420"/>
      <c r="M37" s="420"/>
      <c r="N37" s="420"/>
      <c r="O37" s="420"/>
      <c r="P37" s="420"/>
      <c r="Q37" s="420"/>
      <c r="R37" s="420"/>
      <c r="S37" s="420"/>
      <c r="T37" s="420"/>
      <c r="U37" s="420"/>
      <c r="V37" s="420"/>
      <c r="W37" s="420"/>
      <c r="X37" s="420"/>
      <c r="Y37" s="420"/>
      <c r="Z37" s="420"/>
      <c r="AA37" s="420"/>
    </row>
    <row r="38" spans="1:27" s="466" customFormat="1" x14ac:dyDescent="0.45">
      <c r="B38" s="467" t="s">
        <v>132</v>
      </c>
      <c r="C38" s="468"/>
      <c r="D38" s="469">
        <v>1996</v>
      </c>
      <c r="E38" s="469">
        <v>1997</v>
      </c>
      <c r="F38" s="469">
        <v>1998</v>
      </c>
      <c r="G38" s="469">
        <v>1999</v>
      </c>
      <c r="H38" s="469">
        <v>2000</v>
      </c>
      <c r="I38" s="469">
        <v>2001</v>
      </c>
      <c r="J38" s="469">
        <v>2002</v>
      </c>
      <c r="K38" s="469">
        <v>2003</v>
      </c>
      <c r="L38" s="469">
        <v>2004</v>
      </c>
      <c r="M38" s="469">
        <v>2005</v>
      </c>
      <c r="N38" s="469">
        <v>2006</v>
      </c>
      <c r="O38" s="469">
        <v>2007</v>
      </c>
      <c r="P38" s="469">
        <v>2008</v>
      </c>
      <c r="Q38" s="469">
        <v>2009</v>
      </c>
      <c r="R38" s="469">
        <v>2010</v>
      </c>
      <c r="S38" s="469">
        <v>2011</v>
      </c>
      <c r="T38" s="469">
        <v>2012</v>
      </c>
      <c r="U38" s="469">
        <v>2013</v>
      </c>
      <c r="V38" s="469">
        <v>2014</v>
      </c>
      <c r="W38" s="469">
        <v>2015</v>
      </c>
      <c r="X38" s="469">
        <v>2016</v>
      </c>
      <c r="Y38" s="469" t="s">
        <v>97</v>
      </c>
      <c r="Z38" s="469" t="s">
        <v>102</v>
      </c>
      <c r="AA38" s="469">
        <v>2017</v>
      </c>
    </row>
    <row r="39" spans="1:27" s="470" customFormat="1" x14ac:dyDescent="0.45">
      <c r="B39" s="471" t="s">
        <v>131</v>
      </c>
      <c r="C39" s="472"/>
      <c r="D39" s="473"/>
      <c r="E39" s="474">
        <f t="shared" ref="E39:AA39" si="7">+E9+E25+E36</f>
        <v>231024</v>
      </c>
      <c r="F39" s="474">
        <f t="shared" si="7"/>
        <v>360525</v>
      </c>
      <c r="G39" s="474">
        <f t="shared" si="7"/>
        <v>461249</v>
      </c>
      <c r="H39" s="474">
        <f t="shared" si="7"/>
        <v>603437</v>
      </c>
      <c r="I39" s="474">
        <f t="shared" si="7"/>
        <v>636075.5</v>
      </c>
      <c r="J39" s="474">
        <f t="shared" si="7"/>
        <v>608853.5</v>
      </c>
      <c r="K39" s="474">
        <f t="shared" si="7"/>
        <v>765140</v>
      </c>
      <c r="L39" s="474">
        <f t="shared" si="7"/>
        <v>933625</v>
      </c>
      <c r="M39" s="474">
        <f t="shared" si="7"/>
        <v>1145795</v>
      </c>
      <c r="N39" s="474">
        <f t="shared" si="7"/>
        <v>1093156</v>
      </c>
      <c r="O39" s="474">
        <f t="shared" si="7"/>
        <v>1029704</v>
      </c>
      <c r="P39" s="474">
        <f t="shared" si="7"/>
        <v>1623856</v>
      </c>
      <c r="Q39" s="474">
        <f t="shared" si="7"/>
        <v>1349735</v>
      </c>
      <c r="R39" s="474">
        <f t="shared" si="7"/>
        <v>1389475</v>
      </c>
      <c r="S39" s="474">
        <f t="shared" si="7"/>
        <v>1519983</v>
      </c>
      <c r="T39" s="474">
        <f t="shared" si="7"/>
        <v>1568737</v>
      </c>
      <c r="U39" s="474">
        <f t="shared" si="7"/>
        <v>1514572</v>
      </c>
      <c r="V39" s="474">
        <f t="shared" si="7"/>
        <v>1841244</v>
      </c>
      <c r="W39" s="474">
        <f t="shared" si="7"/>
        <v>1940107</v>
      </c>
      <c r="X39" s="474">
        <f t="shared" si="7"/>
        <v>2589286</v>
      </c>
      <c r="Y39" s="474">
        <f t="shared" si="7"/>
        <v>22351707</v>
      </c>
      <c r="Z39" s="474">
        <f t="shared" si="7"/>
        <v>175673</v>
      </c>
      <c r="AA39" s="474">
        <f t="shared" si="7"/>
        <v>2208906</v>
      </c>
    </row>
    <row r="40" spans="1:27" s="414" customFormat="1" x14ac:dyDescent="0.45">
      <c r="B40" s="475"/>
      <c r="C40" s="476"/>
      <c r="D40" s="477"/>
      <c r="E40" s="478"/>
      <c r="F40" s="478"/>
      <c r="G40" s="477"/>
      <c r="H40" s="478"/>
      <c r="I40" s="478"/>
      <c r="J40" s="478"/>
      <c r="K40" s="478"/>
      <c r="L40" s="478"/>
      <c r="M40" s="478"/>
      <c r="N40" s="478"/>
      <c r="O40" s="478"/>
      <c r="P40" s="478"/>
      <c r="Q40" s="478"/>
      <c r="R40" s="478"/>
      <c r="S40" s="478"/>
      <c r="T40" s="478"/>
      <c r="U40" s="478"/>
      <c r="V40" s="478"/>
      <c r="W40" s="478"/>
      <c r="X40" s="478"/>
      <c r="Y40" s="479"/>
      <c r="Z40" s="478"/>
      <c r="AA40" s="478"/>
    </row>
    <row r="42" spans="1:27" x14ac:dyDescent="0.45">
      <c r="S42" s="406">
        <f>S27+S11</f>
        <v>1507270</v>
      </c>
    </row>
    <row r="48" spans="1:27" x14ac:dyDescent="0.45">
      <c r="D48" s="480"/>
      <c r="E48" s="407"/>
      <c r="F48" s="407"/>
      <c r="G48" s="480"/>
      <c r="H48" s="407"/>
      <c r="I48" s="407"/>
      <c r="J48" s="407"/>
      <c r="K48" s="407"/>
      <c r="L48" s="407"/>
      <c r="M48" s="407"/>
      <c r="N48" s="407"/>
      <c r="O48" s="407"/>
      <c r="P48" s="407"/>
      <c r="Q48" s="407"/>
      <c r="R48" s="407"/>
    </row>
    <row r="49" spans="4:18" x14ac:dyDescent="0.45">
      <c r="D49" s="481"/>
      <c r="E49" s="481"/>
      <c r="F49" s="481"/>
      <c r="G49" s="481"/>
      <c r="H49" s="481"/>
      <c r="I49" s="481"/>
      <c r="J49" s="481"/>
      <c r="K49" s="481"/>
      <c r="L49" s="481"/>
      <c r="M49" s="481"/>
      <c r="N49" s="481"/>
      <c r="O49" s="481"/>
      <c r="P49" s="481"/>
      <c r="Q49" s="481"/>
      <c r="R49" s="481"/>
    </row>
    <row r="50" spans="4:18" x14ac:dyDescent="0.45">
      <c r="E50" s="405"/>
      <c r="F50" s="405"/>
      <c r="H50" s="405"/>
      <c r="I50" s="405"/>
      <c r="J50" s="405"/>
      <c r="K50" s="405"/>
      <c r="L50" s="405"/>
      <c r="M50" s="405"/>
      <c r="N50" s="405"/>
      <c r="O50" s="405"/>
      <c r="P50" s="405"/>
      <c r="Q50" s="405"/>
      <c r="R50" s="405"/>
    </row>
    <row r="51" spans="4:18" x14ac:dyDescent="0.45">
      <c r="E51" s="405"/>
      <c r="F51" s="405"/>
      <c r="H51" s="405"/>
      <c r="I51" s="405"/>
      <c r="J51" s="405"/>
      <c r="K51" s="405"/>
      <c r="L51" s="405"/>
      <c r="M51" s="405"/>
      <c r="N51" s="405"/>
      <c r="O51" s="405"/>
      <c r="P51" s="405"/>
      <c r="Q51" s="405"/>
      <c r="R51" s="405"/>
    </row>
    <row r="52" spans="4:18" x14ac:dyDescent="0.45">
      <c r="E52" s="405"/>
      <c r="F52" s="405"/>
      <c r="H52" s="405"/>
      <c r="I52" s="405"/>
      <c r="J52" s="405"/>
      <c r="K52" s="405"/>
      <c r="L52" s="405"/>
      <c r="M52" s="405"/>
      <c r="N52" s="405"/>
      <c r="O52" s="405"/>
      <c r="P52" s="405"/>
      <c r="Q52" s="405"/>
      <c r="R52" s="405"/>
    </row>
  </sheetData>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7B8B8-8285-4CED-A45C-A63D4824E035}">
  <dimension ref="A2:AJ57"/>
  <sheetViews>
    <sheetView topLeftCell="A4" zoomScale="64" zoomScaleNormal="64" workbookViewId="0">
      <selection activeCell="F8" sqref="F8"/>
    </sheetView>
  </sheetViews>
  <sheetFormatPr defaultColWidth="9.140625" defaultRowHeight="13.5" x14ac:dyDescent="0.25"/>
  <cols>
    <col min="1" max="1" width="18.28515625" style="705" bestFit="1" customWidth="1"/>
    <col min="2" max="2" width="57" style="705" bestFit="1" customWidth="1"/>
    <col min="3" max="3" width="33.42578125" style="707" customWidth="1"/>
    <col min="4" max="4" width="29.42578125" style="708" customWidth="1"/>
    <col min="5" max="5" width="16.85546875" style="705" customWidth="1"/>
    <col min="6" max="6" width="19.28515625" style="705" customWidth="1"/>
    <col min="7" max="7" width="19.7109375" style="705" customWidth="1"/>
    <col min="8" max="8" width="20" style="705" customWidth="1"/>
    <col min="9" max="9" width="23.42578125" style="705" customWidth="1"/>
    <col min="10" max="11" width="19.7109375" style="705" customWidth="1"/>
    <col min="12" max="12" width="18.7109375" style="705" customWidth="1"/>
    <col min="13" max="13" width="19.28515625" style="705" customWidth="1"/>
    <col min="14" max="14" width="20.85546875" style="705" customWidth="1"/>
    <col min="15" max="15" width="20.42578125" style="705" customWidth="1"/>
    <col min="16" max="17" width="20.85546875" style="705" customWidth="1"/>
    <col min="18" max="18" width="21.42578125" style="705" customWidth="1"/>
    <col min="19" max="20" width="20.85546875" style="705" customWidth="1"/>
    <col min="21" max="21" width="21.42578125" style="705" customWidth="1"/>
    <col min="22" max="22" width="20.85546875" style="705" customWidth="1"/>
    <col min="23" max="25" width="21.42578125" style="705" customWidth="1"/>
    <col min="26" max="26" width="20.42578125" style="705" customWidth="1"/>
    <col min="27" max="27" width="19.28515625" style="705" customWidth="1"/>
    <col min="28" max="28" width="19.7109375" style="705" customWidth="1"/>
    <col min="29" max="29" width="19.85546875" style="705" bestFit="1" customWidth="1"/>
    <col min="30" max="30" width="18.42578125" style="705" bestFit="1" customWidth="1"/>
    <col min="31" max="31" width="28.85546875" style="705" bestFit="1" customWidth="1"/>
    <col min="32" max="32" width="26.42578125" style="705" bestFit="1" customWidth="1"/>
    <col min="33" max="34" width="10.140625" style="705" bestFit="1" customWidth="1"/>
    <col min="35" max="16384" width="9.140625" style="705"/>
  </cols>
  <sheetData>
    <row r="2" spans="1:30" x14ac:dyDescent="0.25">
      <c r="B2" s="706" t="s">
        <v>189</v>
      </c>
    </row>
    <row r="3" spans="1:30" x14ac:dyDescent="0.25">
      <c r="B3" s="706" t="s">
        <v>146</v>
      </c>
    </row>
    <row r="4" spans="1:30" x14ac:dyDescent="0.25">
      <c r="B4" s="706" t="s">
        <v>147</v>
      </c>
    </row>
    <row r="5" spans="1:30" x14ac:dyDescent="0.25">
      <c r="D5" s="708">
        <f>2427296</f>
        <v>2427296</v>
      </c>
      <c r="E5" s="709">
        <f>E13/5516</f>
        <v>4.000422044960116</v>
      </c>
      <c r="F5" s="710"/>
      <c r="G5" s="710"/>
      <c r="H5" s="710"/>
      <c r="I5" s="710"/>
      <c r="J5" s="710"/>
      <c r="K5" s="710"/>
      <c r="L5" s="710"/>
      <c r="M5" s="710"/>
      <c r="N5" s="710"/>
      <c r="O5" s="710"/>
      <c r="P5" s="710"/>
      <c r="Q5" s="710"/>
      <c r="R5" s="710"/>
      <c r="S5" s="710"/>
    </row>
    <row r="6" spans="1:30" s="711" customFormat="1" x14ac:dyDescent="0.25">
      <c r="B6" s="711" t="s">
        <v>470</v>
      </c>
      <c r="C6" s="712"/>
      <c r="D6" s="713"/>
    </row>
    <row r="7" spans="1:30" s="714" customFormat="1" x14ac:dyDescent="0.25">
      <c r="B7" s="715" t="s">
        <v>469</v>
      </c>
      <c r="C7" s="716" t="s">
        <v>187</v>
      </c>
      <c r="D7" s="717" t="s">
        <v>188</v>
      </c>
      <c r="E7" s="714">
        <v>1989</v>
      </c>
      <c r="F7" s="714">
        <v>1990</v>
      </c>
      <c r="G7" s="714">
        <v>1991</v>
      </c>
      <c r="H7" s="714">
        <v>1992</v>
      </c>
      <c r="I7" s="714">
        <v>1993</v>
      </c>
      <c r="J7" s="714">
        <v>1994</v>
      </c>
      <c r="K7" s="714">
        <v>1995</v>
      </c>
      <c r="L7" s="714">
        <v>1996</v>
      </c>
      <c r="M7" s="714">
        <v>1997</v>
      </c>
      <c r="N7" s="714">
        <v>1998</v>
      </c>
      <c r="O7" s="714">
        <v>1999</v>
      </c>
      <c r="P7" s="714">
        <v>2000</v>
      </c>
      <c r="Q7" s="714">
        <v>2001</v>
      </c>
      <c r="R7" s="714">
        <v>2002</v>
      </c>
      <c r="S7" s="714">
        <v>2003</v>
      </c>
      <c r="T7" s="714">
        <v>2004</v>
      </c>
      <c r="U7" s="714">
        <v>2005</v>
      </c>
      <c r="V7" s="714">
        <v>2006</v>
      </c>
      <c r="W7" s="714">
        <v>2007</v>
      </c>
      <c r="X7" s="714">
        <v>2008</v>
      </c>
      <c r="Y7" s="714">
        <v>2009</v>
      </c>
      <c r="Z7" s="714">
        <v>2010</v>
      </c>
      <c r="AA7" s="714">
        <v>2011</v>
      </c>
      <c r="AB7" s="714">
        <v>2012</v>
      </c>
      <c r="AC7" s="714" t="s">
        <v>462</v>
      </c>
    </row>
    <row r="8" spans="1:30" s="718" customFormat="1" ht="54" x14ac:dyDescent="0.25">
      <c r="B8" s="719" t="s">
        <v>439</v>
      </c>
      <c r="C8" s="720" t="s">
        <v>404</v>
      </c>
      <c r="D8" s="721"/>
      <c r="J8" s="722">
        <v>5587.2857142857138</v>
      </c>
      <c r="K8" s="722">
        <v>9845</v>
      </c>
      <c r="L8" s="722">
        <v>6827.681818181818</v>
      </c>
      <c r="M8" s="722">
        <v>10970.727272727272</v>
      </c>
      <c r="N8" s="722">
        <v>14047</v>
      </c>
      <c r="O8" s="722">
        <v>14461.411764705881</v>
      </c>
      <c r="P8" s="722">
        <v>11602.588235294117</v>
      </c>
      <c r="Q8" s="722">
        <v>16276.5</v>
      </c>
      <c r="R8" s="722">
        <v>20250</v>
      </c>
      <c r="S8" s="722">
        <v>22614</v>
      </c>
      <c r="T8" s="722">
        <v>32474.742857142854</v>
      </c>
      <c r="U8" s="722">
        <v>16747.400000000001</v>
      </c>
      <c r="V8" s="722">
        <v>55307.339743589742</v>
      </c>
      <c r="W8" s="722">
        <v>62764</v>
      </c>
      <c r="X8" s="722">
        <v>69336.5</v>
      </c>
      <c r="Y8" s="722">
        <v>82679.142857142855</v>
      </c>
      <c r="Z8" s="722">
        <v>98981.357142857145</v>
      </c>
      <c r="AA8" s="722">
        <v>112457</v>
      </c>
      <c r="AB8" s="722">
        <v>115862.11538461538</v>
      </c>
      <c r="AC8" s="722">
        <v>29354.307692307691</v>
      </c>
      <c r="AD8" s="722"/>
    </row>
    <row r="9" spans="1:30" s="723" customFormat="1" ht="108" x14ac:dyDescent="0.25">
      <c r="B9" s="723" t="s">
        <v>440</v>
      </c>
      <c r="C9" s="724" t="s">
        <v>471</v>
      </c>
      <c r="D9" s="725"/>
      <c r="I9" s="726">
        <f>+(1620*100)/9.4</f>
        <v>17234.042553191488</v>
      </c>
      <c r="J9" s="726">
        <f>+(823*100)/9.4</f>
        <v>8755.3191489361707</v>
      </c>
      <c r="K9" s="726"/>
      <c r="L9" s="726"/>
      <c r="M9" s="726"/>
      <c r="N9" s="726"/>
      <c r="O9" s="726"/>
      <c r="P9" s="726"/>
      <c r="Q9" s="726"/>
      <c r="R9" s="726"/>
      <c r="S9" s="726"/>
      <c r="T9" s="726"/>
      <c r="U9" s="726"/>
      <c r="V9" s="726"/>
      <c r="W9" s="726"/>
      <c r="X9" s="726"/>
      <c r="Y9" s="726"/>
      <c r="Z9" s="726"/>
      <c r="AA9" s="726"/>
      <c r="AB9" s="726"/>
      <c r="AC9" s="726"/>
      <c r="AD9" s="726"/>
    </row>
    <row r="10" spans="1:30" s="727" customFormat="1" x14ac:dyDescent="0.25">
      <c r="C10" s="728"/>
      <c r="D10" s="729" t="s">
        <v>104</v>
      </c>
      <c r="E10" s="730">
        <f>+E8+E9</f>
        <v>0</v>
      </c>
      <c r="F10" s="730">
        <f>+F8+F9</f>
        <v>0</v>
      </c>
      <c r="G10" s="730">
        <f>+G8+G9</f>
        <v>0</v>
      </c>
      <c r="H10" s="730">
        <f>+H8+H9</f>
        <v>0</v>
      </c>
      <c r="I10" s="730">
        <f>+I8+I9</f>
        <v>17234.042553191488</v>
      </c>
      <c r="J10" s="730">
        <f t="shared" ref="J10:AC10" si="0">+J8+J9</f>
        <v>14342.604863221884</v>
      </c>
      <c r="K10" s="730">
        <f t="shared" si="0"/>
        <v>9845</v>
      </c>
      <c r="L10" s="730">
        <f t="shared" si="0"/>
        <v>6827.681818181818</v>
      </c>
      <c r="M10" s="730">
        <f t="shared" si="0"/>
        <v>10970.727272727272</v>
      </c>
      <c r="N10" s="730">
        <f t="shared" si="0"/>
        <v>14047</v>
      </c>
      <c r="O10" s="730">
        <f t="shared" si="0"/>
        <v>14461.411764705881</v>
      </c>
      <c r="P10" s="730">
        <f t="shared" si="0"/>
        <v>11602.588235294117</v>
      </c>
      <c r="Q10" s="730">
        <f t="shared" si="0"/>
        <v>16276.5</v>
      </c>
      <c r="R10" s="730">
        <f t="shared" si="0"/>
        <v>20250</v>
      </c>
      <c r="S10" s="730">
        <f t="shared" si="0"/>
        <v>22614</v>
      </c>
      <c r="T10" s="730">
        <f t="shared" si="0"/>
        <v>32474.742857142854</v>
      </c>
      <c r="U10" s="730">
        <f t="shared" si="0"/>
        <v>16747.400000000001</v>
      </c>
      <c r="V10" s="730">
        <f t="shared" si="0"/>
        <v>55307.339743589742</v>
      </c>
      <c r="W10" s="730">
        <f t="shared" si="0"/>
        <v>62764</v>
      </c>
      <c r="X10" s="730">
        <f t="shared" si="0"/>
        <v>69336.5</v>
      </c>
      <c r="Y10" s="730">
        <f t="shared" si="0"/>
        <v>82679.142857142855</v>
      </c>
      <c r="Z10" s="730">
        <f t="shared" si="0"/>
        <v>98981.357142857145</v>
      </c>
      <c r="AA10" s="730">
        <f t="shared" si="0"/>
        <v>112457</v>
      </c>
      <c r="AB10" s="730">
        <f t="shared" si="0"/>
        <v>115862.11538461538</v>
      </c>
      <c r="AC10" s="730">
        <f t="shared" si="0"/>
        <v>29354.307692307691</v>
      </c>
      <c r="AD10" s="730"/>
    </row>
    <row r="11" spans="1:30" s="711" customFormat="1" ht="15.75" x14ac:dyDescent="0.3">
      <c r="C11" s="712"/>
      <c r="D11" s="713"/>
      <c r="E11" s="711" t="s">
        <v>593</v>
      </c>
      <c r="G11" s="818"/>
      <c r="J11" s="731"/>
      <c r="K11" s="731"/>
      <c r="L11" s="731"/>
      <c r="M11" s="731"/>
      <c r="N11" s="731"/>
      <c r="O11" s="731"/>
      <c r="P11" s="731"/>
      <c r="Q11" s="731"/>
      <c r="R11" s="731"/>
      <c r="S11" s="731"/>
      <c r="T11" s="731"/>
      <c r="U11" s="731"/>
      <c r="V11" s="731"/>
      <c r="W11" s="731"/>
      <c r="X11" s="731"/>
      <c r="Y11" s="731"/>
      <c r="Z11" s="731"/>
      <c r="AA11" s="731"/>
      <c r="AB11" s="731"/>
      <c r="AC11" s="731"/>
      <c r="AD11" s="732"/>
    </row>
    <row r="12" spans="1:30" s="733" customFormat="1" x14ac:dyDescent="0.25">
      <c r="B12" s="733" t="s">
        <v>190</v>
      </c>
      <c r="C12" s="734" t="s">
        <v>187</v>
      </c>
      <c r="D12" s="735" t="s">
        <v>188</v>
      </c>
      <c r="E12" s="733">
        <v>1989</v>
      </c>
      <c r="F12" s="733">
        <v>1990</v>
      </c>
      <c r="G12" s="733">
        <v>1991</v>
      </c>
      <c r="H12" s="733">
        <v>1992</v>
      </c>
      <c r="I12" s="733">
        <v>1993</v>
      </c>
      <c r="J12" s="733">
        <v>1994</v>
      </c>
      <c r="K12" s="733">
        <v>1995</v>
      </c>
      <c r="L12" s="733">
        <v>1996</v>
      </c>
      <c r="M12" s="733">
        <v>1997</v>
      </c>
      <c r="N12" s="733">
        <v>1998</v>
      </c>
      <c r="O12" s="733">
        <v>1999</v>
      </c>
      <c r="P12" s="733">
        <v>2000</v>
      </c>
      <c r="Q12" s="733">
        <v>2001</v>
      </c>
      <c r="R12" s="733">
        <v>2002</v>
      </c>
      <c r="S12" s="733">
        <v>2003</v>
      </c>
      <c r="T12" s="733">
        <v>2004</v>
      </c>
      <c r="U12" s="733">
        <v>2005</v>
      </c>
      <c r="V12" s="733">
        <v>2006</v>
      </c>
      <c r="W12" s="733">
        <v>2007</v>
      </c>
      <c r="X12" s="733">
        <v>2008</v>
      </c>
      <c r="Y12" s="733">
        <v>2009</v>
      </c>
      <c r="Z12" s="733">
        <v>2010</v>
      </c>
      <c r="AA12" s="733">
        <v>2011</v>
      </c>
      <c r="AB12" s="733">
        <v>2012</v>
      </c>
      <c r="AC12" s="733">
        <v>2013</v>
      </c>
    </row>
    <row r="13" spans="1:30" s="739" customFormat="1" ht="67.5" x14ac:dyDescent="0.25">
      <c r="A13" s="736"/>
      <c r="B13" s="737"/>
      <c r="C13" s="738" t="s">
        <v>438</v>
      </c>
      <c r="E13" s="736">
        <v>22066.328000000001</v>
      </c>
      <c r="F13" s="736">
        <v>66198.983999999997</v>
      </c>
      <c r="G13" s="736">
        <v>66198.983999999997</v>
      </c>
      <c r="H13" s="736">
        <v>66198.983999999997</v>
      </c>
      <c r="I13" s="736">
        <v>66198.983999999997</v>
      </c>
      <c r="J13" s="736">
        <v>66198.983999999997</v>
      </c>
      <c r="K13" s="736">
        <v>66198.983999999997</v>
      </c>
      <c r="L13" s="736">
        <v>66198.983999999997</v>
      </c>
      <c r="M13" s="736">
        <v>66198.983999999997</v>
      </c>
      <c r="N13" s="736">
        <v>66198.983999999997</v>
      </c>
      <c r="O13" s="736">
        <v>66198.983999999997</v>
      </c>
      <c r="P13" s="736">
        <v>66198.983999999997</v>
      </c>
      <c r="Q13" s="736">
        <v>66198.983999999997</v>
      </c>
      <c r="R13" s="736">
        <v>66198.983999999997</v>
      </c>
      <c r="S13" s="736">
        <v>66198.983999999997</v>
      </c>
      <c r="T13" s="736">
        <v>66198.983999999997</v>
      </c>
      <c r="U13" s="736">
        <v>66198.983999999997</v>
      </c>
      <c r="V13" s="736">
        <v>66198.983999999997</v>
      </c>
      <c r="W13" s="736">
        <v>66198.983999999997</v>
      </c>
      <c r="X13" s="736">
        <v>66198.983999999997</v>
      </c>
      <c r="Y13" s="736">
        <v>66198.983999999997</v>
      </c>
      <c r="Z13" s="736">
        <v>66198.983999999997</v>
      </c>
      <c r="AA13" s="736">
        <v>66198.983999999997</v>
      </c>
      <c r="AB13" s="736">
        <v>66198.983999999997</v>
      </c>
      <c r="AC13" s="736">
        <v>16549.745999999999</v>
      </c>
    </row>
    <row r="14" spans="1:30" s="740" customFormat="1" ht="40.5" x14ac:dyDescent="0.25">
      <c r="B14" s="740">
        <v>5516</v>
      </c>
      <c r="C14" s="741" t="s">
        <v>437</v>
      </c>
      <c r="D14" s="742"/>
      <c r="E14" s="743"/>
      <c r="F14" s="743"/>
      <c r="G14" s="743"/>
      <c r="H14" s="743"/>
      <c r="I14" s="743"/>
      <c r="J14" s="743"/>
      <c r="K14" s="743"/>
      <c r="L14" s="743"/>
      <c r="M14" s="743"/>
      <c r="N14" s="743"/>
      <c r="O14" s="743"/>
      <c r="P14" s="743"/>
      <c r="Q14" s="743"/>
      <c r="R14" s="743"/>
      <c r="S14" s="743"/>
      <c r="T14" s="743"/>
      <c r="U14" s="743"/>
      <c r="V14" s="743"/>
      <c r="W14" s="743"/>
      <c r="X14" s="743"/>
      <c r="Y14" s="743"/>
      <c r="Z14" s="743"/>
      <c r="AA14" s="743"/>
      <c r="AB14" s="744">
        <f>+X21</f>
        <v>221200</v>
      </c>
      <c r="AC14" s="744">
        <f>+Y21/12*3</f>
        <v>57150</v>
      </c>
    </row>
    <row r="15" spans="1:30" s="745" customFormat="1" x14ac:dyDescent="0.25">
      <c r="C15" s="746"/>
      <c r="D15" s="747" t="s">
        <v>104</v>
      </c>
      <c r="E15" s="748">
        <f>+E14+E13</f>
        <v>22066.328000000001</v>
      </c>
      <c r="F15" s="748">
        <f t="shared" ref="F15:AC15" si="1">+F14+F13</f>
        <v>66198.983999999997</v>
      </c>
      <c r="G15" s="748">
        <f t="shared" si="1"/>
        <v>66198.983999999997</v>
      </c>
      <c r="H15" s="748">
        <f t="shared" si="1"/>
        <v>66198.983999999997</v>
      </c>
      <c r="I15" s="748">
        <f t="shared" si="1"/>
        <v>66198.983999999997</v>
      </c>
      <c r="J15" s="748">
        <f t="shared" si="1"/>
        <v>66198.983999999997</v>
      </c>
      <c r="K15" s="748">
        <f t="shared" si="1"/>
        <v>66198.983999999997</v>
      </c>
      <c r="L15" s="748">
        <f t="shared" si="1"/>
        <v>66198.983999999997</v>
      </c>
      <c r="M15" s="748">
        <f t="shared" si="1"/>
        <v>66198.983999999997</v>
      </c>
      <c r="N15" s="748">
        <f t="shared" si="1"/>
        <v>66198.983999999997</v>
      </c>
      <c r="O15" s="748">
        <f t="shared" si="1"/>
        <v>66198.983999999997</v>
      </c>
      <c r="P15" s="748">
        <f t="shared" si="1"/>
        <v>66198.983999999997</v>
      </c>
      <c r="Q15" s="748">
        <f t="shared" si="1"/>
        <v>66198.983999999997</v>
      </c>
      <c r="R15" s="748">
        <f t="shared" si="1"/>
        <v>66198.983999999997</v>
      </c>
      <c r="S15" s="748">
        <f t="shared" si="1"/>
        <v>66198.983999999997</v>
      </c>
      <c r="T15" s="748">
        <f t="shared" si="1"/>
        <v>66198.983999999997</v>
      </c>
      <c r="U15" s="748">
        <f t="shared" si="1"/>
        <v>66198.983999999997</v>
      </c>
      <c r="V15" s="748">
        <f t="shared" si="1"/>
        <v>66198.983999999997</v>
      </c>
      <c r="W15" s="748">
        <f t="shared" si="1"/>
        <v>66198.983999999997</v>
      </c>
      <c r="X15" s="748">
        <f t="shared" si="1"/>
        <v>66198.983999999997</v>
      </c>
      <c r="Y15" s="748">
        <f t="shared" si="1"/>
        <v>66198.983999999997</v>
      </c>
      <c r="Z15" s="748">
        <f t="shared" si="1"/>
        <v>66198.983999999997</v>
      </c>
      <c r="AA15" s="748">
        <f t="shared" si="1"/>
        <v>66198.983999999997</v>
      </c>
      <c r="AB15" s="748">
        <f t="shared" si="1"/>
        <v>287398.984</v>
      </c>
      <c r="AC15" s="748">
        <f t="shared" si="1"/>
        <v>73699.745999999999</v>
      </c>
      <c r="AD15" s="748"/>
    </row>
    <row r="16" spans="1:30" x14ac:dyDescent="0.25">
      <c r="B16" s="705">
        <v>36.799999999999997</v>
      </c>
    </row>
    <row r="17" spans="2:36" x14ac:dyDescent="0.25">
      <c r="B17" s="705">
        <f>B16*5516</f>
        <v>202988.79999999999</v>
      </c>
    </row>
    <row r="18" spans="2:36" s="752" customFormat="1" x14ac:dyDescent="0.25">
      <c r="B18" s="749" t="s">
        <v>467</v>
      </c>
      <c r="C18" s="750"/>
      <c r="D18" s="751"/>
    </row>
    <row r="19" spans="2:36" s="749" customFormat="1" x14ac:dyDescent="0.25">
      <c r="B19" s="753" t="s">
        <v>237</v>
      </c>
      <c r="C19" s="753" t="s">
        <v>100</v>
      </c>
      <c r="D19" s="754" t="s">
        <v>101</v>
      </c>
      <c r="E19" s="749" t="s">
        <v>133</v>
      </c>
      <c r="F19" s="749">
        <v>1994</v>
      </c>
      <c r="G19" s="749">
        <v>1995</v>
      </c>
      <c r="H19" s="749">
        <v>1996</v>
      </c>
      <c r="I19" s="749">
        <v>1997</v>
      </c>
      <c r="J19" s="749">
        <v>1998</v>
      </c>
      <c r="K19" s="749">
        <v>1999</v>
      </c>
      <c r="L19" s="749">
        <v>2000</v>
      </c>
      <c r="M19" s="749">
        <v>2001</v>
      </c>
      <c r="N19" s="749">
        <v>2002</v>
      </c>
      <c r="O19" s="753">
        <v>2003</v>
      </c>
      <c r="P19" s="749">
        <v>2004</v>
      </c>
      <c r="Q19" s="749">
        <v>2005</v>
      </c>
      <c r="R19" s="749">
        <v>2006</v>
      </c>
      <c r="S19" s="749">
        <v>2007</v>
      </c>
      <c r="T19" s="749">
        <v>2008</v>
      </c>
      <c r="U19" s="749">
        <v>2009</v>
      </c>
      <c r="V19" s="749">
        <v>2010</v>
      </c>
      <c r="W19" s="749">
        <v>2011</v>
      </c>
      <c r="X19" s="749">
        <v>2012</v>
      </c>
      <c r="Y19" s="749">
        <v>2013</v>
      </c>
      <c r="Z19" s="749">
        <v>2014</v>
      </c>
      <c r="AA19" s="749">
        <v>2015</v>
      </c>
      <c r="AB19" s="749">
        <v>2016</v>
      </c>
      <c r="AC19" s="749" t="s">
        <v>62</v>
      </c>
      <c r="AD19" s="749" t="s">
        <v>135</v>
      </c>
      <c r="AE19" s="749">
        <v>2017</v>
      </c>
      <c r="AF19" s="749">
        <v>2018</v>
      </c>
      <c r="AG19" s="749">
        <v>2019</v>
      </c>
    </row>
    <row r="20" spans="2:36" s="757" customFormat="1" x14ac:dyDescent="0.25">
      <c r="B20" s="755" t="s">
        <v>241</v>
      </c>
      <c r="C20" s="755" t="s">
        <v>240</v>
      </c>
      <c r="D20" s="756">
        <v>847639</v>
      </c>
      <c r="E20" s="757" t="s">
        <v>232</v>
      </c>
      <c r="O20" s="755"/>
      <c r="X20" s="758">
        <v>13525</v>
      </c>
      <c r="Y20" s="758">
        <v>22222.54</v>
      </c>
      <c r="Z20" s="758">
        <v>112722.54</v>
      </c>
      <c r="AA20" s="758">
        <v>442.54</v>
      </c>
    </row>
    <row r="21" spans="2:36" s="761" customFormat="1" ht="27" x14ac:dyDescent="0.25">
      <c r="B21" s="759" t="s">
        <v>436</v>
      </c>
      <c r="C21" s="759"/>
      <c r="D21" s="760"/>
      <c r="O21" s="759"/>
      <c r="X21" s="762">
        <v>221200</v>
      </c>
      <c r="Y21" s="762">
        <v>228600</v>
      </c>
      <c r="Z21" s="762">
        <v>296400</v>
      </c>
      <c r="AA21" s="762">
        <v>273120</v>
      </c>
    </row>
    <row r="22" spans="2:36" s="765" customFormat="1" ht="40.5" x14ac:dyDescent="0.25">
      <c r="B22" s="763" t="s">
        <v>454</v>
      </c>
      <c r="C22" s="763" t="s">
        <v>455</v>
      </c>
      <c r="D22" s="764"/>
      <c r="O22" s="763"/>
      <c r="X22" s="766">
        <f>10600*10+11200+43200</f>
        <v>160400</v>
      </c>
      <c r="Y22" s="766">
        <f>10800*8+11100</f>
        <v>97500</v>
      </c>
      <c r="Z22" s="766">
        <f>11100*11+13500</f>
        <v>135600</v>
      </c>
      <c r="AA22" s="766">
        <f>11259*9+11530+11390*2</f>
        <v>135641</v>
      </c>
      <c r="AB22" s="765">
        <f>11390*9+11630</f>
        <v>114140</v>
      </c>
    </row>
    <row r="23" spans="2:36" s="765" customFormat="1" ht="40.5" x14ac:dyDescent="0.25">
      <c r="B23" s="763" t="s">
        <v>456</v>
      </c>
      <c r="C23" s="763" t="s">
        <v>455</v>
      </c>
      <c r="D23" s="764"/>
      <c r="O23" s="763"/>
      <c r="X23" s="766">
        <f>10600*10+11200+10800</f>
        <v>128000</v>
      </c>
      <c r="Y23" s="766">
        <f>10800*8+11100</f>
        <v>97500</v>
      </c>
      <c r="Z23" s="766">
        <f>11100*11+13500</f>
        <v>135600</v>
      </c>
      <c r="AA23" s="766">
        <f>11259*9+11530+11390*2</f>
        <v>135641</v>
      </c>
      <c r="AB23" s="765">
        <f>11390*9+11630</f>
        <v>114140</v>
      </c>
    </row>
    <row r="24" spans="2:36" s="757" customFormat="1" x14ac:dyDescent="0.25">
      <c r="B24" s="755" t="s">
        <v>241</v>
      </c>
      <c r="C24" s="755" t="s">
        <v>238</v>
      </c>
      <c r="D24" s="756">
        <v>185095</v>
      </c>
      <c r="E24" s="757" t="s">
        <v>243</v>
      </c>
      <c r="O24" s="755"/>
      <c r="X24" s="758"/>
      <c r="Y24" s="758"/>
      <c r="Z24" s="758"/>
      <c r="AA24" s="758"/>
      <c r="AE24" s="758">
        <f>+(75000-50000)*[5]KK!AA4</f>
        <v>3323749.9999999995</v>
      </c>
    </row>
    <row r="25" spans="2:36" s="765" customFormat="1" x14ac:dyDescent="0.25">
      <c r="B25" s="763"/>
      <c r="C25" s="763"/>
      <c r="D25" s="764"/>
      <c r="O25" s="763"/>
      <c r="X25" s="766"/>
      <c r="Y25" s="766"/>
      <c r="Z25" s="766"/>
      <c r="AA25" s="766"/>
    </row>
    <row r="26" spans="2:36" s="765" customFormat="1" x14ac:dyDescent="0.25">
      <c r="B26" s="763"/>
      <c r="C26" s="763"/>
      <c r="D26" s="764"/>
      <c r="O26" s="763"/>
      <c r="X26" s="766"/>
      <c r="Y26" s="766"/>
      <c r="Z26" s="766"/>
      <c r="AA26" s="766"/>
    </row>
    <row r="27" spans="2:36" s="757" customFormat="1" x14ac:dyDescent="0.25">
      <c r="B27" s="755" t="s">
        <v>244</v>
      </c>
      <c r="C27" s="755" t="s">
        <v>238</v>
      </c>
      <c r="D27" s="756">
        <v>185095</v>
      </c>
      <c r="E27" s="757" t="s">
        <v>245</v>
      </c>
      <c r="O27" s="755"/>
      <c r="S27" s="758">
        <f>100000*[5]KK!Q5</f>
        <v>8303000</v>
      </c>
      <c r="T27" s="758">
        <f>5523.55*[5]KK!Q5</f>
        <v>458620.35649999999</v>
      </c>
      <c r="U27" s="758">
        <f>5042*[5]KK!R5</f>
        <v>458620.31999999995</v>
      </c>
      <c r="V27" s="758">
        <v>0</v>
      </c>
      <c r="X27" s="758"/>
      <c r="Y27" s="758"/>
      <c r="Z27" s="758"/>
      <c r="AA27" s="758"/>
      <c r="AE27" s="758"/>
    </row>
    <row r="28" spans="2:36" s="769" customFormat="1" ht="27" x14ac:dyDescent="0.25">
      <c r="B28" s="767" t="s">
        <v>246</v>
      </c>
      <c r="C28" s="767" t="s">
        <v>247</v>
      </c>
      <c r="D28" s="768"/>
      <c r="I28" s="770"/>
      <c r="J28" s="770"/>
      <c r="K28" s="770"/>
      <c r="L28" s="770"/>
      <c r="M28" s="770"/>
      <c r="N28" s="770"/>
      <c r="O28" s="771"/>
      <c r="P28" s="770"/>
      <c r="Q28" s="770"/>
      <c r="R28" s="770"/>
      <c r="S28" s="772">
        <v>372265.005</v>
      </c>
      <c r="T28" s="770"/>
      <c r="U28" s="770"/>
      <c r="V28" s="770"/>
      <c r="W28" s="770"/>
      <c r="X28" s="770"/>
      <c r="Y28" s="770"/>
      <c r="Z28" s="770"/>
      <c r="AA28" s="770"/>
      <c r="AB28" s="770"/>
      <c r="AC28" s="770"/>
      <c r="AD28" s="770"/>
      <c r="AE28" s="770"/>
      <c r="AF28" s="770"/>
      <c r="AG28" s="770"/>
      <c r="AH28" s="770"/>
      <c r="AI28" s="770"/>
      <c r="AJ28" s="770"/>
    </row>
    <row r="29" spans="2:36" s="765" customFormat="1" x14ac:dyDescent="0.25">
      <c r="B29" s="763"/>
      <c r="C29" s="763"/>
      <c r="D29" s="764"/>
      <c r="I29" s="766"/>
      <c r="J29" s="766"/>
      <c r="K29" s="766"/>
      <c r="L29" s="766"/>
      <c r="M29" s="766"/>
      <c r="N29" s="766"/>
      <c r="O29" s="773"/>
      <c r="P29" s="766"/>
      <c r="Q29" s="766"/>
      <c r="R29" s="766"/>
      <c r="S29" s="766"/>
      <c r="T29" s="766"/>
      <c r="U29" s="766"/>
      <c r="V29" s="766"/>
      <c r="W29" s="766"/>
      <c r="X29" s="766"/>
      <c r="Y29" s="766"/>
      <c r="Z29" s="766"/>
      <c r="AA29" s="766"/>
      <c r="AB29" s="766"/>
      <c r="AC29" s="766"/>
      <c r="AD29" s="766"/>
      <c r="AE29" s="766"/>
      <c r="AF29" s="766"/>
      <c r="AG29" s="766"/>
      <c r="AH29" s="766"/>
      <c r="AI29" s="766"/>
      <c r="AJ29" s="766"/>
    </row>
    <row r="30" spans="2:36" s="765" customFormat="1" x14ac:dyDescent="0.25">
      <c r="B30" s="763"/>
      <c r="C30" s="763"/>
      <c r="D30" s="764"/>
      <c r="I30" s="766"/>
      <c r="J30" s="766"/>
      <c r="K30" s="766"/>
      <c r="L30" s="766"/>
      <c r="M30" s="766"/>
      <c r="N30" s="766"/>
      <c r="O30" s="773"/>
      <c r="P30" s="766"/>
      <c r="Q30" s="766"/>
      <c r="R30" s="766"/>
      <c r="S30" s="766"/>
      <c r="T30" s="766"/>
      <c r="U30" s="766"/>
      <c r="V30" s="766"/>
      <c r="W30" s="766"/>
      <c r="X30" s="766"/>
      <c r="Y30" s="766"/>
      <c r="Z30" s="766"/>
      <c r="AA30" s="766"/>
      <c r="AB30" s="766"/>
      <c r="AC30" s="766"/>
      <c r="AD30" s="766"/>
      <c r="AE30" s="766"/>
      <c r="AF30" s="766"/>
      <c r="AG30" s="766"/>
      <c r="AH30" s="766"/>
      <c r="AI30" s="766"/>
      <c r="AJ30" s="766"/>
    </row>
    <row r="31" spans="2:36" s="749" customFormat="1" x14ac:dyDescent="0.25">
      <c r="B31" s="753" t="s">
        <v>104</v>
      </c>
      <c r="C31" s="753"/>
      <c r="D31" s="754"/>
      <c r="E31" s="754"/>
      <c r="F31" s="754">
        <f t="shared" ref="F31:AH31" si="2">+F27+F24+F20</f>
        <v>0</v>
      </c>
      <c r="G31" s="754">
        <f t="shared" si="2"/>
        <v>0</v>
      </c>
      <c r="H31" s="754">
        <f t="shared" si="2"/>
        <v>0</v>
      </c>
      <c r="I31" s="754">
        <f t="shared" si="2"/>
        <v>0</v>
      </c>
      <c r="J31" s="754">
        <f t="shared" si="2"/>
        <v>0</v>
      </c>
      <c r="K31" s="754">
        <f t="shared" si="2"/>
        <v>0</v>
      </c>
      <c r="L31" s="754">
        <f t="shared" si="2"/>
        <v>0</v>
      </c>
      <c r="M31" s="754">
        <f t="shared" si="2"/>
        <v>0</v>
      </c>
      <c r="N31" s="754">
        <f t="shared" si="2"/>
        <v>0</v>
      </c>
      <c r="O31" s="754">
        <f t="shared" si="2"/>
        <v>0</v>
      </c>
      <c r="P31" s="754">
        <f t="shared" si="2"/>
        <v>0</v>
      </c>
      <c r="Q31" s="754">
        <f t="shared" si="2"/>
        <v>0</v>
      </c>
      <c r="R31" s="754">
        <f t="shared" si="2"/>
        <v>0</v>
      </c>
      <c r="S31" s="774">
        <f t="shared" si="2"/>
        <v>8303000</v>
      </c>
      <c r="T31" s="774">
        <f t="shared" si="2"/>
        <v>458620.35649999999</v>
      </c>
      <c r="U31" s="774">
        <f t="shared" si="2"/>
        <v>458620.31999999995</v>
      </c>
      <c r="V31" s="774">
        <f t="shared" si="2"/>
        <v>0</v>
      </c>
      <c r="W31" s="774">
        <f t="shared" si="2"/>
        <v>0</v>
      </c>
      <c r="X31" s="774">
        <f t="shared" si="2"/>
        <v>13525</v>
      </c>
      <c r="Y31" s="774">
        <f t="shared" si="2"/>
        <v>22222.54</v>
      </c>
      <c r="Z31" s="774">
        <f t="shared" si="2"/>
        <v>112722.54</v>
      </c>
      <c r="AA31" s="774">
        <f t="shared" si="2"/>
        <v>442.54</v>
      </c>
      <c r="AB31" s="774">
        <f t="shared" si="2"/>
        <v>0</v>
      </c>
      <c r="AC31" s="774">
        <f t="shared" si="2"/>
        <v>0</v>
      </c>
      <c r="AD31" s="774">
        <f t="shared" si="2"/>
        <v>0</v>
      </c>
      <c r="AE31" s="774">
        <f t="shared" si="2"/>
        <v>3323749.9999999995</v>
      </c>
      <c r="AF31" s="774">
        <f t="shared" si="2"/>
        <v>0</v>
      </c>
      <c r="AG31" s="774">
        <f t="shared" si="2"/>
        <v>0</v>
      </c>
      <c r="AH31" s="774">
        <f t="shared" si="2"/>
        <v>0</v>
      </c>
      <c r="AI31" s="775"/>
      <c r="AJ31" s="775"/>
    </row>
    <row r="32" spans="2:36" s="776" customFormat="1" x14ac:dyDescent="0.25">
      <c r="B32" s="776" t="s">
        <v>0</v>
      </c>
      <c r="C32" s="777"/>
      <c r="D32" s="778"/>
      <c r="F32" s="776">
        <f>+F31</f>
        <v>0</v>
      </c>
      <c r="G32" s="776">
        <f>+G31-F31</f>
        <v>0</v>
      </c>
      <c r="H32" s="776">
        <f t="shared" ref="H32:S32" si="3">+H31-G31</f>
        <v>0</v>
      </c>
      <c r="I32" s="776">
        <f t="shared" si="3"/>
        <v>0</v>
      </c>
      <c r="J32" s="776">
        <f t="shared" si="3"/>
        <v>0</v>
      </c>
      <c r="K32" s="776">
        <f t="shared" si="3"/>
        <v>0</v>
      </c>
      <c r="L32" s="776">
        <f t="shared" si="3"/>
        <v>0</v>
      </c>
      <c r="M32" s="776">
        <f t="shared" si="3"/>
        <v>0</v>
      </c>
      <c r="N32" s="776">
        <f t="shared" si="3"/>
        <v>0</v>
      </c>
      <c r="O32" s="776">
        <f t="shared" si="3"/>
        <v>0</v>
      </c>
      <c r="P32" s="776">
        <f t="shared" si="3"/>
        <v>0</v>
      </c>
      <c r="Q32" s="776">
        <f t="shared" si="3"/>
        <v>0</v>
      </c>
      <c r="R32" s="776">
        <f t="shared" si="3"/>
        <v>0</v>
      </c>
      <c r="S32" s="776">
        <f t="shared" si="3"/>
        <v>8303000</v>
      </c>
      <c r="T32" s="776">
        <f>+T31-S31</f>
        <v>-7844379.6435000002</v>
      </c>
      <c r="U32" s="776">
        <f t="shared" ref="U32:AF32" si="4">+U31-T31</f>
        <v>-3.6500000045634806E-2</v>
      </c>
      <c r="V32" s="776">
        <f t="shared" si="4"/>
        <v>-458620.31999999995</v>
      </c>
      <c r="W32" s="776">
        <f t="shared" si="4"/>
        <v>0</v>
      </c>
      <c r="X32" s="776">
        <f t="shared" si="4"/>
        <v>13525</v>
      </c>
      <c r="Y32" s="776">
        <f t="shared" si="4"/>
        <v>8697.5400000000009</v>
      </c>
      <c r="Z32" s="776">
        <f t="shared" si="4"/>
        <v>90500</v>
      </c>
      <c r="AA32" s="776">
        <f t="shared" si="4"/>
        <v>-112280</v>
      </c>
      <c r="AB32" s="776">
        <f t="shared" si="4"/>
        <v>-442.54</v>
      </c>
      <c r="AC32" s="776">
        <f t="shared" si="4"/>
        <v>0</v>
      </c>
      <c r="AD32" s="776">
        <f t="shared" si="4"/>
        <v>0</v>
      </c>
      <c r="AE32" s="776">
        <f t="shared" si="4"/>
        <v>3323749.9999999995</v>
      </c>
      <c r="AF32" s="776">
        <f t="shared" si="4"/>
        <v>-3323749.9999999995</v>
      </c>
    </row>
    <row r="34" spans="1:29" x14ac:dyDescent="0.25">
      <c r="L34" s="784"/>
    </row>
    <row r="35" spans="1:29" x14ac:dyDescent="0.25">
      <c r="B35" s="707" t="s">
        <v>468</v>
      </c>
      <c r="C35" s="705"/>
      <c r="D35" s="705"/>
    </row>
    <row r="36" spans="1:29" s="787" customFormat="1" x14ac:dyDescent="0.25">
      <c r="A36" s="779"/>
      <c r="B36" s="785"/>
      <c r="C36" s="786">
        <v>1989</v>
      </c>
      <c r="D36" s="786">
        <v>1990</v>
      </c>
      <c r="E36" s="786">
        <v>1991</v>
      </c>
      <c r="F36" s="786">
        <v>1992</v>
      </c>
      <c r="G36" s="786">
        <v>1993</v>
      </c>
      <c r="H36" s="786">
        <v>1994</v>
      </c>
      <c r="I36" s="786">
        <v>1995</v>
      </c>
      <c r="J36" s="786">
        <v>1996</v>
      </c>
      <c r="K36" s="786">
        <v>1997</v>
      </c>
      <c r="L36" s="786">
        <v>1998</v>
      </c>
      <c r="M36" s="786">
        <v>1999</v>
      </c>
      <c r="N36" s="786">
        <v>2000</v>
      </c>
      <c r="O36" s="786">
        <v>2001</v>
      </c>
      <c r="P36" s="786">
        <v>2002</v>
      </c>
      <c r="Q36" s="786">
        <v>2003</v>
      </c>
      <c r="R36" s="786">
        <v>2004</v>
      </c>
      <c r="S36" s="786">
        <v>2005</v>
      </c>
      <c r="T36" s="786">
        <v>2006</v>
      </c>
      <c r="U36" s="786">
        <v>2007</v>
      </c>
      <c r="V36" s="786">
        <v>2008</v>
      </c>
      <c r="W36" s="786">
        <v>2009</v>
      </c>
      <c r="X36" s="786">
        <v>2010</v>
      </c>
      <c r="Y36" s="786">
        <v>2011</v>
      </c>
      <c r="Z36" s="786">
        <v>2012</v>
      </c>
      <c r="AA36" s="786" t="s">
        <v>463</v>
      </c>
    </row>
    <row r="37" spans="1:29" s="791" customFormat="1" x14ac:dyDescent="0.25">
      <c r="A37" s="788"/>
      <c r="B37" s="789" t="s">
        <v>420</v>
      </c>
      <c r="C37" s="790">
        <f>+C39</f>
        <v>0</v>
      </c>
      <c r="D37" s="790">
        <f t="shared" ref="D37:AA37" si="5">+D39</f>
        <v>0</v>
      </c>
      <c r="E37" s="790">
        <f t="shared" si="5"/>
        <v>0</v>
      </c>
      <c r="F37" s="790">
        <f t="shared" si="5"/>
        <v>0</v>
      </c>
      <c r="G37" s="790">
        <f t="shared" si="5"/>
        <v>0</v>
      </c>
      <c r="H37" s="790">
        <f t="shared" si="5"/>
        <v>0</v>
      </c>
      <c r="I37" s="790">
        <f t="shared" si="5"/>
        <v>0</v>
      </c>
      <c r="J37" s="790">
        <f t="shared" si="5"/>
        <v>0</v>
      </c>
      <c r="K37" s="790">
        <f t="shared" si="5"/>
        <v>0</v>
      </c>
      <c r="L37" s="790">
        <f t="shared" si="5"/>
        <v>0</v>
      </c>
      <c r="M37" s="790">
        <f t="shared" si="5"/>
        <v>0</v>
      </c>
      <c r="N37" s="790">
        <f t="shared" si="5"/>
        <v>0</v>
      </c>
      <c r="O37" s="790">
        <f t="shared" si="5"/>
        <v>0</v>
      </c>
      <c r="P37" s="790">
        <f t="shared" si="5"/>
        <v>0</v>
      </c>
      <c r="Q37" s="790">
        <f t="shared" si="5"/>
        <v>0</v>
      </c>
      <c r="R37" s="790">
        <f t="shared" si="5"/>
        <v>0</v>
      </c>
      <c r="S37" s="790">
        <f t="shared" si="5"/>
        <v>0</v>
      </c>
      <c r="T37" s="790">
        <f t="shared" si="5"/>
        <v>0</v>
      </c>
      <c r="U37" s="790">
        <f>SUM(U38:U39)</f>
        <v>15557600</v>
      </c>
      <c r="V37" s="790">
        <f t="shared" si="5"/>
        <v>-7844379.6435000002</v>
      </c>
      <c r="W37" s="790">
        <f t="shared" si="5"/>
        <v>-3.6500000045634806E-2</v>
      </c>
      <c r="X37" s="790">
        <f t="shared" si="5"/>
        <v>-458620.31999999995</v>
      </c>
      <c r="Y37" s="790">
        <f t="shared" si="5"/>
        <v>0</v>
      </c>
      <c r="Z37" s="790">
        <f t="shared" si="5"/>
        <v>13525</v>
      </c>
      <c r="AA37" s="790">
        <f t="shared" si="5"/>
        <v>8697.5400000000009</v>
      </c>
    </row>
    <row r="38" spans="1:29" s="788" customFormat="1" x14ac:dyDescent="0.25">
      <c r="B38" s="792">
        <v>0</v>
      </c>
      <c r="C38" s="793"/>
      <c r="D38" s="793"/>
      <c r="E38" s="793"/>
      <c r="F38" s="793"/>
      <c r="G38" s="793"/>
      <c r="H38" s="793"/>
      <c r="I38" s="793"/>
      <c r="J38" s="793"/>
      <c r="K38" s="793"/>
      <c r="L38" s="793"/>
      <c r="M38" s="793"/>
      <c r="N38" s="793"/>
      <c r="O38" s="793"/>
      <c r="P38" s="793"/>
      <c r="Q38" s="793"/>
      <c r="R38" s="793"/>
      <c r="S38" s="793"/>
      <c r="T38" s="793"/>
      <c r="U38" s="793">
        <v>7254600</v>
      </c>
      <c r="V38" s="793"/>
      <c r="W38" s="793"/>
      <c r="X38" s="793"/>
      <c r="Y38" s="793"/>
      <c r="Z38" s="793"/>
      <c r="AA38" s="793"/>
    </row>
    <row r="39" spans="1:29" s="779" customFormat="1" x14ac:dyDescent="0.25">
      <c r="B39" s="780" t="s">
        <v>0</v>
      </c>
      <c r="C39" s="782">
        <v>0</v>
      </c>
      <c r="D39" s="782">
        <v>0</v>
      </c>
      <c r="E39" s="782">
        <v>0</v>
      </c>
      <c r="F39" s="782">
        <v>0</v>
      </c>
      <c r="G39" s="782">
        <v>0</v>
      </c>
      <c r="H39" s="782">
        <v>0</v>
      </c>
      <c r="I39" s="782">
        <v>0</v>
      </c>
      <c r="J39" s="782">
        <v>0</v>
      </c>
      <c r="K39" s="782">
        <v>0</v>
      </c>
      <c r="L39" s="782">
        <v>0</v>
      </c>
      <c r="M39" s="782">
        <v>0</v>
      </c>
      <c r="N39" s="782">
        <v>0</v>
      </c>
      <c r="O39" s="782">
        <v>0</v>
      </c>
      <c r="P39" s="782">
        <v>0</v>
      </c>
      <c r="Q39" s="782">
        <v>0</v>
      </c>
      <c r="R39" s="782">
        <v>0</v>
      </c>
      <c r="S39" s="782">
        <v>0</v>
      </c>
      <c r="T39" s="782">
        <v>0</v>
      </c>
      <c r="U39" s="782">
        <f t="shared" ref="U39:AA39" si="6">+S32</f>
        <v>8303000</v>
      </c>
      <c r="V39" s="782">
        <f t="shared" si="6"/>
        <v>-7844379.6435000002</v>
      </c>
      <c r="W39" s="782">
        <f t="shared" si="6"/>
        <v>-3.6500000045634806E-2</v>
      </c>
      <c r="X39" s="782">
        <f t="shared" si="6"/>
        <v>-458620.31999999995</v>
      </c>
      <c r="Y39" s="782">
        <f t="shared" si="6"/>
        <v>0</v>
      </c>
      <c r="Z39" s="782">
        <f t="shared" si="6"/>
        <v>13525</v>
      </c>
      <c r="AA39" s="782">
        <f t="shared" si="6"/>
        <v>8697.5400000000009</v>
      </c>
    </row>
    <row r="40" spans="1:29" s="797" customFormat="1" x14ac:dyDescent="0.25">
      <c r="A40" s="794"/>
      <c r="B40" s="795" t="s">
        <v>421</v>
      </c>
      <c r="C40" s="796">
        <f>+C41+C42+C43</f>
        <v>22066.328000000001</v>
      </c>
      <c r="D40" s="796">
        <f t="shared" ref="D40:AA40" si="7">+D41+D42+D43</f>
        <v>66198.983999999997</v>
      </c>
      <c r="E40" s="796">
        <f t="shared" si="7"/>
        <v>66198.983999999997</v>
      </c>
      <c r="F40" s="796">
        <f t="shared" si="7"/>
        <v>66198.983999999997</v>
      </c>
      <c r="G40" s="796">
        <f t="shared" si="7"/>
        <v>83433.026553191477</v>
      </c>
      <c r="H40" s="796">
        <f t="shared" si="7"/>
        <v>80541.588863221885</v>
      </c>
      <c r="I40" s="796">
        <f t="shared" si="7"/>
        <v>76043.983999999997</v>
      </c>
      <c r="J40" s="796">
        <f t="shared" si="7"/>
        <v>73026.66581818182</v>
      </c>
      <c r="K40" s="796">
        <f t="shared" si="7"/>
        <v>77169.711272727262</v>
      </c>
      <c r="L40" s="796">
        <f t="shared" si="7"/>
        <v>80245.983999999997</v>
      </c>
      <c r="M40" s="796">
        <f t="shared" si="7"/>
        <v>80660.395764705871</v>
      </c>
      <c r="N40" s="796">
        <f t="shared" si="7"/>
        <v>77801.572235294108</v>
      </c>
      <c r="O40" s="796">
        <f t="shared" si="7"/>
        <v>82475.483999999997</v>
      </c>
      <c r="P40" s="796">
        <f t="shared" si="7"/>
        <v>86448.983999999997</v>
      </c>
      <c r="Q40" s="796">
        <f t="shared" si="7"/>
        <v>88812.983999999997</v>
      </c>
      <c r="R40" s="796">
        <f t="shared" si="7"/>
        <v>98673.726857142843</v>
      </c>
      <c r="S40" s="796">
        <f t="shared" si="7"/>
        <v>82946.383999999991</v>
      </c>
      <c r="T40" s="796">
        <f t="shared" si="7"/>
        <v>121506.32374358975</v>
      </c>
      <c r="U40" s="796">
        <f t="shared" si="7"/>
        <v>501227.989</v>
      </c>
      <c r="V40" s="796">
        <f t="shared" si="7"/>
        <v>135535.484</v>
      </c>
      <c r="W40" s="796">
        <f t="shared" si="7"/>
        <v>148878.12685714284</v>
      </c>
      <c r="X40" s="796">
        <f t="shared" si="7"/>
        <v>165180.34114285716</v>
      </c>
      <c r="Y40" s="796">
        <f t="shared" si="7"/>
        <v>178655.984</v>
      </c>
      <c r="Z40" s="796">
        <f t="shared" si="7"/>
        <v>403261.09938461537</v>
      </c>
      <c r="AA40" s="796">
        <f t="shared" si="7"/>
        <v>103054.05369230769</v>
      </c>
    </row>
    <row r="41" spans="1:29" s="798" customFormat="1" x14ac:dyDescent="0.25">
      <c r="B41" s="799" t="s">
        <v>417</v>
      </c>
      <c r="C41" s="800">
        <f t="shared" ref="C41:AA41" si="8">+E10</f>
        <v>0</v>
      </c>
      <c r="D41" s="800">
        <f t="shared" si="8"/>
        <v>0</v>
      </c>
      <c r="E41" s="800">
        <f t="shared" si="8"/>
        <v>0</v>
      </c>
      <c r="F41" s="800">
        <f t="shared" si="8"/>
        <v>0</v>
      </c>
      <c r="G41" s="800">
        <f t="shared" si="8"/>
        <v>17234.042553191488</v>
      </c>
      <c r="H41" s="800">
        <f t="shared" si="8"/>
        <v>14342.604863221884</v>
      </c>
      <c r="I41" s="800">
        <f t="shared" si="8"/>
        <v>9845</v>
      </c>
      <c r="J41" s="800">
        <f t="shared" si="8"/>
        <v>6827.681818181818</v>
      </c>
      <c r="K41" s="800">
        <f t="shared" si="8"/>
        <v>10970.727272727272</v>
      </c>
      <c r="L41" s="800">
        <f t="shared" si="8"/>
        <v>14047</v>
      </c>
      <c r="M41" s="800">
        <f t="shared" si="8"/>
        <v>14461.411764705881</v>
      </c>
      <c r="N41" s="800">
        <f t="shared" si="8"/>
        <v>11602.588235294117</v>
      </c>
      <c r="O41" s="800">
        <f t="shared" si="8"/>
        <v>16276.5</v>
      </c>
      <c r="P41" s="800">
        <f t="shared" si="8"/>
        <v>20250</v>
      </c>
      <c r="Q41" s="800">
        <f t="shared" si="8"/>
        <v>22614</v>
      </c>
      <c r="R41" s="800">
        <f t="shared" si="8"/>
        <v>32474.742857142854</v>
      </c>
      <c r="S41" s="800">
        <f t="shared" si="8"/>
        <v>16747.400000000001</v>
      </c>
      <c r="T41" s="800">
        <f t="shared" si="8"/>
        <v>55307.339743589742</v>
      </c>
      <c r="U41" s="800">
        <f t="shared" si="8"/>
        <v>62764</v>
      </c>
      <c r="V41" s="800">
        <f t="shared" si="8"/>
        <v>69336.5</v>
      </c>
      <c r="W41" s="800">
        <f t="shared" si="8"/>
        <v>82679.142857142855</v>
      </c>
      <c r="X41" s="800">
        <f t="shared" si="8"/>
        <v>98981.357142857145</v>
      </c>
      <c r="Y41" s="800">
        <f t="shared" si="8"/>
        <v>112457</v>
      </c>
      <c r="Z41" s="800">
        <f t="shared" si="8"/>
        <v>115862.11538461538</v>
      </c>
      <c r="AA41" s="800">
        <f t="shared" si="8"/>
        <v>29354.307692307691</v>
      </c>
    </row>
    <row r="42" spans="1:29" s="798" customFormat="1" x14ac:dyDescent="0.25">
      <c r="B42" s="799" t="s">
        <v>418</v>
      </c>
      <c r="C42" s="800">
        <f t="shared" ref="C42:AA42" si="9">+E15</f>
        <v>22066.328000000001</v>
      </c>
      <c r="D42" s="800">
        <f t="shared" si="9"/>
        <v>66198.983999999997</v>
      </c>
      <c r="E42" s="800">
        <f t="shared" si="9"/>
        <v>66198.983999999997</v>
      </c>
      <c r="F42" s="800">
        <f t="shared" si="9"/>
        <v>66198.983999999997</v>
      </c>
      <c r="G42" s="800">
        <f t="shared" si="9"/>
        <v>66198.983999999997</v>
      </c>
      <c r="H42" s="800">
        <f t="shared" si="9"/>
        <v>66198.983999999997</v>
      </c>
      <c r="I42" s="800">
        <f t="shared" si="9"/>
        <v>66198.983999999997</v>
      </c>
      <c r="J42" s="800">
        <f t="shared" si="9"/>
        <v>66198.983999999997</v>
      </c>
      <c r="K42" s="800">
        <f t="shared" si="9"/>
        <v>66198.983999999997</v>
      </c>
      <c r="L42" s="800">
        <f t="shared" si="9"/>
        <v>66198.983999999997</v>
      </c>
      <c r="M42" s="800">
        <f t="shared" si="9"/>
        <v>66198.983999999997</v>
      </c>
      <c r="N42" s="800">
        <f t="shared" si="9"/>
        <v>66198.983999999997</v>
      </c>
      <c r="O42" s="800">
        <f t="shared" si="9"/>
        <v>66198.983999999997</v>
      </c>
      <c r="P42" s="800">
        <f t="shared" si="9"/>
        <v>66198.983999999997</v>
      </c>
      <c r="Q42" s="800">
        <f t="shared" si="9"/>
        <v>66198.983999999997</v>
      </c>
      <c r="R42" s="800">
        <f t="shared" si="9"/>
        <v>66198.983999999997</v>
      </c>
      <c r="S42" s="800">
        <f t="shared" si="9"/>
        <v>66198.983999999997</v>
      </c>
      <c r="T42" s="800">
        <f t="shared" si="9"/>
        <v>66198.983999999997</v>
      </c>
      <c r="U42" s="800">
        <f t="shared" si="9"/>
        <v>66198.983999999997</v>
      </c>
      <c r="V42" s="800">
        <f t="shared" si="9"/>
        <v>66198.983999999997</v>
      </c>
      <c r="W42" s="800">
        <f t="shared" si="9"/>
        <v>66198.983999999997</v>
      </c>
      <c r="X42" s="800">
        <f t="shared" si="9"/>
        <v>66198.983999999997</v>
      </c>
      <c r="Y42" s="800">
        <f t="shared" si="9"/>
        <v>66198.983999999997</v>
      </c>
      <c r="Z42" s="800">
        <f t="shared" si="9"/>
        <v>287398.984</v>
      </c>
      <c r="AA42" s="800">
        <f t="shared" si="9"/>
        <v>73699.745999999999</v>
      </c>
    </row>
    <row r="43" spans="1:29" s="798" customFormat="1" x14ac:dyDescent="0.25">
      <c r="B43" s="799" t="s">
        <v>422</v>
      </c>
      <c r="C43" s="800"/>
      <c r="D43" s="800"/>
      <c r="E43" s="800"/>
      <c r="F43" s="800"/>
      <c r="G43" s="800"/>
      <c r="H43" s="800"/>
      <c r="I43" s="800"/>
      <c r="J43" s="800"/>
      <c r="K43" s="800"/>
      <c r="L43" s="800"/>
      <c r="M43" s="800"/>
      <c r="N43" s="800"/>
      <c r="O43" s="800"/>
      <c r="P43" s="800"/>
      <c r="Q43" s="800"/>
      <c r="R43" s="800"/>
      <c r="S43" s="800"/>
      <c r="T43" s="800"/>
      <c r="U43" s="800">
        <v>372265.005</v>
      </c>
      <c r="V43" s="800"/>
      <c r="W43" s="800"/>
      <c r="X43" s="800"/>
      <c r="Y43" s="800"/>
      <c r="Z43" s="800"/>
      <c r="AA43" s="800"/>
    </row>
    <row r="44" spans="1:29" s="804" customFormat="1" x14ac:dyDescent="0.25">
      <c r="A44" s="801"/>
      <c r="B44" s="802" t="s">
        <v>191</v>
      </c>
      <c r="C44" s="803">
        <f>+C40*0.66</f>
        <v>14563.776480000002</v>
      </c>
      <c r="D44" s="803">
        <f t="shared" ref="D44:M44" si="10">+D40*0.66</f>
        <v>43691.329440000001</v>
      </c>
      <c r="E44" s="803">
        <f t="shared" si="10"/>
        <v>43691.329440000001</v>
      </c>
      <c r="F44" s="803">
        <f t="shared" si="10"/>
        <v>43691.329440000001</v>
      </c>
      <c r="G44" s="803">
        <f t="shared" si="10"/>
        <v>55065.797525106376</v>
      </c>
      <c r="H44" s="803">
        <f t="shared" si="10"/>
        <v>53157.448649726444</v>
      </c>
      <c r="I44" s="803">
        <f t="shared" si="10"/>
        <v>50189.029439999998</v>
      </c>
      <c r="J44" s="803">
        <f t="shared" si="10"/>
        <v>48197.599440000005</v>
      </c>
      <c r="K44" s="803">
        <f t="shared" si="10"/>
        <v>50932.009439999994</v>
      </c>
      <c r="L44" s="803">
        <f t="shared" si="10"/>
        <v>52962.349439999998</v>
      </c>
      <c r="M44" s="803">
        <f t="shared" si="10"/>
        <v>53235.861204705878</v>
      </c>
      <c r="N44" s="803">
        <v>216000</v>
      </c>
      <c r="O44" s="803">
        <v>216000</v>
      </c>
      <c r="P44" s="803">
        <v>187788</v>
      </c>
      <c r="Q44" s="803">
        <v>187928</v>
      </c>
      <c r="R44" s="803">
        <v>187928</v>
      </c>
      <c r="S44" s="803">
        <v>219114</v>
      </c>
      <c r="T44" s="803">
        <v>219114</v>
      </c>
      <c r="U44" s="803">
        <v>273240</v>
      </c>
      <c r="V44" s="803">
        <v>273240</v>
      </c>
      <c r="W44" s="803">
        <v>273240</v>
      </c>
      <c r="X44" s="803">
        <v>273240</v>
      </c>
      <c r="Y44" s="803">
        <v>273240</v>
      </c>
      <c r="Z44" s="803">
        <v>279096</v>
      </c>
      <c r="AA44" s="803">
        <f>279096/12*3</f>
        <v>69774</v>
      </c>
    </row>
    <row r="45" spans="1:29" s="805" customFormat="1" x14ac:dyDescent="0.25">
      <c r="B45" s="806" t="s">
        <v>419</v>
      </c>
      <c r="C45" s="783">
        <f>+C40-C37-C44</f>
        <v>7502.5515199999991</v>
      </c>
      <c r="D45" s="783">
        <f t="shared" ref="D45:AA45" si="11">+D40-D37-D44</f>
        <v>22507.654559999995</v>
      </c>
      <c r="E45" s="783">
        <f t="shared" si="11"/>
        <v>22507.654559999995</v>
      </c>
      <c r="F45" s="783">
        <f t="shared" si="11"/>
        <v>22507.654559999995</v>
      </c>
      <c r="G45" s="783">
        <f t="shared" si="11"/>
        <v>28367.229028085101</v>
      </c>
      <c r="H45" s="783">
        <f t="shared" si="11"/>
        <v>27384.140213495441</v>
      </c>
      <c r="I45" s="783">
        <f t="shared" si="11"/>
        <v>25854.954559999998</v>
      </c>
      <c r="J45" s="783">
        <f t="shared" si="11"/>
        <v>24829.066378181815</v>
      </c>
      <c r="K45" s="783">
        <f t="shared" si="11"/>
        <v>26237.701832727267</v>
      </c>
      <c r="L45" s="783">
        <f t="shared" si="11"/>
        <v>27283.634559999999</v>
      </c>
      <c r="M45" s="783">
        <f t="shared" si="11"/>
        <v>27424.534559999993</v>
      </c>
      <c r="N45" s="783">
        <f t="shared" si="11"/>
        <v>-138198.42776470591</v>
      </c>
      <c r="O45" s="783">
        <f t="shared" si="11"/>
        <v>-133524.516</v>
      </c>
      <c r="P45" s="783">
        <f t="shared" si="11"/>
        <v>-101339.016</v>
      </c>
      <c r="Q45" s="783">
        <f t="shared" si="11"/>
        <v>-99115.016000000003</v>
      </c>
      <c r="R45" s="783">
        <f t="shared" si="11"/>
        <v>-89254.273142857157</v>
      </c>
      <c r="S45" s="783">
        <f t="shared" si="11"/>
        <v>-136167.61600000001</v>
      </c>
      <c r="T45" s="783">
        <f t="shared" si="11"/>
        <v>-97607.676256410254</v>
      </c>
      <c r="U45" s="783">
        <f t="shared" si="11"/>
        <v>-15329612.011</v>
      </c>
      <c r="V45" s="783">
        <f t="shared" si="11"/>
        <v>7706675.1275000004</v>
      </c>
      <c r="W45" s="783">
        <f t="shared" si="11"/>
        <v>-124361.83664285712</v>
      </c>
      <c r="X45" s="783">
        <f t="shared" si="11"/>
        <v>350560.66114285705</v>
      </c>
      <c r="Y45" s="783">
        <f t="shared" si="11"/>
        <v>-94584.016000000003</v>
      </c>
      <c r="Z45" s="783">
        <f t="shared" si="11"/>
        <v>110640.09938461537</v>
      </c>
      <c r="AA45" s="783">
        <f t="shared" si="11"/>
        <v>24582.513692307693</v>
      </c>
      <c r="AB45" s="783"/>
    </row>
    <row r="46" spans="1:29" s="810" customFormat="1" x14ac:dyDescent="0.25">
      <c r="C46" s="807"/>
      <c r="D46" s="807"/>
      <c r="E46" s="808"/>
      <c r="F46" s="808"/>
      <c r="G46" s="808"/>
      <c r="H46" s="808"/>
      <c r="I46" s="808"/>
      <c r="J46" s="809"/>
      <c r="K46" s="809"/>
      <c r="L46" s="809"/>
      <c r="M46" s="809"/>
      <c r="N46" s="809"/>
      <c r="O46" s="809"/>
      <c r="P46" s="809"/>
      <c r="Q46" s="809"/>
      <c r="R46" s="809"/>
      <c r="S46" s="809"/>
      <c r="T46" s="809"/>
      <c r="U46" s="809"/>
      <c r="V46" s="809"/>
      <c r="W46" s="809"/>
      <c r="X46" s="809"/>
      <c r="Y46" s="809"/>
      <c r="Z46" s="809"/>
      <c r="AA46" s="809"/>
      <c r="AB46" s="809"/>
      <c r="AC46" s="809"/>
    </row>
    <row r="47" spans="1:29" s="779" customFormat="1" x14ac:dyDescent="0.25">
      <c r="C47" s="780"/>
      <c r="D47" s="781"/>
      <c r="E47" s="782"/>
      <c r="F47" s="782"/>
      <c r="G47" s="782"/>
      <c r="H47" s="782"/>
      <c r="I47" s="782"/>
      <c r="J47" s="783"/>
      <c r="K47" s="783"/>
      <c r="L47" s="783"/>
      <c r="M47" s="783"/>
      <c r="N47" s="783"/>
      <c r="O47" s="783"/>
      <c r="P47" s="783"/>
      <c r="Q47" s="783"/>
      <c r="R47" s="783"/>
      <c r="S47" s="783"/>
      <c r="T47" s="783"/>
      <c r="U47" s="783"/>
      <c r="V47" s="783"/>
      <c r="W47" s="783"/>
      <c r="X47" s="783"/>
      <c r="Y47" s="783"/>
      <c r="Z47" s="783"/>
      <c r="AA47" s="783"/>
      <c r="AB47" s="783"/>
      <c r="AC47" s="783"/>
    </row>
    <row r="49" spans="3:25" x14ac:dyDescent="0.25">
      <c r="C49" s="811">
        <v>2427296</v>
      </c>
    </row>
    <row r="50" spans="3:25" x14ac:dyDescent="0.25">
      <c r="C50" s="812"/>
      <c r="X50" s="711"/>
      <c r="Y50" s="711"/>
    </row>
    <row r="51" spans="3:25" x14ac:dyDescent="0.25">
      <c r="C51" s="813">
        <v>4</v>
      </c>
      <c r="D51" s="708">
        <v>1989</v>
      </c>
      <c r="E51" s="705">
        <v>26</v>
      </c>
      <c r="F51" s="705">
        <v>5516</v>
      </c>
      <c r="H51" s="705">
        <f>C51*F51</f>
        <v>22064</v>
      </c>
      <c r="X51" s="711"/>
      <c r="Y51" s="711"/>
    </row>
    <row r="52" spans="3:25" x14ac:dyDescent="0.25">
      <c r="C52" s="814">
        <v>11</v>
      </c>
      <c r="D52" s="812">
        <v>2016</v>
      </c>
      <c r="H52" s="705">
        <f>C52*F51</f>
        <v>60676</v>
      </c>
      <c r="X52" s="815"/>
      <c r="Y52" s="815"/>
    </row>
    <row r="53" spans="3:25" x14ac:dyDescent="0.25">
      <c r="X53" s="711"/>
      <c r="Y53" s="711"/>
    </row>
    <row r="54" spans="3:25" x14ac:dyDescent="0.25">
      <c r="H54" s="816">
        <f>C49-H51-H52</f>
        <v>2344556</v>
      </c>
    </row>
    <row r="55" spans="3:25" x14ac:dyDescent="0.25">
      <c r="D55" s="817">
        <f>C42/F51</f>
        <v>4.000422044960116</v>
      </c>
    </row>
    <row r="56" spans="3:25" x14ac:dyDescent="0.25">
      <c r="H56" s="705">
        <f>H54/E51</f>
        <v>90175.230769230766</v>
      </c>
    </row>
    <row r="57" spans="3:25" x14ac:dyDescent="0.25">
      <c r="X57" s="711"/>
      <c r="Y57" s="711"/>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16D3-5928-4729-ACA4-D571F7BEF3BD}">
  <dimension ref="A4:AS133"/>
  <sheetViews>
    <sheetView workbookViewId="0">
      <selection activeCell="O30" sqref="O30"/>
    </sheetView>
  </sheetViews>
  <sheetFormatPr defaultColWidth="9.140625" defaultRowHeight="12" x14ac:dyDescent="0.2"/>
  <cols>
    <col min="1" max="1" width="9.140625" style="819"/>
    <col min="2" max="2" width="5.85546875" style="820" bestFit="1" customWidth="1"/>
    <col min="3" max="3" width="14.5703125" style="819" bestFit="1" customWidth="1"/>
    <col min="4" max="4" width="12" style="819" bestFit="1" customWidth="1"/>
    <col min="5" max="5" width="6.42578125" style="819" bestFit="1" customWidth="1"/>
    <col min="6" max="6" width="7.140625" style="819" bestFit="1" customWidth="1"/>
    <col min="7" max="7" width="6.5703125" style="819" bestFit="1" customWidth="1"/>
    <col min="8" max="22" width="9.140625" style="819"/>
    <col min="23" max="23" width="9.140625" style="820"/>
    <col min="24" max="43" width="9.140625" style="819"/>
    <col min="44" max="44" width="3.42578125" style="819" bestFit="1" customWidth="1"/>
    <col min="45" max="45" width="11.5703125" style="819" bestFit="1" customWidth="1"/>
    <col min="46" max="16384" width="9.140625" style="819"/>
  </cols>
  <sheetData>
    <row r="4" spans="1:45" x14ac:dyDescent="0.2">
      <c r="C4" s="821" t="s">
        <v>594</v>
      </c>
      <c r="D4" s="821"/>
      <c r="E4" s="821"/>
      <c r="F4" s="821"/>
      <c r="G4" s="821"/>
      <c r="X4" s="821" t="s">
        <v>594</v>
      </c>
      <c r="Y4" s="821"/>
      <c r="Z4" s="821"/>
      <c r="AA4" s="821"/>
      <c r="AB4" s="821"/>
    </row>
    <row r="5" spans="1:45" x14ac:dyDescent="0.2">
      <c r="C5" s="821" t="s">
        <v>540</v>
      </c>
      <c r="D5" s="821"/>
      <c r="E5" s="821" t="s">
        <v>595</v>
      </c>
      <c r="F5" s="821" t="s">
        <v>596</v>
      </c>
      <c r="G5" s="822" t="s">
        <v>597</v>
      </c>
      <c r="H5" s="820" t="s">
        <v>598</v>
      </c>
      <c r="X5" s="821" t="s">
        <v>540</v>
      </c>
      <c r="Y5" s="821"/>
      <c r="Z5" s="821" t="s">
        <v>595</v>
      </c>
      <c r="AA5" s="821" t="s">
        <v>596</v>
      </c>
      <c r="AB5" s="822" t="s">
        <v>597</v>
      </c>
      <c r="AC5" s="820" t="s">
        <v>598</v>
      </c>
      <c r="AR5" s="819" t="s">
        <v>502</v>
      </c>
      <c r="AS5" s="819" t="s">
        <v>599</v>
      </c>
    </row>
    <row r="6" spans="1:45" x14ac:dyDescent="0.2">
      <c r="L6" s="819">
        <f>H7/J10</f>
        <v>358</v>
      </c>
      <c r="Q6" s="819">
        <v>1989</v>
      </c>
      <c r="R6" s="823">
        <f>K7</f>
        <v>1432</v>
      </c>
      <c r="AG6" s="819">
        <f>AC7/AA7</f>
        <v>522</v>
      </c>
      <c r="AL6" s="819">
        <v>1566</v>
      </c>
    </row>
    <row r="7" spans="1:45" x14ac:dyDescent="0.2">
      <c r="A7" s="819">
        <v>1</v>
      </c>
      <c r="B7" s="820">
        <v>1.5</v>
      </c>
      <c r="C7" s="824" t="s">
        <v>600</v>
      </c>
      <c r="D7" s="824" t="s">
        <v>601</v>
      </c>
      <c r="E7" s="824">
        <v>357</v>
      </c>
      <c r="F7" s="819">
        <v>24</v>
      </c>
      <c r="G7" s="825"/>
      <c r="H7" s="819">
        <v>8592</v>
      </c>
      <c r="J7" s="819">
        <f>1+1+1+1</f>
        <v>4</v>
      </c>
      <c r="K7" s="819">
        <f>L6*J7</f>
        <v>1432</v>
      </c>
      <c r="Q7" s="819">
        <v>1990</v>
      </c>
      <c r="R7" s="823">
        <f>K8</f>
        <v>4296</v>
      </c>
      <c r="V7" s="819">
        <v>1</v>
      </c>
      <c r="W7" s="820">
        <v>1.5</v>
      </c>
      <c r="X7" s="824" t="s">
        <v>602</v>
      </c>
      <c r="Y7" s="824" t="s">
        <v>603</v>
      </c>
      <c r="Z7" s="824">
        <v>528</v>
      </c>
      <c r="AA7" s="819">
        <v>3</v>
      </c>
      <c r="AB7" s="825"/>
      <c r="AC7" s="819">
        <v>1566</v>
      </c>
      <c r="AE7" s="819">
        <v>3</v>
      </c>
      <c r="AF7" s="819">
        <f>AG6*AE7</f>
        <v>1566</v>
      </c>
      <c r="AL7" s="819">
        <v>9383</v>
      </c>
    </row>
    <row r="8" spans="1:45" x14ac:dyDescent="0.2">
      <c r="C8" s="824">
        <v>1990</v>
      </c>
      <c r="D8" s="824"/>
      <c r="E8" s="824"/>
      <c r="G8" s="825"/>
      <c r="J8" s="819">
        <v>12</v>
      </c>
      <c r="K8" s="819">
        <f>L6*J8</f>
        <v>4296</v>
      </c>
      <c r="Q8" s="819">
        <v>1991</v>
      </c>
      <c r="R8" s="823">
        <f>K9+K13</f>
        <v>4309.1428571428569</v>
      </c>
      <c r="X8" s="824">
        <v>1994</v>
      </c>
      <c r="Y8" s="824"/>
      <c r="Z8" s="824"/>
      <c r="AB8" s="825"/>
      <c r="AL8" s="819">
        <v>5760</v>
      </c>
    </row>
    <row r="9" spans="1:45" x14ac:dyDescent="0.2">
      <c r="C9" s="824">
        <v>1991</v>
      </c>
      <c r="D9" s="824"/>
      <c r="E9" s="824"/>
      <c r="G9" s="825"/>
      <c r="J9" s="819">
        <v>8</v>
      </c>
      <c r="K9" s="819">
        <f>L6*J9</f>
        <v>2864</v>
      </c>
      <c r="Q9" s="819">
        <v>1992</v>
      </c>
      <c r="R9" s="823">
        <f>K14+K17</f>
        <v>5332.8571428571431</v>
      </c>
      <c r="X9" s="824"/>
      <c r="Y9" s="824"/>
      <c r="Z9" s="824"/>
      <c r="AB9" s="825"/>
      <c r="AL9" s="819">
        <v>8170</v>
      </c>
    </row>
    <row r="10" spans="1:45" x14ac:dyDescent="0.2">
      <c r="J10" s="819">
        <f>SUM(J7:J9)</f>
        <v>24</v>
      </c>
      <c r="K10" s="819">
        <f>SUM(K7:K9)</f>
        <v>8592</v>
      </c>
      <c r="Q10" s="819">
        <v>1993</v>
      </c>
      <c r="R10" s="823">
        <f>K18+K21+K24</f>
        <v>13500</v>
      </c>
      <c r="V10" s="819">
        <v>2</v>
      </c>
      <c r="X10" s="824" t="s">
        <v>604</v>
      </c>
      <c r="Y10" s="824" t="s">
        <v>605</v>
      </c>
      <c r="Z10" s="824">
        <v>700</v>
      </c>
      <c r="AA10" s="819">
        <v>7</v>
      </c>
      <c r="AB10" s="819">
        <v>4460</v>
      </c>
      <c r="AC10" s="819">
        <v>9383</v>
      </c>
      <c r="AG10" s="823">
        <f>(AC10-AB10)/AA10</f>
        <v>703.28571428571433</v>
      </c>
      <c r="AI10" s="819">
        <f>AB10/AA10</f>
        <v>637.14285714285711</v>
      </c>
      <c r="AL10" s="819">
        <v>20113</v>
      </c>
    </row>
    <row r="11" spans="1:45" x14ac:dyDescent="0.2">
      <c r="C11" s="824"/>
      <c r="D11" s="824"/>
      <c r="E11" s="824"/>
      <c r="G11" s="825"/>
      <c r="Q11" s="819">
        <v>1994</v>
      </c>
      <c r="R11" s="823">
        <f>K27+K30</f>
        <v>28267.428571428572</v>
      </c>
      <c r="S11" s="819">
        <f>AF7+AF11</f>
        <v>5587.2857142857147</v>
      </c>
      <c r="X11" s="824">
        <v>1994</v>
      </c>
      <c r="Y11" s="824"/>
      <c r="Z11" s="824"/>
      <c r="AE11" s="819">
        <v>3</v>
      </c>
      <c r="AF11" s="819">
        <f>AE11*AG10+AI11</f>
        <v>4021.2857142857147</v>
      </c>
      <c r="AI11" s="819">
        <f>AE11*AI10</f>
        <v>1911.4285714285713</v>
      </c>
      <c r="AL11" s="819">
        <v>14047</v>
      </c>
    </row>
    <row r="12" spans="1:45" x14ac:dyDescent="0.2">
      <c r="A12" s="819">
        <v>2</v>
      </c>
      <c r="C12" s="824" t="s">
        <v>606</v>
      </c>
      <c r="D12" s="824" t="s">
        <v>607</v>
      </c>
      <c r="E12" s="824">
        <v>357</v>
      </c>
      <c r="F12" s="819">
        <v>14</v>
      </c>
      <c r="H12" s="819">
        <v>5058</v>
      </c>
      <c r="L12" s="823">
        <f>H12/F12</f>
        <v>361.28571428571428</v>
      </c>
      <c r="Q12" s="819">
        <v>1995</v>
      </c>
      <c r="R12" s="823">
        <f>K31+K34+K38</f>
        <v>33732.571428571428</v>
      </c>
      <c r="S12" s="819">
        <f>AF12+AF15+AF18</f>
        <v>15206.714285714286</v>
      </c>
      <c r="X12" s="824">
        <v>1995</v>
      </c>
      <c r="Y12" s="824"/>
      <c r="Z12" s="824"/>
      <c r="AE12" s="819">
        <v>4</v>
      </c>
      <c r="AF12" s="819">
        <f>AE12*AG10+AI12</f>
        <v>5361.7142857142862</v>
      </c>
      <c r="AI12" s="819">
        <f>AE12*AI10</f>
        <v>2548.5714285714284</v>
      </c>
      <c r="AL12" s="819">
        <v>20487</v>
      </c>
    </row>
    <row r="13" spans="1:45" x14ac:dyDescent="0.2">
      <c r="C13" s="824">
        <v>1991</v>
      </c>
      <c r="D13" s="824"/>
      <c r="E13" s="824"/>
      <c r="J13" s="819">
        <v>4</v>
      </c>
      <c r="K13" s="819">
        <f>J13*L12</f>
        <v>1445.1428571428571</v>
      </c>
      <c r="Q13" s="819">
        <v>1996</v>
      </c>
      <c r="R13" s="823">
        <f>K39+K42</f>
        <v>43441.227272727279</v>
      </c>
      <c r="S13" s="819">
        <f>AF19+AF22</f>
        <v>12313.045454545456</v>
      </c>
      <c r="X13" s="824"/>
      <c r="Y13" s="824"/>
      <c r="Z13" s="824"/>
      <c r="AL13" s="819">
        <v>5577</v>
      </c>
    </row>
    <row r="14" spans="1:45" x14ac:dyDescent="0.2">
      <c r="C14" s="824">
        <v>1992</v>
      </c>
      <c r="D14" s="824"/>
      <c r="E14" s="824"/>
      <c r="J14" s="819">
        <v>10</v>
      </c>
      <c r="K14" s="819">
        <f>H12-K13</f>
        <v>3612.8571428571431</v>
      </c>
      <c r="Q14" s="819">
        <v>1997</v>
      </c>
      <c r="R14" s="823">
        <f>K43</f>
        <v>45613.636363636368</v>
      </c>
      <c r="S14" s="819">
        <f>AF23</f>
        <v>10970.727272727274</v>
      </c>
      <c r="V14" s="819">
        <v>3</v>
      </c>
      <c r="W14" s="820">
        <v>1.1000000000000001</v>
      </c>
      <c r="X14" s="824" t="s">
        <v>608</v>
      </c>
      <c r="Y14" s="824" t="s">
        <v>609</v>
      </c>
      <c r="Z14" s="824">
        <v>700</v>
      </c>
      <c r="AA14" s="819">
        <v>5</v>
      </c>
      <c r="AB14" s="825">
        <v>2213</v>
      </c>
      <c r="AC14" s="819">
        <v>5760</v>
      </c>
      <c r="AG14" s="819">
        <f>(AC14-AB14)/AA14</f>
        <v>709.4</v>
      </c>
      <c r="AI14" s="819">
        <f>AB14/AA14</f>
        <v>442.6</v>
      </c>
      <c r="AL14" s="819">
        <v>15027</v>
      </c>
    </row>
    <row r="15" spans="1:45" x14ac:dyDescent="0.2">
      <c r="C15" s="824"/>
      <c r="D15" s="824"/>
      <c r="E15" s="824"/>
      <c r="Q15" s="819">
        <v>1998</v>
      </c>
      <c r="R15" s="823">
        <f>K44+K47</f>
        <v>53601.136363636368</v>
      </c>
      <c r="S15" s="819">
        <f>AF24+AF27</f>
        <v>14961.22727272727</v>
      </c>
      <c r="X15" s="824">
        <v>1995</v>
      </c>
      <c r="Y15" s="824"/>
      <c r="Z15" s="824"/>
      <c r="AB15" s="825"/>
      <c r="AE15" s="819">
        <v>5</v>
      </c>
      <c r="AF15" s="819">
        <f>AE15*AG14+AI15</f>
        <v>5760</v>
      </c>
      <c r="AI15" s="819">
        <f>AI14*AE15</f>
        <v>2213</v>
      </c>
      <c r="AL15" s="819">
        <v>17526</v>
      </c>
    </row>
    <row r="16" spans="1:45" x14ac:dyDescent="0.2">
      <c r="A16" s="819">
        <v>3</v>
      </c>
      <c r="B16" s="820">
        <v>1.3</v>
      </c>
      <c r="C16" s="824" t="s">
        <v>610</v>
      </c>
      <c r="D16" s="824" t="s">
        <v>611</v>
      </c>
      <c r="E16" s="824">
        <v>860</v>
      </c>
      <c r="F16" s="819">
        <v>3</v>
      </c>
      <c r="G16" s="825"/>
      <c r="H16" s="819">
        <v>2580</v>
      </c>
      <c r="L16" s="819">
        <f>H16/F16</f>
        <v>860</v>
      </c>
      <c r="Q16" s="819">
        <v>1999</v>
      </c>
      <c r="R16" s="823">
        <f>K51</f>
        <v>59453.333333333328</v>
      </c>
      <c r="S16" s="819">
        <f>AF30</f>
        <v>16389.599999999999</v>
      </c>
      <c r="X16" s="824"/>
      <c r="Y16" s="824"/>
      <c r="Z16" s="824"/>
      <c r="AB16" s="825"/>
      <c r="AL16" s="819">
        <v>22974</v>
      </c>
    </row>
    <row r="17" spans="1:38" x14ac:dyDescent="0.2">
      <c r="C17" s="824">
        <v>1992</v>
      </c>
      <c r="D17" s="824"/>
      <c r="E17" s="824"/>
      <c r="G17" s="825"/>
      <c r="J17" s="819">
        <v>2</v>
      </c>
      <c r="K17" s="819">
        <f>J17*L16</f>
        <v>1720</v>
      </c>
      <c r="Q17" s="819">
        <v>2000</v>
      </c>
      <c r="R17" s="823">
        <f>K52+K55</f>
        <v>63991.166666666664</v>
      </c>
      <c r="S17" s="819">
        <f>AF31+AF34+AF37</f>
        <v>17187.900000000001</v>
      </c>
      <c r="V17" s="819">
        <v>4</v>
      </c>
      <c r="W17" s="820">
        <v>1.1200000000000001</v>
      </c>
      <c r="X17" s="824" t="s">
        <v>612</v>
      </c>
      <c r="Y17" s="824" t="s">
        <v>613</v>
      </c>
      <c r="Z17" s="824">
        <v>784</v>
      </c>
      <c r="AA17" s="819">
        <v>6</v>
      </c>
      <c r="AB17" s="819">
        <v>3440</v>
      </c>
      <c r="AC17" s="819">
        <v>8170</v>
      </c>
      <c r="AG17" s="819">
        <f>(AC17-AB17)/AA17</f>
        <v>788.33333333333337</v>
      </c>
      <c r="AI17" s="819">
        <f>AB17/AA17</f>
        <v>573.33333333333337</v>
      </c>
      <c r="AL17" s="819">
        <v>11127</v>
      </c>
    </row>
    <row r="18" spans="1:38" x14ac:dyDescent="0.2">
      <c r="C18" s="824">
        <v>1993</v>
      </c>
      <c r="D18" s="824"/>
      <c r="E18" s="824"/>
      <c r="G18" s="825"/>
      <c r="J18" s="819">
        <v>1</v>
      </c>
      <c r="K18" s="819">
        <f>H16-K17</f>
        <v>860</v>
      </c>
      <c r="Q18" s="819">
        <v>2001</v>
      </c>
      <c r="R18" s="823">
        <f>K56+K59</f>
        <v>71028.5</v>
      </c>
      <c r="S18" s="819">
        <f>AF38+AF41</f>
        <v>16276.5</v>
      </c>
      <c r="X18" s="824">
        <v>1995</v>
      </c>
      <c r="Y18" s="824"/>
      <c r="Z18" s="824"/>
      <c r="AE18" s="819">
        <v>3</v>
      </c>
      <c r="AF18" s="819">
        <f>AE18*AG17+AI18</f>
        <v>4085</v>
      </c>
      <c r="AI18" s="819">
        <f>AE18*AI17</f>
        <v>1720</v>
      </c>
      <c r="AL18" s="819">
        <v>17877</v>
      </c>
    </row>
    <row r="19" spans="1:38" x14ac:dyDescent="0.2">
      <c r="C19" s="824"/>
      <c r="D19" s="824"/>
      <c r="E19" s="824"/>
      <c r="G19" s="825"/>
      <c r="Q19" s="819">
        <v>2002</v>
      </c>
      <c r="R19" s="823">
        <f>K60+K63</f>
        <v>76901</v>
      </c>
      <c r="S19" s="819">
        <f>AF42+AF45</f>
        <v>20250</v>
      </c>
      <c r="X19" s="824">
        <v>1996</v>
      </c>
      <c r="Y19" s="824"/>
      <c r="Z19" s="824"/>
      <c r="AE19" s="819">
        <v>3</v>
      </c>
      <c r="AF19" s="819">
        <f>AE19*AG17+AI19</f>
        <v>4085</v>
      </c>
      <c r="AI19" s="819">
        <f>AE19*AI17</f>
        <v>1720</v>
      </c>
      <c r="AL19" s="819">
        <v>28586</v>
      </c>
    </row>
    <row r="20" spans="1:38" x14ac:dyDescent="0.2">
      <c r="A20" s="819">
        <v>4</v>
      </c>
      <c r="B20" s="820">
        <v>1.25</v>
      </c>
      <c r="C20" s="824" t="s">
        <v>614</v>
      </c>
      <c r="D20" s="824" t="s">
        <v>615</v>
      </c>
      <c r="E20" s="824">
        <v>1075</v>
      </c>
      <c r="F20" s="819">
        <v>6</v>
      </c>
      <c r="H20" s="819">
        <v>6414</v>
      </c>
      <c r="L20" s="819">
        <f>H20/F20</f>
        <v>1069</v>
      </c>
      <c r="Q20" s="819">
        <v>2003</v>
      </c>
      <c r="R20" s="823">
        <f>K64+K67</f>
        <v>84107.5</v>
      </c>
      <c r="S20" s="819">
        <f>AF46+AF49+AF52</f>
        <v>25167.857142857141</v>
      </c>
      <c r="AL20" s="819">
        <v>5313</v>
      </c>
    </row>
    <row r="21" spans="1:38" x14ac:dyDescent="0.2">
      <c r="C21" s="824">
        <v>1993</v>
      </c>
      <c r="D21" s="824"/>
      <c r="E21" s="824"/>
      <c r="J21" s="819">
        <v>6</v>
      </c>
      <c r="K21" s="819">
        <f>H20</f>
        <v>6414</v>
      </c>
      <c r="Q21" s="819">
        <v>2004</v>
      </c>
      <c r="R21" s="823">
        <f>K68+K71</f>
        <v>90990.318181818177</v>
      </c>
      <c r="S21" s="819">
        <f>AF53+AF56</f>
        <v>32474.742857142861</v>
      </c>
      <c r="V21" s="819">
        <v>5</v>
      </c>
      <c r="W21" s="820">
        <v>1.25</v>
      </c>
      <c r="X21" s="819" t="s">
        <v>616</v>
      </c>
      <c r="Y21" s="819" t="s">
        <v>617</v>
      </c>
      <c r="Z21" s="819">
        <v>875</v>
      </c>
      <c r="AA21" s="819">
        <v>22</v>
      </c>
      <c r="AB21" s="819">
        <v>600</v>
      </c>
      <c r="AC21" s="819">
        <v>20113</v>
      </c>
      <c r="AG21" s="819">
        <f>(AC21-AB21)/AA21</f>
        <v>886.9545454545455</v>
      </c>
      <c r="AI21" s="819">
        <f>AB21/AA21</f>
        <v>27.272727272727273</v>
      </c>
      <c r="AL21" s="819">
        <v>56145</v>
      </c>
    </row>
    <row r="22" spans="1:38" x14ac:dyDescent="0.2">
      <c r="C22" s="824"/>
      <c r="D22" s="824"/>
      <c r="E22" s="824"/>
      <c r="Q22" s="819">
        <v>2005</v>
      </c>
      <c r="R22" s="823">
        <f>K72+K75</f>
        <v>98218.489510489511</v>
      </c>
      <c r="S22" s="819">
        <f>AF57+AF60+AF63</f>
        <v>46979.323076923079</v>
      </c>
      <c r="X22" s="819">
        <v>1996</v>
      </c>
      <c r="AE22" s="819">
        <v>9</v>
      </c>
      <c r="AF22" s="819">
        <f>AE22*AG21+AI22</f>
        <v>8228.0454545454559</v>
      </c>
      <c r="AI22" s="819">
        <f>AE22*AI21</f>
        <v>245.45454545454547</v>
      </c>
      <c r="AL22" s="819">
        <v>60181</v>
      </c>
    </row>
    <row r="23" spans="1:38" x14ac:dyDescent="0.2">
      <c r="A23" s="819">
        <v>5</v>
      </c>
      <c r="B23" s="820">
        <v>1.1499999999999999</v>
      </c>
      <c r="C23" s="824" t="s">
        <v>618</v>
      </c>
      <c r="D23" s="824" t="s">
        <v>619</v>
      </c>
      <c r="E23" s="824">
        <v>1237</v>
      </c>
      <c r="F23" s="819">
        <v>5</v>
      </c>
      <c r="H23" s="819">
        <v>6226</v>
      </c>
      <c r="L23" s="819">
        <f>H23/F23</f>
        <v>1245.2</v>
      </c>
      <c r="Q23" s="819">
        <v>2006</v>
      </c>
      <c r="R23" s="823">
        <f>K76+K79</f>
        <v>106651.69230769231</v>
      </c>
      <c r="S23" s="819">
        <f>AF64+AF67</f>
        <v>56003.576923076922</v>
      </c>
      <c r="X23" s="819">
        <v>1997</v>
      </c>
      <c r="AE23" s="819">
        <v>12</v>
      </c>
      <c r="AF23" s="819">
        <f>AE23*AG21+AI23</f>
        <v>10970.727272727274</v>
      </c>
      <c r="AI23" s="819">
        <f>AE23*AI21</f>
        <v>327.27272727272725</v>
      </c>
      <c r="AL23" s="819">
        <v>65347</v>
      </c>
    </row>
    <row r="24" spans="1:38" x14ac:dyDescent="0.2">
      <c r="C24" s="824">
        <v>1993</v>
      </c>
      <c r="D24" s="824"/>
      <c r="E24" s="824"/>
      <c r="J24" s="819">
        <v>5</v>
      </c>
      <c r="K24" s="819">
        <f>L23*J24</f>
        <v>6226</v>
      </c>
      <c r="Q24" s="819">
        <v>2007</v>
      </c>
      <c r="R24" s="823">
        <f>K80+K83</f>
        <v>119383.5</v>
      </c>
      <c r="S24" s="819">
        <f>AF68+AF71</f>
        <v>62764</v>
      </c>
      <c r="X24" s="819">
        <v>1998</v>
      </c>
      <c r="AE24" s="819">
        <v>1</v>
      </c>
      <c r="AF24" s="819">
        <f>AE24*AG21+AI24</f>
        <v>914.22727272727275</v>
      </c>
      <c r="AI24" s="819">
        <f>AE24*AI21</f>
        <v>27.272727272727273</v>
      </c>
      <c r="AL24" s="819">
        <v>61105</v>
      </c>
    </row>
    <row r="25" spans="1:38" x14ac:dyDescent="0.2">
      <c r="C25" s="824"/>
      <c r="D25" s="824"/>
      <c r="E25" s="824"/>
      <c r="Q25" s="819">
        <v>2008</v>
      </c>
      <c r="R25" s="823">
        <f>K84+K87</f>
        <v>131666.29999999999</v>
      </c>
      <c r="S25" s="819">
        <f>AF72+AF75</f>
        <v>69336.5</v>
      </c>
      <c r="AL25" s="819">
        <v>101915</v>
      </c>
    </row>
    <row r="26" spans="1:38" x14ac:dyDescent="0.2">
      <c r="A26" s="819">
        <v>6</v>
      </c>
      <c r="B26" s="820">
        <v>1.1499999999999999</v>
      </c>
      <c r="C26" s="824" t="s">
        <v>620</v>
      </c>
      <c r="D26" s="824" t="s">
        <v>603</v>
      </c>
      <c r="E26" s="824">
        <v>1920</v>
      </c>
      <c r="F26" s="819">
        <v>9</v>
      </c>
      <c r="G26" s="819">
        <v>3173</v>
      </c>
      <c r="H26" s="819">
        <v>20581</v>
      </c>
      <c r="L26" s="819">
        <f>(H26-G26)/F26</f>
        <v>1934.2222222222222</v>
      </c>
      <c r="Q26" s="819">
        <v>2009</v>
      </c>
      <c r="R26" s="823">
        <f>K88+K91</f>
        <v>144538.05714285714</v>
      </c>
      <c r="S26" s="819">
        <f>AF76+AF79</f>
        <v>82679.142857142855</v>
      </c>
      <c r="V26" s="819">
        <v>6</v>
      </c>
      <c r="W26" s="820">
        <v>1.23</v>
      </c>
      <c r="X26" s="819" t="s">
        <v>621</v>
      </c>
      <c r="Y26" s="819" t="s">
        <v>622</v>
      </c>
      <c r="Z26" s="819">
        <v>1050</v>
      </c>
      <c r="AA26" s="819">
        <v>11</v>
      </c>
      <c r="AB26" s="819">
        <v>2427</v>
      </c>
      <c r="AC26" s="819">
        <v>14047</v>
      </c>
      <c r="AG26" s="819">
        <f>(AC26-AB26)/AA26</f>
        <v>1056.3636363636363</v>
      </c>
      <c r="AI26" s="819">
        <f>AB26/AA26</f>
        <v>220.63636363636363</v>
      </c>
      <c r="AL26" s="819">
        <v>110607</v>
      </c>
    </row>
    <row r="27" spans="1:38" x14ac:dyDescent="0.2">
      <c r="C27" s="824">
        <v>1994</v>
      </c>
      <c r="D27" s="824"/>
      <c r="E27" s="824"/>
      <c r="J27" s="819">
        <v>9</v>
      </c>
      <c r="K27" s="819">
        <f>L26*J27+G26</f>
        <v>20581</v>
      </c>
      <c r="Q27" s="819">
        <v>2010</v>
      </c>
      <c r="R27" s="823">
        <f>K92+K95</f>
        <v>152123.64285714284</v>
      </c>
      <c r="S27" s="819">
        <f>AF80+AF83</f>
        <v>98981.357142857145</v>
      </c>
      <c r="AE27" s="819">
        <v>11</v>
      </c>
      <c r="AF27" s="819">
        <f>AE27*AG26+AI27</f>
        <v>14046.999999999998</v>
      </c>
      <c r="AI27" s="819">
        <f>AE27*AI26</f>
        <v>2427</v>
      </c>
      <c r="AL27" s="819">
        <v>114307</v>
      </c>
    </row>
    <row r="28" spans="1:38" x14ac:dyDescent="0.2">
      <c r="C28" s="824"/>
      <c r="D28" s="824"/>
      <c r="E28" s="824"/>
      <c r="Q28" s="819">
        <v>2011</v>
      </c>
      <c r="R28" s="823">
        <f>K96+K99</f>
        <v>160717</v>
      </c>
      <c r="S28" s="819">
        <f>AF84+AF87</f>
        <v>112457</v>
      </c>
      <c r="AL28" s="819">
        <v>127202</v>
      </c>
    </row>
    <row r="29" spans="1:38" x14ac:dyDescent="0.2">
      <c r="A29" s="819">
        <v>7</v>
      </c>
      <c r="C29" s="824" t="s">
        <v>604</v>
      </c>
      <c r="D29" s="824" t="s">
        <v>605</v>
      </c>
      <c r="E29" s="824">
        <v>2200</v>
      </c>
      <c r="F29" s="819">
        <v>7</v>
      </c>
      <c r="G29" s="819">
        <v>2462</v>
      </c>
      <c r="H29" s="819">
        <v>17935</v>
      </c>
      <c r="L29" s="819">
        <f>(H29-G29)/F29</f>
        <v>2210.4285714285716</v>
      </c>
      <c r="Q29" s="819">
        <v>2012</v>
      </c>
      <c r="R29" s="823">
        <f>K100+K103</f>
        <v>172017.73076923078</v>
      </c>
      <c r="S29" s="819">
        <f>AF88+AF91</f>
        <v>115862.11538461538</v>
      </c>
      <c r="V29" s="819">
        <v>7</v>
      </c>
      <c r="W29" s="820" t="s">
        <v>623</v>
      </c>
      <c r="X29" s="819" t="s">
        <v>624</v>
      </c>
      <c r="Y29" s="819" t="s">
        <v>625</v>
      </c>
      <c r="Z29" s="819">
        <v>1050</v>
      </c>
      <c r="AA29" s="819">
        <v>15</v>
      </c>
      <c r="AB29" s="819">
        <v>2427</v>
      </c>
      <c r="AC29" s="819">
        <v>20487</v>
      </c>
      <c r="AG29" s="819">
        <f>(AC29-AB29)/AA29</f>
        <v>1204</v>
      </c>
      <c r="AI29" s="819">
        <f>AB29/AA29</f>
        <v>161.80000000000001</v>
      </c>
      <c r="AL29" s="819">
        <v>125489</v>
      </c>
    </row>
    <row r="30" spans="1:38" x14ac:dyDescent="0.2">
      <c r="C30" s="824">
        <v>1994</v>
      </c>
      <c r="D30" s="824"/>
      <c r="E30" s="824"/>
      <c r="J30" s="819">
        <v>3</v>
      </c>
      <c r="K30" s="819">
        <f>L29*J30+M30</f>
        <v>7686.4285714285716</v>
      </c>
      <c r="M30" s="819">
        <f>O30*J30</f>
        <v>1055.1428571428571</v>
      </c>
      <c r="O30" s="819">
        <f>G29/F29</f>
        <v>351.71428571428572</v>
      </c>
      <c r="Q30" s="819">
        <v>2013</v>
      </c>
      <c r="R30" s="823">
        <f>K104+K107</f>
        <v>180564.26923076925</v>
      </c>
      <c r="S30" s="819">
        <f>AF92+AF95</f>
        <v>120780.46794871797</v>
      </c>
      <c r="X30" s="819">
        <v>1999</v>
      </c>
      <c r="AE30" s="819">
        <v>12</v>
      </c>
      <c r="AF30" s="819">
        <f>AE30*AG29+AI30</f>
        <v>16389.599999999999</v>
      </c>
      <c r="AI30" s="819">
        <f>AE30*AI29</f>
        <v>1941.6000000000001</v>
      </c>
      <c r="AL30" s="819">
        <v>127481</v>
      </c>
    </row>
    <row r="31" spans="1:38" x14ac:dyDescent="0.2">
      <c r="C31" s="824">
        <v>1995</v>
      </c>
      <c r="D31" s="824"/>
      <c r="E31" s="824"/>
      <c r="J31" s="819">
        <v>4</v>
      </c>
      <c r="K31" s="819">
        <f>L29*J31+M31</f>
        <v>10248.571428571429</v>
      </c>
      <c r="M31" s="819">
        <f>O30*J31</f>
        <v>1406.8571428571429</v>
      </c>
      <c r="Q31" s="819">
        <v>2014</v>
      </c>
      <c r="R31" s="823">
        <f>K108+K111</f>
        <v>184842.08333333331</v>
      </c>
      <c r="S31" s="819">
        <f>AF96+AF99</f>
        <v>126319.00000000001</v>
      </c>
      <c r="X31" s="819">
        <v>2000</v>
      </c>
      <c r="AE31" s="819">
        <v>3</v>
      </c>
      <c r="AF31" s="819">
        <f>AE31*AG29+AI31</f>
        <v>4097.3999999999996</v>
      </c>
      <c r="AI31" s="819">
        <f>AE31*AI29</f>
        <v>485.40000000000003</v>
      </c>
      <c r="AL31" s="819">
        <v>129259</v>
      </c>
    </row>
    <row r="32" spans="1:38" x14ac:dyDescent="0.2">
      <c r="C32" s="824"/>
      <c r="D32" s="824"/>
      <c r="E32" s="824"/>
      <c r="Q32" s="819">
        <v>2015</v>
      </c>
      <c r="R32" s="823">
        <f>K112+K115</f>
        <v>190897.33333333331</v>
      </c>
      <c r="S32" s="819">
        <f>AF100+AF103</f>
        <v>128221.83333333334</v>
      </c>
      <c r="AL32" s="819">
        <v>75886</v>
      </c>
    </row>
    <row r="33" spans="1:39" x14ac:dyDescent="0.2">
      <c r="A33" s="819">
        <v>8</v>
      </c>
      <c r="B33" s="820">
        <v>1.1000000000000001</v>
      </c>
      <c r="C33" s="824" t="s">
        <v>608</v>
      </c>
      <c r="D33" s="824" t="s">
        <v>609</v>
      </c>
      <c r="E33" s="824">
        <v>2463</v>
      </c>
      <c r="F33" s="819">
        <v>5</v>
      </c>
      <c r="G33" s="819">
        <v>1773</v>
      </c>
      <c r="H33" s="819">
        <v>14253</v>
      </c>
      <c r="L33" s="819">
        <f>(H33-G33)/F33</f>
        <v>2496</v>
      </c>
      <c r="Q33" s="819">
        <v>2016</v>
      </c>
      <c r="R33" s="823">
        <f>K116+K119</f>
        <v>181204.08333333334</v>
      </c>
      <c r="S33" s="819">
        <f>AF104+AF107</f>
        <v>129605.36904761907</v>
      </c>
      <c r="V33" s="819">
        <v>8</v>
      </c>
      <c r="X33" s="819" t="s">
        <v>626</v>
      </c>
      <c r="Y33" s="819" t="s">
        <v>627</v>
      </c>
      <c r="Z33" s="819">
        <v>1050</v>
      </c>
      <c r="AA33" s="819">
        <v>3</v>
      </c>
      <c r="AB33" s="819">
        <v>2427</v>
      </c>
      <c r="AC33" s="819">
        <v>5577</v>
      </c>
      <c r="AG33" s="819">
        <f>(AC33-AB33)/AA33</f>
        <v>1050</v>
      </c>
      <c r="AI33" s="819">
        <f>AB33/AA33</f>
        <v>809</v>
      </c>
      <c r="AL33" s="819">
        <v>178994</v>
      </c>
    </row>
    <row r="34" spans="1:39" x14ac:dyDescent="0.2">
      <c r="C34" s="824">
        <v>1995</v>
      </c>
      <c r="D34" s="824"/>
      <c r="E34" s="824"/>
      <c r="J34" s="819">
        <v>5</v>
      </c>
      <c r="K34" s="819">
        <f>L33*J34+G33</f>
        <v>14253</v>
      </c>
      <c r="R34" s="823">
        <f>SUM(R6:R33)</f>
        <v>2502822.0000000005</v>
      </c>
      <c r="S34" s="819">
        <f>SUM(S11:S33)</f>
        <v>1336775.2857142859</v>
      </c>
      <c r="X34" s="819">
        <v>2000</v>
      </c>
      <c r="AE34" s="819">
        <v>3</v>
      </c>
      <c r="AF34" s="819">
        <f>AE34*AG33+AI34</f>
        <v>5577</v>
      </c>
      <c r="AI34" s="819">
        <f>AE34*AI33</f>
        <v>2427</v>
      </c>
      <c r="AL34" s="819">
        <v>102817</v>
      </c>
    </row>
    <row r="35" spans="1:39" x14ac:dyDescent="0.2">
      <c r="C35" s="824"/>
      <c r="D35" s="824"/>
      <c r="E35" s="824"/>
      <c r="AL35" s="819">
        <v>140586</v>
      </c>
    </row>
    <row r="36" spans="1:39" x14ac:dyDescent="0.2">
      <c r="C36" s="824"/>
      <c r="D36" s="824"/>
      <c r="E36" s="824"/>
      <c r="V36" s="819">
        <v>9</v>
      </c>
      <c r="W36" s="820">
        <v>1.17</v>
      </c>
      <c r="X36" s="819" t="s">
        <v>628</v>
      </c>
      <c r="Y36" s="819" t="s">
        <v>629</v>
      </c>
      <c r="Z36" s="819">
        <v>1155</v>
      </c>
      <c r="AA36" s="819">
        <v>12</v>
      </c>
      <c r="AB36" s="819">
        <v>1013</v>
      </c>
      <c r="AC36" s="819">
        <v>15027</v>
      </c>
      <c r="AG36" s="819">
        <f>(AC36-AB36)/AA36</f>
        <v>1167.8333333333333</v>
      </c>
      <c r="AI36" s="819">
        <f>AB36/AA36</f>
        <v>84.416666666666671</v>
      </c>
      <c r="AL36" s="819">
        <v>142829</v>
      </c>
    </row>
    <row r="37" spans="1:39" x14ac:dyDescent="0.2">
      <c r="A37" s="819">
        <v>9</v>
      </c>
      <c r="B37" s="820">
        <v>1.1200000000000001</v>
      </c>
      <c r="C37" s="824" t="s">
        <v>612</v>
      </c>
      <c r="D37" s="824" t="s">
        <v>613</v>
      </c>
      <c r="E37" s="824">
        <v>2710</v>
      </c>
      <c r="F37" s="819">
        <v>6</v>
      </c>
      <c r="G37" s="819">
        <v>2112</v>
      </c>
      <c r="H37" s="819">
        <v>18462</v>
      </c>
      <c r="L37" s="819">
        <f>(H37-G37)/F37</f>
        <v>2725</v>
      </c>
      <c r="N37" s="819">
        <f>G37/F37</f>
        <v>352</v>
      </c>
      <c r="X37" s="824">
        <v>2000</v>
      </c>
      <c r="Y37" s="824"/>
      <c r="Z37" s="824"/>
      <c r="AE37" s="819">
        <v>6</v>
      </c>
      <c r="AF37" s="819">
        <f>AE37*AG36+AI37</f>
        <v>7513.5</v>
      </c>
      <c r="AI37" s="819">
        <f>AE37*AI36</f>
        <v>506.5</v>
      </c>
      <c r="AL37" s="819">
        <v>85425</v>
      </c>
    </row>
    <row r="38" spans="1:39" x14ac:dyDescent="0.2">
      <c r="C38" s="824">
        <v>1995</v>
      </c>
      <c r="D38" s="824"/>
      <c r="E38" s="824"/>
      <c r="J38" s="819">
        <v>3</v>
      </c>
      <c r="K38" s="819">
        <f>L37*J38+N38</f>
        <v>9231</v>
      </c>
      <c r="N38" s="819">
        <f>N37*3</f>
        <v>1056</v>
      </c>
      <c r="X38" s="824">
        <v>2001</v>
      </c>
      <c r="Y38" s="824"/>
      <c r="Z38" s="824"/>
      <c r="AE38" s="819">
        <v>6</v>
      </c>
      <c r="AF38" s="819">
        <f>AE38*AG36+AI38</f>
        <v>7513.5</v>
      </c>
      <c r="AI38" s="819">
        <f>AE38*AI36</f>
        <v>506.5</v>
      </c>
      <c r="AL38" s="819">
        <f>SUM(AL5:AL37)</f>
        <v>2009108</v>
      </c>
      <c r="AM38" s="819">
        <v>2014575</v>
      </c>
    </row>
    <row r="39" spans="1:39" x14ac:dyDescent="0.2">
      <c r="C39" s="824">
        <v>1996</v>
      </c>
      <c r="D39" s="824"/>
      <c r="E39" s="824"/>
      <c r="J39" s="819">
        <v>3</v>
      </c>
      <c r="K39" s="819">
        <f>L37*J39+N39</f>
        <v>9231</v>
      </c>
      <c r="N39" s="819">
        <f>N37*3</f>
        <v>1056</v>
      </c>
      <c r="X39" s="824"/>
      <c r="Y39" s="824"/>
      <c r="Z39" s="824"/>
      <c r="AM39" s="819">
        <f>AM38-AL38</f>
        <v>5467</v>
      </c>
    </row>
    <row r="40" spans="1:39" x14ac:dyDescent="0.2">
      <c r="C40" s="824"/>
      <c r="D40" s="824"/>
      <c r="E40" s="824"/>
      <c r="V40" s="819">
        <v>10</v>
      </c>
      <c r="W40" s="820">
        <v>1.08</v>
      </c>
      <c r="X40" s="824" t="s">
        <v>630</v>
      </c>
      <c r="Y40" s="824" t="s">
        <v>631</v>
      </c>
      <c r="Z40" s="824">
        <v>1328</v>
      </c>
      <c r="AA40" s="819">
        <v>12</v>
      </c>
      <c r="AB40" s="819">
        <v>1413</v>
      </c>
      <c r="AC40" s="819">
        <v>17526</v>
      </c>
      <c r="AG40" s="819">
        <f>(AC40-AB40)/AA40</f>
        <v>1342.75</v>
      </c>
      <c r="AI40" s="819">
        <f>AB40/AA40</f>
        <v>117.75</v>
      </c>
    </row>
    <row r="41" spans="1:39" x14ac:dyDescent="0.2">
      <c r="A41" s="819">
        <v>10</v>
      </c>
      <c r="B41" s="820">
        <v>1.25</v>
      </c>
      <c r="C41" s="824" t="s">
        <v>616</v>
      </c>
      <c r="D41" s="824" t="s">
        <v>617</v>
      </c>
      <c r="E41" s="824">
        <v>3250</v>
      </c>
      <c r="F41" s="819">
        <v>22</v>
      </c>
      <c r="G41" s="819">
        <v>11150</v>
      </c>
      <c r="H41" s="819">
        <v>83625</v>
      </c>
      <c r="L41" s="819">
        <f>(H41-G41)/F41</f>
        <v>3294.318181818182</v>
      </c>
      <c r="N41" s="819">
        <f>G41/F41</f>
        <v>506.81818181818181</v>
      </c>
      <c r="X41" s="824">
        <v>2001</v>
      </c>
      <c r="Y41" s="824"/>
      <c r="Z41" s="824"/>
      <c r="AE41" s="819">
        <v>6</v>
      </c>
      <c r="AF41" s="819">
        <f>AE41*AG40+AI41</f>
        <v>8763</v>
      </c>
      <c r="AI41" s="819">
        <f>AE41*AI40</f>
        <v>706.5</v>
      </c>
    </row>
    <row r="42" spans="1:39" x14ac:dyDescent="0.2">
      <c r="C42" s="824">
        <v>1996</v>
      </c>
      <c r="D42" s="824"/>
      <c r="E42" s="824"/>
      <c r="J42" s="819">
        <v>9</v>
      </c>
      <c r="K42" s="819">
        <f>L41*J42+N42</f>
        <v>34210.227272727279</v>
      </c>
      <c r="N42" s="819">
        <f>N41*J42</f>
        <v>4561.363636363636</v>
      </c>
      <c r="X42" s="824">
        <v>2002</v>
      </c>
      <c r="Y42" s="824"/>
      <c r="Z42" s="824"/>
      <c r="AE42" s="819">
        <v>6</v>
      </c>
      <c r="AF42" s="819">
        <f>AE42*AG40+AI42</f>
        <v>8763</v>
      </c>
      <c r="AI42" s="819">
        <f>AE42*AI40</f>
        <v>706.5</v>
      </c>
    </row>
    <row r="43" spans="1:39" x14ac:dyDescent="0.2">
      <c r="C43" s="824">
        <v>1997</v>
      </c>
      <c r="D43" s="824"/>
      <c r="E43" s="824"/>
      <c r="J43" s="819">
        <v>12</v>
      </c>
      <c r="K43" s="819">
        <f>J43*L41+N43</f>
        <v>45613.636363636368</v>
      </c>
      <c r="N43" s="819">
        <f>N41*J43</f>
        <v>6081.818181818182</v>
      </c>
      <c r="X43" s="824"/>
      <c r="Y43" s="824"/>
      <c r="Z43" s="824"/>
    </row>
    <row r="44" spans="1:39" x14ac:dyDescent="0.2">
      <c r="C44" s="824">
        <v>1998</v>
      </c>
      <c r="D44" s="824"/>
      <c r="E44" s="824"/>
      <c r="J44" s="819">
        <v>1</v>
      </c>
      <c r="K44" s="819">
        <f>L41*J44+N44</f>
        <v>3801.136363636364</v>
      </c>
      <c r="N44" s="819">
        <f>N41*J44</f>
        <v>506.81818181818181</v>
      </c>
      <c r="V44" s="819">
        <v>11</v>
      </c>
      <c r="W44" s="820">
        <v>1.1000000000000001</v>
      </c>
      <c r="X44" s="824" t="s">
        <v>632</v>
      </c>
      <c r="Y44" s="824" t="s">
        <v>633</v>
      </c>
      <c r="Z44" s="824">
        <v>1727</v>
      </c>
      <c r="AA44" s="819">
        <v>12</v>
      </c>
      <c r="AB44" s="819">
        <v>2020</v>
      </c>
      <c r="AC44" s="819">
        <v>22974</v>
      </c>
      <c r="AG44" s="819">
        <f>(AC44-AB44)/AA44</f>
        <v>1746.1666666666667</v>
      </c>
      <c r="AI44" s="819">
        <f>AB44/AA44</f>
        <v>168.33333333333334</v>
      </c>
    </row>
    <row r="45" spans="1:39" x14ac:dyDescent="0.2">
      <c r="C45" s="824"/>
      <c r="D45" s="824"/>
      <c r="E45" s="824"/>
      <c r="X45" s="824">
        <v>2002</v>
      </c>
      <c r="Y45" s="824"/>
      <c r="Z45" s="824"/>
      <c r="AE45" s="819">
        <v>6</v>
      </c>
      <c r="AF45" s="819">
        <f>AE45*AG44+AI45</f>
        <v>11487</v>
      </c>
      <c r="AI45" s="819">
        <f>AE45*AI44</f>
        <v>1010</v>
      </c>
    </row>
    <row r="46" spans="1:39" x14ac:dyDescent="0.2">
      <c r="A46" s="819">
        <v>11</v>
      </c>
      <c r="B46" s="820">
        <v>1.23</v>
      </c>
      <c r="C46" s="824" t="s">
        <v>621</v>
      </c>
      <c r="D46" s="824" t="s">
        <v>622</v>
      </c>
      <c r="E46" s="824">
        <v>4000</v>
      </c>
      <c r="F46" s="819">
        <v>11</v>
      </c>
      <c r="G46" s="819">
        <v>5533</v>
      </c>
      <c r="H46" s="819">
        <v>49800</v>
      </c>
      <c r="L46" s="819">
        <f>(H46-G46)/F46</f>
        <v>4024.2727272727275</v>
      </c>
      <c r="N46" s="819">
        <f>G46/F46</f>
        <v>503</v>
      </c>
      <c r="X46" s="824">
        <v>2003</v>
      </c>
      <c r="Y46" s="824"/>
      <c r="Z46" s="824"/>
      <c r="AE46" s="819">
        <v>6</v>
      </c>
      <c r="AF46" s="819">
        <f>AE46*AG44+AI46</f>
        <v>11487</v>
      </c>
      <c r="AI46" s="819">
        <f>AE46*AI44</f>
        <v>1010</v>
      </c>
    </row>
    <row r="47" spans="1:39" x14ac:dyDescent="0.2">
      <c r="C47" s="824">
        <v>1998</v>
      </c>
      <c r="D47" s="824"/>
      <c r="E47" s="824"/>
      <c r="J47" s="819">
        <v>11</v>
      </c>
      <c r="K47" s="819">
        <f>L46*J47+N47</f>
        <v>49800</v>
      </c>
      <c r="N47" s="819">
        <f>N46*J47</f>
        <v>5533</v>
      </c>
      <c r="X47" s="824"/>
      <c r="Y47" s="824"/>
      <c r="Z47" s="824"/>
    </row>
    <row r="48" spans="1:39" x14ac:dyDescent="0.2">
      <c r="C48" s="824"/>
      <c r="D48" s="824"/>
      <c r="E48" s="824"/>
      <c r="V48" s="819">
        <v>12</v>
      </c>
      <c r="W48" s="820">
        <v>1.1000000000000001</v>
      </c>
      <c r="X48" s="824" t="s">
        <v>634</v>
      </c>
      <c r="Y48" s="824" t="s">
        <v>635</v>
      </c>
      <c r="Z48" s="824">
        <v>2158</v>
      </c>
      <c r="AA48" s="819">
        <v>5</v>
      </c>
      <c r="AB48" s="819">
        <v>193</v>
      </c>
      <c r="AC48" s="819">
        <v>11127</v>
      </c>
      <c r="AG48" s="819">
        <f>(AC48-AB48)/AA48</f>
        <v>2186.8000000000002</v>
      </c>
      <c r="AI48" s="819">
        <f>AB48/AA48</f>
        <v>38.6</v>
      </c>
    </row>
    <row r="49" spans="1:35" x14ac:dyDescent="0.2">
      <c r="C49" s="824"/>
      <c r="D49" s="824"/>
      <c r="E49" s="824"/>
      <c r="X49" s="824">
        <v>2003</v>
      </c>
      <c r="Y49" s="824"/>
      <c r="Z49" s="824"/>
      <c r="AE49" s="819">
        <v>5</v>
      </c>
      <c r="AF49" s="819">
        <f>AE49*AG48+AI49</f>
        <v>11127</v>
      </c>
      <c r="AI49" s="819">
        <f>AE49*AI48</f>
        <v>193</v>
      </c>
    </row>
    <row r="50" spans="1:35" x14ac:dyDescent="0.2">
      <c r="A50" s="819">
        <v>12</v>
      </c>
      <c r="B50" s="820">
        <v>1.1000000000000001</v>
      </c>
      <c r="C50" s="824" t="s">
        <v>624</v>
      </c>
      <c r="D50" s="824" t="s">
        <v>627</v>
      </c>
      <c r="E50" s="824">
        <v>4400</v>
      </c>
      <c r="F50" s="819">
        <v>18</v>
      </c>
      <c r="G50" s="819">
        <v>9100</v>
      </c>
      <c r="H50" s="819">
        <v>89180</v>
      </c>
      <c r="L50" s="819">
        <f>(H50-G50)/F50</f>
        <v>4448.8888888888887</v>
      </c>
      <c r="N50" s="819">
        <f>G50/F50</f>
        <v>505.55555555555554</v>
      </c>
      <c r="X50" s="824"/>
      <c r="Y50" s="824"/>
      <c r="Z50" s="824"/>
    </row>
    <row r="51" spans="1:35" x14ac:dyDescent="0.2">
      <c r="C51" s="824">
        <v>1999</v>
      </c>
      <c r="D51" s="824"/>
      <c r="E51" s="824"/>
      <c r="J51" s="819">
        <v>12</v>
      </c>
      <c r="K51" s="819">
        <f>J51*L50+N51</f>
        <v>59453.333333333328</v>
      </c>
      <c r="N51" s="819">
        <f>N50*J51</f>
        <v>6066.6666666666661</v>
      </c>
      <c r="V51" s="819">
        <v>13</v>
      </c>
      <c r="X51" s="820" t="s">
        <v>636</v>
      </c>
      <c r="Y51" s="824" t="s">
        <v>637</v>
      </c>
      <c r="Z51" s="824">
        <v>2158</v>
      </c>
      <c r="AA51" s="819">
        <v>7</v>
      </c>
      <c r="AB51" s="819">
        <v>2627</v>
      </c>
      <c r="AC51" s="819">
        <v>17877</v>
      </c>
      <c r="AG51" s="819">
        <f>(AC51-AB51)/AA51</f>
        <v>2178.5714285714284</v>
      </c>
      <c r="AI51" s="819">
        <f>AB51/AA51</f>
        <v>375.28571428571428</v>
      </c>
    </row>
    <row r="52" spans="1:35" x14ac:dyDescent="0.2">
      <c r="C52" s="824">
        <v>2000</v>
      </c>
      <c r="D52" s="824"/>
      <c r="E52" s="824"/>
      <c r="J52" s="819">
        <v>6</v>
      </c>
      <c r="K52" s="819">
        <f>L50*J52+N52</f>
        <v>29726.666666666664</v>
      </c>
      <c r="N52" s="819">
        <f>N50*J52</f>
        <v>3033.333333333333</v>
      </c>
      <c r="X52" s="824">
        <v>2003</v>
      </c>
      <c r="Y52" s="824"/>
      <c r="Z52" s="824"/>
      <c r="AE52" s="819">
        <v>1</v>
      </c>
      <c r="AF52" s="819">
        <f>AE52*AG51+AI52</f>
        <v>2553.8571428571427</v>
      </c>
      <c r="AI52" s="819">
        <f>AE52*AI51</f>
        <v>375.28571428571428</v>
      </c>
    </row>
    <row r="53" spans="1:35" x14ac:dyDescent="0.2">
      <c r="C53" s="824"/>
      <c r="D53" s="824"/>
      <c r="E53" s="824"/>
      <c r="X53" s="824">
        <v>2004</v>
      </c>
      <c r="Y53" s="824"/>
      <c r="Z53" s="824"/>
      <c r="AE53" s="819">
        <v>6</v>
      </c>
      <c r="AF53" s="819">
        <f>AE53*AG51+AI53</f>
        <v>15323.142857142857</v>
      </c>
      <c r="AI53" s="819">
        <f>AE53*AI51</f>
        <v>2251.7142857142858</v>
      </c>
    </row>
    <row r="54" spans="1:35" x14ac:dyDescent="0.2">
      <c r="A54" s="819">
        <v>13</v>
      </c>
      <c r="B54" s="820">
        <v>1.17</v>
      </c>
      <c r="C54" s="824" t="s">
        <v>628</v>
      </c>
      <c r="D54" s="824" t="s">
        <v>629</v>
      </c>
      <c r="E54" s="824">
        <v>5148</v>
      </c>
      <c r="F54" s="819">
        <v>12</v>
      </c>
      <c r="G54" s="819">
        <v>6067</v>
      </c>
      <c r="H54" s="819">
        <v>68529</v>
      </c>
      <c r="L54" s="819">
        <f>(H54-G54)/F54</f>
        <v>5205.166666666667</v>
      </c>
      <c r="N54" s="819">
        <f>G54/F54</f>
        <v>505.58333333333331</v>
      </c>
      <c r="X54" s="824"/>
      <c r="Y54" s="824"/>
      <c r="Z54" s="824"/>
    </row>
    <row r="55" spans="1:35" x14ac:dyDescent="0.2">
      <c r="C55" s="824">
        <v>2000</v>
      </c>
      <c r="D55" s="824"/>
      <c r="E55" s="824"/>
      <c r="J55" s="819">
        <v>6</v>
      </c>
      <c r="K55" s="819">
        <f>L54*J55+N55</f>
        <v>34264.5</v>
      </c>
      <c r="N55" s="819">
        <f>N54*J55</f>
        <v>3033.5</v>
      </c>
      <c r="V55" s="819">
        <v>14</v>
      </c>
      <c r="W55" s="820">
        <v>1.08</v>
      </c>
      <c r="X55" s="824" t="s">
        <v>638</v>
      </c>
      <c r="Y55" s="824" t="s">
        <v>639</v>
      </c>
      <c r="Z55" s="824">
        <v>2590</v>
      </c>
      <c r="AA55" s="819">
        <v>10</v>
      </c>
      <c r="AB55" s="819">
        <v>2427</v>
      </c>
      <c r="AC55" s="819">
        <v>28586</v>
      </c>
      <c r="AG55" s="819">
        <f>(AC55-AB55)/AA55</f>
        <v>2615.9</v>
      </c>
      <c r="AI55" s="819">
        <f>AB55/AA55</f>
        <v>242.7</v>
      </c>
    </row>
    <row r="56" spans="1:35" x14ac:dyDescent="0.2">
      <c r="C56" s="824">
        <v>2001</v>
      </c>
      <c r="D56" s="824"/>
      <c r="E56" s="824"/>
      <c r="J56" s="819">
        <v>6</v>
      </c>
      <c r="K56" s="819">
        <f>L54*J56+N56</f>
        <v>34264.5</v>
      </c>
      <c r="N56" s="819">
        <f>N54*J56</f>
        <v>3033.5</v>
      </c>
      <c r="X56" s="824">
        <v>2004</v>
      </c>
      <c r="Y56" s="824"/>
      <c r="Z56" s="824"/>
      <c r="AE56" s="819">
        <v>6</v>
      </c>
      <c r="AF56" s="819">
        <f>AE56*AG55+AI56</f>
        <v>17151.600000000002</v>
      </c>
      <c r="AI56" s="819">
        <f>AE56*AI55</f>
        <v>1456.1999999999998</v>
      </c>
    </row>
    <row r="57" spans="1:35" x14ac:dyDescent="0.2">
      <c r="C57" s="824"/>
      <c r="D57" s="824"/>
      <c r="E57" s="824"/>
      <c r="X57" s="824">
        <v>2005</v>
      </c>
      <c r="Y57" s="824"/>
      <c r="Z57" s="824"/>
      <c r="AE57" s="819">
        <v>4</v>
      </c>
      <c r="AF57" s="819">
        <f>AE57*AG55+AI57</f>
        <v>11434.4</v>
      </c>
      <c r="AI57" s="819">
        <f>AE57*AI55</f>
        <v>970.8</v>
      </c>
    </row>
    <row r="58" spans="1:35" x14ac:dyDescent="0.2">
      <c r="A58" s="819">
        <v>14</v>
      </c>
      <c r="B58" s="820">
        <v>1.08</v>
      </c>
      <c r="C58" s="824" t="s">
        <v>630</v>
      </c>
      <c r="D58" s="824" t="s">
        <v>631</v>
      </c>
      <c r="E58" s="824">
        <v>5560</v>
      </c>
      <c r="F58" s="819">
        <v>12</v>
      </c>
      <c r="G58" s="819">
        <v>6067</v>
      </c>
      <c r="H58" s="819">
        <v>73528</v>
      </c>
      <c r="L58" s="819">
        <f>(H58-G58)/F58</f>
        <v>5621.75</v>
      </c>
      <c r="N58" s="819">
        <f>G58/F58</f>
        <v>505.58333333333331</v>
      </c>
      <c r="X58" s="824"/>
      <c r="Y58" s="824"/>
      <c r="Z58" s="824"/>
    </row>
    <row r="59" spans="1:35" x14ac:dyDescent="0.2">
      <c r="C59" s="824">
        <v>2001</v>
      </c>
      <c r="D59" s="824"/>
      <c r="E59" s="824"/>
      <c r="J59" s="819">
        <v>6</v>
      </c>
      <c r="K59" s="819">
        <f>J59*L58+N59</f>
        <v>36764</v>
      </c>
      <c r="N59" s="819">
        <f>J59*N58</f>
        <v>3033.5</v>
      </c>
      <c r="V59" s="819">
        <v>15</v>
      </c>
      <c r="X59" s="824" t="s">
        <v>640</v>
      </c>
      <c r="Y59" s="824" t="s">
        <v>641</v>
      </c>
      <c r="Z59" s="824">
        <v>2979</v>
      </c>
      <c r="AA59" s="819">
        <v>1</v>
      </c>
      <c r="AB59" s="819">
        <v>2433</v>
      </c>
      <c r="AC59" s="819">
        <v>5313</v>
      </c>
      <c r="AG59" s="819">
        <f>(AC59-AB59)/AA59</f>
        <v>2880</v>
      </c>
      <c r="AI59" s="819">
        <f>AB59/AA59</f>
        <v>2433</v>
      </c>
    </row>
    <row r="60" spans="1:35" x14ac:dyDescent="0.2">
      <c r="C60" s="824">
        <v>2002</v>
      </c>
      <c r="D60" s="824"/>
      <c r="E60" s="824"/>
      <c r="J60" s="819">
        <v>6</v>
      </c>
      <c r="K60" s="819">
        <f>J60*L58+N60</f>
        <v>36764</v>
      </c>
      <c r="N60" s="819">
        <f>J60*N58</f>
        <v>3033.5</v>
      </c>
      <c r="X60" s="824"/>
      <c r="Y60" s="824"/>
      <c r="Z60" s="824"/>
      <c r="AE60" s="819">
        <v>1</v>
      </c>
      <c r="AF60" s="819">
        <f>AE60*AG59+AI60</f>
        <v>5313</v>
      </c>
      <c r="AI60" s="819">
        <f>AE60*AI59</f>
        <v>2433</v>
      </c>
    </row>
    <row r="61" spans="1:35" x14ac:dyDescent="0.2">
      <c r="C61" s="824"/>
      <c r="D61" s="824"/>
      <c r="E61" s="824"/>
    </row>
    <row r="62" spans="1:35" x14ac:dyDescent="0.2">
      <c r="A62" s="819">
        <v>15</v>
      </c>
      <c r="B62" s="820">
        <v>1.1000000000000001</v>
      </c>
      <c r="C62" s="824" t="s">
        <v>632</v>
      </c>
      <c r="D62" s="824" t="s">
        <v>633</v>
      </c>
      <c r="E62" s="824">
        <v>6116</v>
      </c>
      <c r="F62" s="819">
        <v>12</v>
      </c>
      <c r="G62" s="819">
        <v>6067</v>
      </c>
      <c r="H62" s="819">
        <v>80274</v>
      </c>
      <c r="L62" s="819">
        <f>(H62-G62)/F62</f>
        <v>6183.916666666667</v>
      </c>
      <c r="N62" s="819">
        <f>G62/F62</f>
        <v>505.58333333333331</v>
      </c>
      <c r="V62" s="819">
        <v>16</v>
      </c>
      <c r="W62" s="820">
        <v>1.08</v>
      </c>
      <c r="X62" s="824" t="s">
        <v>642</v>
      </c>
      <c r="Y62" s="824" t="s">
        <v>643</v>
      </c>
      <c r="Z62" s="824">
        <v>3425</v>
      </c>
      <c r="AA62" s="819">
        <v>13</v>
      </c>
      <c r="AB62" s="819">
        <v>11163</v>
      </c>
      <c r="AC62" s="819">
        <v>56145</v>
      </c>
      <c r="AG62" s="819">
        <f>(AC62-AB62)/AA62</f>
        <v>3460.1538461538462</v>
      </c>
      <c r="AI62" s="819">
        <f>AB62/AA62</f>
        <v>858.69230769230774</v>
      </c>
    </row>
    <row r="63" spans="1:35" x14ac:dyDescent="0.2">
      <c r="C63" s="824">
        <v>2002</v>
      </c>
      <c r="D63" s="824"/>
      <c r="E63" s="824"/>
      <c r="J63" s="819">
        <v>6</v>
      </c>
      <c r="K63" s="819">
        <f>L62*J63+N63</f>
        <v>40137</v>
      </c>
      <c r="N63" s="819">
        <f>N62*J63</f>
        <v>3033.5</v>
      </c>
      <c r="X63" s="824">
        <v>2005</v>
      </c>
      <c r="Y63" s="824"/>
      <c r="Z63" s="824"/>
      <c r="AE63" s="819">
        <v>7</v>
      </c>
      <c r="AF63" s="819">
        <f>AE63*AG62+AI63</f>
        <v>30231.923076923078</v>
      </c>
      <c r="AI63" s="819">
        <f>AE63*AI62</f>
        <v>6010.8461538461543</v>
      </c>
    </row>
    <row r="64" spans="1:35" x14ac:dyDescent="0.2">
      <c r="C64" s="824">
        <v>2003</v>
      </c>
      <c r="D64" s="824"/>
      <c r="E64" s="824"/>
      <c r="J64" s="819">
        <v>6</v>
      </c>
      <c r="K64" s="819">
        <f>L62*J64+N64</f>
        <v>40137</v>
      </c>
      <c r="N64" s="819">
        <f>N62*J64</f>
        <v>3033.5</v>
      </c>
      <c r="X64" s="824">
        <v>2006</v>
      </c>
      <c r="Y64" s="824"/>
      <c r="Z64" s="824"/>
      <c r="AE64" s="819">
        <v>6</v>
      </c>
      <c r="AF64" s="819">
        <f>AE64*AG62+AI64</f>
        <v>25913.076923076926</v>
      </c>
      <c r="AI64" s="819">
        <f>AE64*AI62</f>
        <v>5152.1538461538466</v>
      </c>
    </row>
    <row r="65" spans="1:35" x14ac:dyDescent="0.2">
      <c r="C65" s="824"/>
      <c r="D65" s="824"/>
      <c r="E65" s="824"/>
      <c r="X65" s="824"/>
      <c r="Y65" s="824"/>
      <c r="Z65" s="824"/>
    </row>
    <row r="66" spans="1:35" x14ac:dyDescent="0.2">
      <c r="A66" s="819">
        <v>16</v>
      </c>
      <c r="B66" s="820">
        <v>1.1000000000000001</v>
      </c>
      <c r="C66" s="824" t="s">
        <v>634</v>
      </c>
      <c r="D66" s="824" t="s">
        <v>637</v>
      </c>
      <c r="E66" s="824">
        <v>6728</v>
      </c>
      <c r="F66" s="819">
        <v>12</v>
      </c>
      <c r="G66" s="819">
        <v>6083</v>
      </c>
      <c r="H66" s="819">
        <v>87941</v>
      </c>
      <c r="L66" s="819">
        <f>(H66-G66)/F66</f>
        <v>6821.5</v>
      </c>
      <c r="N66" s="819">
        <f>G66/F66</f>
        <v>506.91666666666669</v>
      </c>
      <c r="V66" s="819">
        <v>17</v>
      </c>
      <c r="W66" s="820">
        <v>1.05</v>
      </c>
      <c r="X66" s="824" t="s">
        <v>644</v>
      </c>
      <c r="Y66" s="824" t="s">
        <v>645</v>
      </c>
      <c r="Z66" s="824">
        <v>4110</v>
      </c>
      <c r="AA66" s="819">
        <v>12</v>
      </c>
      <c r="AB66" s="819">
        <v>10313</v>
      </c>
      <c r="AC66" s="819">
        <v>60181</v>
      </c>
      <c r="AG66" s="819">
        <f>(AC66-AB66)/AA66</f>
        <v>4155.666666666667</v>
      </c>
      <c r="AI66" s="819">
        <f>AB66/AA66</f>
        <v>859.41666666666663</v>
      </c>
    </row>
    <row r="67" spans="1:35" x14ac:dyDescent="0.2">
      <c r="C67" s="824">
        <v>2003</v>
      </c>
      <c r="D67" s="824"/>
      <c r="E67" s="824"/>
      <c r="J67" s="819">
        <v>6</v>
      </c>
      <c r="K67" s="819">
        <f>J67*L66+N67</f>
        <v>43970.5</v>
      </c>
      <c r="N67" s="819">
        <f>N66*J67</f>
        <v>3041.5</v>
      </c>
      <c r="X67" s="824">
        <v>2006</v>
      </c>
      <c r="Y67" s="824"/>
      <c r="Z67" s="824"/>
      <c r="AE67" s="819">
        <v>6</v>
      </c>
      <c r="AF67" s="819">
        <f>AE67*AG66+AI67</f>
        <v>30090.5</v>
      </c>
      <c r="AI67" s="819">
        <f>AE67*AI66</f>
        <v>5156.5</v>
      </c>
    </row>
    <row r="68" spans="1:35" x14ac:dyDescent="0.2">
      <c r="C68" s="824">
        <v>2004</v>
      </c>
      <c r="D68" s="824"/>
      <c r="E68" s="824"/>
      <c r="J68" s="819">
        <v>6</v>
      </c>
      <c r="K68" s="819">
        <f>J68*L66+N68</f>
        <v>43970.5</v>
      </c>
      <c r="N68" s="819">
        <f>N66*J68</f>
        <v>3041.5</v>
      </c>
      <c r="X68" s="824">
        <v>2007</v>
      </c>
      <c r="Y68" s="824"/>
      <c r="Z68" s="824"/>
      <c r="AE68" s="819">
        <v>6</v>
      </c>
      <c r="AF68" s="819">
        <f>AE68*AG66+AI68</f>
        <v>30090.5</v>
      </c>
      <c r="AI68" s="819">
        <f>AE68*AI66</f>
        <v>5156.5</v>
      </c>
    </row>
    <row r="69" spans="1:35" x14ac:dyDescent="0.2">
      <c r="C69" s="824"/>
      <c r="D69" s="824"/>
      <c r="E69" s="824"/>
      <c r="X69" s="824"/>
      <c r="Y69" s="824"/>
      <c r="Z69" s="824"/>
    </row>
    <row r="70" spans="1:35" x14ac:dyDescent="0.2">
      <c r="A70" s="819">
        <v>17</v>
      </c>
      <c r="B70" s="820">
        <v>1.08</v>
      </c>
      <c r="C70" s="824" t="s">
        <v>638</v>
      </c>
      <c r="D70" s="824" t="s">
        <v>641</v>
      </c>
      <c r="E70" s="824">
        <v>7266</v>
      </c>
      <c r="F70" s="819">
        <v>11</v>
      </c>
      <c r="G70" s="819">
        <v>5550</v>
      </c>
      <c r="H70" s="819">
        <v>86203</v>
      </c>
      <c r="L70" s="819">
        <f>(H70-G70)/F70</f>
        <v>7332.090909090909</v>
      </c>
      <c r="N70" s="819">
        <f>G70/F70</f>
        <v>504.54545454545456</v>
      </c>
      <c r="V70" s="819">
        <v>18</v>
      </c>
      <c r="W70" s="820">
        <v>1.05</v>
      </c>
      <c r="X70" s="824" t="s">
        <v>646</v>
      </c>
      <c r="Y70" s="824" t="s">
        <v>647</v>
      </c>
      <c r="Z70" s="824">
        <v>4521</v>
      </c>
      <c r="AA70" s="819">
        <v>12</v>
      </c>
      <c r="AB70" s="819">
        <v>10342</v>
      </c>
      <c r="AC70" s="819">
        <v>65347</v>
      </c>
      <c r="AG70" s="819">
        <f>(AC70-AB70)/AA70</f>
        <v>4583.75</v>
      </c>
      <c r="AI70" s="819">
        <f>AB70/AA70</f>
        <v>861.83333333333337</v>
      </c>
    </row>
    <row r="71" spans="1:35" x14ac:dyDescent="0.2">
      <c r="C71" s="824">
        <v>2004</v>
      </c>
      <c r="D71" s="824"/>
      <c r="E71" s="824"/>
      <c r="J71" s="819">
        <v>6</v>
      </c>
      <c r="K71" s="819">
        <f>J71*L70+N71</f>
        <v>47019.818181818184</v>
      </c>
      <c r="N71" s="819">
        <f>J71*N70</f>
        <v>3027.2727272727275</v>
      </c>
      <c r="X71" s="824">
        <v>2007</v>
      </c>
      <c r="Y71" s="824"/>
      <c r="Z71" s="824"/>
      <c r="AE71" s="819">
        <v>6</v>
      </c>
      <c r="AF71" s="819">
        <f>AE71*AG70+AI71</f>
        <v>32673.5</v>
      </c>
      <c r="AI71" s="819">
        <f>AE71*AI70</f>
        <v>5171</v>
      </c>
    </row>
    <row r="72" spans="1:35" x14ac:dyDescent="0.2">
      <c r="C72" s="824">
        <v>2005</v>
      </c>
      <c r="D72" s="824"/>
      <c r="E72" s="824"/>
      <c r="J72" s="819">
        <v>5</v>
      </c>
      <c r="K72" s="819">
        <f>J72*L70+N72</f>
        <v>39183.181818181816</v>
      </c>
      <c r="N72" s="819">
        <f>J72*N70</f>
        <v>2522.727272727273</v>
      </c>
      <c r="X72" s="824">
        <v>2008</v>
      </c>
      <c r="Y72" s="824"/>
      <c r="Z72" s="824"/>
      <c r="AE72" s="819">
        <v>6</v>
      </c>
      <c r="AF72" s="819">
        <f>AE72*AG70+AI72</f>
        <v>32673.5</v>
      </c>
      <c r="AI72" s="819">
        <f>AE72*AI70</f>
        <v>5171</v>
      </c>
    </row>
    <row r="73" spans="1:35" x14ac:dyDescent="0.2">
      <c r="C73" s="824"/>
      <c r="D73" s="824"/>
      <c r="E73" s="824"/>
      <c r="X73" s="824"/>
      <c r="Y73" s="824"/>
      <c r="Z73" s="824"/>
    </row>
    <row r="74" spans="1:35" x14ac:dyDescent="0.2">
      <c r="A74" s="819">
        <v>18</v>
      </c>
      <c r="B74" s="820">
        <v>1.08</v>
      </c>
      <c r="C74" s="824" t="s">
        <v>642</v>
      </c>
      <c r="D74" s="824" t="s">
        <v>643</v>
      </c>
      <c r="E74" s="824">
        <v>7848</v>
      </c>
      <c r="F74" s="819">
        <v>13</v>
      </c>
      <c r="G74" s="819">
        <v>6567</v>
      </c>
      <c r="H74" s="819">
        <v>109637</v>
      </c>
      <c r="L74" s="819">
        <f>(H74-G74)/F74</f>
        <v>7928.4615384615381</v>
      </c>
      <c r="N74" s="819">
        <f>G74/F74</f>
        <v>505.15384615384613</v>
      </c>
      <c r="V74" s="819">
        <v>19</v>
      </c>
      <c r="W74" s="820">
        <v>1.1000000000000001</v>
      </c>
      <c r="X74" s="824" t="s">
        <v>648</v>
      </c>
      <c r="Y74" s="824" t="s">
        <v>649</v>
      </c>
      <c r="Z74" s="824">
        <v>5200</v>
      </c>
      <c r="AA74" s="819">
        <v>10</v>
      </c>
      <c r="AB74" s="819">
        <v>8585</v>
      </c>
      <c r="AC74" s="819">
        <v>61105</v>
      </c>
      <c r="AG74" s="819">
        <f>(AC74-AB74)/AA74</f>
        <v>5252</v>
      </c>
      <c r="AI74" s="819">
        <f>AB74/AA74</f>
        <v>858.5</v>
      </c>
    </row>
    <row r="75" spans="1:35" x14ac:dyDescent="0.2">
      <c r="C75" s="824">
        <v>2005</v>
      </c>
      <c r="D75" s="824"/>
      <c r="E75" s="824"/>
      <c r="J75" s="819">
        <v>7</v>
      </c>
      <c r="K75" s="819">
        <f>J75*L74+N75</f>
        <v>59035.307692307688</v>
      </c>
      <c r="N75" s="819">
        <f>N74*J75</f>
        <v>3536.0769230769229</v>
      </c>
      <c r="X75" s="824">
        <v>2008</v>
      </c>
      <c r="Y75" s="824"/>
      <c r="Z75" s="824"/>
      <c r="AE75" s="819">
        <v>6</v>
      </c>
      <c r="AF75" s="819">
        <f>AE75*AG74+AI75</f>
        <v>36663</v>
      </c>
      <c r="AI75" s="819">
        <f>AE75*AI74</f>
        <v>5151</v>
      </c>
    </row>
    <row r="76" spans="1:35" x14ac:dyDescent="0.2">
      <c r="C76" s="824">
        <v>2006</v>
      </c>
      <c r="D76" s="824"/>
      <c r="E76" s="824"/>
      <c r="J76" s="819">
        <v>6</v>
      </c>
      <c r="K76" s="819">
        <f>J76*L74+N76</f>
        <v>50601.692307692305</v>
      </c>
      <c r="N76" s="819">
        <f>N74*J76</f>
        <v>3030.9230769230767</v>
      </c>
      <c r="X76" s="824">
        <v>2009</v>
      </c>
      <c r="Y76" s="824"/>
      <c r="Z76" s="824"/>
      <c r="AE76" s="819">
        <v>4</v>
      </c>
      <c r="AF76" s="819">
        <f>AE76*AG74+AI76</f>
        <v>24442</v>
      </c>
      <c r="AI76" s="819">
        <f>AE76*AI74</f>
        <v>3434</v>
      </c>
    </row>
    <row r="77" spans="1:35" x14ac:dyDescent="0.2">
      <c r="C77" s="824"/>
      <c r="D77" s="824"/>
      <c r="E77" s="824"/>
      <c r="X77" s="824"/>
      <c r="Y77" s="824"/>
      <c r="Z77" s="824"/>
    </row>
    <row r="78" spans="1:35" x14ac:dyDescent="0.2">
      <c r="A78" s="819">
        <v>19</v>
      </c>
      <c r="B78" s="820">
        <v>1.05</v>
      </c>
      <c r="C78" s="824" t="s">
        <v>644</v>
      </c>
      <c r="D78" s="824" t="s">
        <v>645</v>
      </c>
      <c r="E78" s="824">
        <v>8239</v>
      </c>
      <c r="F78" s="819">
        <v>12</v>
      </c>
      <c r="G78" s="819">
        <v>12133</v>
      </c>
      <c r="H78" s="819">
        <v>112100</v>
      </c>
      <c r="L78" s="819">
        <f>(H78-G78)/F78</f>
        <v>8330.5833333333339</v>
      </c>
      <c r="N78" s="819">
        <f>G78/F78</f>
        <v>1011.0833333333334</v>
      </c>
      <c r="V78" s="819">
        <v>20</v>
      </c>
      <c r="W78" s="820">
        <v>1.08</v>
      </c>
      <c r="X78" s="824" t="s">
        <v>650</v>
      </c>
      <c r="Y78" s="824" t="s">
        <v>651</v>
      </c>
      <c r="Z78" s="824">
        <v>6344</v>
      </c>
      <c r="AA78" s="819">
        <v>14</v>
      </c>
      <c r="AB78" s="819">
        <v>12042</v>
      </c>
      <c r="AC78" s="819">
        <v>101915</v>
      </c>
      <c r="AG78" s="819">
        <f>(AC78-AB78)/AA78</f>
        <v>6419.5</v>
      </c>
      <c r="AI78" s="819">
        <f>AB78/AA78</f>
        <v>860.14285714285711</v>
      </c>
    </row>
    <row r="79" spans="1:35" x14ac:dyDescent="0.2">
      <c r="C79" s="824">
        <v>2006</v>
      </c>
      <c r="D79" s="824"/>
      <c r="E79" s="824"/>
      <c r="J79" s="819">
        <v>6</v>
      </c>
      <c r="K79" s="819">
        <f>J79*L78+N79</f>
        <v>56050</v>
      </c>
      <c r="N79" s="819">
        <f>J79*N78</f>
        <v>6066.5</v>
      </c>
      <c r="X79" s="824">
        <v>2009</v>
      </c>
      <c r="Y79" s="824"/>
      <c r="Z79" s="824"/>
      <c r="AE79" s="819">
        <v>8</v>
      </c>
      <c r="AF79" s="819">
        <f>AE79*AG78+AI79</f>
        <v>58237.142857142855</v>
      </c>
      <c r="AI79" s="819">
        <f>AE79*AI78</f>
        <v>6881.1428571428569</v>
      </c>
    </row>
    <row r="80" spans="1:35" x14ac:dyDescent="0.2">
      <c r="C80" s="824">
        <v>2007</v>
      </c>
      <c r="D80" s="824"/>
      <c r="E80" s="824"/>
      <c r="J80" s="819">
        <v>6</v>
      </c>
      <c r="K80" s="819">
        <f>J80*L78+N80</f>
        <v>56050</v>
      </c>
      <c r="N80" s="819">
        <f>J80*N78</f>
        <v>6066.5</v>
      </c>
      <c r="X80" s="824">
        <v>2010</v>
      </c>
      <c r="Y80" s="824"/>
      <c r="Z80" s="824"/>
      <c r="AE80" s="819">
        <v>6</v>
      </c>
      <c r="AF80" s="819">
        <f>AE80*AG78+AI80</f>
        <v>43677.857142857145</v>
      </c>
      <c r="AI80" s="819">
        <f>AE80*AI78</f>
        <v>5160.8571428571431</v>
      </c>
    </row>
    <row r="81" spans="1:35" x14ac:dyDescent="0.2">
      <c r="C81" s="824"/>
      <c r="D81" s="824"/>
      <c r="E81" s="824"/>
      <c r="X81" s="824"/>
      <c r="Y81" s="824"/>
      <c r="Z81" s="824"/>
    </row>
    <row r="82" spans="1:35" x14ac:dyDescent="0.2">
      <c r="A82" s="819">
        <v>20</v>
      </c>
      <c r="B82" s="820">
        <v>1.05</v>
      </c>
      <c r="C82" s="824" t="s">
        <v>646</v>
      </c>
      <c r="D82" s="824" t="s">
        <v>647</v>
      </c>
      <c r="E82" s="824">
        <v>8651</v>
      </c>
      <c r="F82" s="819">
        <v>12</v>
      </c>
      <c r="G82" s="819">
        <v>21413</v>
      </c>
      <c r="H82" s="819">
        <v>126667</v>
      </c>
      <c r="L82" s="819">
        <f>(H82-G82)/F82</f>
        <v>8771.1666666666661</v>
      </c>
      <c r="N82" s="819">
        <f>G82/F82</f>
        <v>1784.4166666666667</v>
      </c>
      <c r="V82" s="819">
        <v>21</v>
      </c>
      <c r="W82" s="820">
        <v>1.04</v>
      </c>
      <c r="X82" s="824" t="s">
        <v>652</v>
      </c>
      <c r="Y82" s="824" t="s">
        <v>653</v>
      </c>
      <c r="Z82" s="824">
        <v>6978</v>
      </c>
      <c r="AA82" s="819">
        <v>12</v>
      </c>
      <c r="AB82" s="819">
        <v>25941</v>
      </c>
      <c r="AC82" s="819">
        <v>110607</v>
      </c>
      <c r="AG82" s="819">
        <f>(AC82-AB82)/AA82</f>
        <v>7055.5</v>
      </c>
      <c r="AI82" s="819">
        <f>AB82/AA82</f>
        <v>2161.75</v>
      </c>
    </row>
    <row r="83" spans="1:35" x14ac:dyDescent="0.2">
      <c r="C83" s="824">
        <v>2007</v>
      </c>
      <c r="D83" s="824"/>
      <c r="E83" s="824"/>
      <c r="J83" s="819">
        <v>6</v>
      </c>
      <c r="K83" s="819">
        <f>J83*L82+N83</f>
        <v>63333.5</v>
      </c>
      <c r="N83" s="819">
        <f>J83*N82</f>
        <v>10706.5</v>
      </c>
      <c r="X83" s="824">
        <v>2010</v>
      </c>
      <c r="Y83" s="824"/>
      <c r="Z83" s="824"/>
      <c r="AE83" s="819">
        <v>6</v>
      </c>
      <c r="AF83" s="819">
        <f>AE83*AG82+AI83</f>
        <v>55303.5</v>
      </c>
      <c r="AI83" s="819">
        <f>AE83*AI82</f>
        <v>12970.5</v>
      </c>
    </row>
    <row r="84" spans="1:35" x14ac:dyDescent="0.2">
      <c r="C84" s="824">
        <v>2008</v>
      </c>
      <c r="D84" s="824"/>
      <c r="E84" s="824"/>
      <c r="J84" s="819">
        <v>6</v>
      </c>
      <c r="K84" s="819">
        <f>J84*L82+N84</f>
        <v>63333.5</v>
      </c>
      <c r="N84" s="819">
        <f>J84*N82</f>
        <v>10706.5</v>
      </c>
      <c r="X84" s="824">
        <v>2011</v>
      </c>
      <c r="Y84" s="824"/>
      <c r="Z84" s="824"/>
      <c r="AE84" s="819">
        <v>6</v>
      </c>
      <c r="AF84" s="819">
        <f>AE84*AG82+AI84</f>
        <v>55303.5</v>
      </c>
      <c r="AI84" s="819">
        <f>AE84*AI82</f>
        <v>12970.5</v>
      </c>
    </row>
    <row r="85" spans="1:35" x14ac:dyDescent="0.2">
      <c r="C85" s="824"/>
      <c r="D85" s="824"/>
      <c r="E85" s="824"/>
      <c r="X85" s="824"/>
      <c r="Y85" s="824"/>
      <c r="Z85" s="824"/>
    </row>
    <row r="86" spans="1:35" x14ac:dyDescent="0.2">
      <c r="A86" s="819">
        <v>21</v>
      </c>
      <c r="B86" s="820">
        <v>1.1000000000000001</v>
      </c>
      <c r="C86" s="824" t="s">
        <v>648</v>
      </c>
      <c r="D86" s="824" t="s">
        <v>649</v>
      </c>
      <c r="E86" s="824">
        <v>9516</v>
      </c>
      <c r="F86" s="819">
        <v>10</v>
      </c>
      <c r="G86" s="819">
        <v>17776</v>
      </c>
      <c r="H86" s="819">
        <v>113888</v>
      </c>
      <c r="L86" s="819">
        <f>(H86-G86)/F86</f>
        <v>9611.2000000000007</v>
      </c>
      <c r="N86" s="819">
        <f>G86/F86</f>
        <v>1777.6</v>
      </c>
      <c r="V86" s="819">
        <v>22</v>
      </c>
      <c r="W86" s="820">
        <v>1.04</v>
      </c>
      <c r="X86" s="824" t="s">
        <v>654</v>
      </c>
      <c r="Y86" s="824" t="s">
        <v>655</v>
      </c>
      <c r="Z86" s="824">
        <v>7257</v>
      </c>
      <c r="AA86" s="819">
        <v>12</v>
      </c>
      <c r="AB86" s="819">
        <v>26012</v>
      </c>
      <c r="AC86" s="819">
        <v>114307</v>
      </c>
      <c r="AG86" s="819">
        <f>(AC86-AB86)/AA86</f>
        <v>7357.916666666667</v>
      </c>
      <c r="AI86" s="819">
        <f>AB86/AA86</f>
        <v>2167.6666666666665</v>
      </c>
    </row>
    <row r="87" spans="1:35" x14ac:dyDescent="0.2">
      <c r="C87" s="824">
        <v>2008</v>
      </c>
      <c r="D87" s="824"/>
      <c r="E87" s="824"/>
      <c r="J87" s="819">
        <v>6</v>
      </c>
      <c r="K87" s="819">
        <f>J87*L86+N87</f>
        <v>68332.800000000003</v>
      </c>
      <c r="N87" s="819">
        <f>N86*J87</f>
        <v>10665.599999999999</v>
      </c>
      <c r="X87" s="824">
        <v>2011</v>
      </c>
      <c r="Y87" s="824"/>
      <c r="Z87" s="824"/>
      <c r="AE87" s="819">
        <v>6</v>
      </c>
      <c r="AF87" s="819">
        <f>AE87*AG86+AI87</f>
        <v>57153.5</v>
      </c>
      <c r="AI87" s="819">
        <f>AE87*AI86</f>
        <v>13006</v>
      </c>
    </row>
    <row r="88" spans="1:35" x14ac:dyDescent="0.2">
      <c r="C88" s="824">
        <v>2009</v>
      </c>
      <c r="D88" s="824"/>
      <c r="E88" s="824"/>
      <c r="J88" s="819">
        <v>4</v>
      </c>
      <c r="K88" s="819">
        <f>J88*L86+N88</f>
        <v>45555.200000000004</v>
      </c>
      <c r="N88" s="819">
        <f>N86*J88</f>
        <v>7110.4</v>
      </c>
      <c r="X88" s="824">
        <v>2012</v>
      </c>
      <c r="Y88" s="824"/>
      <c r="Z88" s="824"/>
      <c r="AE88" s="819">
        <v>6</v>
      </c>
      <c r="AF88" s="819">
        <f>AE88*AG86+AI88</f>
        <v>57153.5</v>
      </c>
      <c r="AI88" s="819">
        <f>AE88*AI86</f>
        <v>13006</v>
      </c>
    </row>
    <row r="89" spans="1:35" x14ac:dyDescent="0.2">
      <c r="C89" s="824"/>
      <c r="D89" s="824"/>
      <c r="E89" s="824"/>
      <c r="X89" s="824"/>
      <c r="Y89" s="824"/>
      <c r="Z89" s="824"/>
    </row>
    <row r="90" spans="1:35" x14ac:dyDescent="0.2">
      <c r="A90" s="819">
        <v>22</v>
      </c>
      <c r="B90" s="820">
        <v>1.08</v>
      </c>
      <c r="C90" s="824" t="s">
        <v>650</v>
      </c>
      <c r="D90" s="824" t="s">
        <v>651</v>
      </c>
      <c r="E90" s="824">
        <v>10277</v>
      </c>
      <c r="F90" s="819">
        <v>14</v>
      </c>
      <c r="G90" s="819">
        <v>27625</v>
      </c>
      <c r="H90" s="819">
        <v>173220</v>
      </c>
      <c r="L90" s="819">
        <f>(H90-G90)/F90</f>
        <v>10399.642857142857</v>
      </c>
      <c r="N90" s="819">
        <f>G90/F90</f>
        <v>1973.2142857142858</v>
      </c>
      <c r="V90" s="819">
        <v>23</v>
      </c>
      <c r="W90" s="820">
        <v>1.04</v>
      </c>
      <c r="X90" s="820" t="s">
        <v>656</v>
      </c>
      <c r="Y90" s="824" t="s">
        <v>657</v>
      </c>
      <c r="Z90" s="824">
        <v>7547</v>
      </c>
      <c r="AA90" s="819">
        <v>13</v>
      </c>
      <c r="AB90" s="819">
        <v>28079</v>
      </c>
      <c r="AC90" s="819">
        <v>127202</v>
      </c>
      <c r="AG90" s="819">
        <f>(AC90-AB90)/AA90</f>
        <v>7624.8461538461543</v>
      </c>
      <c r="AI90" s="819">
        <f>AB90/AA90</f>
        <v>2159.9230769230771</v>
      </c>
    </row>
    <row r="91" spans="1:35" x14ac:dyDescent="0.2">
      <c r="C91" s="824">
        <v>2009</v>
      </c>
      <c r="D91" s="824"/>
      <c r="E91" s="824"/>
      <c r="J91" s="819">
        <v>8</v>
      </c>
      <c r="K91" s="819">
        <f>L90*J91+N91</f>
        <v>98982.857142857145</v>
      </c>
      <c r="N91" s="819">
        <f>J91*N90</f>
        <v>15785.714285714286</v>
      </c>
      <c r="X91" s="824">
        <v>2012</v>
      </c>
      <c r="Y91" s="824"/>
      <c r="Z91" s="824"/>
      <c r="AE91" s="819">
        <v>6</v>
      </c>
      <c r="AF91" s="819">
        <f>AE91*AG90+AI91</f>
        <v>58708.615384615383</v>
      </c>
      <c r="AI91" s="819">
        <f>AE91*AI90</f>
        <v>12959.538461538463</v>
      </c>
    </row>
    <row r="92" spans="1:35" x14ac:dyDescent="0.2">
      <c r="C92" s="824">
        <v>2010</v>
      </c>
      <c r="D92" s="824"/>
      <c r="E92" s="824"/>
      <c r="J92" s="819">
        <v>6</v>
      </c>
      <c r="K92" s="819">
        <f>L90*J92+N92</f>
        <v>74237.142857142855</v>
      </c>
      <c r="N92" s="819">
        <f>J92*N90</f>
        <v>11839.285714285714</v>
      </c>
      <c r="X92" s="824">
        <v>2013</v>
      </c>
      <c r="Y92" s="824"/>
      <c r="Z92" s="824"/>
      <c r="AE92" s="819">
        <v>7</v>
      </c>
      <c r="AF92" s="819">
        <f>AE92*AG90+AI92</f>
        <v>68493.384615384624</v>
      </c>
      <c r="AI92" s="819">
        <f>AE92*AI90</f>
        <v>15119.461538461539</v>
      </c>
    </row>
    <row r="93" spans="1:35" x14ac:dyDescent="0.2">
      <c r="C93" s="824"/>
      <c r="D93" s="824"/>
      <c r="E93" s="824"/>
      <c r="X93" s="824"/>
      <c r="Y93" s="824"/>
      <c r="Z93" s="824"/>
    </row>
    <row r="94" spans="1:35" x14ac:dyDescent="0.2">
      <c r="A94" s="819">
        <v>23</v>
      </c>
      <c r="B94" s="820">
        <v>1.04</v>
      </c>
      <c r="C94" s="824" t="s">
        <v>652</v>
      </c>
      <c r="D94" s="824" t="s">
        <v>653</v>
      </c>
      <c r="E94" s="824">
        <v>10688</v>
      </c>
      <c r="F94" s="819">
        <v>12</v>
      </c>
      <c r="G94" s="819">
        <v>26087</v>
      </c>
      <c r="H94" s="819">
        <v>155773</v>
      </c>
      <c r="L94" s="819">
        <f>(H94-G94)/F94</f>
        <v>10807.166666666666</v>
      </c>
      <c r="N94" s="819">
        <f>G94/F94</f>
        <v>2173.9166666666665</v>
      </c>
      <c r="V94" s="819">
        <v>24</v>
      </c>
      <c r="W94" s="820">
        <v>1.04</v>
      </c>
      <c r="X94" s="824" t="s">
        <v>658</v>
      </c>
      <c r="Y94" s="824" t="s">
        <v>659</v>
      </c>
      <c r="Z94" s="824">
        <v>8233</v>
      </c>
      <c r="AA94" s="819">
        <v>12</v>
      </c>
      <c r="AB94" s="819">
        <v>25870</v>
      </c>
      <c r="AC94" s="819">
        <v>125489</v>
      </c>
      <c r="AG94" s="819">
        <f>(AC94-AB94)/AA94</f>
        <v>8301.5833333333339</v>
      </c>
      <c r="AI94" s="819">
        <f>AB94/AA94</f>
        <v>2155.8333333333335</v>
      </c>
    </row>
    <row r="95" spans="1:35" x14ac:dyDescent="0.2">
      <c r="C95" s="824">
        <v>2010</v>
      </c>
      <c r="D95" s="824"/>
      <c r="E95" s="824"/>
      <c r="J95" s="819">
        <v>6</v>
      </c>
      <c r="K95" s="819">
        <f>J95*L94+N95</f>
        <v>77886.5</v>
      </c>
      <c r="N95" s="819">
        <f>N94*J95</f>
        <v>13043.5</v>
      </c>
      <c r="X95" s="824">
        <v>2013</v>
      </c>
      <c r="Y95" s="824"/>
      <c r="Z95" s="824"/>
      <c r="AE95" s="819">
        <v>5</v>
      </c>
      <c r="AF95" s="819">
        <f>AE95*AG94+AI95</f>
        <v>52287.083333333343</v>
      </c>
      <c r="AI95" s="819">
        <f>AE95*AI94</f>
        <v>10779.166666666668</v>
      </c>
    </row>
    <row r="96" spans="1:35" x14ac:dyDescent="0.2">
      <c r="C96" s="824">
        <v>2011</v>
      </c>
      <c r="D96" s="824"/>
      <c r="E96" s="824"/>
      <c r="J96" s="819">
        <v>6</v>
      </c>
      <c r="K96" s="819">
        <f>J96*L94+N96</f>
        <v>77886.5</v>
      </c>
      <c r="N96" s="819">
        <f>N94*J96</f>
        <v>13043.5</v>
      </c>
      <c r="X96" s="824">
        <v>2014</v>
      </c>
      <c r="Y96" s="824"/>
      <c r="Z96" s="824"/>
      <c r="AE96" s="819">
        <v>7</v>
      </c>
      <c r="AF96" s="819">
        <f>AE96*AG94+AI96</f>
        <v>73201.916666666672</v>
      </c>
      <c r="AI96" s="819">
        <f>AE96*AI94</f>
        <v>15090.833333333334</v>
      </c>
    </row>
    <row r="97" spans="1:35" x14ac:dyDescent="0.2">
      <c r="C97" s="824"/>
      <c r="D97" s="824"/>
      <c r="E97" s="824"/>
      <c r="X97" s="824"/>
      <c r="Y97" s="824"/>
      <c r="Z97" s="824"/>
    </row>
    <row r="98" spans="1:35" x14ac:dyDescent="0.2">
      <c r="A98" s="819">
        <v>24</v>
      </c>
      <c r="B98" s="820">
        <v>1.04</v>
      </c>
      <c r="C98" s="824" t="s">
        <v>654</v>
      </c>
      <c r="D98" s="824" t="s">
        <v>655</v>
      </c>
      <c r="E98" s="824">
        <v>11116</v>
      </c>
      <c r="F98" s="819">
        <v>12</v>
      </c>
      <c r="G98" s="819">
        <v>30417</v>
      </c>
      <c r="H98" s="819">
        <v>165661</v>
      </c>
      <c r="L98" s="819">
        <f>(H98-G98)/F98</f>
        <v>11270.333333333334</v>
      </c>
      <c r="N98" s="819">
        <f>G98/F98</f>
        <v>2534.75</v>
      </c>
      <c r="V98" s="819">
        <v>25</v>
      </c>
      <c r="W98" s="820">
        <v>1.02</v>
      </c>
      <c r="X98" s="824" t="s">
        <v>660</v>
      </c>
      <c r="Y98" s="824" t="s">
        <v>661</v>
      </c>
      <c r="Z98" s="824">
        <v>8398</v>
      </c>
      <c r="AA98" s="819">
        <v>12</v>
      </c>
      <c r="AB98" s="819">
        <v>25870</v>
      </c>
      <c r="AC98" s="819">
        <v>127481</v>
      </c>
      <c r="AG98" s="819">
        <f>(AC98-AB98)/AA98</f>
        <v>8467.5833333333339</v>
      </c>
      <c r="AI98" s="819">
        <f>AB98/AA98</f>
        <v>2155.8333333333335</v>
      </c>
    </row>
    <row r="99" spans="1:35" x14ac:dyDescent="0.2">
      <c r="C99" s="824">
        <v>2011</v>
      </c>
      <c r="D99" s="824"/>
      <c r="E99" s="824"/>
      <c r="J99" s="819">
        <v>6</v>
      </c>
      <c r="K99" s="819">
        <f>J99*L98+N99</f>
        <v>82830.5</v>
      </c>
      <c r="N99" s="819">
        <f>J99*N98</f>
        <v>15208.5</v>
      </c>
      <c r="X99" s="824">
        <v>2014</v>
      </c>
      <c r="Y99" s="824"/>
      <c r="Z99" s="824"/>
      <c r="AE99" s="819">
        <v>5</v>
      </c>
      <c r="AF99" s="819">
        <f>AE99*AG98+AI99</f>
        <v>53117.083333333343</v>
      </c>
      <c r="AI99" s="819">
        <f>AE99*AI98</f>
        <v>10779.166666666668</v>
      </c>
    </row>
    <row r="100" spans="1:35" x14ac:dyDescent="0.2">
      <c r="C100" s="824">
        <v>2012</v>
      </c>
      <c r="D100" s="824"/>
      <c r="E100" s="824"/>
      <c r="J100" s="819">
        <v>6</v>
      </c>
      <c r="K100" s="819">
        <f>J100*L98+N100</f>
        <v>82830.5</v>
      </c>
      <c r="N100" s="819">
        <f>J100*N98</f>
        <v>15208.5</v>
      </c>
      <c r="X100" s="824">
        <v>2015</v>
      </c>
      <c r="Y100" s="824"/>
      <c r="Z100" s="824"/>
      <c r="AE100" s="819">
        <v>7</v>
      </c>
      <c r="AF100" s="819">
        <f>AE100*AG98+AI100</f>
        <v>74363.916666666672</v>
      </c>
      <c r="AI100" s="819">
        <f>AE100*AI98</f>
        <v>15090.833333333334</v>
      </c>
    </row>
    <row r="101" spans="1:35" x14ac:dyDescent="0.2">
      <c r="C101" s="824"/>
      <c r="D101" s="824"/>
      <c r="E101" s="824"/>
      <c r="X101" s="824"/>
      <c r="Y101" s="824"/>
      <c r="Z101" s="824"/>
    </row>
    <row r="102" spans="1:35" x14ac:dyDescent="0.2">
      <c r="A102" s="819">
        <v>25</v>
      </c>
      <c r="B102" s="820">
        <v>1.04</v>
      </c>
      <c r="C102" s="824" t="s">
        <v>656</v>
      </c>
      <c r="D102" s="824" t="s">
        <v>657</v>
      </c>
      <c r="E102" s="824">
        <v>11561</v>
      </c>
      <c r="F102" s="819">
        <v>13</v>
      </c>
      <c r="G102" s="819">
        <v>41409</v>
      </c>
      <c r="H102" s="819">
        <v>193239</v>
      </c>
      <c r="L102" s="819">
        <f>(H102-G102)/F102</f>
        <v>11679.23076923077</v>
      </c>
      <c r="N102" s="819">
        <f>G102/F102</f>
        <v>3185.3076923076924</v>
      </c>
      <c r="V102" s="819">
        <v>26</v>
      </c>
      <c r="W102" s="820">
        <v>1.014</v>
      </c>
      <c r="X102" s="824" t="s">
        <v>662</v>
      </c>
      <c r="Y102" s="824" t="s">
        <v>663</v>
      </c>
      <c r="Z102" s="824">
        <v>8515</v>
      </c>
      <c r="AA102" s="819">
        <v>12</v>
      </c>
      <c r="AB102" s="819">
        <v>25941</v>
      </c>
      <c r="AC102" s="819">
        <v>129259</v>
      </c>
      <c r="AG102" s="819">
        <f>(AC102-AB102)/AA102</f>
        <v>8609.8333333333339</v>
      </c>
      <c r="AI102" s="819">
        <f>AB102/AA102</f>
        <v>2161.75</v>
      </c>
    </row>
    <row r="103" spans="1:35" x14ac:dyDescent="0.2">
      <c r="C103" s="824">
        <v>2012</v>
      </c>
      <c r="D103" s="824"/>
      <c r="E103" s="824"/>
      <c r="J103" s="819">
        <v>6</v>
      </c>
      <c r="K103" s="819">
        <f>J103*L102+N103</f>
        <v>89187.23076923078</v>
      </c>
      <c r="N103" s="819">
        <f>N102*J103</f>
        <v>19111.846153846156</v>
      </c>
      <c r="X103" s="824">
        <v>2015</v>
      </c>
      <c r="Y103" s="824"/>
      <c r="Z103" s="824"/>
      <c r="AE103" s="819">
        <v>5</v>
      </c>
      <c r="AF103" s="819">
        <f>AE103*AG102+AI103</f>
        <v>53857.916666666672</v>
      </c>
      <c r="AI103" s="819">
        <f>AE103*AI102</f>
        <v>10808.75</v>
      </c>
    </row>
    <row r="104" spans="1:35" x14ac:dyDescent="0.2">
      <c r="C104" s="824">
        <v>2013</v>
      </c>
      <c r="D104" s="824"/>
      <c r="E104" s="824"/>
      <c r="J104" s="819">
        <v>7</v>
      </c>
      <c r="K104" s="819">
        <f>J104*L102+N104</f>
        <v>104051.76923076923</v>
      </c>
      <c r="N104" s="819">
        <f>N102*J104</f>
        <v>22297.153846153848</v>
      </c>
      <c r="X104" s="824">
        <v>2016</v>
      </c>
      <c r="Y104" s="824"/>
      <c r="Z104" s="824"/>
      <c r="AE104" s="819">
        <v>7</v>
      </c>
      <c r="AF104" s="819">
        <f>AE104*AG102+AI104</f>
        <v>75401.083333333343</v>
      </c>
      <c r="AI104" s="819">
        <f>AE104*AI102</f>
        <v>15132.25</v>
      </c>
    </row>
    <row r="105" spans="1:35" x14ac:dyDescent="0.2">
      <c r="C105" s="824"/>
      <c r="D105" s="824"/>
      <c r="E105" s="824"/>
      <c r="X105" s="824"/>
      <c r="Y105" s="824"/>
      <c r="Z105" s="824"/>
    </row>
    <row r="106" spans="1:35" x14ac:dyDescent="0.2">
      <c r="A106" s="819">
        <v>26</v>
      </c>
      <c r="B106" s="820">
        <v>1.04</v>
      </c>
      <c r="C106" s="824" t="s">
        <v>658</v>
      </c>
      <c r="D106" s="824" t="s">
        <v>659</v>
      </c>
      <c r="E106" s="824">
        <v>12023</v>
      </c>
      <c r="F106" s="819">
        <v>12</v>
      </c>
      <c r="G106" s="819">
        <v>38151</v>
      </c>
      <c r="H106" s="819">
        <v>183630</v>
      </c>
      <c r="L106" s="819">
        <f>(H106-G106)/F106</f>
        <v>12123.25</v>
      </c>
      <c r="N106" s="819">
        <f>G106/F106</f>
        <v>3179.25</v>
      </c>
      <c r="V106" s="819">
        <v>27</v>
      </c>
      <c r="W106" s="820">
        <v>1.016</v>
      </c>
      <c r="X106" s="824" t="s">
        <v>664</v>
      </c>
      <c r="Y106" s="824" t="s">
        <v>665</v>
      </c>
      <c r="Z106" s="824">
        <v>8651</v>
      </c>
      <c r="AA106" s="819">
        <v>7</v>
      </c>
      <c r="AB106" s="819">
        <v>15037</v>
      </c>
      <c r="AC106" s="819">
        <v>75886</v>
      </c>
      <c r="AG106" s="819">
        <f>(AC106-AB106)/AA106</f>
        <v>8692.7142857142862</v>
      </c>
      <c r="AI106" s="819">
        <f>AB106/AA106</f>
        <v>2148.1428571428573</v>
      </c>
    </row>
    <row r="107" spans="1:35" x14ac:dyDescent="0.2">
      <c r="C107" s="824">
        <v>2013</v>
      </c>
      <c r="D107" s="824"/>
      <c r="E107" s="824"/>
      <c r="J107" s="819">
        <v>5</v>
      </c>
      <c r="K107" s="819">
        <f>J107*L106+N107</f>
        <v>76512.5</v>
      </c>
      <c r="N107" s="819">
        <f>J107*N106</f>
        <v>15896.25</v>
      </c>
      <c r="X107" s="824">
        <v>2016</v>
      </c>
      <c r="Y107" s="824"/>
      <c r="Z107" s="824"/>
      <c r="AE107" s="819">
        <v>5</v>
      </c>
      <c r="AF107" s="819">
        <f>AE107*AG106+AI107</f>
        <v>54204.285714285725</v>
      </c>
      <c r="AI107" s="819">
        <f>AE107*AI106</f>
        <v>10740.714285714286</v>
      </c>
    </row>
    <row r="108" spans="1:35" x14ac:dyDescent="0.2">
      <c r="C108" s="824">
        <v>2014</v>
      </c>
      <c r="D108" s="824"/>
      <c r="E108" s="824"/>
      <c r="J108" s="819">
        <v>7</v>
      </c>
      <c r="K108" s="819">
        <f>J108*L106+N108</f>
        <v>107117.5</v>
      </c>
      <c r="N108" s="819">
        <f>J108*N106</f>
        <v>22254.75</v>
      </c>
      <c r="X108" s="824">
        <v>2017</v>
      </c>
      <c r="Y108" s="824"/>
      <c r="Z108" s="824"/>
      <c r="AE108" s="819">
        <v>2</v>
      </c>
      <c r="AF108" s="819">
        <f>AE108*AG106+AI108</f>
        <v>21681.714285714286</v>
      </c>
      <c r="AI108" s="819">
        <f>AE108*AI106</f>
        <v>4296.2857142857147</v>
      </c>
    </row>
    <row r="109" spans="1:35" x14ac:dyDescent="0.2">
      <c r="C109" s="824"/>
      <c r="D109" s="824"/>
      <c r="E109" s="824"/>
      <c r="X109" s="824"/>
      <c r="Y109" s="824"/>
      <c r="Z109" s="824"/>
    </row>
    <row r="110" spans="1:35" x14ac:dyDescent="0.2">
      <c r="A110" s="819">
        <v>27</v>
      </c>
      <c r="B110" s="820">
        <v>1.02</v>
      </c>
      <c r="C110" s="824" t="s">
        <v>660</v>
      </c>
      <c r="D110" s="824" t="s">
        <v>661</v>
      </c>
      <c r="E110" s="824">
        <v>12263</v>
      </c>
      <c r="F110" s="819">
        <v>12</v>
      </c>
      <c r="G110" s="819">
        <v>38151</v>
      </c>
      <c r="H110" s="819">
        <v>186539</v>
      </c>
      <c r="L110" s="819">
        <f>(H110-G110)/F110</f>
        <v>12365.666666666666</v>
      </c>
      <c r="N110" s="819">
        <f>G110/F110</f>
        <v>3179.25</v>
      </c>
      <c r="X110" s="824"/>
      <c r="Y110" s="824"/>
      <c r="Z110" s="824"/>
    </row>
    <row r="111" spans="1:35" x14ac:dyDescent="0.2">
      <c r="C111" s="824">
        <v>2014</v>
      </c>
      <c r="D111" s="824"/>
      <c r="E111" s="824"/>
      <c r="J111" s="819">
        <v>5</v>
      </c>
      <c r="K111" s="819">
        <f>J111*L110+N111</f>
        <v>77724.583333333328</v>
      </c>
      <c r="N111" s="819">
        <f>J111*N110</f>
        <v>15896.25</v>
      </c>
      <c r="X111" s="824"/>
      <c r="Y111" s="824"/>
      <c r="Z111" s="824"/>
    </row>
    <row r="112" spans="1:35" x14ac:dyDescent="0.2">
      <c r="C112" s="824">
        <v>2015</v>
      </c>
      <c r="D112" s="824"/>
      <c r="E112" s="824"/>
      <c r="J112" s="819">
        <v>7</v>
      </c>
      <c r="K112" s="819">
        <f>J112*L110+N112</f>
        <v>108814.41666666666</v>
      </c>
      <c r="N112" s="819">
        <f>J112*N110</f>
        <v>22254.75</v>
      </c>
      <c r="X112" s="824"/>
      <c r="Y112" s="824"/>
      <c r="Z112" s="824"/>
    </row>
    <row r="113" spans="1:26" x14ac:dyDescent="0.2">
      <c r="C113" s="824"/>
      <c r="D113" s="824"/>
      <c r="E113" s="824"/>
      <c r="X113" s="824"/>
      <c r="Y113" s="824"/>
      <c r="Z113" s="824"/>
    </row>
    <row r="114" spans="1:26" x14ac:dyDescent="0.2">
      <c r="A114" s="819">
        <v>28</v>
      </c>
      <c r="B114" s="820">
        <v>1.014</v>
      </c>
      <c r="C114" s="824" t="s">
        <v>662</v>
      </c>
      <c r="D114" s="824" t="s">
        <v>663</v>
      </c>
      <c r="E114" s="824">
        <v>12435</v>
      </c>
      <c r="F114" s="819">
        <v>12</v>
      </c>
      <c r="G114" s="819">
        <v>46119</v>
      </c>
      <c r="H114" s="819">
        <v>196999</v>
      </c>
      <c r="L114" s="819">
        <f>(H114-G114)/F114</f>
        <v>12573.333333333334</v>
      </c>
      <c r="N114" s="819">
        <f>G114/F114</f>
        <v>3843.25</v>
      </c>
      <c r="X114" s="824"/>
      <c r="Y114" s="824"/>
      <c r="Z114" s="824"/>
    </row>
    <row r="115" spans="1:26" x14ac:dyDescent="0.2">
      <c r="C115" s="824">
        <v>2015</v>
      </c>
      <c r="D115" s="824"/>
      <c r="E115" s="824"/>
      <c r="J115" s="819">
        <v>5</v>
      </c>
      <c r="K115" s="819">
        <f>J115*L114+N115</f>
        <v>82082.916666666672</v>
      </c>
      <c r="N115" s="819">
        <f>J115*N114</f>
        <v>19216.25</v>
      </c>
      <c r="X115" s="824"/>
      <c r="Y115" s="824"/>
      <c r="Z115" s="824"/>
    </row>
    <row r="116" spans="1:26" x14ac:dyDescent="0.2">
      <c r="C116" s="824">
        <v>2016</v>
      </c>
      <c r="D116" s="824"/>
      <c r="E116" s="824"/>
      <c r="J116" s="819">
        <v>7</v>
      </c>
      <c r="K116" s="819">
        <f>J116*L114+N116</f>
        <v>114916.08333333334</v>
      </c>
      <c r="N116" s="819">
        <f>J116*N114</f>
        <v>26902.75</v>
      </c>
      <c r="X116" s="824"/>
      <c r="Y116" s="824"/>
      <c r="Z116" s="824"/>
    </row>
    <row r="117" spans="1:26" x14ac:dyDescent="0.2">
      <c r="C117" s="824"/>
      <c r="D117" s="824"/>
      <c r="E117" s="824"/>
      <c r="X117" s="824"/>
      <c r="Y117" s="824"/>
      <c r="Z117" s="824"/>
    </row>
    <row r="118" spans="1:26" x14ac:dyDescent="0.2">
      <c r="A118" s="819">
        <v>29</v>
      </c>
      <c r="B118" s="820">
        <v>1.016</v>
      </c>
      <c r="C118" s="824" t="s">
        <v>664</v>
      </c>
      <c r="D118" s="824" t="s">
        <v>666</v>
      </c>
      <c r="E118" s="824">
        <v>12634</v>
      </c>
      <c r="F118" s="819">
        <v>4</v>
      </c>
      <c r="G118" s="819">
        <v>15331</v>
      </c>
      <c r="H118" s="819">
        <v>66288</v>
      </c>
      <c r="L118" s="819">
        <f>(H118-G118)/F118</f>
        <v>12739.25</v>
      </c>
      <c r="N118" s="819">
        <f>G118/F118</f>
        <v>3832.75</v>
      </c>
      <c r="X118" s="824"/>
      <c r="Y118" s="824"/>
      <c r="Z118" s="824"/>
    </row>
    <row r="119" spans="1:26" x14ac:dyDescent="0.2">
      <c r="C119" s="824">
        <v>2016</v>
      </c>
      <c r="D119" s="824"/>
      <c r="G119" s="819">
        <f>SUM(G26:G118)</f>
        <v>386316</v>
      </c>
      <c r="H119" s="819">
        <f>SUM(H7:H118)</f>
        <v>2502822</v>
      </c>
      <c r="J119" s="819">
        <v>4</v>
      </c>
      <c r="K119" s="819">
        <f>J119*L118+N119</f>
        <v>66288</v>
      </c>
      <c r="N119" s="819">
        <f>N118*J119</f>
        <v>15331</v>
      </c>
      <c r="X119" s="824"/>
      <c r="Y119" s="824"/>
      <c r="Z119" s="824"/>
    </row>
    <row r="120" spans="1:26" x14ac:dyDescent="0.2">
      <c r="C120" s="824"/>
      <c r="D120" s="824"/>
      <c r="H120" s="819">
        <v>2427296</v>
      </c>
      <c r="X120" s="824"/>
      <c r="Y120" s="824"/>
      <c r="Z120" s="824"/>
    </row>
    <row r="121" spans="1:26" x14ac:dyDescent="0.2">
      <c r="C121" s="824"/>
      <c r="D121" s="824"/>
      <c r="H121" s="819">
        <f>H119-H120</f>
        <v>75526</v>
      </c>
      <c r="X121" s="824"/>
      <c r="Y121" s="824"/>
      <c r="Z121" s="824"/>
    </row>
    <row r="122" spans="1:26" x14ac:dyDescent="0.2">
      <c r="X122" s="824"/>
      <c r="Y122" s="824"/>
      <c r="Z122" s="824"/>
    </row>
    <row r="123" spans="1:26" x14ac:dyDescent="0.2">
      <c r="X123" s="824"/>
      <c r="Y123" s="824"/>
      <c r="Z123" s="824"/>
    </row>
    <row r="124" spans="1:26" x14ac:dyDescent="0.2">
      <c r="X124" s="824"/>
      <c r="Y124" s="824"/>
      <c r="Z124" s="824"/>
    </row>
    <row r="125" spans="1:26" x14ac:dyDescent="0.2">
      <c r="X125" s="824"/>
      <c r="Y125" s="824"/>
      <c r="Z125" s="824"/>
    </row>
    <row r="126" spans="1:26" x14ac:dyDescent="0.2">
      <c r="X126" s="824"/>
      <c r="Y126" s="824"/>
      <c r="Z126" s="824"/>
    </row>
    <row r="127" spans="1:26" x14ac:dyDescent="0.2">
      <c r="X127" s="824"/>
      <c r="Y127" s="824"/>
      <c r="Z127" s="824"/>
    </row>
    <row r="128" spans="1:26" x14ac:dyDescent="0.2">
      <c r="X128" s="824"/>
      <c r="Y128" s="824"/>
      <c r="Z128" s="824"/>
    </row>
    <row r="129" spans="24:26" x14ac:dyDescent="0.2">
      <c r="X129" s="824"/>
      <c r="Y129" s="824"/>
      <c r="Z129" s="824"/>
    </row>
    <row r="130" spans="24:26" x14ac:dyDescent="0.2">
      <c r="X130" s="824"/>
      <c r="Y130" s="824"/>
      <c r="Z130" s="824"/>
    </row>
    <row r="131" spans="24:26" x14ac:dyDescent="0.2">
      <c r="X131" s="824"/>
      <c r="Y131" s="824"/>
    </row>
    <row r="132" spans="24:26" x14ac:dyDescent="0.2">
      <c r="X132" s="824"/>
      <c r="Y132" s="824"/>
    </row>
    <row r="133" spans="24:26" x14ac:dyDescent="0.2">
      <c r="X133" s="824"/>
      <c r="Y133" s="82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T69"/>
  <sheetViews>
    <sheetView topLeftCell="A7" zoomScaleNormal="100" workbookViewId="0">
      <selection activeCell="B15" sqref="B15"/>
    </sheetView>
  </sheetViews>
  <sheetFormatPr defaultColWidth="9.140625" defaultRowHeight="13.5" x14ac:dyDescent="0.25"/>
  <cols>
    <col min="1" max="1" width="9.140625" style="546"/>
    <col min="2" max="2" width="57.42578125" style="545" bestFit="1" customWidth="1"/>
    <col min="3" max="3" width="22.28515625" style="546" bestFit="1" customWidth="1"/>
    <col min="4" max="4" width="17.140625" style="546" bestFit="1" customWidth="1"/>
    <col min="5" max="5" width="19.85546875" style="546" bestFit="1" customWidth="1"/>
    <col min="6" max="6" width="17.140625" style="546" bestFit="1" customWidth="1"/>
    <col min="7" max="7" width="19.85546875" style="546" bestFit="1" customWidth="1"/>
    <col min="8" max="8" width="17.140625" style="545" bestFit="1" customWidth="1"/>
    <col min="9" max="9" width="17.140625" style="546" bestFit="1" customWidth="1"/>
    <col min="10" max="10" width="19.85546875" style="546" bestFit="1" customWidth="1"/>
    <col min="11" max="11" width="13.85546875" style="546" bestFit="1" customWidth="1"/>
    <col min="12" max="13" width="21.5703125" style="546" bestFit="1" customWidth="1"/>
    <col min="14" max="14" width="23.85546875" style="546" customWidth="1"/>
    <col min="15" max="15" width="24.5703125" style="546" customWidth="1"/>
    <col min="16" max="16" width="23.140625" style="546" customWidth="1"/>
    <col min="17" max="17" width="9.140625" style="546"/>
    <col min="18" max="18" width="10.140625" style="546" bestFit="1" customWidth="1"/>
    <col min="19" max="16384" width="9.140625" style="546"/>
  </cols>
  <sheetData>
    <row r="2" spans="2:20" s="529" customFormat="1" ht="33" customHeight="1" x14ac:dyDescent="0.25">
      <c r="B2" s="530" t="s">
        <v>486</v>
      </c>
      <c r="C2" s="531" t="s">
        <v>229</v>
      </c>
      <c r="D2" s="531">
        <v>2008</v>
      </c>
      <c r="E2" s="531">
        <v>2009</v>
      </c>
      <c r="F2" s="531">
        <v>2010</v>
      </c>
      <c r="G2" s="531">
        <v>2011</v>
      </c>
      <c r="H2" s="530">
        <v>2012</v>
      </c>
      <c r="I2" s="531">
        <v>2013</v>
      </c>
      <c r="J2" s="531">
        <v>2014</v>
      </c>
      <c r="S2" s="532"/>
    </row>
    <row r="3" spans="2:20" s="533" customFormat="1" x14ac:dyDescent="0.25">
      <c r="B3" s="534" t="s">
        <v>220</v>
      </c>
      <c r="C3" s="535"/>
      <c r="D3" s="535">
        <f>0.41*KK!R26</f>
        <v>0</v>
      </c>
      <c r="E3" s="535">
        <f>0.62*KK!S26</f>
        <v>0</v>
      </c>
      <c r="F3" s="535">
        <f>4.65*KK!T26</f>
        <v>0</v>
      </c>
      <c r="G3" s="535">
        <f>0.37*KK!U26</f>
        <v>0</v>
      </c>
      <c r="H3" s="534">
        <v>0</v>
      </c>
      <c r="I3" s="535">
        <f>2.82*KK!W26</f>
        <v>0</v>
      </c>
      <c r="J3" s="535">
        <f>24.85*KK!X26</f>
        <v>0</v>
      </c>
      <c r="K3" s="536"/>
      <c r="L3" s="537"/>
      <c r="M3" s="537"/>
      <c r="N3" s="537"/>
      <c r="O3" s="537"/>
      <c r="P3" s="537"/>
      <c r="Q3" s="537"/>
      <c r="R3" s="537"/>
      <c r="S3" s="537"/>
      <c r="T3" s="537"/>
    </row>
    <row r="4" spans="2:20" s="538" customFormat="1" x14ac:dyDescent="0.25">
      <c r="B4" s="534" t="s">
        <v>222</v>
      </c>
      <c r="C4" s="534" t="s">
        <v>145</v>
      </c>
      <c r="D4" s="539">
        <f>346+345+345+346+345+345</f>
        <v>2072</v>
      </c>
      <c r="E4" s="539">
        <f>345+346+345.24+345+345.24+15000+230.24+356.24+231+230+230+231+230</f>
        <v>18464.960000000003</v>
      </c>
      <c r="F4" s="539">
        <f>230*7+231+230.24+231+126+231+3405+100</f>
        <v>6164.24</v>
      </c>
      <c r="G4" s="539">
        <f>201+204+205+205+205+205+205+3290+180.86+180.86+180.86+180.75+2060</f>
        <v>7503.329999999999</v>
      </c>
      <c r="H4" s="539">
        <f>165+165+165+165+162+165+165+3090+198+180+150+130</f>
        <v>4900</v>
      </c>
      <c r="I4" s="539">
        <f>140+138+138+140+140+140+137+140+138+140+100+150+130+140</f>
        <v>1911</v>
      </c>
      <c r="J4" s="539">
        <f>140*8+100+135+135+15550</f>
        <v>17040</v>
      </c>
      <c r="K4" s="536"/>
      <c r="L4" s="536"/>
      <c r="M4" s="536"/>
      <c r="N4" s="536"/>
      <c r="O4" s="536"/>
      <c r="P4" s="536"/>
      <c r="Q4" s="536"/>
      <c r="R4" s="536"/>
      <c r="S4" s="536"/>
      <c r="T4" s="536"/>
    </row>
    <row r="5" spans="2:20" s="538" customFormat="1" x14ac:dyDescent="0.25">
      <c r="B5" s="534"/>
      <c r="C5" s="534" t="s">
        <v>483</v>
      </c>
      <c r="D5" s="539">
        <f>+KK!R4</f>
        <v>123.1825</v>
      </c>
      <c r="E5" s="539">
        <f>+KK!S4</f>
        <v>137.16999999999999</v>
      </c>
      <c r="F5" s="539">
        <f>+KK!T4</f>
        <v>138.81</v>
      </c>
      <c r="G5" s="539">
        <f>+KK!U4</f>
        <v>138.30000000000001</v>
      </c>
      <c r="H5" s="539">
        <f>+KK!V4</f>
        <v>139.72</v>
      </c>
      <c r="I5" s="539">
        <f>+KK!W4</f>
        <v>140.21</v>
      </c>
      <c r="J5" s="539">
        <f>+KK!X4</f>
        <v>140.11000000000001</v>
      </c>
      <c r="K5" s="536"/>
      <c r="L5" s="536"/>
      <c r="M5" s="536"/>
      <c r="N5" s="536"/>
      <c r="O5" s="536"/>
    </row>
    <row r="6" spans="2:20" s="538" customFormat="1" x14ac:dyDescent="0.25">
      <c r="B6" s="530" t="s">
        <v>7</v>
      </c>
      <c r="C6" s="530" t="s">
        <v>219</v>
      </c>
      <c r="D6" s="540">
        <f>+D4*D5</f>
        <v>255234.14</v>
      </c>
      <c r="E6" s="540">
        <f t="shared" ref="E6:J6" si="0">+E4*E5</f>
        <v>2532838.5632000002</v>
      </c>
      <c r="F6" s="540">
        <f t="shared" si="0"/>
        <v>855658.1544</v>
      </c>
      <c r="G6" s="540">
        <f t="shared" si="0"/>
        <v>1037710.539</v>
      </c>
      <c r="H6" s="540">
        <f t="shared" si="0"/>
        <v>684628</v>
      </c>
      <c r="I6" s="540">
        <f t="shared" si="0"/>
        <v>267941.31</v>
      </c>
      <c r="J6" s="540">
        <f t="shared" si="0"/>
        <v>2387474.4000000004</v>
      </c>
      <c r="K6" s="536"/>
      <c r="L6" s="536"/>
      <c r="M6" s="536"/>
      <c r="N6" s="536"/>
      <c r="O6" s="536"/>
    </row>
    <row r="7" spans="2:20" s="541" customFormat="1" x14ac:dyDescent="0.25">
      <c r="B7" s="542"/>
      <c r="D7" s="543"/>
      <c r="E7" s="543"/>
      <c r="F7" s="543"/>
      <c r="G7" s="543"/>
      <c r="H7" s="543"/>
      <c r="I7" s="543"/>
      <c r="J7" s="543"/>
      <c r="K7" s="543"/>
      <c r="L7" s="544"/>
      <c r="M7" s="544"/>
      <c r="N7" s="544"/>
      <c r="O7" s="544"/>
      <c r="P7" s="544"/>
    </row>
    <row r="8" spans="2:20" s="538" customFormat="1" x14ac:dyDescent="0.25">
      <c r="B8" s="542"/>
      <c r="C8" s="542"/>
      <c r="D8" s="542">
        <v>2008</v>
      </c>
      <c r="E8" s="542"/>
      <c r="F8" s="542">
        <v>2009</v>
      </c>
      <c r="G8" s="542"/>
      <c r="H8" s="542">
        <v>2010</v>
      </c>
      <c r="I8" s="542"/>
      <c r="J8" s="542">
        <v>2011</v>
      </c>
      <c r="K8" s="542"/>
      <c r="L8" s="542">
        <v>2012</v>
      </c>
      <c r="M8" s="542"/>
      <c r="N8" s="542">
        <v>2013</v>
      </c>
      <c r="O8" s="542"/>
      <c r="P8" s="542">
        <v>2014</v>
      </c>
      <c r="Q8" s="536"/>
      <c r="R8" s="536"/>
    </row>
    <row r="9" spans="2:20" x14ac:dyDescent="0.25">
      <c r="C9" s="685" t="s">
        <v>528</v>
      </c>
      <c r="D9" s="686" t="s">
        <v>529</v>
      </c>
      <c r="E9" s="687" t="s">
        <v>528</v>
      </c>
      <c r="F9" s="688" t="s">
        <v>529</v>
      </c>
      <c r="G9" s="685" t="s">
        <v>528</v>
      </c>
      <c r="H9" s="686" t="s">
        <v>529</v>
      </c>
      <c r="I9" s="687" t="s">
        <v>528</v>
      </c>
      <c r="J9" s="688" t="s">
        <v>529</v>
      </c>
      <c r="K9" s="689" t="s">
        <v>528</v>
      </c>
      <c r="L9" s="690" t="s">
        <v>529</v>
      </c>
      <c r="M9" s="687" t="s">
        <v>528</v>
      </c>
      <c r="N9" s="688" t="s">
        <v>529</v>
      </c>
      <c r="O9" s="689" t="s">
        <v>528</v>
      </c>
      <c r="P9" s="690" t="s">
        <v>529</v>
      </c>
    </row>
    <row r="10" spans="2:20" x14ac:dyDescent="0.25">
      <c r="C10" s="546">
        <f>129.3</f>
        <v>129.30000000000001</v>
      </c>
    </row>
    <row r="11" spans="2:20" x14ac:dyDescent="0.25">
      <c r="D11" s="546">
        <v>215.94</v>
      </c>
      <c r="F11" s="546">
        <v>0.35</v>
      </c>
      <c r="G11" s="546">
        <v>64.81</v>
      </c>
      <c r="I11" s="546">
        <v>61.83</v>
      </c>
      <c r="K11" s="546">
        <v>51.4</v>
      </c>
    </row>
    <row r="12" spans="2:20" x14ac:dyDescent="0.25">
      <c r="D12" s="546">
        <v>0.76</v>
      </c>
      <c r="F12" s="546">
        <v>0.03</v>
      </c>
      <c r="H12" s="545">
        <v>165.43</v>
      </c>
      <c r="J12" s="546">
        <v>142.91999999999999</v>
      </c>
      <c r="L12" s="546">
        <v>112.92</v>
      </c>
      <c r="N12" s="546">
        <v>0.15</v>
      </c>
      <c r="O12" s="546">
        <v>51.71</v>
      </c>
    </row>
    <row r="13" spans="2:20" x14ac:dyDescent="0.25">
      <c r="D13" s="546">
        <v>0.03</v>
      </c>
      <c r="E13" s="546">
        <v>90.58</v>
      </c>
      <c r="G13" s="546">
        <v>65.180000000000007</v>
      </c>
      <c r="I13" s="546">
        <v>62.17</v>
      </c>
      <c r="K13" s="546">
        <v>53.5</v>
      </c>
      <c r="N13" s="546">
        <v>0.32</v>
      </c>
      <c r="P13" s="546">
        <v>87.37</v>
      </c>
    </row>
    <row r="14" spans="2:20" x14ac:dyDescent="0.25">
      <c r="C14" s="546">
        <v>88.49</v>
      </c>
      <c r="E14" s="546">
        <v>254.31</v>
      </c>
      <c r="H14" s="545">
        <v>165.06</v>
      </c>
      <c r="J14" s="546">
        <v>142.58000000000001</v>
      </c>
      <c r="L14" s="546">
        <v>110.82</v>
      </c>
      <c r="M14" s="546">
        <v>50.91</v>
      </c>
      <c r="O14" s="546">
        <v>52</v>
      </c>
    </row>
    <row r="15" spans="2:20" x14ac:dyDescent="0.25">
      <c r="D15" s="546">
        <v>255.99</v>
      </c>
      <c r="F15" s="546">
        <v>0.06</v>
      </c>
      <c r="G15" s="546">
        <v>81.48</v>
      </c>
      <c r="I15" s="546">
        <v>76.28</v>
      </c>
      <c r="L15" s="546">
        <v>1.73</v>
      </c>
      <c r="N15" s="546">
        <v>86.05</v>
      </c>
      <c r="P15" s="546">
        <v>87.08</v>
      </c>
    </row>
    <row r="16" spans="2:20" x14ac:dyDescent="0.25">
      <c r="D16" s="546">
        <v>0.06</v>
      </c>
      <c r="F16" s="546">
        <v>0.02</v>
      </c>
      <c r="H16" s="545">
        <v>148.76</v>
      </c>
      <c r="J16" s="546">
        <v>128.47</v>
      </c>
      <c r="L16" s="546">
        <v>0.03</v>
      </c>
      <c r="M16" s="546">
        <v>48.25</v>
      </c>
      <c r="O16" s="546">
        <v>60.69</v>
      </c>
    </row>
    <row r="17" spans="3:16" x14ac:dyDescent="0.25">
      <c r="D17" s="546">
        <v>0.43</v>
      </c>
      <c r="F17" s="546">
        <v>0.03</v>
      </c>
      <c r="G17" s="546">
        <v>66</v>
      </c>
      <c r="J17" s="546">
        <v>0.4</v>
      </c>
      <c r="L17" s="546">
        <v>0.06</v>
      </c>
      <c r="N17" s="546">
        <v>90.83</v>
      </c>
      <c r="P17" s="546">
        <v>78.39</v>
      </c>
    </row>
    <row r="18" spans="3:16" x14ac:dyDescent="0.25">
      <c r="D18" s="546">
        <v>0.06</v>
      </c>
      <c r="E18" s="546">
        <v>91.09</v>
      </c>
      <c r="H18" s="545">
        <v>164.24</v>
      </c>
      <c r="J18" s="546">
        <v>0.02</v>
      </c>
      <c r="K18" s="546">
        <v>60.93</v>
      </c>
      <c r="M18" s="546">
        <v>48.52</v>
      </c>
      <c r="P18" s="546">
        <v>5.58</v>
      </c>
    </row>
    <row r="19" spans="3:16" x14ac:dyDescent="0.25">
      <c r="C19" s="546">
        <v>97.25</v>
      </c>
      <c r="F19" s="546">
        <v>254.13</v>
      </c>
      <c r="G19" s="546">
        <v>71.650000000000006</v>
      </c>
      <c r="J19" s="546">
        <v>0.04</v>
      </c>
      <c r="L19" s="546">
        <v>101.66</v>
      </c>
      <c r="N19" s="546">
        <v>90.56</v>
      </c>
      <c r="P19" s="546">
        <v>0.11</v>
      </c>
    </row>
    <row r="20" spans="3:16" x14ac:dyDescent="0.25">
      <c r="D20" s="546">
        <v>247.56</v>
      </c>
      <c r="F20" s="546">
        <v>0.06</v>
      </c>
      <c r="H20" s="545">
        <v>158.59</v>
      </c>
      <c r="I20" s="546">
        <v>52.95</v>
      </c>
      <c r="K20" s="546">
        <v>54.14</v>
      </c>
      <c r="M20" s="546">
        <v>57.53</v>
      </c>
      <c r="P20" s="546">
        <v>0.24</v>
      </c>
    </row>
    <row r="21" spans="3:16" x14ac:dyDescent="0.25">
      <c r="D21" s="546">
        <v>0.12</v>
      </c>
      <c r="F21" s="546">
        <v>0.69</v>
      </c>
      <c r="H21" s="545">
        <v>0.42</v>
      </c>
      <c r="J21" s="546">
        <v>141.4</v>
      </c>
      <c r="L21" s="546">
        <v>110.18</v>
      </c>
      <c r="N21" s="546">
        <v>81.55</v>
      </c>
      <c r="O21" s="546">
        <v>52.63</v>
      </c>
    </row>
    <row r="22" spans="3:16" x14ac:dyDescent="0.25">
      <c r="D22" s="546">
        <v>0.01</v>
      </c>
      <c r="F22" s="546">
        <v>0.14000000000000001</v>
      </c>
      <c r="H22" s="545">
        <v>0.06</v>
      </c>
      <c r="I22" s="546">
        <v>67.86</v>
      </c>
      <c r="K22" s="546">
        <v>57.99</v>
      </c>
      <c r="N22" s="546">
        <v>1.33</v>
      </c>
      <c r="P22" s="546">
        <v>80.87</v>
      </c>
    </row>
    <row r="23" spans="3:16" x14ac:dyDescent="0.25">
      <c r="D23" s="546">
        <v>0.03</v>
      </c>
      <c r="E23" s="546">
        <v>116.14</v>
      </c>
      <c r="G23" s="546">
        <v>66.77</v>
      </c>
      <c r="J23" s="546">
        <v>135.88999999999999</v>
      </c>
      <c r="L23" s="546">
        <v>106.33</v>
      </c>
      <c r="N23" s="546">
        <v>0.01</v>
      </c>
      <c r="O23" s="546">
        <v>55.71</v>
      </c>
    </row>
    <row r="24" spans="3:16" x14ac:dyDescent="0.25">
      <c r="C24" s="546">
        <v>89.53</v>
      </c>
      <c r="F24" s="546">
        <v>228.41</v>
      </c>
      <c r="H24" s="545">
        <v>163.05000000000001</v>
      </c>
      <c r="I24" s="546">
        <v>63.68</v>
      </c>
      <c r="K24" s="482">
        <v>54.77</v>
      </c>
      <c r="N24" s="546">
        <v>0.02</v>
      </c>
      <c r="P24" s="546">
        <v>83.37</v>
      </c>
    </row>
    <row r="25" spans="3:16" x14ac:dyDescent="0.25">
      <c r="D25" s="546">
        <v>255.7</v>
      </c>
      <c r="F25" s="546">
        <v>0.31</v>
      </c>
      <c r="H25" s="545">
        <v>0.12</v>
      </c>
      <c r="J25" s="547">
        <v>141.07</v>
      </c>
      <c r="K25" s="482"/>
      <c r="L25" s="546">
        <v>109.55</v>
      </c>
      <c r="M25" s="546">
        <v>49.12</v>
      </c>
      <c r="O25" s="546">
        <v>53.24</v>
      </c>
    </row>
    <row r="26" spans="3:16" x14ac:dyDescent="0.25">
      <c r="D26" s="546">
        <v>0.06</v>
      </c>
      <c r="E26" s="546">
        <v>92.25</v>
      </c>
      <c r="G26" s="545">
        <v>72.400000000000006</v>
      </c>
      <c r="H26" s="546"/>
      <c r="I26" s="546">
        <v>68.569999999999993</v>
      </c>
      <c r="J26" s="482"/>
      <c r="K26" s="546">
        <v>58.6</v>
      </c>
      <c r="N26" s="546">
        <v>88.53</v>
      </c>
      <c r="P26" s="546">
        <v>85.84</v>
      </c>
    </row>
    <row r="27" spans="3:16" x14ac:dyDescent="0.25">
      <c r="D27" s="546">
        <v>0.68</v>
      </c>
      <c r="F27" s="546">
        <v>252.99</v>
      </c>
      <c r="G27" s="545"/>
      <c r="H27" s="482">
        <v>157.84</v>
      </c>
      <c r="J27" s="546">
        <v>136.18</v>
      </c>
      <c r="L27" s="546">
        <v>105.72</v>
      </c>
      <c r="N27" s="546">
        <v>2.2200000000000002</v>
      </c>
      <c r="O27" s="546">
        <v>56.3</v>
      </c>
    </row>
    <row r="28" spans="3:16" x14ac:dyDescent="0.25">
      <c r="D28" s="546">
        <v>0.03</v>
      </c>
      <c r="E28" s="546">
        <v>100.91</v>
      </c>
      <c r="H28" s="545">
        <v>105</v>
      </c>
      <c r="J28" s="546">
        <v>22</v>
      </c>
      <c r="L28" s="546">
        <v>90</v>
      </c>
      <c r="N28" s="546">
        <v>0.02</v>
      </c>
      <c r="P28" s="546">
        <v>82.78</v>
      </c>
    </row>
    <row r="29" spans="3:16" x14ac:dyDescent="0.25">
      <c r="C29" s="546">
        <v>98.26</v>
      </c>
      <c r="F29" s="546">
        <v>244.33</v>
      </c>
      <c r="H29" s="545">
        <v>0.16</v>
      </c>
      <c r="J29" s="546">
        <v>39</v>
      </c>
      <c r="K29" s="546">
        <v>3000</v>
      </c>
      <c r="N29" s="546">
        <v>0.05</v>
      </c>
      <c r="P29" s="546">
        <v>40</v>
      </c>
    </row>
    <row r="30" spans="3:16" x14ac:dyDescent="0.25">
      <c r="D30" s="546">
        <v>246.3</v>
      </c>
      <c r="E30" s="546">
        <v>15000</v>
      </c>
      <c r="G30" s="546">
        <v>67.55</v>
      </c>
      <c r="I30" s="546">
        <v>92.15</v>
      </c>
      <c r="L30" s="546">
        <v>60</v>
      </c>
      <c r="M30" s="546">
        <v>52.29</v>
      </c>
      <c r="P30" s="546">
        <v>60</v>
      </c>
    </row>
    <row r="31" spans="3:16" x14ac:dyDescent="0.25">
      <c r="D31" s="546">
        <v>255.7</v>
      </c>
      <c r="E31" s="546">
        <v>54.16</v>
      </c>
      <c r="H31" s="545">
        <v>57.69</v>
      </c>
      <c r="I31" s="546">
        <v>3000</v>
      </c>
      <c r="L31" s="546">
        <v>0.03</v>
      </c>
      <c r="N31" s="546">
        <v>84.57</v>
      </c>
      <c r="P31" s="546">
        <v>43.91</v>
      </c>
    </row>
    <row r="32" spans="3:16" x14ac:dyDescent="0.25">
      <c r="D32" s="546">
        <v>0.06</v>
      </c>
      <c r="F32" s="546">
        <v>176.08</v>
      </c>
      <c r="H32" s="545">
        <v>0.36</v>
      </c>
      <c r="I32" s="546">
        <v>18.04</v>
      </c>
      <c r="L32" s="546">
        <v>0.08</v>
      </c>
      <c r="N32" s="546">
        <v>3.07</v>
      </c>
      <c r="P32" s="546">
        <v>1</v>
      </c>
    </row>
    <row r="33" spans="3:16" x14ac:dyDescent="0.25">
      <c r="D33" s="546">
        <v>0.68</v>
      </c>
      <c r="E33" s="546">
        <v>68</v>
      </c>
      <c r="G33" s="546">
        <v>67.930000000000007</v>
      </c>
      <c r="J33" s="546">
        <v>127.64</v>
      </c>
      <c r="K33" s="546">
        <v>36.659999999999997</v>
      </c>
      <c r="N33" s="546">
        <v>0.01</v>
      </c>
      <c r="P33" s="546">
        <v>0.02</v>
      </c>
    </row>
    <row r="34" spans="3:16" x14ac:dyDescent="0.25">
      <c r="D34" s="546">
        <v>0.03</v>
      </c>
      <c r="F34" s="546">
        <v>162.24</v>
      </c>
      <c r="H34" s="545">
        <v>162.31</v>
      </c>
      <c r="J34" s="546">
        <v>36</v>
      </c>
      <c r="L34" s="546">
        <v>102.42</v>
      </c>
      <c r="N34" s="546">
        <v>0.02</v>
      </c>
      <c r="P34" s="546">
        <v>41.32</v>
      </c>
    </row>
    <row r="35" spans="3:16" x14ac:dyDescent="0.25">
      <c r="C35" s="546">
        <v>98.26</v>
      </c>
      <c r="E35" s="546">
        <v>62.97</v>
      </c>
      <c r="H35" s="545">
        <v>0.04</v>
      </c>
      <c r="J35" s="546">
        <v>0.01</v>
      </c>
      <c r="L35" s="546">
        <v>15</v>
      </c>
      <c r="M35" s="546">
        <v>49.69</v>
      </c>
      <c r="O35" s="546">
        <v>53.85</v>
      </c>
    </row>
    <row r="36" spans="3:16" x14ac:dyDescent="0.25">
      <c r="D36" s="546">
        <v>246.3</v>
      </c>
      <c r="F36" s="546">
        <v>167.27</v>
      </c>
      <c r="G36" s="546">
        <v>73.53</v>
      </c>
      <c r="J36" s="546">
        <v>0.03</v>
      </c>
      <c r="L36" s="546">
        <v>26</v>
      </c>
      <c r="N36" s="546">
        <v>86.32</v>
      </c>
      <c r="P36" s="546">
        <v>4.8</v>
      </c>
    </row>
    <row r="37" spans="3:16" x14ac:dyDescent="0.25">
      <c r="F37" s="546">
        <v>0.76</v>
      </c>
      <c r="H37" s="545">
        <v>156.71</v>
      </c>
      <c r="I37" s="546">
        <v>35.18</v>
      </c>
      <c r="L37" s="546">
        <v>0.02</v>
      </c>
      <c r="N37" s="546">
        <v>0.96</v>
      </c>
      <c r="P37" s="546">
        <v>0.04</v>
      </c>
    </row>
    <row r="38" spans="3:16" x14ac:dyDescent="0.25">
      <c r="C38" s="580">
        <f>SUM(C10:C37)</f>
        <v>601.09</v>
      </c>
      <c r="D38" s="580">
        <f>SUM(D10:D37)</f>
        <v>1726.53</v>
      </c>
      <c r="F38" s="546">
        <v>0.06</v>
      </c>
      <c r="H38" s="545">
        <v>0.08</v>
      </c>
      <c r="J38" s="546">
        <v>0.78</v>
      </c>
      <c r="L38" s="546">
        <v>0.05</v>
      </c>
      <c r="N38" s="546">
        <v>0.01</v>
      </c>
      <c r="P38" s="546">
        <v>0.1</v>
      </c>
    </row>
    <row r="39" spans="3:16" x14ac:dyDescent="0.25">
      <c r="E39" s="546">
        <v>63.32</v>
      </c>
      <c r="G39" s="546">
        <v>68.72</v>
      </c>
      <c r="J39" s="546">
        <v>0.02</v>
      </c>
      <c r="K39" s="546">
        <v>47.16</v>
      </c>
      <c r="N39" s="546">
        <v>0.02</v>
      </c>
      <c r="O39" s="546">
        <v>54.16</v>
      </c>
    </row>
    <row r="40" spans="3:16" x14ac:dyDescent="0.25">
      <c r="D40" s="584">
        <v>2327.62</v>
      </c>
      <c r="F40" s="546">
        <v>166.16</v>
      </c>
      <c r="H40" s="545">
        <v>161.52000000000001</v>
      </c>
      <c r="J40" s="546">
        <v>0.03</v>
      </c>
      <c r="K40" s="634"/>
      <c r="L40" s="634">
        <v>91.92</v>
      </c>
      <c r="M40" s="546">
        <v>52.84</v>
      </c>
      <c r="P40" s="546">
        <v>80.12</v>
      </c>
    </row>
    <row r="41" spans="3:16" x14ac:dyDescent="0.25">
      <c r="F41" s="546">
        <v>0.12</v>
      </c>
      <c r="G41" s="546">
        <v>3200</v>
      </c>
      <c r="I41" s="546">
        <v>57.22</v>
      </c>
      <c r="L41" s="546">
        <v>0.7</v>
      </c>
      <c r="N41" s="546">
        <v>85.28</v>
      </c>
      <c r="P41" s="546">
        <v>5.58</v>
      </c>
    </row>
    <row r="42" spans="3:16" x14ac:dyDescent="0.25">
      <c r="E42" s="546">
        <v>69.05</v>
      </c>
      <c r="G42" s="546">
        <v>54.01</v>
      </c>
      <c r="J42" s="546">
        <v>122.86</v>
      </c>
      <c r="L42" s="546">
        <v>0.05</v>
      </c>
      <c r="N42" s="546">
        <v>1.85</v>
      </c>
      <c r="P42" s="546">
        <v>0.02</v>
      </c>
    </row>
    <row r="43" spans="3:16" x14ac:dyDescent="0.25">
      <c r="F43" s="546">
        <v>161.19</v>
      </c>
      <c r="H43" s="545">
        <v>150.74</v>
      </c>
      <c r="J43" s="546">
        <v>0.73</v>
      </c>
      <c r="L43" s="546">
        <v>0.1</v>
      </c>
      <c r="N43" s="546">
        <v>0.03</v>
      </c>
      <c r="P43" s="546">
        <v>0.05</v>
      </c>
    </row>
    <row r="44" spans="3:16" x14ac:dyDescent="0.25">
      <c r="E44" s="546">
        <v>64.069999999999993</v>
      </c>
      <c r="J44" s="546">
        <v>0.03</v>
      </c>
      <c r="K44" s="546">
        <v>50.38</v>
      </c>
      <c r="N44" s="546">
        <v>7.0000000000000007E-2</v>
      </c>
      <c r="O44" s="546">
        <v>57.19</v>
      </c>
    </row>
    <row r="45" spans="3:16" x14ac:dyDescent="0.25">
      <c r="F45" s="546">
        <v>166.17</v>
      </c>
      <c r="G45" s="580">
        <f>SUM(G11:G44)</f>
        <v>4020.03</v>
      </c>
      <c r="H45" s="580">
        <f>SUM(H11:H44)</f>
        <v>1918.1799999999998</v>
      </c>
      <c r="J45" s="546">
        <v>7.0000000000000007E-2</v>
      </c>
      <c r="L45" s="546">
        <v>88</v>
      </c>
      <c r="M45" s="546">
        <v>50.26</v>
      </c>
      <c r="P45" s="546">
        <v>76.31</v>
      </c>
    </row>
    <row r="46" spans="3:16" x14ac:dyDescent="0.25">
      <c r="E46" s="546">
        <v>69.77</v>
      </c>
      <c r="I46" s="546">
        <v>61.52</v>
      </c>
      <c r="L46" s="546">
        <v>11.47</v>
      </c>
      <c r="N46" s="546">
        <v>86.97</v>
      </c>
      <c r="O46" s="546">
        <v>451.84</v>
      </c>
    </row>
    <row r="47" spans="3:16" x14ac:dyDescent="0.25">
      <c r="F47" s="546">
        <v>160.47</v>
      </c>
      <c r="H47" s="585">
        <f>G45+H45</f>
        <v>5938.21</v>
      </c>
      <c r="J47" s="546">
        <v>118.61</v>
      </c>
      <c r="L47" s="546">
        <v>0.08</v>
      </c>
      <c r="N47" s="546">
        <v>41</v>
      </c>
      <c r="P47" s="546">
        <v>35.35</v>
      </c>
    </row>
    <row r="48" spans="3:16" x14ac:dyDescent="0.25">
      <c r="I48" s="546">
        <v>57.88</v>
      </c>
      <c r="L48" s="546">
        <v>0.19</v>
      </c>
      <c r="N48" s="546">
        <v>60</v>
      </c>
      <c r="O48" s="546">
        <v>15061.29</v>
      </c>
    </row>
    <row r="49" spans="3:16" x14ac:dyDescent="0.25">
      <c r="E49" s="580">
        <f>SUM(E11:E48)</f>
        <v>16196.619999999999</v>
      </c>
      <c r="F49" s="580">
        <f>SUM(F11:F48)</f>
        <v>2142.0700000000002</v>
      </c>
      <c r="J49" s="546">
        <v>122.98</v>
      </c>
      <c r="K49" s="546">
        <v>47.7</v>
      </c>
      <c r="N49" s="546">
        <v>39.67</v>
      </c>
      <c r="P49" s="546">
        <v>21.9</v>
      </c>
    </row>
    <row r="50" spans="3:16" x14ac:dyDescent="0.25">
      <c r="G50" s="546">
        <f>SUM(G11:G38)</f>
        <v>697.3</v>
      </c>
      <c r="H50" s="546">
        <f>SUM(H11:H38)</f>
        <v>1605.9199999999998</v>
      </c>
      <c r="J50" s="546">
        <v>0.63</v>
      </c>
      <c r="L50" s="546">
        <v>79.91</v>
      </c>
      <c r="N50" s="546">
        <v>0.1</v>
      </c>
      <c r="P50" s="546">
        <v>41</v>
      </c>
    </row>
    <row r="51" spans="3:16" x14ac:dyDescent="0.25">
      <c r="F51" s="584">
        <f>E49+F49</f>
        <v>18338.689999999999</v>
      </c>
      <c r="J51" s="546">
        <v>0.05</v>
      </c>
      <c r="L51" s="546">
        <v>2.12</v>
      </c>
      <c r="N51" s="546">
        <v>0.22</v>
      </c>
    </row>
    <row r="52" spans="3:16" x14ac:dyDescent="0.25">
      <c r="J52" s="546">
        <v>0.1</v>
      </c>
      <c r="N52" s="546">
        <v>48.87</v>
      </c>
    </row>
    <row r="53" spans="3:16" x14ac:dyDescent="0.25">
      <c r="H53" s="682">
        <v>6164</v>
      </c>
      <c r="I53" s="546">
        <v>62.16</v>
      </c>
      <c r="M53" s="546">
        <v>50.54</v>
      </c>
      <c r="O53" s="580">
        <f>SUM(O12:O45)</f>
        <v>547.48</v>
      </c>
      <c r="P53" s="580">
        <f>SUM(P12:P45)</f>
        <v>944.89999999999986</v>
      </c>
    </row>
    <row r="54" spans="3:16" x14ac:dyDescent="0.25">
      <c r="C54" s="546">
        <f>C38+E49+G45+I61+K61+M69+O56</f>
        <v>46919.97</v>
      </c>
      <c r="H54" s="682"/>
      <c r="J54" s="546">
        <v>118.07</v>
      </c>
      <c r="N54" s="546">
        <v>0.27</v>
      </c>
      <c r="O54" s="580">
        <f>SUM(O46:O50)</f>
        <v>15513.130000000001</v>
      </c>
      <c r="P54" s="580">
        <f>SUM(P46:P50)</f>
        <v>98.25</v>
      </c>
    </row>
    <row r="55" spans="3:16" x14ac:dyDescent="0.25">
      <c r="I55" s="546">
        <v>2000</v>
      </c>
      <c r="N55" s="546">
        <v>0.03</v>
      </c>
    </row>
    <row r="56" spans="3:16" x14ac:dyDescent="0.25">
      <c r="I56" s="546">
        <v>60</v>
      </c>
      <c r="N56" s="546">
        <v>0.08</v>
      </c>
      <c r="O56" s="584">
        <f>SUM(O11:O51)</f>
        <v>16060.61</v>
      </c>
      <c r="P56" s="584">
        <f>SUM(P11:P51)</f>
        <v>1043.1499999999999</v>
      </c>
    </row>
    <row r="57" spans="3:16" x14ac:dyDescent="0.25">
      <c r="M57" s="546">
        <v>53.67</v>
      </c>
    </row>
    <row r="58" spans="3:16" x14ac:dyDescent="0.25">
      <c r="I58" s="580">
        <f>SUM(I11:I29)</f>
        <v>453.34000000000003</v>
      </c>
      <c r="J58" s="580">
        <f>SUM(J11:J29)</f>
        <v>1029.97</v>
      </c>
      <c r="K58" s="623">
        <f>SUM(K11:K27)</f>
        <v>391.33000000000004</v>
      </c>
      <c r="L58" s="623">
        <f>SUM(L11:L27)</f>
        <v>759</v>
      </c>
      <c r="N58" s="546">
        <v>85.14</v>
      </c>
    </row>
    <row r="59" spans="3:16" x14ac:dyDescent="0.25">
      <c r="I59" s="580">
        <f>SUM(I30:I56)</f>
        <v>5444.15</v>
      </c>
      <c r="J59" s="580">
        <f>SUM(J30:J56)</f>
        <v>648.63999999999987</v>
      </c>
      <c r="K59" s="623">
        <f>SUM(K28:K51)</f>
        <v>3181.8999999999996</v>
      </c>
      <c r="L59" s="623">
        <f>SUM(L28:L51)</f>
        <v>568.1400000000001</v>
      </c>
      <c r="N59" s="546">
        <v>11.08</v>
      </c>
    </row>
    <row r="60" spans="3:16" x14ac:dyDescent="0.25">
      <c r="N60" s="546">
        <v>0.02</v>
      </c>
    </row>
    <row r="61" spans="3:16" x14ac:dyDescent="0.25">
      <c r="I61" s="683">
        <f>SUM(I11:I56)</f>
        <v>5897.49</v>
      </c>
      <c r="J61" s="683">
        <f>SUM(J11:J56)</f>
        <v>1678.6099999999997</v>
      </c>
      <c r="K61" s="635">
        <f>SUM(K11:K39)</f>
        <v>3475.1499999999996</v>
      </c>
      <c r="L61" s="635">
        <f>SUM(L11:L40)</f>
        <v>1144.52</v>
      </c>
      <c r="N61" s="546">
        <v>0.05</v>
      </c>
    </row>
    <row r="62" spans="3:16" x14ac:dyDescent="0.25">
      <c r="M62" s="546">
        <v>51.12</v>
      </c>
      <c r="N62" s="546">
        <v>76.88</v>
      </c>
    </row>
    <row r="63" spans="3:16" x14ac:dyDescent="0.25">
      <c r="N63" s="546">
        <v>1.93</v>
      </c>
    </row>
    <row r="64" spans="3:16" x14ac:dyDescent="0.25">
      <c r="N64" s="546">
        <v>0.01</v>
      </c>
    </row>
    <row r="65" spans="13:14" x14ac:dyDescent="0.25">
      <c r="N65" s="546">
        <v>0.02</v>
      </c>
    </row>
    <row r="66" spans="13:14" x14ac:dyDescent="0.25">
      <c r="M66" s="546">
        <v>54.24</v>
      </c>
    </row>
    <row r="67" spans="13:14" x14ac:dyDescent="0.25">
      <c r="N67" s="546">
        <v>82.91</v>
      </c>
    </row>
    <row r="69" spans="13:14" x14ac:dyDescent="0.25">
      <c r="M69" s="691">
        <f>SUM(M11:M67)</f>
        <v>668.98</v>
      </c>
      <c r="N69" s="691">
        <f>SUM(N11:N67)</f>
        <v>1239.1000000000001</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07C98-E77C-4379-B933-3EB6209311B6}">
  <dimension ref="B3:AL28"/>
  <sheetViews>
    <sheetView topLeftCell="C1" workbookViewId="0">
      <selection activeCell="M42" sqref="M42"/>
    </sheetView>
  </sheetViews>
  <sheetFormatPr defaultColWidth="9.140625" defaultRowHeight="11.25" x14ac:dyDescent="0.2"/>
  <cols>
    <col min="1" max="1" width="9.140625" style="699"/>
    <col min="2" max="2" width="3.85546875" style="699" customWidth="1"/>
    <col min="3" max="3" width="29.7109375" style="699" customWidth="1"/>
    <col min="4" max="4" width="7.7109375" style="699" customWidth="1"/>
    <col min="5" max="7" width="8" style="699" customWidth="1"/>
    <col min="8" max="10" width="9" style="699" customWidth="1"/>
    <col min="11" max="11" width="12.85546875" style="699" customWidth="1"/>
    <col min="12" max="12" width="13.140625" style="699" bestFit="1" customWidth="1"/>
    <col min="13" max="14" width="9" style="699" bestFit="1" customWidth="1"/>
    <col min="15" max="16" width="12.85546875" style="699" customWidth="1"/>
    <col min="17" max="17" width="13.140625" style="699" customWidth="1"/>
    <col min="18" max="18" width="9.28515625" style="699" bestFit="1" customWidth="1"/>
    <col min="19" max="23" width="9.140625" style="699"/>
    <col min="24" max="36" width="10" style="699" bestFit="1" customWidth="1"/>
    <col min="37" max="37" width="9" style="699" bestFit="1" customWidth="1"/>
    <col min="38" max="16384" width="9.140625" style="699"/>
  </cols>
  <sheetData>
    <row r="3" spans="2:38" x14ac:dyDescent="0.2">
      <c r="C3" s="699" t="s">
        <v>667</v>
      </c>
      <c r="G3" s="826">
        <v>0.66</v>
      </c>
    </row>
    <row r="5" spans="2:38" x14ac:dyDescent="0.2">
      <c r="B5" s="703" t="s">
        <v>502</v>
      </c>
      <c r="C5" s="703" t="s">
        <v>503</v>
      </c>
      <c r="D5" s="827">
        <v>9.1989000000000001</v>
      </c>
      <c r="E5" s="827">
        <v>1990</v>
      </c>
      <c r="F5" s="827">
        <v>1991</v>
      </c>
      <c r="G5" s="827">
        <v>1992</v>
      </c>
      <c r="H5" s="827">
        <v>1993</v>
      </c>
      <c r="I5" s="827">
        <v>1994</v>
      </c>
      <c r="J5" s="827">
        <v>1995</v>
      </c>
      <c r="K5" s="827">
        <v>1996</v>
      </c>
      <c r="L5" s="828" t="s">
        <v>668</v>
      </c>
      <c r="M5" s="827">
        <v>1997</v>
      </c>
      <c r="N5" s="827">
        <v>1998</v>
      </c>
      <c r="O5" s="827">
        <v>1999</v>
      </c>
      <c r="P5" s="828" t="s">
        <v>668</v>
      </c>
      <c r="Q5" s="828" t="s">
        <v>62</v>
      </c>
      <c r="S5" s="699">
        <v>1996</v>
      </c>
      <c r="T5" s="699">
        <v>1997</v>
      </c>
      <c r="U5" s="699">
        <v>1998</v>
      </c>
      <c r="V5" s="699">
        <v>1999</v>
      </c>
      <c r="X5" s="702">
        <v>2000</v>
      </c>
      <c r="Y5" s="702">
        <v>2001</v>
      </c>
      <c r="Z5" s="702">
        <v>2002</v>
      </c>
      <c r="AA5" s="702">
        <v>2003</v>
      </c>
      <c r="AB5" s="702">
        <v>2004</v>
      </c>
      <c r="AC5" s="702">
        <v>2005</v>
      </c>
      <c r="AD5" s="702">
        <v>2006</v>
      </c>
      <c r="AE5" s="702">
        <v>2007</v>
      </c>
      <c r="AF5" s="702">
        <v>2008</v>
      </c>
      <c r="AG5" s="702">
        <v>2009</v>
      </c>
      <c r="AH5" s="702">
        <v>2010</v>
      </c>
      <c r="AI5" s="702">
        <v>2011</v>
      </c>
      <c r="AJ5" s="702">
        <v>2012</v>
      </c>
      <c r="AK5" s="702">
        <v>3.2012999999999998</v>
      </c>
      <c r="AL5" s="701"/>
    </row>
    <row r="6" spans="2:38" x14ac:dyDescent="0.2">
      <c r="D6" s="700"/>
      <c r="E6" s="700"/>
      <c r="F6" s="700"/>
      <c r="G6" s="700"/>
      <c r="H6" s="700"/>
      <c r="I6" s="700"/>
      <c r="J6" s="700"/>
      <c r="K6" s="700"/>
      <c r="L6" s="700"/>
      <c r="M6" s="700"/>
      <c r="N6" s="700"/>
      <c r="O6" s="700"/>
      <c r="P6" s="700"/>
      <c r="Q6" s="700"/>
      <c r="X6" s="700"/>
      <c r="Y6" s="700"/>
      <c r="Z6" s="700"/>
      <c r="AA6" s="700"/>
      <c r="AB6" s="700"/>
      <c r="AC6" s="700"/>
      <c r="AD6" s="700"/>
      <c r="AE6" s="700"/>
      <c r="AF6" s="700"/>
      <c r="AG6" s="700"/>
      <c r="AH6" s="700"/>
      <c r="AI6" s="700"/>
      <c r="AJ6" s="700"/>
      <c r="AK6" s="700"/>
    </row>
    <row r="7" spans="2:38" x14ac:dyDescent="0.2">
      <c r="B7" s="703" t="s">
        <v>504</v>
      </c>
      <c r="C7" s="703" t="s">
        <v>669</v>
      </c>
      <c r="D7" s="829">
        <f>SUM(D8:D9)</f>
        <v>1432</v>
      </c>
      <c r="E7" s="829">
        <f t="shared" ref="E7:O7" si="0">SUM(E8:E9)</f>
        <v>4296</v>
      </c>
      <c r="F7" s="829">
        <f t="shared" si="0"/>
        <v>4309.1428571428569</v>
      </c>
      <c r="G7" s="829">
        <f t="shared" si="0"/>
        <v>5332.8571428571431</v>
      </c>
      <c r="H7" s="829">
        <f t="shared" si="0"/>
        <v>13500</v>
      </c>
      <c r="I7" s="829">
        <f t="shared" si="0"/>
        <v>33854.71428571429</v>
      </c>
      <c r="J7" s="829">
        <f t="shared" si="0"/>
        <v>48939.28571428571</v>
      </c>
      <c r="K7" s="829">
        <f t="shared" si="0"/>
        <v>55754.272727272735</v>
      </c>
      <c r="L7" s="829">
        <f>SUM(D7:K7)</f>
        <v>167418.27272727274</v>
      </c>
      <c r="M7" s="829">
        <f t="shared" si="0"/>
        <v>56584.36363636364</v>
      </c>
      <c r="N7" s="829">
        <f t="shared" si="0"/>
        <v>68562.363636363632</v>
      </c>
      <c r="O7" s="829">
        <f t="shared" si="0"/>
        <v>75842.93333333332</v>
      </c>
      <c r="P7" s="829">
        <f>SUM(P8:P9)</f>
        <v>200989.66060606061</v>
      </c>
      <c r="Q7" s="829">
        <f>SUM(Q8:Q9)</f>
        <v>368407.93333333335</v>
      </c>
      <c r="S7" s="699">
        <v>12883</v>
      </c>
      <c r="T7" s="699">
        <v>12883</v>
      </c>
      <c r="U7" s="699">
        <v>20033</v>
      </c>
      <c r="V7" s="699">
        <v>20033</v>
      </c>
      <c r="X7" s="829">
        <f>SUM(X8:X9)</f>
        <v>81179.066666666666</v>
      </c>
      <c r="Y7" s="829">
        <f t="shared" ref="Y7:AK7" si="1">SUM(Y8:Y9)</f>
        <v>87305</v>
      </c>
      <c r="Z7" s="829">
        <f t="shared" si="1"/>
        <v>97151</v>
      </c>
      <c r="AA7" s="829">
        <f t="shared" si="1"/>
        <v>109275.35714285714</v>
      </c>
      <c r="AB7" s="829">
        <f t="shared" si="1"/>
        <v>123465.06103896104</v>
      </c>
      <c r="AC7" s="829">
        <f t="shared" si="1"/>
        <v>145197.8125874126</v>
      </c>
      <c r="AD7" s="829">
        <f t="shared" si="1"/>
        <v>162655.26923076925</v>
      </c>
      <c r="AE7" s="829">
        <f t="shared" si="1"/>
        <v>182147.5</v>
      </c>
      <c r="AF7" s="829">
        <f t="shared" si="1"/>
        <v>201002.8</v>
      </c>
      <c r="AG7" s="829">
        <f t="shared" si="1"/>
        <v>227217.2</v>
      </c>
      <c r="AH7" s="829">
        <f t="shared" si="1"/>
        <v>251105</v>
      </c>
      <c r="AI7" s="829">
        <f t="shared" si="1"/>
        <v>273174</v>
      </c>
      <c r="AJ7" s="829">
        <f t="shared" si="1"/>
        <v>287879.84615384613</v>
      </c>
      <c r="AK7" s="829">
        <f t="shared" si="1"/>
        <v>75336.184294871811</v>
      </c>
    </row>
    <row r="8" spans="2:38" x14ac:dyDescent="0.2">
      <c r="B8" s="699">
        <v>1</v>
      </c>
      <c r="C8" s="699" t="s">
        <v>670</v>
      </c>
      <c r="D8" s="830">
        <f>'[6]Të ardhurat e prindërve_KPA'!R6</f>
        <v>1432</v>
      </c>
      <c r="E8" s="830">
        <f>'[6]Të ardhurat e prindërve_KPA'!R7</f>
        <v>4296</v>
      </c>
      <c r="F8" s="830">
        <f>'[6]Të ardhurat e prindërve_KPA'!R8</f>
        <v>4309.1428571428569</v>
      </c>
      <c r="G8" s="830">
        <f>'[6]Të ardhurat e prindërve_KPA'!R9</f>
        <v>5332.8571428571431</v>
      </c>
      <c r="H8" s="830">
        <f>'[6]Të ardhurat e prindërve_KPA'!R10</f>
        <v>13500</v>
      </c>
      <c r="I8" s="830">
        <f>'[6]Të ardhurat e prindërve_KPA'!R11</f>
        <v>28267.428571428572</v>
      </c>
      <c r="J8" s="830">
        <f>'[6]Të ardhurat e prindërve_KPA'!R12</f>
        <v>33732.571428571428</v>
      </c>
      <c r="K8" s="830">
        <f>'[6]Të ardhurat e prindërve_KPA'!R13</f>
        <v>43441.227272727279</v>
      </c>
      <c r="L8" s="830">
        <f>SUM(D8:K8)</f>
        <v>134311.22727272729</v>
      </c>
      <c r="M8" s="830">
        <f>'[6]Të ardhurat e prindërve_KPA'!R14</f>
        <v>45613.636363636368</v>
      </c>
      <c r="N8" s="830">
        <f>'[6]Të ardhurat e prindërve_KPA'!R15</f>
        <v>53601.136363636368</v>
      </c>
      <c r="O8" s="830">
        <f>'[6]Të ardhurat e prindërve_KPA'!R16</f>
        <v>59453.333333333328</v>
      </c>
      <c r="P8" s="830">
        <f>SUM(M8:O8)</f>
        <v>158668.10606060608</v>
      </c>
      <c r="Q8" s="830">
        <f>L8+P8</f>
        <v>292979.33333333337</v>
      </c>
      <c r="X8" s="830">
        <f>'[6]Të ardhurat e prindërve_KPA'!R17</f>
        <v>63991.166666666664</v>
      </c>
      <c r="Y8" s="830">
        <f>'[6]Të ardhurat e prindërve_KPA'!R18</f>
        <v>71028.5</v>
      </c>
      <c r="Z8" s="830">
        <f>'[6]Të ardhurat e prindërve_KPA'!R19</f>
        <v>76901</v>
      </c>
      <c r="AA8" s="830">
        <f>'[6]Të ardhurat e prindërve_KPA'!R20</f>
        <v>84107.5</v>
      </c>
      <c r="AB8" s="830">
        <f>'[6]Të ardhurat e prindërve_KPA'!R21</f>
        <v>90990.318181818177</v>
      </c>
      <c r="AC8" s="830">
        <f>'[6]Të ardhurat e prindërve_KPA'!R22</f>
        <v>98218.489510489511</v>
      </c>
      <c r="AD8" s="830">
        <f>'[6]Të ardhurat e prindërve_KPA'!R23</f>
        <v>106651.69230769231</v>
      </c>
      <c r="AE8" s="830">
        <f>'[6]Të ardhurat e prindërve_KPA'!R24</f>
        <v>119383.5</v>
      </c>
      <c r="AF8" s="830">
        <f>'[6]Të ardhurat e prindërve_KPA'!R25</f>
        <v>131666.29999999999</v>
      </c>
      <c r="AG8" s="830">
        <f>'[6]Të ardhurat e prindërve_KPA'!R26</f>
        <v>144538.05714285714</v>
      </c>
      <c r="AH8" s="830">
        <f>'[6]Të ardhurat e prindërve_KPA'!R27</f>
        <v>152123.64285714284</v>
      </c>
      <c r="AI8" s="830">
        <f>'[6]Të ardhurat e prindërve_KPA'!R28</f>
        <v>160717</v>
      </c>
      <c r="AJ8" s="830">
        <f>'[6]Të ardhurat e prindërve_KPA'!R29</f>
        <v>172017.73076923078</v>
      </c>
      <c r="AK8" s="830">
        <f>'[6]Të ardhurat e prindërve_KPA'!R30/12*3</f>
        <v>45141.067307692312</v>
      </c>
    </row>
    <row r="9" spans="2:38" x14ac:dyDescent="0.2">
      <c r="B9" s="699">
        <v>2</v>
      </c>
      <c r="C9" s="699" t="s">
        <v>671</v>
      </c>
      <c r="D9" s="830">
        <v>0</v>
      </c>
      <c r="E9" s="830">
        <v>0</v>
      </c>
      <c r="F9" s="830">
        <v>0</v>
      </c>
      <c r="G9" s="830">
        <v>0</v>
      </c>
      <c r="H9" s="830">
        <v>0</v>
      </c>
      <c r="I9" s="830">
        <f>'[6]Të ardhurat e prindërve_KPA'!S11</f>
        <v>5587.2857142857147</v>
      </c>
      <c r="J9" s="830">
        <f>'[6]Të ardhurat e prindërve_KPA'!S12</f>
        <v>15206.714285714286</v>
      </c>
      <c r="K9" s="830">
        <f>'[6]Të ardhurat e prindërve_KPA'!S13</f>
        <v>12313.045454545456</v>
      </c>
      <c r="L9" s="830">
        <f>SUM(D9:K9)</f>
        <v>33107.045454545456</v>
      </c>
      <c r="M9" s="830">
        <f>'[6]Të ardhurat e prindërve_KPA'!S14</f>
        <v>10970.727272727274</v>
      </c>
      <c r="N9" s="830">
        <f>'[6]Të ardhurat e prindërve_KPA'!S15</f>
        <v>14961.22727272727</v>
      </c>
      <c r="O9" s="830">
        <f>'[6]Të ardhurat e prindërve_KPA'!S16</f>
        <v>16389.599999999999</v>
      </c>
      <c r="P9" s="830">
        <f>SUM(M9:O9)</f>
        <v>42321.554545454543</v>
      </c>
      <c r="Q9" s="830">
        <f>L9+P9</f>
        <v>75428.600000000006</v>
      </c>
      <c r="X9" s="830">
        <f>'[6]Të ardhurat e prindërve_KPA'!S17</f>
        <v>17187.900000000001</v>
      </c>
      <c r="Y9" s="830">
        <f>'[6]Të ardhurat e prindërve_KPA'!S18</f>
        <v>16276.5</v>
      </c>
      <c r="Z9" s="830">
        <f>'[6]Të ardhurat e prindërve_KPA'!S19</f>
        <v>20250</v>
      </c>
      <c r="AA9" s="830">
        <f>'[6]Të ardhurat e prindërve_KPA'!S20</f>
        <v>25167.857142857141</v>
      </c>
      <c r="AB9" s="830">
        <f>'[6]Të ardhurat e prindërve_KPA'!S21</f>
        <v>32474.742857142861</v>
      </c>
      <c r="AC9" s="830">
        <f>'[6]Të ardhurat e prindërve_KPA'!S22</f>
        <v>46979.323076923079</v>
      </c>
      <c r="AD9" s="830">
        <f>'[6]Të ardhurat e prindërve_KPA'!S23</f>
        <v>56003.576923076922</v>
      </c>
      <c r="AE9" s="830">
        <f>'[6]Të ardhurat e prindërve_KPA'!S24</f>
        <v>62764</v>
      </c>
      <c r="AF9" s="830">
        <f>'[6]Të ardhurat e prindërve_KPA'!S25</f>
        <v>69336.5</v>
      </c>
      <c r="AG9" s="830">
        <f>'[6]Të ardhurat e prindërve_KPA'!S26</f>
        <v>82679.142857142855</v>
      </c>
      <c r="AH9" s="830">
        <f>'[6]Të ardhurat e prindërve_KPA'!S27</f>
        <v>98981.357142857145</v>
      </c>
      <c r="AI9" s="830">
        <f>'[6]Të ardhurat e prindërve_KPA'!S28</f>
        <v>112457</v>
      </c>
      <c r="AJ9" s="830">
        <f>'[6]Të ardhurat e prindërve_KPA'!S29</f>
        <v>115862.11538461538</v>
      </c>
      <c r="AK9" s="830">
        <f>('[6]Të ardhurat e prindërve_KPA'!S30/12)*3</f>
        <v>30195.116987179492</v>
      </c>
    </row>
    <row r="10" spans="2:38" x14ac:dyDescent="0.2">
      <c r="D10" s="830"/>
      <c r="E10" s="830"/>
      <c r="F10" s="830"/>
      <c r="G10" s="830"/>
      <c r="H10" s="830"/>
      <c r="I10" s="830"/>
      <c r="J10" s="830"/>
      <c r="K10" s="830"/>
      <c r="L10" s="830"/>
      <c r="M10" s="830"/>
      <c r="N10" s="830"/>
      <c r="O10" s="830"/>
      <c r="P10" s="830"/>
      <c r="Q10" s="830"/>
      <c r="X10" s="700"/>
      <c r="Y10" s="700"/>
      <c r="Z10" s="700"/>
      <c r="AA10" s="700"/>
      <c r="AB10" s="700"/>
      <c r="AC10" s="700"/>
      <c r="AD10" s="700"/>
      <c r="AE10" s="700"/>
      <c r="AF10" s="700"/>
      <c r="AG10" s="700"/>
      <c r="AH10" s="700"/>
      <c r="AI10" s="700"/>
      <c r="AJ10" s="700"/>
      <c r="AK10" s="700"/>
    </row>
    <row r="11" spans="2:38" x14ac:dyDescent="0.2">
      <c r="B11" s="703" t="s">
        <v>505</v>
      </c>
      <c r="C11" s="703" t="s">
        <v>672</v>
      </c>
      <c r="D11" s="829">
        <f>D12</f>
        <v>945.12</v>
      </c>
      <c r="E11" s="829">
        <f t="shared" ref="E11:O11" si="2">E12</f>
        <v>2835.36</v>
      </c>
      <c r="F11" s="829">
        <f t="shared" si="2"/>
        <v>2844.0342857142855</v>
      </c>
      <c r="G11" s="829">
        <f t="shared" si="2"/>
        <v>3519.6857142857148</v>
      </c>
      <c r="H11" s="829">
        <f t="shared" si="2"/>
        <v>8910</v>
      </c>
      <c r="I11" s="829">
        <f t="shared" si="2"/>
        <v>22344.111428571432</v>
      </c>
      <c r="J11" s="829">
        <f t="shared" si="2"/>
        <v>32299.928571428569</v>
      </c>
      <c r="K11" s="829">
        <f t="shared" si="2"/>
        <v>36797.820000000007</v>
      </c>
      <c r="L11" s="829">
        <f>SUM(D11:K11)</f>
        <v>110496.06000000001</v>
      </c>
      <c r="M11" s="829">
        <f t="shared" si="2"/>
        <v>37345.680000000008</v>
      </c>
      <c r="N11" s="829">
        <f t="shared" si="2"/>
        <v>45251.159999999996</v>
      </c>
      <c r="O11" s="829">
        <f t="shared" si="2"/>
        <v>50056.335999999996</v>
      </c>
      <c r="P11" s="829">
        <f>SUM(M11:O11)</f>
        <v>132653.17599999998</v>
      </c>
      <c r="Q11" s="829">
        <f>L11+P11</f>
        <v>243149.23599999998</v>
      </c>
      <c r="U11" s="699">
        <v>17649</v>
      </c>
      <c r="X11" s="829">
        <f>SUM(X12)</f>
        <v>216000</v>
      </c>
      <c r="Y11" s="829">
        <f t="shared" ref="Y11:AK11" si="3">SUM(Y12)</f>
        <v>216000</v>
      </c>
      <c r="Z11" s="829">
        <f t="shared" si="3"/>
        <v>187728</v>
      </c>
      <c r="AA11" s="829">
        <f t="shared" si="3"/>
        <v>187728</v>
      </c>
      <c r="AB11" s="829">
        <f t="shared" si="3"/>
        <v>187728</v>
      </c>
      <c r="AC11" s="829">
        <f t="shared" si="3"/>
        <v>219114</v>
      </c>
      <c r="AD11" s="829">
        <f t="shared" si="3"/>
        <v>219114</v>
      </c>
      <c r="AE11" s="829">
        <f t="shared" si="3"/>
        <v>273240</v>
      </c>
      <c r="AF11" s="829">
        <f t="shared" si="3"/>
        <v>273240</v>
      </c>
      <c r="AG11" s="829">
        <f t="shared" si="3"/>
        <v>273240</v>
      </c>
      <c r="AH11" s="829">
        <f t="shared" si="3"/>
        <v>273240</v>
      </c>
      <c r="AI11" s="829">
        <f t="shared" si="3"/>
        <v>273240</v>
      </c>
      <c r="AJ11" s="829">
        <f t="shared" si="3"/>
        <v>282048</v>
      </c>
      <c r="AK11" s="829">
        <f t="shared" si="3"/>
        <v>70512</v>
      </c>
    </row>
    <row r="12" spans="2:38" x14ac:dyDescent="0.2">
      <c r="B12" s="699">
        <v>1</v>
      </c>
      <c r="C12" s="699" t="s">
        <v>673</v>
      </c>
      <c r="D12" s="830">
        <f>D7*$G$3</f>
        <v>945.12</v>
      </c>
      <c r="E12" s="830">
        <f t="shared" ref="E12:K12" si="4">E7*$G$3</f>
        <v>2835.36</v>
      </c>
      <c r="F12" s="830">
        <f t="shared" si="4"/>
        <v>2844.0342857142855</v>
      </c>
      <c r="G12" s="830">
        <f t="shared" si="4"/>
        <v>3519.6857142857148</v>
      </c>
      <c r="H12" s="830">
        <f t="shared" si="4"/>
        <v>8910</v>
      </c>
      <c r="I12" s="830">
        <f t="shared" si="4"/>
        <v>22344.111428571432</v>
      </c>
      <c r="J12" s="830">
        <f t="shared" si="4"/>
        <v>32299.928571428569</v>
      </c>
      <c r="K12" s="830">
        <f t="shared" si="4"/>
        <v>36797.820000000007</v>
      </c>
      <c r="L12" s="830">
        <f>SUM(D12:K12)</f>
        <v>110496.06000000001</v>
      </c>
      <c r="M12" s="830">
        <f>M7*$G$3</f>
        <v>37345.680000000008</v>
      </c>
      <c r="N12" s="830">
        <f>N7*$G$3</f>
        <v>45251.159999999996</v>
      </c>
      <c r="O12" s="830">
        <f>O7*$G$3</f>
        <v>50056.335999999996</v>
      </c>
      <c r="P12" s="830">
        <f>SUM(M12:O12)</f>
        <v>132653.17599999998</v>
      </c>
      <c r="Q12" s="830">
        <f>L12+P12</f>
        <v>243149.23599999998</v>
      </c>
      <c r="U12" s="699">
        <f>U11-U11*25%</f>
        <v>13236.75</v>
      </c>
      <c r="X12" s="830">
        <f>9000*2*12</f>
        <v>216000</v>
      </c>
      <c r="Y12" s="830">
        <f>9000*2*12</f>
        <v>216000</v>
      </c>
      <c r="Z12" s="830">
        <f>7822*2*12</f>
        <v>187728</v>
      </c>
      <c r="AA12" s="830">
        <f>7822*2*12</f>
        <v>187728</v>
      </c>
      <c r="AB12" s="830">
        <f>7822*2*12</f>
        <v>187728</v>
      </c>
      <c r="AC12" s="830">
        <v>219114</v>
      </c>
      <c r="AD12" s="830">
        <v>219114</v>
      </c>
      <c r="AE12" s="830">
        <v>273240</v>
      </c>
      <c r="AF12" s="830">
        <v>273240</v>
      </c>
      <c r="AG12" s="830">
        <v>273240</v>
      </c>
      <c r="AH12" s="830">
        <v>273240</v>
      </c>
      <c r="AI12" s="830">
        <v>273240</v>
      </c>
      <c r="AJ12" s="830">
        <v>282048</v>
      </c>
      <c r="AK12" s="830">
        <f>282048/12*3</f>
        <v>70512</v>
      </c>
    </row>
    <row r="13" spans="2:38" x14ac:dyDescent="0.2">
      <c r="D13" s="830"/>
      <c r="E13" s="830"/>
      <c r="F13" s="830"/>
      <c r="G13" s="830"/>
      <c r="H13" s="830"/>
      <c r="I13" s="830"/>
      <c r="J13" s="830"/>
      <c r="K13" s="830"/>
      <c r="L13" s="830"/>
      <c r="M13" s="830"/>
      <c r="N13" s="830"/>
      <c r="O13" s="830"/>
      <c r="P13" s="830"/>
      <c r="Q13" s="830"/>
      <c r="X13" s="700"/>
      <c r="Y13" s="700"/>
      <c r="Z13" s="700"/>
      <c r="AA13" s="700"/>
      <c r="AB13" s="700"/>
      <c r="AC13" s="700"/>
      <c r="AD13" s="700"/>
      <c r="AE13" s="700"/>
      <c r="AF13" s="700"/>
      <c r="AG13" s="700"/>
      <c r="AH13" s="700"/>
      <c r="AI13" s="700"/>
      <c r="AJ13" s="700"/>
      <c r="AK13" s="700"/>
    </row>
    <row r="14" spans="2:38" x14ac:dyDescent="0.2">
      <c r="B14" s="703" t="s">
        <v>506</v>
      </c>
      <c r="C14" s="703" t="s">
        <v>512</v>
      </c>
      <c r="D14" s="829">
        <f>SUM(D15:D16)</f>
        <v>0</v>
      </c>
      <c r="E14" s="829">
        <f t="shared" ref="E14:O14" si="5">SUM(E15:E16)</f>
        <v>0</v>
      </c>
      <c r="F14" s="829">
        <f t="shared" si="5"/>
        <v>0</v>
      </c>
      <c r="G14" s="829">
        <f t="shared" si="5"/>
        <v>0</v>
      </c>
      <c r="H14" s="829">
        <f t="shared" si="5"/>
        <v>0</v>
      </c>
      <c r="I14" s="829">
        <f t="shared" si="5"/>
        <v>0</v>
      </c>
      <c r="J14" s="829">
        <f t="shared" si="5"/>
        <v>0</v>
      </c>
      <c r="K14" s="829">
        <f t="shared" si="5"/>
        <v>1336956.8999999999</v>
      </c>
      <c r="L14" s="829">
        <f>SUM(D14:K14)</f>
        <v>1336956.8999999999</v>
      </c>
      <c r="M14" s="829">
        <f t="shared" si="5"/>
        <v>0</v>
      </c>
      <c r="N14" s="829">
        <f t="shared" si="5"/>
        <v>0</v>
      </c>
      <c r="O14" s="829">
        <f t="shared" si="5"/>
        <v>3852345.8999999994</v>
      </c>
      <c r="P14" s="829">
        <f>SUM(M14:O14)</f>
        <v>3852345.8999999994</v>
      </c>
      <c r="Q14" s="829">
        <f>L14+P14</f>
        <v>5189302.7999999989</v>
      </c>
      <c r="X14" s="829"/>
      <c r="Y14" s="829"/>
      <c r="Z14" s="829"/>
      <c r="AA14" s="829"/>
      <c r="AB14" s="829"/>
      <c r="AC14" s="829"/>
      <c r="AD14" s="829"/>
      <c r="AE14" s="829"/>
      <c r="AF14" s="829"/>
      <c r="AG14" s="829"/>
      <c r="AH14" s="829"/>
      <c r="AI14" s="829"/>
      <c r="AJ14" s="829"/>
      <c r="AK14" s="829"/>
    </row>
    <row r="15" spans="2:38" x14ac:dyDescent="0.2">
      <c r="B15" s="699">
        <v>1</v>
      </c>
      <c r="C15" s="699" t="s">
        <v>674</v>
      </c>
      <c r="D15" s="830">
        <v>0</v>
      </c>
      <c r="E15" s="830">
        <v>0</v>
      </c>
      <c r="F15" s="830">
        <v>0</v>
      </c>
      <c r="G15" s="830">
        <v>0</v>
      </c>
      <c r="H15" s="830">
        <v>0</v>
      </c>
      <c r="I15" s="830">
        <v>0</v>
      </c>
      <c r="J15" s="830">
        <v>0</v>
      </c>
      <c r="K15" s="830">
        <f>(107.6*16567)-(107.6*16567)*25%</f>
        <v>1336956.8999999999</v>
      </c>
      <c r="L15" s="830">
        <f>SUM(D15:K15)</f>
        <v>1336956.8999999999</v>
      </c>
      <c r="M15" s="830">
        <v>0</v>
      </c>
      <c r="N15" s="830">
        <v>0</v>
      </c>
      <c r="O15" s="830">
        <v>0</v>
      </c>
      <c r="P15" s="830">
        <f>SUM(M15:O15)</f>
        <v>0</v>
      </c>
      <c r="Q15" s="830">
        <f>L15+P15</f>
        <v>1336956.8999999999</v>
      </c>
      <c r="X15" s="830">
        <f>0</f>
        <v>0</v>
      </c>
      <c r="Y15" s="830">
        <f>0</f>
        <v>0</v>
      </c>
      <c r="Z15" s="830">
        <f>0</f>
        <v>0</v>
      </c>
      <c r="AA15" s="830">
        <f>0</f>
        <v>0</v>
      </c>
      <c r="AB15" s="830">
        <f>0</f>
        <v>0</v>
      </c>
      <c r="AC15" s="830">
        <f>0</f>
        <v>0</v>
      </c>
      <c r="AD15" s="830">
        <f>0</f>
        <v>0</v>
      </c>
      <c r="AE15" s="830">
        <f>0</f>
        <v>0</v>
      </c>
      <c r="AF15" s="830">
        <f>0</f>
        <v>0</v>
      </c>
      <c r="AG15" s="830">
        <f>0</f>
        <v>0</v>
      </c>
      <c r="AH15" s="830">
        <f>0</f>
        <v>0</v>
      </c>
      <c r="AI15" s="830">
        <f>0</f>
        <v>0</v>
      </c>
      <c r="AJ15" s="830">
        <f>AJ7-AJ11</f>
        <v>5831.846153846127</v>
      </c>
      <c r="AK15" s="830">
        <f>AK7-AK11</f>
        <v>4824.1842948718113</v>
      </c>
      <c r="AL15" s="831">
        <f>SUM(AJ15:AK15)</f>
        <v>10656.030448717938</v>
      </c>
    </row>
    <row r="16" spans="2:38" x14ac:dyDescent="0.2">
      <c r="B16" s="699">
        <v>2</v>
      </c>
      <c r="C16" s="699" t="s">
        <v>675</v>
      </c>
      <c r="D16" s="830">
        <v>0</v>
      </c>
      <c r="E16" s="830">
        <v>0</v>
      </c>
      <c r="F16" s="830">
        <v>0</v>
      </c>
      <c r="G16" s="830">
        <v>0</v>
      </c>
      <c r="H16" s="830">
        <v>0</v>
      </c>
      <c r="I16" s="830">
        <v>0</v>
      </c>
      <c r="J16" s="830">
        <v>0</v>
      </c>
      <c r="K16" s="830">
        <v>0</v>
      </c>
      <c r="L16" s="830"/>
      <c r="M16" s="830">
        <v>0</v>
      </c>
      <c r="N16" s="830">
        <v>0</v>
      </c>
      <c r="O16" s="830">
        <f>(256.4*20033)-(256.4*20033)*25%</f>
        <v>3852345.8999999994</v>
      </c>
      <c r="P16" s="830">
        <f>SUM(M16:O16)</f>
        <v>3852345.8999999994</v>
      </c>
      <c r="Q16" s="830">
        <f>L16+P16</f>
        <v>3852345.8999999994</v>
      </c>
      <c r="X16" s="830"/>
      <c r="Y16" s="830"/>
      <c r="Z16" s="830"/>
      <c r="AA16" s="830"/>
      <c r="AB16" s="830"/>
      <c r="AC16" s="830"/>
      <c r="AD16" s="830"/>
      <c r="AE16" s="830"/>
      <c r="AF16" s="830"/>
      <c r="AG16" s="830"/>
      <c r="AH16" s="830"/>
      <c r="AI16" s="830"/>
      <c r="AJ16" s="830"/>
      <c r="AK16" s="830"/>
    </row>
    <row r="17" spans="2:37" x14ac:dyDescent="0.2">
      <c r="D17" s="830"/>
      <c r="E17" s="830"/>
      <c r="F17" s="830"/>
      <c r="G17" s="830"/>
      <c r="H17" s="830"/>
      <c r="I17" s="830"/>
      <c r="J17" s="830"/>
      <c r="K17" s="830"/>
      <c r="L17" s="830"/>
      <c r="M17" s="830"/>
      <c r="N17" s="830"/>
      <c r="O17" s="830"/>
      <c r="P17" s="830"/>
      <c r="Q17" s="830"/>
      <c r="X17" s="700"/>
      <c r="Y17" s="700"/>
      <c r="Z17" s="700"/>
      <c r="AA17" s="700"/>
      <c r="AB17" s="700"/>
      <c r="AC17" s="700"/>
      <c r="AD17" s="700"/>
      <c r="AE17" s="700"/>
      <c r="AF17" s="700"/>
      <c r="AG17" s="700"/>
      <c r="AH17" s="700"/>
      <c r="AI17" s="700"/>
      <c r="AJ17" s="700"/>
      <c r="AK17" s="700"/>
    </row>
    <row r="18" spans="2:37" x14ac:dyDescent="0.2">
      <c r="B18" s="703" t="s">
        <v>507</v>
      </c>
      <c r="C18" s="703" t="s">
        <v>511</v>
      </c>
      <c r="D18" s="829">
        <v>0</v>
      </c>
      <c r="E18" s="829">
        <v>0</v>
      </c>
      <c r="F18" s="829">
        <v>0</v>
      </c>
      <c r="G18" s="829">
        <v>0</v>
      </c>
      <c r="H18" s="829">
        <v>0</v>
      </c>
      <c r="I18" s="829">
        <v>0</v>
      </c>
      <c r="J18" s="829">
        <v>0</v>
      </c>
      <c r="K18" s="829">
        <v>0</v>
      </c>
      <c r="L18" s="829">
        <v>0</v>
      </c>
      <c r="M18" s="829">
        <v>0</v>
      </c>
      <c r="N18" s="829">
        <v>0</v>
      </c>
      <c r="O18" s="829">
        <v>0</v>
      </c>
      <c r="P18" s="829"/>
      <c r="Q18" s="829">
        <v>0</v>
      </c>
      <c r="X18" s="829"/>
      <c r="Y18" s="829"/>
      <c r="Z18" s="829"/>
      <c r="AA18" s="829"/>
      <c r="AB18" s="829"/>
      <c r="AC18" s="829"/>
      <c r="AD18" s="829"/>
      <c r="AE18" s="829"/>
      <c r="AF18" s="829"/>
      <c r="AG18" s="829"/>
      <c r="AH18" s="829"/>
      <c r="AI18" s="829"/>
      <c r="AJ18" s="829"/>
      <c r="AK18" s="829"/>
    </row>
    <row r="19" spans="2:37" x14ac:dyDescent="0.2">
      <c r="D19" s="830"/>
      <c r="E19" s="830"/>
      <c r="F19" s="830"/>
      <c r="G19" s="830"/>
      <c r="H19" s="830"/>
      <c r="I19" s="830"/>
      <c r="J19" s="830"/>
      <c r="K19" s="830"/>
      <c r="L19" s="830"/>
      <c r="M19" s="830"/>
      <c r="N19" s="830"/>
      <c r="O19" s="830"/>
      <c r="P19" s="830"/>
      <c r="Q19" s="830"/>
      <c r="X19" s="700"/>
      <c r="Y19" s="700"/>
      <c r="Z19" s="700"/>
      <c r="AA19" s="700"/>
      <c r="AB19" s="700"/>
      <c r="AC19" s="700"/>
      <c r="AD19" s="700"/>
      <c r="AE19" s="700"/>
      <c r="AF19" s="700"/>
      <c r="AG19" s="700"/>
      <c r="AH19" s="700"/>
      <c r="AI19" s="700"/>
      <c r="AJ19" s="700"/>
      <c r="AK19" s="700"/>
    </row>
    <row r="20" spans="2:37" x14ac:dyDescent="0.2">
      <c r="B20" s="703" t="s">
        <v>508</v>
      </c>
      <c r="C20" s="703" t="s">
        <v>676</v>
      </c>
      <c r="D20" s="829">
        <f>D14-D18</f>
        <v>0</v>
      </c>
      <c r="E20" s="829">
        <f t="shared" ref="E20:O20" si="6">E14-E18</f>
        <v>0</v>
      </c>
      <c r="F20" s="829">
        <f t="shared" si="6"/>
        <v>0</v>
      </c>
      <c r="G20" s="829">
        <f t="shared" si="6"/>
        <v>0</v>
      </c>
      <c r="H20" s="829">
        <f t="shared" si="6"/>
        <v>0</v>
      </c>
      <c r="I20" s="829">
        <f t="shared" si="6"/>
        <v>0</v>
      </c>
      <c r="J20" s="829">
        <f t="shared" si="6"/>
        <v>0</v>
      </c>
      <c r="K20" s="829">
        <f t="shared" si="6"/>
        <v>1336956.8999999999</v>
      </c>
      <c r="L20" s="829">
        <f>L14-L18</f>
        <v>1336956.8999999999</v>
      </c>
      <c r="M20" s="829">
        <f t="shared" si="6"/>
        <v>0</v>
      </c>
      <c r="N20" s="829">
        <f t="shared" si="6"/>
        <v>0</v>
      </c>
      <c r="O20" s="829">
        <f t="shared" si="6"/>
        <v>3852345.8999999994</v>
      </c>
      <c r="P20" s="829">
        <f>SUM(M20:O20)</f>
        <v>3852345.8999999994</v>
      </c>
      <c r="Q20" s="829">
        <f>Q14-Q18</f>
        <v>5189302.7999999989</v>
      </c>
      <c r="X20" s="829"/>
      <c r="Y20" s="829"/>
      <c r="Z20" s="829"/>
      <c r="AA20" s="829"/>
      <c r="AB20" s="829"/>
      <c r="AC20" s="829"/>
      <c r="AD20" s="829"/>
      <c r="AE20" s="829"/>
      <c r="AF20" s="829"/>
      <c r="AG20" s="829"/>
      <c r="AH20" s="829"/>
      <c r="AI20" s="829"/>
      <c r="AJ20" s="829"/>
      <c r="AK20" s="829"/>
    </row>
    <row r="21" spans="2:37" x14ac:dyDescent="0.2">
      <c r="D21" s="830"/>
      <c r="E21" s="830"/>
      <c r="F21" s="830"/>
      <c r="G21" s="830"/>
      <c r="H21" s="830"/>
      <c r="I21" s="830"/>
      <c r="J21" s="830"/>
      <c r="K21" s="830"/>
      <c r="L21" s="830"/>
      <c r="M21" s="830"/>
      <c r="N21" s="830"/>
      <c r="O21" s="830"/>
      <c r="P21" s="830"/>
      <c r="Q21" s="830"/>
      <c r="X21" s="700"/>
      <c r="Y21" s="700"/>
      <c r="Z21" s="700"/>
      <c r="AA21" s="700"/>
      <c r="AB21" s="700"/>
      <c r="AC21" s="700"/>
      <c r="AD21" s="700"/>
      <c r="AE21" s="700"/>
      <c r="AF21" s="700"/>
      <c r="AG21" s="700"/>
      <c r="AH21" s="700"/>
      <c r="AI21" s="700"/>
      <c r="AJ21" s="700"/>
      <c r="AK21" s="700"/>
    </row>
    <row r="22" spans="2:37" x14ac:dyDescent="0.2">
      <c r="B22" s="703" t="s">
        <v>513</v>
      </c>
      <c r="C22" s="703" t="s">
        <v>524</v>
      </c>
      <c r="D22" s="829">
        <f>D7-D11-D20</f>
        <v>486.88</v>
      </c>
      <c r="E22" s="829">
        <f t="shared" ref="E22:O22" si="7">E7-E11-E20</f>
        <v>1460.6399999999999</v>
      </c>
      <c r="F22" s="829">
        <f t="shared" si="7"/>
        <v>1465.1085714285714</v>
      </c>
      <c r="G22" s="829">
        <f t="shared" si="7"/>
        <v>1813.1714285714284</v>
      </c>
      <c r="H22" s="829">
        <f t="shared" si="7"/>
        <v>4590</v>
      </c>
      <c r="I22" s="829">
        <f t="shared" si="7"/>
        <v>11510.602857142858</v>
      </c>
      <c r="J22" s="829">
        <f t="shared" si="7"/>
        <v>16639.357142857141</v>
      </c>
      <c r="K22" s="832">
        <f>K7-K11-K20</f>
        <v>-1318000.4472727273</v>
      </c>
      <c r="L22" s="832">
        <f>SUM(D22:K22)</f>
        <v>-1280034.6872727273</v>
      </c>
      <c r="M22" s="829">
        <f t="shared" si="7"/>
        <v>19238.683636363632</v>
      </c>
      <c r="N22" s="829">
        <f t="shared" si="7"/>
        <v>23311.203636363636</v>
      </c>
      <c r="O22" s="832">
        <f t="shared" si="7"/>
        <v>-3826559.302666666</v>
      </c>
      <c r="P22" s="832">
        <f>P7-P11-P20</f>
        <v>-3784009.4153939388</v>
      </c>
      <c r="Q22" s="832">
        <f>SUM(D22:K22)+SUM(M22:O22)</f>
        <v>-5064044.1026666658</v>
      </c>
      <c r="R22" s="833">
        <f>Q7-Q11-Q20</f>
        <v>-5064044.1026666658</v>
      </c>
      <c r="X22" s="829"/>
      <c r="Y22" s="829"/>
      <c r="Z22" s="829"/>
      <c r="AA22" s="829"/>
      <c r="AB22" s="829"/>
      <c r="AC22" s="829"/>
      <c r="AD22" s="829"/>
      <c r="AE22" s="829"/>
      <c r="AF22" s="829"/>
      <c r="AG22" s="829"/>
      <c r="AH22" s="829"/>
      <c r="AI22" s="829"/>
      <c r="AJ22" s="829"/>
      <c r="AK22" s="829"/>
    </row>
    <row r="24" spans="2:37" x14ac:dyDescent="0.2">
      <c r="L24" s="831">
        <f>L7-L11-L20</f>
        <v>-1280034.6872727273</v>
      </c>
      <c r="Q24" s="629">
        <f>L22+P22</f>
        <v>-5064044.1026666658</v>
      </c>
    </row>
    <row r="26" spans="2:37" x14ac:dyDescent="0.2">
      <c r="O26" s="831"/>
      <c r="Q26" s="831">
        <f>L22+P22</f>
        <v>-5064044.1026666658</v>
      </c>
    </row>
    <row r="28" spans="2:37" x14ac:dyDescent="0.2">
      <c r="Q28" s="831">
        <f>Q26+5064044</f>
        <v>-0.10266666579991579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C50D0-508F-48C8-B644-B915C689E975}">
  <dimension ref="B3:AL28"/>
  <sheetViews>
    <sheetView topLeftCell="E1" workbookViewId="0">
      <selection activeCell="N41" sqref="N41"/>
    </sheetView>
  </sheetViews>
  <sheetFormatPr defaultColWidth="9.140625" defaultRowHeight="11.25" x14ac:dyDescent="0.2"/>
  <cols>
    <col min="1" max="1" width="9.140625" style="699"/>
    <col min="2" max="2" width="3.85546875" style="699" customWidth="1"/>
    <col min="3" max="3" width="29.7109375" style="699" customWidth="1"/>
    <col min="4" max="4" width="7.7109375" style="699" customWidth="1"/>
    <col min="5" max="7" width="8" style="699" customWidth="1"/>
    <col min="8" max="10" width="9" style="699" customWidth="1"/>
    <col min="11" max="11" width="12.85546875" style="699" customWidth="1"/>
    <col min="12" max="12" width="13.140625" style="699" bestFit="1" customWidth="1"/>
    <col min="13" max="14" width="9" style="699" bestFit="1" customWidth="1"/>
    <col min="15" max="16" width="12.85546875" style="699" customWidth="1"/>
    <col min="17" max="17" width="13.140625" style="699" customWidth="1"/>
    <col min="18" max="18" width="9.28515625" style="699" bestFit="1" customWidth="1"/>
    <col min="19" max="23" width="9.140625" style="699"/>
    <col min="24" max="36" width="10" style="699" bestFit="1" customWidth="1"/>
    <col min="37" max="37" width="9" style="699" bestFit="1" customWidth="1"/>
    <col min="38" max="16384" width="9.140625" style="699"/>
  </cols>
  <sheetData>
    <row r="3" spans="2:38" x14ac:dyDescent="0.2">
      <c r="C3" s="699" t="s">
        <v>667</v>
      </c>
      <c r="G3" s="826">
        <v>0.66</v>
      </c>
    </row>
    <row r="5" spans="2:38" x14ac:dyDescent="0.2">
      <c r="B5" s="703" t="s">
        <v>502</v>
      </c>
      <c r="C5" s="703" t="s">
        <v>503</v>
      </c>
      <c r="D5" s="827">
        <v>9.1989000000000001</v>
      </c>
      <c r="E5" s="827">
        <v>1990</v>
      </c>
      <c r="F5" s="827">
        <v>1991</v>
      </c>
      <c r="G5" s="827">
        <v>1992</v>
      </c>
      <c r="H5" s="827">
        <v>1993</v>
      </c>
      <c r="I5" s="827">
        <v>1994</v>
      </c>
      <c r="J5" s="827">
        <v>1995</v>
      </c>
      <c r="K5" s="827">
        <v>1996</v>
      </c>
      <c r="L5" s="828" t="s">
        <v>668</v>
      </c>
      <c r="M5" s="827">
        <v>1997</v>
      </c>
      <c r="N5" s="827">
        <v>1998</v>
      </c>
      <c r="O5" s="827">
        <v>1999</v>
      </c>
      <c r="P5" s="828" t="s">
        <v>668</v>
      </c>
      <c r="Q5" s="828" t="s">
        <v>62</v>
      </c>
      <c r="S5" s="699">
        <v>1996</v>
      </c>
      <c r="T5" s="699">
        <v>1997</v>
      </c>
      <c r="U5" s="699">
        <v>1998</v>
      </c>
      <c r="V5" s="699">
        <v>1999</v>
      </c>
      <c r="X5" s="702">
        <v>2000</v>
      </c>
      <c r="Y5" s="702">
        <v>2001</v>
      </c>
      <c r="Z5" s="702">
        <v>2002</v>
      </c>
      <c r="AA5" s="702">
        <v>2003</v>
      </c>
      <c r="AB5" s="702">
        <v>2004</v>
      </c>
      <c r="AC5" s="702">
        <v>2005</v>
      </c>
      <c r="AD5" s="702">
        <v>2006</v>
      </c>
      <c r="AE5" s="702">
        <v>2007</v>
      </c>
      <c r="AF5" s="702">
        <v>2008</v>
      </c>
      <c r="AG5" s="702">
        <v>2009</v>
      </c>
      <c r="AH5" s="702">
        <v>2010</v>
      </c>
      <c r="AI5" s="702">
        <v>2011</v>
      </c>
      <c r="AJ5" s="702">
        <v>2012</v>
      </c>
      <c r="AK5" s="702">
        <v>3.2012999999999998</v>
      </c>
      <c r="AL5" s="701"/>
    </row>
    <row r="6" spans="2:38" x14ac:dyDescent="0.2">
      <c r="D6" s="700"/>
      <c r="E6" s="700"/>
      <c r="F6" s="700"/>
      <c r="G6" s="700"/>
      <c r="H6" s="700"/>
      <c r="I6" s="700"/>
      <c r="J6" s="700"/>
      <c r="K6" s="700"/>
      <c r="L6" s="700"/>
      <c r="M6" s="700"/>
      <c r="N6" s="700"/>
      <c r="O6" s="700"/>
      <c r="P6" s="700"/>
      <c r="Q6" s="700"/>
      <c r="X6" s="700"/>
      <c r="Y6" s="700"/>
      <c r="Z6" s="700"/>
      <c r="AA6" s="700"/>
      <c r="AB6" s="700"/>
      <c r="AC6" s="700"/>
      <c r="AD6" s="700"/>
      <c r="AE6" s="700"/>
      <c r="AF6" s="700"/>
      <c r="AG6" s="700"/>
      <c r="AH6" s="700"/>
      <c r="AI6" s="700"/>
      <c r="AJ6" s="700"/>
      <c r="AK6" s="700"/>
    </row>
    <row r="7" spans="2:38" x14ac:dyDescent="0.2">
      <c r="B7" s="703" t="s">
        <v>504</v>
      </c>
      <c r="C7" s="703" t="s">
        <v>669</v>
      </c>
      <c r="D7" s="829">
        <f>SUM(D8:D9)</f>
        <v>1432</v>
      </c>
      <c r="E7" s="829">
        <f t="shared" ref="E7:O7" si="0">SUM(E8:E9)</f>
        <v>4296</v>
      </c>
      <c r="F7" s="829">
        <f t="shared" si="0"/>
        <v>4309.1428571428569</v>
      </c>
      <c r="G7" s="829">
        <f t="shared" si="0"/>
        <v>5332.8571428571431</v>
      </c>
      <c r="H7" s="829">
        <f t="shared" si="0"/>
        <v>13500</v>
      </c>
      <c r="I7" s="829">
        <f t="shared" si="0"/>
        <v>33854.71428571429</v>
      </c>
      <c r="J7" s="829">
        <f t="shared" si="0"/>
        <v>48939.28571428571</v>
      </c>
      <c r="K7" s="829">
        <f t="shared" si="0"/>
        <v>55754.272727272735</v>
      </c>
      <c r="L7" s="829">
        <f>SUM(D7:K7)</f>
        <v>167418.27272727274</v>
      </c>
      <c r="M7" s="829">
        <f t="shared" si="0"/>
        <v>56584.36363636364</v>
      </c>
      <c r="N7" s="829">
        <f t="shared" si="0"/>
        <v>68562.363636363632</v>
      </c>
      <c r="O7" s="829">
        <f t="shared" si="0"/>
        <v>75842.93333333332</v>
      </c>
      <c r="P7" s="829">
        <f>SUM(P8:P9)</f>
        <v>200989.66060606061</v>
      </c>
      <c r="Q7" s="829">
        <f>SUM(Q8:Q9)</f>
        <v>368407.93333333335</v>
      </c>
      <c r="S7" s="699">
        <v>12883</v>
      </c>
      <c r="T7" s="699">
        <v>12883</v>
      </c>
      <c r="U7" s="699">
        <v>20033</v>
      </c>
      <c r="V7" s="699">
        <v>20033</v>
      </c>
      <c r="X7" s="829">
        <f>SUM(X8:X9)</f>
        <v>81179.066666666666</v>
      </c>
      <c r="Y7" s="829">
        <f t="shared" ref="Y7:AK7" si="1">SUM(Y8:Y9)</f>
        <v>87305</v>
      </c>
      <c r="Z7" s="829">
        <f t="shared" si="1"/>
        <v>97151</v>
      </c>
      <c r="AA7" s="829">
        <f t="shared" si="1"/>
        <v>109275.35714285714</v>
      </c>
      <c r="AB7" s="829">
        <f t="shared" si="1"/>
        <v>123465.06103896104</v>
      </c>
      <c r="AC7" s="829">
        <f t="shared" si="1"/>
        <v>145197.8125874126</v>
      </c>
      <c r="AD7" s="829">
        <f t="shared" si="1"/>
        <v>162655.26923076925</v>
      </c>
      <c r="AE7" s="829">
        <f t="shared" si="1"/>
        <v>182147.5</v>
      </c>
      <c r="AF7" s="829">
        <f t="shared" si="1"/>
        <v>201002.8</v>
      </c>
      <c r="AG7" s="829">
        <f t="shared" si="1"/>
        <v>227217.2</v>
      </c>
      <c r="AH7" s="829">
        <f t="shared" si="1"/>
        <v>251105</v>
      </c>
      <c r="AI7" s="829">
        <f t="shared" si="1"/>
        <v>273174</v>
      </c>
      <c r="AJ7" s="829">
        <f t="shared" si="1"/>
        <v>287879.84615384613</v>
      </c>
      <c r="AK7" s="829">
        <f t="shared" si="1"/>
        <v>75336.184294871811</v>
      </c>
    </row>
    <row r="8" spans="2:38" x14ac:dyDescent="0.2">
      <c r="B8" s="699">
        <v>1</v>
      </c>
      <c r="C8" s="699" t="s">
        <v>670</v>
      </c>
      <c r="D8" s="830">
        <f>'[6]Të ardhurat e prindërve_KPA'!R6</f>
        <v>1432</v>
      </c>
      <c r="E8" s="830">
        <f>'[6]Të ardhurat e prindërve_KPA'!R7</f>
        <v>4296</v>
      </c>
      <c r="F8" s="830">
        <f>'[6]Të ardhurat e prindërve_KPA'!R8</f>
        <v>4309.1428571428569</v>
      </c>
      <c r="G8" s="830">
        <f>'[6]Të ardhurat e prindërve_KPA'!R9</f>
        <v>5332.8571428571431</v>
      </c>
      <c r="H8" s="830">
        <f>'[6]Të ardhurat e prindërve_KPA'!R10</f>
        <v>13500</v>
      </c>
      <c r="I8" s="830">
        <f>'[6]Të ardhurat e prindërve_KPA'!R11</f>
        <v>28267.428571428572</v>
      </c>
      <c r="J8" s="830">
        <f>'[6]Të ardhurat e prindërve_KPA'!R12</f>
        <v>33732.571428571428</v>
      </c>
      <c r="K8" s="830">
        <f>'[6]Të ardhurat e prindërve_KPA'!R13</f>
        <v>43441.227272727279</v>
      </c>
      <c r="L8" s="830">
        <f>SUM(D8:K8)</f>
        <v>134311.22727272729</v>
      </c>
      <c r="M8" s="830">
        <f>'[6]Të ardhurat e prindërve_KPA'!R14</f>
        <v>45613.636363636368</v>
      </c>
      <c r="N8" s="830">
        <f>'[6]Të ardhurat e prindërve_KPA'!R15</f>
        <v>53601.136363636368</v>
      </c>
      <c r="O8" s="830">
        <f>'[6]Të ardhurat e prindërve_KPA'!R16</f>
        <v>59453.333333333328</v>
      </c>
      <c r="P8" s="830">
        <f>SUM(M8:O8)</f>
        <v>158668.10606060608</v>
      </c>
      <c r="Q8" s="830">
        <f>L8+P8</f>
        <v>292979.33333333337</v>
      </c>
      <c r="X8" s="830">
        <f>'[6]Të ardhurat e prindërve_KPA'!R17</f>
        <v>63991.166666666664</v>
      </c>
      <c r="Y8" s="830">
        <f>'[6]Të ardhurat e prindërve_KPA'!R18</f>
        <v>71028.5</v>
      </c>
      <c r="Z8" s="830">
        <f>'[6]Të ardhurat e prindërve_KPA'!R19</f>
        <v>76901</v>
      </c>
      <c r="AA8" s="830">
        <f>'[6]Të ardhurat e prindërve_KPA'!R20</f>
        <v>84107.5</v>
      </c>
      <c r="AB8" s="830">
        <f>'[6]Të ardhurat e prindërve_KPA'!R21</f>
        <v>90990.318181818177</v>
      </c>
      <c r="AC8" s="830">
        <f>'[6]Të ardhurat e prindërve_KPA'!R22</f>
        <v>98218.489510489511</v>
      </c>
      <c r="AD8" s="830">
        <f>'[6]Të ardhurat e prindërve_KPA'!R23</f>
        <v>106651.69230769231</v>
      </c>
      <c r="AE8" s="830">
        <f>'[6]Të ardhurat e prindërve_KPA'!R24</f>
        <v>119383.5</v>
      </c>
      <c r="AF8" s="830">
        <f>'[6]Të ardhurat e prindërve_KPA'!R25</f>
        <v>131666.29999999999</v>
      </c>
      <c r="AG8" s="830">
        <f>'[6]Të ardhurat e prindërve_KPA'!R26</f>
        <v>144538.05714285714</v>
      </c>
      <c r="AH8" s="830">
        <f>'[6]Të ardhurat e prindërve_KPA'!R27</f>
        <v>152123.64285714284</v>
      </c>
      <c r="AI8" s="830">
        <f>'[6]Të ardhurat e prindërve_KPA'!R28</f>
        <v>160717</v>
      </c>
      <c r="AJ8" s="830">
        <f>'[6]Të ardhurat e prindërve_KPA'!R29</f>
        <v>172017.73076923078</v>
      </c>
      <c r="AK8" s="830">
        <f>'[6]Të ardhurat e prindërve_KPA'!R30/12*3</f>
        <v>45141.067307692312</v>
      </c>
    </row>
    <row r="9" spans="2:38" x14ac:dyDescent="0.2">
      <c r="B9" s="699">
        <v>2</v>
      </c>
      <c r="C9" s="699" t="s">
        <v>671</v>
      </c>
      <c r="D9" s="830">
        <v>0</v>
      </c>
      <c r="E9" s="830">
        <v>0</v>
      </c>
      <c r="F9" s="830">
        <v>0</v>
      </c>
      <c r="G9" s="830">
        <v>0</v>
      </c>
      <c r="H9" s="830">
        <v>0</v>
      </c>
      <c r="I9" s="830">
        <f>'[6]Të ardhurat e prindërve_KPA'!S11</f>
        <v>5587.2857142857147</v>
      </c>
      <c r="J9" s="830">
        <f>'[6]Të ardhurat e prindërve_KPA'!S12</f>
        <v>15206.714285714286</v>
      </c>
      <c r="K9" s="830">
        <f>'[6]Të ardhurat e prindërve_KPA'!S13</f>
        <v>12313.045454545456</v>
      </c>
      <c r="L9" s="830">
        <f>SUM(D9:K9)</f>
        <v>33107.045454545456</v>
      </c>
      <c r="M9" s="830">
        <f>'[6]Të ardhurat e prindërve_KPA'!S14</f>
        <v>10970.727272727274</v>
      </c>
      <c r="N9" s="830">
        <f>'[6]Të ardhurat e prindërve_KPA'!S15</f>
        <v>14961.22727272727</v>
      </c>
      <c r="O9" s="830">
        <f>'[6]Të ardhurat e prindërve_KPA'!S16</f>
        <v>16389.599999999999</v>
      </c>
      <c r="P9" s="830">
        <f>SUM(M9:O9)</f>
        <v>42321.554545454543</v>
      </c>
      <c r="Q9" s="830">
        <f>L9+P9</f>
        <v>75428.600000000006</v>
      </c>
      <c r="X9" s="830">
        <f>'[6]Të ardhurat e prindërve_KPA'!S17</f>
        <v>17187.900000000001</v>
      </c>
      <c r="Y9" s="830">
        <f>'[6]Të ardhurat e prindërve_KPA'!S18</f>
        <v>16276.5</v>
      </c>
      <c r="Z9" s="830">
        <f>'[6]Të ardhurat e prindërve_KPA'!S19</f>
        <v>20250</v>
      </c>
      <c r="AA9" s="830">
        <f>'[6]Të ardhurat e prindërve_KPA'!S20</f>
        <v>25167.857142857141</v>
      </c>
      <c r="AB9" s="830">
        <f>'[6]Të ardhurat e prindërve_KPA'!S21</f>
        <v>32474.742857142861</v>
      </c>
      <c r="AC9" s="830">
        <f>'[6]Të ardhurat e prindërve_KPA'!S22</f>
        <v>46979.323076923079</v>
      </c>
      <c r="AD9" s="830">
        <f>'[6]Të ardhurat e prindërve_KPA'!S23</f>
        <v>56003.576923076922</v>
      </c>
      <c r="AE9" s="830">
        <f>'[6]Të ardhurat e prindërve_KPA'!S24</f>
        <v>62764</v>
      </c>
      <c r="AF9" s="830">
        <f>'[6]Të ardhurat e prindërve_KPA'!S25</f>
        <v>69336.5</v>
      </c>
      <c r="AG9" s="830">
        <f>'[6]Të ardhurat e prindërve_KPA'!S26</f>
        <v>82679.142857142855</v>
      </c>
      <c r="AH9" s="830">
        <f>'[6]Të ardhurat e prindërve_KPA'!S27</f>
        <v>98981.357142857145</v>
      </c>
      <c r="AI9" s="830">
        <f>'[6]Të ardhurat e prindërve_KPA'!S28</f>
        <v>112457</v>
      </c>
      <c r="AJ9" s="830">
        <f>'[6]Të ardhurat e prindërve_KPA'!S29</f>
        <v>115862.11538461538</v>
      </c>
      <c r="AK9" s="830">
        <f>('[6]Të ardhurat e prindërve_KPA'!S30/12)*3</f>
        <v>30195.116987179492</v>
      </c>
    </row>
    <row r="10" spans="2:38" x14ac:dyDescent="0.2">
      <c r="D10" s="830"/>
      <c r="E10" s="830"/>
      <c r="F10" s="830"/>
      <c r="G10" s="830"/>
      <c r="H10" s="830"/>
      <c r="I10" s="830"/>
      <c r="J10" s="830"/>
      <c r="K10" s="830"/>
      <c r="L10" s="830"/>
      <c r="M10" s="830"/>
      <c r="N10" s="830"/>
      <c r="O10" s="830"/>
      <c r="P10" s="830"/>
      <c r="Q10" s="830"/>
      <c r="X10" s="700"/>
      <c r="Y10" s="700"/>
      <c r="Z10" s="700"/>
      <c r="AA10" s="700"/>
      <c r="AB10" s="700"/>
      <c r="AC10" s="700"/>
      <c r="AD10" s="700"/>
      <c r="AE10" s="700"/>
      <c r="AF10" s="700"/>
      <c r="AG10" s="700"/>
      <c r="AH10" s="700"/>
      <c r="AI10" s="700"/>
      <c r="AJ10" s="700"/>
      <c r="AK10" s="700"/>
    </row>
    <row r="11" spans="2:38" x14ac:dyDescent="0.2">
      <c r="B11" s="703" t="s">
        <v>505</v>
      </c>
      <c r="C11" s="703" t="s">
        <v>672</v>
      </c>
      <c r="D11" s="829">
        <f>D12</f>
        <v>945.12</v>
      </c>
      <c r="E11" s="829">
        <f t="shared" ref="E11:O11" si="2">E12</f>
        <v>2835.36</v>
      </c>
      <c r="F11" s="829">
        <f t="shared" si="2"/>
        <v>2844.0342857142855</v>
      </c>
      <c r="G11" s="829">
        <f t="shared" si="2"/>
        <v>3519.6857142857148</v>
      </c>
      <c r="H11" s="829">
        <f t="shared" si="2"/>
        <v>8910</v>
      </c>
      <c r="I11" s="829">
        <f t="shared" si="2"/>
        <v>22344.111428571432</v>
      </c>
      <c r="J11" s="829">
        <f t="shared" si="2"/>
        <v>32299.928571428569</v>
      </c>
      <c r="K11" s="829">
        <f t="shared" si="2"/>
        <v>36797.820000000007</v>
      </c>
      <c r="L11" s="829">
        <f>SUM(D11:K11)</f>
        <v>110496.06000000001</v>
      </c>
      <c r="M11" s="829">
        <f t="shared" si="2"/>
        <v>37345.680000000008</v>
      </c>
      <c r="N11" s="829">
        <f t="shared" si="2"/>
        <v>45251.159999999996</v>
      </c>
      <c r="O11" s="829">
        <f t="shared" si="2"/>
        <v>50056.335999999996</v>
      </c>
      <c r="P11" s="829">
        <f>SUM(M11:O11)</f>
        <v>132653.17599999998</v>
      </c>
      <c r="Q11" s="829">
        <f>L11+P11</f>
        <v>243149.23599999998</v>
      </c>
      <c r="U11" s="699">
        <v>17649</v>
      </c>
      <c r="X11" s="829">
        <f>SUM(X12)</f>
        <v>216000</v>
      </c>
      <c r="Y11" s="829">
        <f t="shared" ref="Y11:AK11" si="3">SUM(Y12)</f>
        <v>216000</v>
      </c>
      <c r="Z11" s="829">
        <f t="shared" si="3"/>
        <v>187728</v>
      </c>
      <c r="AA11" s="829">
        <f t="shared" si="3"/>
        <v>187728</v>
      </c>
      <c r="AB11" s="829">
        <f t="shared" si="3"/>
        <v>187728</v>
      </c>
      <c r="AC11" s="829">
        <f t="shared" si="3"/>
        <v>219114</v>
      </c>
      <c r="AD11" s="829">
        <f t="shared" si="3"/>
        <v>219114</v>
      </c>
      <c r="AE11" s="829">
        <f t="shared" si="3"/>
        <v>273240</v>
      </c>
      <c r="AF11" s="829">
        <f t="shared" si="3"/>
        <v>273240</v>
      </c>
      <c r="AG11" s="829">
        <f t="shared" si="3"/>
        <v>273240</v>
      </c>
      <c r="AH11" s="829">
        <f t="shared" si="3"/>
        <v>273240</v>
      </c>
      <c r="AI11" s="829">
        <f t="shared" si="3"/>
        <v>273240</v>
      </c>
      <c r="AJ11" s="829">
        <f t="shared" si="3"/>
        <v>282048</v>
      </c>
      <c r="AK11" s="829">
        <f t="shared" si="3"/>
        <v>70512</v>
      </c>
    </row>
    <row r="12" spans="2:38" x14ac:dyDescent="0.2">
      <c r="B12" s="699">
        <v>1</v>
      </c>
      <c r="C12" s="699" t="s">
        <v>673</v>
      </c>
      <c r="D12" s="830">
        <f>D7*$G$3</f>
        <v>945.12</v>
      </c>
      <c r="E12" s="830">
        <f t="shared" ref="E12:K12" si="4">E7*$G$3</f>
        <v>2835.36</v>
      </c>
      <c r="F12" s="830">
        <f t="shared" si="4"/>
        <v>2844.0342857142855</v>
      </c>
      <c r="G12" s="830">
        <f t="shared" si="4"/>
        <v>3519.6857142857148</v>
      </c>
      <c r="H12" s="830">
        <f t="shared" si="4"/>
        <v>8910</v>
      </c>
      <c r="I12" s="830">
        <f t="shared" si="4"/>
        <v>22344.111428571432</v>
      </c>
      <c r="J12" s="830">
        <f t="shared" si="4"/>
        <v>32299.928571428569</v>
      </c>
      <c r="K12" s="830">
        <f t="shared" si="4"/>
        <v>36797.820000000007</v>
      </c>
      <c r="L12" s="830">
        <f>SUM(D12:K12)</f>
        <v>110496.06000000001</v>
      </c>
      <c r="M12" s="830">
        <f>M7*$G$3</f>
        <v>37345.680000000008</v>
      </c>
      <c r="N12" s="830">
        <f>N7*$G$3</f>
        <v>45251.159999999996</v>
      </c>
      <c r="O12" s="830">
        <f>O7*$G$3</f>
        <v>50056.335999999996</v>
      </c>
      <c r="P12" s="830">
        <f>SUM(M12:O12)</f>
        <v>132653.17599999998</v>
      </c>
      <c r="Q12" s="830">
        <f>L12+P12</f>
        <v>243149.23599999998</v>
      </c>
      <c r="U12" s="699">
        <f>U11-U11*25%</f>
        <v>13236.75</v>
      </c>
      <c r="X12" s="830">
        <f>9000*2*12</f>
        <v>216000</v>
      </c>
      <c r="Y12" s="830">
        <f>9000*2*12</f>
        <v>216000</v>
      </c>
      <c r="Z12" s="830">
        <f>7822*2*12</f>
        <v>187728</v>
      </c>
      <c r="AA12" s="830">
        <f>7822*2*12</f>
        <v>187728</v>
      </c>
      <c r="AB12" s="830">
        <f>7822*2*12</f>
        <v>187728</v>
      </c>
      <c r="AC12" s="830">
        <v>219114</v>
      </c>
      <c r="AD12" s="830">
        <v>219114</v>
      </c>
      <c r="AE12" s="830">
        <v>273240</v>
      </c>
      <c r="AF12" s="830">
        <v>273240</v>
      </c>
      <c r="AG12" s="830">
        <v>273240</v>
      </c>
      <c r="AH12" s="830">
        <v>273240</v>
      </c>
      <c r="AI12" s="830">
        <v>273240</v>
      </c>
      <c r="AJ12" s="830">
        <v>282048</v>
      </c>
      <c r="AK12" s="830">
        <f>282048/12*3</f>
        <v>70512</v>
      </c>
    </row>
    <row r="13" spans="2:38" x14ac:dyDescent="0.2">
      <c r="D13" s="830"/>
      <c r="E13" s="830"/>
      <c r="F13" s="830"/>
      <c r="G13" s="830"/>
      <c r="H13" s="830"/>
      <c r="I13" s="830"/>
      <c r="J13" s="830"/>
      <c r="K13" s="830"/>
      <c r="L13" s="830"/>
      <c r="M13" s="830"/>
      <c r="N13" s="830"/>
      <c r="O13" s="830"/>
      <c r="P13" s="830"/>
      <c r="Q13" s="830"/>
      <c r="X13" s="700"/>
      <c r="Y13" s="700"/>
      <c r="Z13" s="700"/>
      <c r="AA13" s="700"/>
      <c r="AB13" s="700"/>
      <c r="AC13" s="700"/>
      <c r="AD13" s="700"/>
      <c r="AE13" s="700"/>
      <c r="AF13" s="700"/>
      <c r="AG13" s="700"/>
      <c r="AH13" s="700"/>
      <c r="AI13" s="700"/>
      <c r="AJ13" s="700"/>
      <c r="AK13" s="700"/>
    </row>
    <row r="14" spans="2:38" x14ac:dyDescent="0.2">
      <c r="B14" s="703" t="s">
        <v>506</v>
      </c>
      <c r="C14" s="703" t="s">
        <v>512</v>
      </c>
      <c r="D14" s="829">
        <f>SUM(D15:D16)</f>
        <v>0</v>
      </c>
      <c r="E14" s="829">
        <f t="shared" ref="E14:O14" si="5">SUM(E15:E16)</f>
        <v>0</v>
      </c>
      <c r="F14" s="829">
        <f t="shared" si="5"/>
        <v>0</v>
      </c>
      <c r="G14" s="829">
        <f t="shared" si="5"/>
        <v>0</v>
      </c>
      <c r="H14" s="829">
        <f t="shared" si="5"/>
        <v>0</v>
      </c>
      <c r="I14" s="829">
        <f t="shared" si="5"/>
        <v>0</v>
      </c>
      <c r="J14" s="829">
        <f t="shared" si="5"/>
        <v>0</v>
      </c>
      <c r="K14" s="829">
        <f t="shared" si="5"/>
        <v>1782609.2</v>
      </c>
      <c r="L14" s="829">
        <f>SUM(D14:K14)</f>
        <v>1782609.2</v>
      </c>
      <c r="M14" s="829">
        <f t="shared" si="5"/>
        <v>0</v>
      </c>
      <c r="N14" s="829">
        <f t="shared" si="5"/>
        <v>0</v>
      </c>
      <c r="O14" s="829">
        <f t="shared" si="5"/>
        <v>4509812.9335999992</v>
      </c>
      <c r="P14" s="829">
        <f>SUM(M14:O14)</f>
        <v>4509812.9335999992</v>
      </c>
      <c r="Q14" s="829">
        <f>L14+P14</f>
        <v>6292422.1335999994</v>
      </c>
      <c r="X14" s="829"/>
      <c r="Y14" s="829"/>
      <c r="Z14" s="829"/>
      <c r="AA14" s="829"/>
      <c r="AB14" s="829"/>
      <c r="AC14" s="829"/>
      <c r="AD14" s="829"/>
      <c r="AE14" s="829"/>
      <c r="AF14" s="829"/>
      <c r="AG14" s="829"/>
      <c r="AH14" s="829"/>
      <c r="AI14" s="829"/>
      <c r="AJ14" s="829"/>
      <c r="AK14" s="829"/>
    </row>
    <row r="15" spans="2:38" x14ac:dyDescent="0.2">
      <c r="B15" s="699">
        <v>1</v>
      </c>
      <c r="C15" s="699" t="s">
        <v>674</v>
      </c>
      <c r="D15" s="830">
        <v>0</v>
      </c>
      <c r="E15" s="830">
        <v>0</v>
      </c>
      <c r="F15" s="830">
        <v>0</v>
      </c>
      <c r="G15" s="830">
        <v>0</v>
      </c>
      <c r="H15" s="830">
        <v>0</v>
      </c>
      <c r="I15" s="830">
        <v>0</v>
      </c>
      <c r="J15" s="830">
        <v>0</v>
      </c>
      <c r="K15" s="830">
        <f>(107.6*16567)</f>
        <v>1782609.2</v>
      </c>
      <c r="L15" s="830">
        <f>SUM(D15:K15)</f>
        <v>1782609.2</v>
      </c>
      <c r="M15" s="830">
        <v>0</v>
      </c>
      <c r="N15" s="830">
        <v>0</v>
      </c>
      <c r="O15" s="830">
        <v>0</v>
      </c>
      <c r="P15" s="830">
        <f>SUM(M15:O15)</f>
        <v>0</v>
      </c>
      <c r="Q15" s="830">
        <f>L15+P15</f>
        <v>1782609.2</v>
      </c>
      <c r="X15" s="830">
        <f>0</f>
        <v>0</v>
      </c>
      <c r="Y15" s="830">
        <f>0</f>
        <v>0</v>
      </c>
      <c r="Z15" s="830">
        <f>0</f>
        <v>0</v>
      </c>
      <c r="AA15" s="830">
        <f>0</f>
        <v>0</v>
      </c>
      <c r="AB15" s="830">
        <f>0</f>
        <v>0</v>
      </c>
      <c r="AC15" s="830">
        <f>0</f>
        <v>0</v>
      </c>
      <c r="AD15" s="830">
        <f>0</f>
        <v>0</v>
      </c>
      <c r="AE15" s="830">
        <f>0</f>
        <v>0</v>
      </c>
      <c r="AF15" s="830">
        <f>0</f>
        <v>0</v>
      </c>
      <c r="AG15" s="830">
        <f>0</f>
        <v>0</v>
      </c>
      <c r="AH15" s="830">
        <f>0</f>
        <v>0</v>
      </c>
      <c r="AI15" s="830">
        <f>0</f>
        <v>0</v>
      </c>
      <c r="AJ15" s="830">
        <f>AJ7-AJ11</f>
        <v>5831.846153846127</v>
      </c>
      <c r="AK15" s="830">
        <f>AK7-AK11</f>
        <v>4824.1842948718113</v>
      </c>
      <c r="AL15" s="831">
        <f>SUM(AJ15:AK15)</f>
        <v>10656.030448717938</v>
      </c>
    </row>
    <row r="16" spans="2:38" x14ac:dyDescent="0.2">
      <c r="B16" s="699">
        <v>2</v>
      </c>
      <c r="C16" s="699" t="s">
        <v>675</v>
      </c>
      <c r="D16" s="830">
        <v>0</v>
      </c>
      <c r="E16" s="830">
        <v>0</v>
      </c>
      <c r="F16" s="830">
        <v>0</v>
      </c>
      <c r="G16" s="830">
        <v>0</v>
      </c>
      <c r="H16" s="830">
        <v>0</v>
      </c>
      <c r="I16" s="830">
        <v>0</v>
      </c>
      <c r="J16" s="830">
        <v>0</v>
      </c>
      <c r="K16" s="830">
        <v>0</v>
      </c>
      <c r="L16" s="830"/>
      <c r="M16" s="830">
        <v>0</v>
      </c>
      <c r="N16" s="830">
        <v>0</v>
      </c>
      <c r="O16" s="830">
        <f>(256.4*20033)-(256.4*20033)*12.2%</f>
        <v>4509812.9335999992</v>
      </c>
      <c r="P16" s="830">
        <f>SUM(M16:O16)</f>
        <v>4509812.9335999992</v>
      </c>
      <c r="Q16" s="830">
        <f>L16+P16</f>
        <v>4509812.9335999992</v>
      </c>
      <c r="X16" s="830"/>
      <c r="Y16" s="830"/>
      <c r="Z16" s="830"/>
      <c r="AA16" s="830"/>
      <c r="AB16" s="830"/>
      <c r="AC16" s="830"/>
      <c r="AD16" s="830"/>
      <c r="AE16" s="830"/>
      <c r="AF16" s="830"/>
      <c r="AG16" s="830"/>
      <c r="AH16" s="830"/>
      <c r="AI16" s="830"/>
      <c r="AJ16" s="830"/>
      <c r="AK16" s="830"/>
    </row>
    <row r="17" spans="2:37" x14ac:dyDescent="0.2">
      <c r="D17" s="830"/>
      <c r="E17" s="830"/>
      <c r="F17" s="830"/>
      <c r="G17" s="830"/>
      <c r="H17" s="830"/>
      <c r="I17" s="830"/>
      <c r="J17" s="830"/>
      <c r="K17" s="830"/>
      <c r="L17" s="830"/>
      <c r="M17" s="830"/>
      <c r="N17" s="830"/>
      <c r="O17" s="830"/>
      <c r="P17" s="830"/>
      <c r="Q17" s="830"/>
      <c r="X17" s="700"/>
      <c r="Y17" s="700"/>
      <c r="Z17" s="700"/>
      <c r="AA17" s="700"/>
      <c r="AB17" s="700"/>
      <c r="AC17" s="700"/>
      <c r="AD17" s="700"/>
      <c r="AE17" s="700"/>
      <c r="AF17" s="700"/>
      <c r="AG17" s="700"/>
      <c r="AH17" s="700"/>
      <c r="AI17" s="700"/>
      <c r="AJ17" s="700"/>
      <c r="AK17" s="700"/>
    </row>
    <row r="18" spans="2:37" x14ac:dyDescent="0.2">
      <c r="B18" s="703" t="s">
        <v>507</v>
      </c>
      <c r="C18" s="703" t="s">
        <v>511</v>
      </c>
      <c r="D18" s="829">
        <v>0</v>
      </c>
      <c r="E18" s="829">
        <v>0</v>
      </c>
      <c r="F18" s="829">
        <v>0</v>
      </c>
      <c r="G18" s="829">
        <v>0</v>
      </c>
      <c r="H18" s="829">
        <v>0</v>
      </c>
      <c r="I18" s="829">
        <v>0</v>
      </c>
      <c r="J18" s="829">
        <v>0</v>
      </c>
      <c r="K18" s="829">
        <v>0</v>
      </c>
      <c r="L18" s="829">
        <v>0</v>
      </c>
      <c r="M18" s="829">
        <v>0</v>
      </c>
      <c r="N18" s="829">
        <v>0</v>
      </c>
      <c r="O18" s="829">
        <v>0</v>
      </c>
      <c r="P18" s="829"/>
      <c r="Q18" s="829">
        <v>0</v>
      </c>
      <c r="X18" s="829"/>
      <c r="Y18" s="829"/>
      <c r="Z18" s="829"/>
      <c r="AA18" s="829"/>
      <c r="AB18" s="829"/>
      <c r="AC18" s="829"/>
      <c r="AD18" s="829"/>
      <c r="AE18" s="829"/>
      <c r="AF18" s="829"/>
      <c r="AG18" s="829"/>
      <c r="AH18" s="829"/>
      <c r="AI18" s="829"/>
      <c r="AJ18" s="829"/>
      <c r="AK18" s="829"/>
    </row>
    <row r="19" spans="2:37" x14ac:dyDescent="0.2">
      <c r="D19" s="830"/>
      <c r="E19" s="830"/>
      <c r="F19" s="830"/>
      <c r="G19" s="830"/>
      <c r="H19" s="830"/>
      <c r="I19" s="830"/>
      <c r="J19" s="830"/>
      <c r="K19" s="830"/>
      <c r="L19" s="830"/>
      <c r="M19" s="830"/>
      <c r="N19" s="830"/>
      <c r="O19" s="830"/>
      <c r="P19" s="830"/>
      <c r="Q19" s="830"/>
      <c r="X19" s="700"/>
      <c r="Y19" s="700"/>
      <c r="Z19" s="700"/>
      <c r="AA19" s="700"/>
      <c r="AB19" s="700"/>
      <c r="AC19" s="700"/>
      <c r="AD19" s="700"/>
      <c r="AE19" s="700"/>
      <c r="AF19" s="700"/>
      <c r="AG19" s="700"/>
      <c r="AH19" s="700"/>
      <c r="AI19" s="700"/>
      <c r="AJ19" s="700"/>
      <c r="AK19" s="700"/>
    </row>
    <row r="20" spans="2:37" x14ac:dyDescent="0.2">
      <c r="B20" s="703" t="s">
        <v>508</v>
      </c>
      <c r="C20" s="703" t="s">
        <v>676</v>
      </c>
      <c r="D20" s="829">
        <f>D14-D18</f>
        <v>0</v>
      </c>
      <c r="E20" s="829">
        <f t="shared" ref="E20:O20" si="6">E14-E18</f>
        <v>0</v>
      </c>
      <c r="F20" s="829">
        <f t="shared" si="6"/>
        <v>0</v>
      </c>
      <c r="G20" s="829">
        <f t="shared" si="6"/>
        <v>0</v>
      </c>
      <c r="H20" s="829">
        <f t="shared" si="6"/>
        <v>0</v>
      </c>
      <c r="I20" s="829">
        <f t="shared" si="6"/>
        <v>0</v>
      </c>
      <c r="J20" s="829">
        <f t="shared" si="6"/>
        <v>0</v>
      </c>
      <c r="K20" s="829">
        <f t="shared" si="6"/>
        <v>1782609.2</v>
      </c>
      <c r="L20" s="829">
        <f>L14-L18</f>
        <v>1782609.2</v>
      </c>
      <c r="M20" s="829">
        <f t="shared" si="6"/>
        <v>0</v>
      </c>
      <c r="N20" s="829">
        <f t="shared" si="6"/>
        <v>0</v>
      </c>
      <c r="O20" s="829">
        <f t="shared" si="6"/>
        <v>4509812.9335999992</v>
      </c>
      <c r="P20" s="829">
        <f>SUM(M20:O20)</f>
        <v>4509812.9335999992</v>
      </c>
      <c r="Q20" s="829">
        <f>Q14-Q18</f>
        <v>6292422.1335999994</v>
      </c>
      <c r="X20" s="829"/>
      <c r="Y20" s="829"/>
      <c r="Z20" s="829"/>
      <c r="AA20" s="829"/>
      <c r="AB20" s="829"/>
      <c r="AC20" s="829"/>
      <c r="AD20" s="829"/>
      <c r="AE20" s="829"/>
      <c r="AF20" s="829"/>
      <c r="AG20" s="829"/>
      <c r="AH20" s="829"/>
      <c r="AI20" s="829"/>
      <c r="AJ20" s="829"/>
      <c r="AK20" s="829"/>
    </row>
    <row r="21" spans="2:37" x14ac:dyDescent="0.2">
      <c r="D21" s="830"/>
      <c r="E21" s="830"/>
      <c r="F21" s="830"/>
      <c r="G21" s="830"/>
      <c r="H21" s="830"/>
      <c r="I21" s="830"/>
      <c r="J21" s="830"/>
      <c r="K21" s="830"/>
      <c r="L21" s="830"/>
      <c r="M21" s="830"/>
      <c r="N21" s="830"/>
      <c r="O21" s="830"/>
      <c r="P21" s="830"/>
      <c r="Q21" s="830"/>
      <c r="X21" s="700"/>
      <c r="Y21" s="700"/>
      <c r="Z21" s="700"/>
      <c r="AA21" s="700"/>
      <c r="AB21" s="700"/>
      <c r="AC21" s="700"/>
      <c r="AD21" s="700"/>
      <c r="AE21" s="700"/>
      <c r="AF21" s="700"/>
      <c r="AG21" s="700"/>
      <c r="AH21" s="700"/>
      <c r="AI21" s="700"/>
      <c r="AJ21" s="700"/>
      <c r="AK21" s="700"/>
    </row>
    <row r="22" spans="2:37" x14ac:dyDescent="0.2">
      <c r="B22" s="703" t="s">
        <v>513</v>
      </c>
      <c r="C22" s="703" t="s">
        <v>524</v>
      </c>
      <c r="D22" s="829">
        <f>D7-D11-D20</f>
        <v>486.88</v>
      </c>
      <c r="E22" s="829">
        <f t="shared" ref="E22:O22" si="7">E7-E11-E20</f>
        <v>1460.6399999999999</v>
      </c>
      <c r="F22" s="829">
        <f t="shared" si="7"/>
        <v>1465.1085714285714</v>
      </c>
      <c r="G22" s="829">
        <f t="shared" si="7"/>
        <v>1813.1714285714284</v>
      </c>
      <c r="H22" s="829">
        <f t="shared" si="7"/>
        <v>4590</v>
      </c>
      <c r="I22" s="829">
        <f t="shared" si="7"/>
        <v>11510.602857142858</v>
      </c>
      <c r="J22" s="829">
        <f t="shared" si="7"/>
        <v>16639.357142857141</v>
      </c>
      <c r="K22" s="832">
        <f>K7-K11-K20</f>
        <v>-1763652.7472727273</v>
      </c>
      <c r="L22" s="832">
        <f>SUM(D22:K22)</f>
        <v>-1725686.9872727273</v>
      </c>
      <c r="M22" s="829">
        <f t="shared" si="7"/>
        <v>19238.683636363632</v>
      </c>
      <c r="N22" s="829">
        <f t="shared" si="7"/>
        <v>23311.203636363636</v>
      </c>
      <c r="O22" s="832">
        <f t="shared" si="7"/>
        <v>-4484026.3362666657</v>
      </c>
      <c r="P22" s="832">
        <f>P7-P11-P20</f>
        <v>-4441476.448993939</v>
      </c>
      <c r="Q22" s="832">
        <f>SUM(D22:K22)+SUM(M22:O22)</f>
        <v>-6167163.4362666653</v>
      </c>
      <c r="R22" s="833">
        <f>Q7-Q11-Q20</f>
        <v>-6167163.4362666663</v>
      </c>
      <c r="X22" s="829"/>
      <c r="Y22" s="829"/>
      <c r="Z22" s="829"/>
      <c r="AA22" s="829"/>
      <c r="AB22" s="829"/>
      <c r="AC22" s="829"/>
      <c r="AD22" s="829"/>
      <c r="AE22" s="829"/>
      <c r="AF22" s="829"/>
      <c r="AG22" s="829"/>
      <c r="AH22" s="829"/>
      <c r="AI22" s="829"/>
      <c r="AJ22" s="829"/>
      <c r="AK22" s="829"/>
    </row>
    <row r="24" spans="2:37" x14ac:dyDescent="0.2">
      <c r="L24" s="831">
        <f>L7-L11-L20</f>
        <v>-1725686.9872727273</v>
      </c>
      <c r="Q24" s="629">
        <f>L22+P22</f>
        <v>-6167163.4362666663</v>
      </c>
    </row>
    <row r="26" spans="2:37" x14ac:dyDescent="0.2">
      <c r="O26" s="831"/>
      <c r="Q26" s="831">
        <f>L22+P22</f>
        <v>-6167163.4362666663</v>
      </c>
    </row>
    <row r="28" spans="2:37" x14ac:dyDescent="0.2">
      <c r="Q28" s="831">
        <f>Q26+5064044</f>
        <v>-1103119.4362666663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C35"/>
  <sheetViews>
    <sheetView topLeftCell="B1" workbookViewId="0">
      <selection activeCell="G40" sqref="G40"/>
    </sheetView>
  </sheetViews>
  <sheetFormatPr defaultColWidth="9.140625" defaultRowHeight="12" x14ac:dyDescent="0.2"/>
  <cols>
    <col min="1" max="1" width="9.140625" style="487"/>
    <col min="2" max="2" width="39" style="487" bestFit="1" customWidth="1"/>
    <col min="3" max="3" width="23.42578125" style="487" bestFit="1" customWidth="1"/>
    <col min="4" max="16384" width="9.140625" style="487"/>
  </cols>
  <sheetData>
    <row r="2" spans="2:3" ht="12.75" x14ac:dyDescent="0.25">
      <c r="B2" s="500" t="s">
        <v>459</v>
      </c>
      <c r="C2" s="500" t="s">
        <v>465</v>
      </c>
    </row>
    <row r="3" spans="2:3" x14ac:dyDescent="0.2">
      <c r="B3" s="488" t="s">
        <v>405</v>
      </c>
      <c r="C3" s="489">
        <f>+C4+C5</f>
        <v>3448180.13</v>
      </c>
    </row>
    <row r="4" spans="2:3" x14ac:dyDescent="0.2">
      <c r="B4" s="488" t="s">
        <v>445</v>
      </c>
      <c r="C4" s="489">
        <v>3448180.13</v>
      </c>
    </row>
    <row r="5" spans="2:3" x14ac:dyDescent="0.2">
      <c r="B5" s="488" t="s">
        <v>0</v>
      </c>
      <c r="C5" s="488">
        <v>0</v>
      </c>
    </row>
    <row r="6" spans="2:3" x14ac:dyDescent="0.2">
      <c r="B6" s="488" t="s">
        <v>1</v>
      </c>
      <c r="C6" s="488">
        <f>+C7</f>
        <v>0</v>
      </c>
    </row>
    <row r="7" spans="2:3" x14ac:dyDescent="0.2">
      <c r="B7" s="488" t="s">
        <v>1</v>
      </c>
      <c r="C7" s="488">
        <v>0</v>
      </c>
    </row>
    <row r="8" spans="2:3" x14ac:dyDescent="0.2">
      <c r="B8" s="488" t="s">
        <v>441</v>
      </c>
      <c r="C8" s="489">
        <f>+C3-C6</f>
        <v>3448180.13</v>
      </c>
    </row>
    <row r="9" spans="2:3" x14ac:dyDescent="0.2">
      <c r="B9" s="488" t="s">
        <v>4</v>
      </c>
      <c r="C9" s="489">
        <v>164137.39000000001</v>
      </c>
    </row>
    <row r="10" spans="2:3" x14ac:dyDescent="0.2">
      <c r="B10" s="488" t="s">
        <v>442</v>
      </c>
      <c r="C10" s="489">
        <v>26222.84</v>
      </c>
    </row>
    <row r="11" spans="2:3" x14ac:dyDescent="0.2">
      <c r="B11" s="488" t="s">
        <v>443</v>
      </c>
      <c r="C11" s="489">
        <v>137914.54999999999</v>
      </c>
    </row>
    <row r="12" spans="2:3" x14ac:dyDescent="0.2">
      <c r="B12" s="488" t="s">
        <v>177</v>
      </c>
      <c r="C12" s="488"/>
    </row>
    <row r="13" spans="2:3" x14ac:dyDescent="0.2">
      <c r="B13" s="488" t="s">
        <v>138</v>
      </c>
      <c r="C13" s="488"/>
    </row>
    <row r="14" spans="2:3" x14ac:dyDescent="0.2">
      <c r="B14" s="488" t="s">
        <v>5</v>
      </c>
      <c r="C14" s="489">
        <f>+C15+C16</f>
        <v>108330.68</v>
      </c>
    </row>
    <row r="15" spans="2:3" x14ac:dyDescent="0.2">
      <c r="B15" s="488" t="s">
        <v>191</v>
      </c>
      <c r="C15" s="489">
        <v>108330.68</v>
      </c>
    </row>
    <row r="16" spans="2:3" x14ac:dyDescent="0.2">
      <c r="B16" s="488" t="s">
        <v>191</v>
      </c>
      <c r="C16" s="488">
        <v>0</v>
      </c>
    </row>
    <row r="17" spans="2:3" s="492" customFormat="1" ht="12.75" x14ac:dyDescent="0.25">
      <c r="B17" s="490" t="s">
        <v>485</v>
      </c>
      <c r="C17" s="491">
        <f>+C9-C8-C14</f>
        <v>-3392373.42</v>
      </c>
    </row>
    <row r="20" spans="2:3" ht="12.75" x14ac:dyDescent="0.25">
      <c r="B20" s="500" t="s">
        <v>460</v>
      </c>
      <c r="C20" s="500" t="s">
        <v>464</v>
      </c>
    </row>
    <row r="21" spans="2:3" x14ac:dyDescent="0.2">
      <c r="B21" s="488" t="s">
        <v>405</v>
      </c>
      <c r="C21" s="489">
        <f>+C22+C23</f>
        <v>1336956.8999999999</v>
      </c>
    </row>
    <row r="22" spans="2:3" x14ac:dyDescent="0.2">
      <c r="B22" s="488" t="s">
        <v>458</v>
      </c>
      <c r="C22" s="489">
        <v>1336956.8999999999</v>
      </c>
    </row>
    <row r="23" spans="2:3" x14ac:dyDescent="0.2">
      <c r="B23" s="488" t="s">
        <v>0</v>
      </c>
      <c r="C23" s="488">
        <v>0</v>
      </c>
    </row>
    <row r="24" spans="2:3" ht="12.75" x14ac:dyDescent="0.25">
      <c r="B24" s="486" t="s">
        <v>1</v>
      </c>
      <c r="C24" s="486">
        <f>+C25</f>
        <v>0</v>
      </c>
    </row>
    <row r="25" spans="2:3" x14ac:dyDescent="0.2">
      <c r="B25" s="488" t="s">
        <v>1</v>
      </c>
      <c r="C25" s="488">
        <v>0</v>
      </c>
    </row>
    <row r="26" spans="2:3" ht="12.75" x14ac:dyDescent="0.25">
      <c r="B26" s="486" t="s">
        <v>441</v>
      </c>
      <c r="C26" s="493">
        <f>+C21-C24</f>
        <v>1336956.8999999999</v>
      </c>
    </row>
    <row r="27" spans="2:3" ht="12.75" x14ac:dyDescent="0.25">
      <c r="B27" s="486" t="s">
        <v>4</v>
      </c>
      <c r="C27" s="493">
        <f>+C28+C29+C30+C31</f>
        <v>533708.54999999993</v>
      </c>
    </row>
    <row r="28" spans="2:3" x14ac:dyDescent="0.2">
      <c r="B28" s="488" t="s">
        <v>442</v>
      </c>
      <c r="C28" s="489">
        <v>48249.33</v>
      </c>
    </row>
    <row r="29" spans="2:3" x14ac:dyDescent="0.2">
      <c r="B29" s="488" t="s">
        <v>443</v>
      </c>
      <c r="C29" s="489">
        <v>485459.22</v>
      </c>
    </row>
    <row r="30" spans="2:3" x14ac:dyDescent="0.2">
      <c r="B30" s="488" t="s">
        <v>177</v>
      </c>
      <c r="C30" s="488">
        <v>0</v>
      </c>
    </row>
    <row r="31" spans="2:3" x14ac:dyDescent="0.2">
      <c r="B31" s="488" t="s">
        <v>138</v>
      </c>
      <c r="C31" s="488">
        <v>0</v>
      </c>
    </row>
    <row r="32" spans="2:3" ht="12.75" x14ac:dyDescent="0.25">
      <c r="B32" s="486" t="s">
        <v>5</v>
      </c>
      <c r="C32" s="493">
        <f>+C33+C34</f>
        <v>352247.64</v>
      </c>
    </row>
    <row r="33" spans="2:3" x14ac:dyDescent="0.2">
      <c r="B33" s="488" t="s">
        <v>191</v>
      </c>
      <c r="C33" s="489">
        <v>352247.64</v>
      </c>
    </row>
    <row r="34" spans="2:3" x14ac:dyDescent="0.2">
      <c r="B34" s="488" t="s">
        <v>444</v>
      </c>
      <c r="C34" s="488">
        <v>0</v>
      </c>
    </row>
    <row r="35" spans="2:3" ht="12.75" x14ac:dyDescent="0.25">
      <c r="B35" s="490" t="s">
        <v>485</v>
      </c>
      <c r="C35" s="491">
        <f>+C27-C26-C32</f>
        <v>-1155495.99</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3ED0F-A08F-43E9-84A6-540846E9FF74}">
  <dimension ref="B3:AL49"/>
  <sheetViews>
    <sheetView topLeftCell="A7" workbookViewId="0">
      <selection activeCell="D51" sqref="D51"/>
    </sheetView>
  </sheetViews>
  <sheetFormatPr defaultColWidth="9.140625" defaultRowHeight="11.25" x14ac:dyDescent="0.2"/>
  <cols>
    <col min="1" max="1" width="9.140625" style="699"/>
    <col min="2" max="2" width="3.85546875" style="699" customWidth="1"/>
    <col min="3" max="3" width="29.7109375" style="699" customWidth="1"/>
    <col min="4" max="4" width="10" style="699" bestFit="1" customWidth="1"/>
    <col min="5" max="5" width="9" style="699" bestFit="1" customWidth="1"/>
    <col min="6" max="10" width="10" style="699" bestFit="1" customWidth="1"/>
    <col min="11" max="12" width="14.140625" style="699" bestFit="1" customWidth="1"/>
    <col min="13" max="14" width="9" style="699" bestFit="1" customWidth="1"/>
    <col min="15" max="16" width="12.85546875" style="699" customWidth="1"/>
    <col min="17" max="17" width="13.140625" style="699" customWidth="1"/>
    <col min="18" max="18" width="9.28515625" style="699" bestFit="1" customWidth="1"/>
    <col min="19" max="19" width="9.140625" style="699"/>
    <col min="20" max="20" width="13.140625" style="699" bestFit="1" customWidth="1"/>
    <col min="21" max="23" width="9.140625" style="699"/>
    <col min="24" max="36" width="10" style="699" bestFit="1" customWidth="1"/>
    <col min="37" max="37" width="9" style="699" bestFit="1" customWidth="1"/>
    <col min="38" max="16384" width="9.140625" style="699"/>
  </cols>
  <sheetData>
    <row r="3" spans="2:38" x14ac:dyDescent="0.2">
      <c r="C3" s="699" t="s">
        <v>667</v>
      </c>
    </row>
    <row r="5" spans="2:38" x14ac:dyDescent="0.2">
      <c r="B5" s="703" t="s">
        <v>502</v>
      </c>
      <c r="C5" s="703" t="s">
        <v>503</v>
      </c>
      <c r="D5" s="827">
        <v>9.1989000000000001</v>
      </c>
      <c r="E5" s="827">
        <v>1990</v>
      </c>
      <c r="F5" s="827">
        <v>1991</v>
      </c>
      <c r="G5" s="827">
        <v>1992</v>
      </c>
      <c r="H5" s="827">
        <v>1993</v>
      </c>
      <c r="I5" s="827">
        <v>1994</v>
      </c>
      <c r="J5" s="827">
        <v>1995</v>
      </c>
      <c r="K5" s="827">
        <v>1996</v>
      </c>
      <c r="L5" s="828" t="s">
        <v>668</v>
      </c>
      <c r="M5" s="827">
        <v>1997</v>
      </c>
      <c r="N5" s="827">
        <v>1998</v>
      </c>
      <c r="O5" s="827">
        <v>1999</v>
      </c>
      <c r="P5" s="828" t="s">
        <v>668</v>
      </c>
      <c r="Q5" s="828" t="s">
        <v>62</v>
      </c>
      <c r="S5" s="699">
        <v>1996</v>
      </c>
      <c r="T5" s="699">
        <v>1997</v>
      </c>
      <c r="U5" s="699">
        <v>1998</v>
      </c>
      <c r="V5" s="699">
        <v>1999</v>
      </c>
      <c r="X5" s="702">
        <v>2000</v>
      </c>
      <c r="Y5" s="702">
        <v>2001</v>
      </c>
      <c r="Z5" s="702">
        <v>2002</v>
      </c>
      <c r="AA5" s="702">
        <v>2003</v>
      </c>
      <c r="AB5" s="702">
        <v>2004</v>
      </c>
      <c r="AC5" s="702">
        <v>2005</v>
      </c>
      <c r="AD5" s="702">
        <v>2006</v>
      </c>
      <c r="AE5" s="702">
        <v>2007</v>
      </c>
      <c r="AF5" s="702">
        <v>2008</v>
      </c>
      <c r="AG5" s="702">
        <v>2009</v>
      </c>
      <c r="AH5" s="702">
        <v>2010</v>
      </c>
      <c r="AI5" s="702">
        <v>2011</v>
      </c>
      <c r="AJ5" s="702">
        <v>2012</v>
      </c>
      <c r="AK5" s="702">
        <v>3.2012999999999998</v>
      </c>
      <c r="AL5" s="701"/>
    </row>
    <row r="6" spans="2:38" x14ac:dyDescent="0.2">
      <c r="D6" s="700"/>
      <c r="E6" s="700"/>
      <c r="F6" s="700"/>
      <c r="G6" s="700"/>
      <c r="H6" s="700"/>
      <c r="I6" s="700"/>
      <c r="J6" s="700"/>
      <c r="K6" s="700"/>
      <c r="L6" s="700"/>
      <c r="M6" s="700"/>
      <c r="N6" s="700"/>
      <c r="O6" s="700"/>
      <c r="P6" s="700"/>
      <c r="Q6" s="700"/>
      <c r="X6" s="700"/>
      <c r="Y6" s="700"/>
      <c r="Z6" s="700"/>
      <c r="AA6" s="700"/>
      <c r="AB6" s="700"/>
      <c r="AC6" s="700"/>
      <c r="AD6" s="700"/>
      <c r="AE6" s="700"/>
      <c r="AF6" s="700"/>
      <c r="AG6" s="700"/>
      <c r="AH6" s="700"/>
      <c r="AI6" s="700"/>
      <c r="AJ6" s="700"/>
      <c r="AK6" s="700"/>
    </row>
    <row r="7" spans="2:38" x14ac:dyDescent="0.2">
      <c r="B7" s="703" t="s">
        <v>504</v>
      </c>
      <c r="C7" s="703" t="s">
        <v>669</v>
      </c>
      <c r="D7" s="829">
        <f>SUM(D8:D9)</f>
        <v>1432</v>
      </c>
      <c r="E7" s="829">
        <f t="shared" ref="E7:O7" si="0">SUM(E8:E9)</f>
        <v>4296</v>
      </c>
      <c r="F7" s="829">
        <f t="shared" si="0"/>
        <v>4309.1428571428569</v>
      </c>
      <c r="G7" s="829">
        <f t="shared" si="0"/>
        <v>5332.8571428571431</v>
      </c>
      <c r="H7" s="829">
        <f t="shared" si="0"/>
        <v>13500</v>
      </c>
      <c r="I7" s="829">
        <f t="shared" si="0"/>
        <v>33854.71428571429</v>
      </c>
      <c r="J7" s="829">
        <f t="shared" si="0"/>
        <v>48939.28571428571</v>
      </c>
      <c r="K7" s="829">
        <f t="shared" si="0"/>
        <v>55754.272727272735</v>
      </c>
      <c r="L7" s="829">
        <f>SUM(D7:K7)</f>
        <v>167418.27272727274</v>
      </c>
      <c r="M7" s="829">
        <f t="shared" si="0"/>
        <v>56584.36363636364</v>
      </c>
      <c r="N7" s="829">
        <f t="shared" si="0"/>
        <v>68562.363636363632</v>
      </c>
      <c r="O7" s="829">
        <f t="shared" si="0"/>
        <v>75842.93333333332</v>
      </c>
      <c r="P7" s="829">
        <f>SUM(P8:P9)</f>
        <v>200989.66060606061</v>
      </c>
      <c r="Q7" s="829">
        <f>SUM(Q8:Q9)</f>
        <v>368407.93333333335</v>
      </c>
      <c r="S7" s="699">
        <v>12883</v>
      </c>
      <c r="T7" s="699">
        <v>12883</v>
      </c>
      <c r="U7" s="699">
        <v>20033</v>
      </c>
      <c r="V7" s="699">
        <v>20033</v>
      </c>
      <c r="X7" s="829">
        <f>SUM(X8:X9)</f>
        <v>81179.066666666666</v>
      </c>
      <c r="Y7" s="829">
        <f t="shared" ref="Y7:AK7" si="1">SUM(Y8:Y9)</f>
        <v>87305</v>
      </c>
      <c r="Z7" s="829">
        <f t="shared" si="1"/>
        <v>97151</v>
      </c>
      <c r="AA7" s="829">
        <f t="shared" si="1"/>
        <v>109275.35714285714</v>
      </c>
      <c r="AB7" s="829">
        <f t="shared" si="1"/>
        <v>123465.06103896104</v>
      </c>
      <c r="AC7" s="829">
        <f t="shared" si="1"/>
        <v>145197.8125874126</v>
      </c>
      <c r="AD7" s="829">
        <f t="shared" si="1"/>
        <v>162655.26923076925</v>
      </c>
      <c r="AE7" s="829">
        <f t="shared" si="1"/>
        <v>182147.5</v>
      </c>
      <c r="AF7" s="829">
        <f t="shared" si="1"/>
        <v>201002.8</v>
      </c>
      <c r="AG7" s="829">
        <f t="shared" si="1"/>
        <v>227217.2</v>
      </c>
      <c r="AH7" s="829">
        <f t="shared" si="1"/>
        <v>251105</v>
      </c>
      <c r="AI7" s="829">
        <f t="shared" si="1"/>
        <v>273174</v>
      </c>
      <c r="AJ7" s="829">
        <f t="shared" si="1"/>
        <v>287879.84615384613</v>
      </c>
      <c r="AK7" s="829">
        <f t="shared" si="1"/>
        <v>75336.184294871811</v>
      </c>
    </row>
    <row r="8" spans="2:38" x14ac:dyDescent="0.2">
      <c r="B8" s="699">
        <v>1</v>
      </c>
      <c r="C8" s="699" t="s">
        <v>670</v>
      </c>
      <c r="D8" s="830">
        <f>'[5]Të ardhurat e prindërve_KPA'!R6</f>
        <v>1432</v>
      </c>
      <c r="E8" s="830">
        <f>'[5]Të ardhurat e prindërve_KPA'!R7</f>
        <v>4296</v>
      </c>
      <c r="F8" s="830">
        <f>'[5]Të ardhurat e prindërve_KPA'!R8</f>
        <v>4309.1428571428569</v>
      </c>
      <c r="G8" s="830">
        <f>'[5]Të ardhurat e prindërve_KPA'!R9</f>
        <v>5332.8571428571431</v>
      </c>
      <c r="H8" s="830">
        <f>'[5]Të ardhurat e prindërve_KPA'!R10</f>
        <v>13500</v>
      </c>
      <c r="I8" s="830">
        <f>'[5]Të ardhurat e prindërve_KPA'!R11</f>
        <v>28267.428571428572</v>
      </c>
      <c r="J8" s="830">
        <f>'[5]Të ardhurat e prindërve_KPA'!R12</f>
        <v>33732.571428571428</v>
      </c>
      <c r="K8" s="830">
        <f>'[5]Të ardhurat e prindërve_KPA'!R13</f>
        <v>43441.227272727279</v>
      </c>
      <c r="L8" s="830">
        <f>SUM(D8:K8)</f>
        <v>134311.22727272729</v>
      </c>
      <c r="M8" s="830">
        <f>'[5]Të ardhurat e prindërve_KPA'!R14</f>
        <v>45613.636363636368</v>
      </c>
      <c r="N8" s="830">
        <f>'[5]Të ardhurat e prindërve_KPA'!R15</f>
        <v>53601.136363636368</v>
      </c>
      <c r="O8" s="830">
        <f>'[5]Të ardhurat e prindërve_KPA'!R16</f>
        <v>59453.333333333328</v>
      </c>
      <c r="P8" s="830">
        <f>SUM(M8:O8)</f>
        <v>158668.10606060608</v>
      </c>
      <c r="Q8" s="830">
        <f>L8+P8</f>
        <v>292979.33333333337</v>
      </c>
      <c r="X8" s="830">
        <f>'[5]Të ardhurat e prindërve_KPA'!R17</f>
        <v>63991.166666666664</v>
      </c>
      <c r="Y8" s="830">
        <f>'[5]Të ardhurat e prindërve_KPA'!R18</f>
        <v>71028.5</v>
      </c>
      <c r="Z8" s="830">
        <f>'[5]Të ardhurat e prindërve_KPA'!R19</f>
        <v>76901</v>
      </c>
      <c r="AA8" s="830">
        <f>'[5]Të ardhurat e prindërve_KPA'!R20</f>
        <v>84107.5</v>
      </c>
      <c r="AB8" s="830">
        <f>'[5]Të ardhurat e prindërve_KPA'!R21</f>
        <v>90990.318181818177</v>
      </c>
      <c r="AC8" s="830">
        <f>'[5]Të ardhurat e prindërve_KPA'!R22</f>
        <v>98218.489510489511</v>
      </c>
      <c r="AD8" s="830">
        <f>'[5]Të ardhurat e prindërve_KPA'!R23</f>
        <v>106651.69230769231</v>
      </c>
      <c r="AE8" s="830">
        <f>'[5]Të ardhurat e prindërve_KPA'!R24</f>
        <v>119383.5</v>
      </c>
      <c r="AF8" s="830">
        <f>'[5]Të ardhurat e prindërve_KPA'!R25</f>
        <v>131666.29999999999</v>
      </c>
      <c r="AG8" s="830">
        <f>'[5]Të ardhurat e prindërve_KPA'!R26</f>
        <v>144538.05714285714</v>
      </c>
      <c r="AH8" s="830">
        <f>'[5]Të ardhurat e prindërve_KPA'!R27</f>
        <v>152123.64285714284</v>
      </c>
      <c r="AI8" s="830">
        <f>'[5]Të ardhurat e prindërve_KPA'!R28</f>
        <v>160717</v>
      </c>
      <c r="AJ8" s="830">
        <f>'[5]Të ardhurat e prindërve_KPA'!R29</f>
        <v>172017.73076923078</v>
      </c>
      <c r="AK8" s="830">
        <f>'[5]Të ardhurat e prindërve_KPA'!R30/12*3</f>
        <v>45141.067307692312</v>
      </c>
    </row>
    <row r="9" spans="2:38" x14ac:dyDescent="0.2">
      <c r="B9" s="699">
        <v>2</v>
      </c>
      <c r="C9" s="699" t="s">
        <v>671</v>
      </c>
      <c r="D9" s="830">
        <v>0</v>
      </c>
      <c r="E9" s="830">
        <v>0</v>
      </c>
      <c r="F9" s="830">
        <v>0</v>
      </c>
      <c r="G9" s="830">
        <v>0</v>
      </c>
      <c r="H9" s="830">
        <v>0</v>
      </c>
      <c r="I9" s="830">
        <f>'[5]Të ardhurat e prindërve_KPA'!S11</f>
        <v>5587.2857142857147</v>
      </c>
      <c r="J9" s="830">
        <f>'[5]Të ardhurat e prindërve_KPA'!S12</f>
        <v>15206.714285714286</v>
      </c>
      <c r="K9" s="830">
        <f>'[5]Të ardhurat e prindërve_KPA'!S13</f>
        <v>12313.045454545456</v>
      </c>
      <c r="L9" s="830">
        <f>SUM(D9:K9)</f>
        <v>33107.045454545456</v>
      </c>
      <c r="M9" s="830">
        <f>'[5]Të ardhurat e prindërve_KPA'!S14</f>
        <v>10970.727272727274</v>
      </c>
      <c r="N9" s="830">
        <f>'[5]Të ardhurat e prindërve_KPA'!S15</f>
        <v>14961.22727272727</v>
      </c>
      <c r="O9" s="830">
        <f>'[5]Të ardhurat e prindërve_KPA'!S16</f>
        <v>16389.599999999999</v>
      </c>
      <c r="P9" s="830">
        <f>SUM(M9:O9)</f>
        <v>42321.554545454543</v>
      </c>
      <c r="Q9" s="830">
        <f>L9+P9</f>
        <v>75428.600000000006</v>
      </c>
      <c r="X9" s="830">
        <f>'[5]Të ardhurat e prindërve_KPA'!S17</f>
        <v>17187.900000000001</v>
      </c>
      <c r="Y9" s="830">
        <f>'[5]Të ardhurat e prindërve_KPA'!S18</f>
        <v>16276.5</v>
      </c>
      <c r="Z9" s="830">
        <f>'[5]Të ardhurat e prindërve_KPA'!S19</f>
        <v>20250</v>
      </c>
      <c r="AA9" s="830">
        <f>'[5]Të ardhurat e prindërve_KPA'!S20</f>
        <v>25167.857142857141</v>
      </c>
      <c r="AB9" s="830">
        <f>'[5]Të ardhurat e prindërve_KPA'!S21</f>
        <v>32474.742857142861</v>
      </c>
      <c r="AC9" s="830">
        <f>'[5]Të ardhurat e prindërve_KPA'!S22</f>
        <v>46979.323076923079</v>
      </c>
      <c r="AD9" s="830">
        <f>'[5]Të ardhurat e prindërve_KPA'!S23</f>
        <v>56003.576923076922</v>
      </c>
      <c r="AE9" s="830">
        <f>'[5]Të ardhurat e prindërve_KPA'!S24</f>
        <v>62764</v>
      </c>
      <c r="AF9" s="830">
        <f>'[5]Të ardhurat e prindërve_KPA'!S25</f>
        <v>69336.5</v>
      </c>
      <c r="AG9" s="830">
        <f>'[5]Të ardhurat e prindërve_KPA'!S26</f>
        <v>82679.142857142855</v>
      </c>
      <c r="AH9" s="830">
        <f>'[5]Të ardhurat e prindërve_KPA'!S27</f>
        <v>98981.357142857145</v>
      </c>
      <c r="AI9" s="830">
        <f>'[5]Të ardhurat e prindërve_KPA'!S28</f>
        <v>112457</v>
      </c>
      <c r="AJ9" s="830">
        <f>'[5]Të ardhurat e prindërve_KPA'!S29</f>
        <v>115862.11538461538</v>
      </c>
      <c r="AK9" s="830">
        <f>('[5]Të ardhurat e prindërve_KPA'!S30/12)*3</f>
        <v>30195.116987179492</v>
      </c>
    </row>
    <row r="10" spans="2:38" x14ac:dyDescent="0.2">
      <c r="D10" s="830"/>
      <c r="E10" s="830"/>
      <c r="F10" s="830"/>
      <c r="G10" s="830"/>
      <c r="H10" s="830"/>
      <c r="I10" s="830"/>
      <c r="J10" s="830"/>
      <c r="K10" s="830"/>
      <c r="L10" s="830"/>
      <c r="M10" s="830"/>
      <c r="N10" s="830"/>
      <c r="O10" s="830"/>
      <c r="P10" s="830"/>
      <c r="Q10" s="830"/>
      <c r="X10" s="700"/>
      <c r="Y10" s="700"/>
      <c r="Z10" s="700"/>
      <c r="AA10" s="700"/>
      <c r="AB10" s="700"/>
      <c r="AC10" s="700"/>
      <c r="AD10" s="700"/>
      <c r="AE10" s="700"/>
      <c r="AF10" s="700"/>
      <c r="AG10" s="700"/>
      <c r="AH10" s="700"/>
      <c r="AI10" s="700"/>
      <c r="AJ10" s="700"/>
      <c r="AK10" s="700"/>
    </row>
    <row r="11" spans="2:38" x14ac:dyDescent="0.2">
      <c r="B11" s="703" t="s">
        <v>505</v>
      </c>
      <c r="C11" s="703" t="s">
        <v>672</v>
      </c>
      <c r="D11" s="829">
        <f>D12</f>
        <v>716</v>
      </c>
      <c r="E11" s="829">
        <f t="shared" ref="E11:O11" si="2">E12</f>
        <v>2148</v>
      </c>
      <c r="F11" s="829">
        <f t="shared" si="2"/>
        <v>2154.5714285714284</v>
      </c>
      <c r="G11" s="829">
        <f t="shared" si="2"/>
        <v>2666.4285714285716</v>
      </c>
      <c r="H11" s="829">
        <f t="shared" si="2"/>
        <v>6750</v>
      </c>
      <c r="I11" s="829">
        <f t="shared" si="2"/>
        <v>16927.357142857145</v>
      </c>
      <c r="J11" s="829">
        <f t="shared" si="2"/>
        <v>24469.642857142855</v>
      </c>
      <c r="K11" s="829">
        <f t="shared" si="2"/>
        <v>27877.136363636368</v>
      </c>
      <c r="L11" s="829">
        <f>SUM(D11:K11)</f>
        <v>83709.136363636368</v>
      </c>
      <c r="M11" s="829">
        <f t="shared" si="2"/>
        <v>28292.18181818182</v>
      </c>
      <c r="N11" s="829">
        <f t="shared" si="2"/>
        <v>34281.181818181816</v>
      </c>
      <c r="O11" s="829">
        <f t="shared" si="2"/>
        <v>37921.46666666666</v>
      </c>
      <c r="P11" s="829">
        <f>SUM(M11:O11)</f>
        <v>100494.83030303029</v>
      </c>
      <c r="Q11" s="829">
        <f>L11+P11</f>
        <v>184203.96666666667</v>
      </c>
      <c r="U11" s="699">
        <v>17649</v>
      </c>
      <c r="X11" s="829">
        <f>SUM(X12)</f>
        <v>216000</v>
      </c>
      <c r="Y11" s="829">
        <f t="shared" ref="Y11:AK11" si="3">SUM(Y12)</f>
        <v>216000</v>
      </c>
      <c r="Z11" s="829">
        <f t="shared" si="3"/>
        <v>187728</v>
      </c>
      <c r="AA11" s="829">
        <f t="shared" si="3"/>
        <v>187728</v>
      </c>
      <c r="AB11" s="829">
        <f t="shared" si="3"/>
        <v>187728</v>
      </c>
      <c r="AC11" s="829">
        <f t="shared" si="3"/>
        <v>219114</v>
      </c>
      <c r="AD11" s="829">
        <f t="shared" si="3"/>
        <v>219114</v>
      </c>
      <c r="AE11" s="829">
        <f t="shared" si="3"/>
        <v>273240</v>
      </c>
      <c r="AF11" s="829">
        <f t="shared" si="3"/>
        <v>273240</v>
      </c>
      <c r="AG11" s="829">
        <f t="shared" si="3"/>
        <v>273240</v>
      </c>
      <c r="AH11" s="829">
        <f t="shared" si="3"/>
        <v>273240</v>
      </c>
      <c r="AI11" s="829">
        <f t="shared" si="3"/>
        <v>273240</v>
      </c>
      <c r="AJ11" s="829">
        <f t="shared" si="3"/>
        <v>282048</v>
      </c>
      <c r="AK11" s="829">
        <f t="shared" si="3"/>
        <v>70512</v>
      </c>
    </row>
    <row r="12" spans="2:38" x14ac:dyDescent="0.2">
      <c r="B12" s="699">
        <v>1</v>
      </c>
      <c r="C12" s="699" t="s">
        <v>673</v>
      </c>
      <c r="D12" s="830">
        <f t="shared" ref="D12:K12" si="4">D7*50%</f>
        <v>716</v>
      </c>
      <c r="E12" s="830">
        <f t="shared" si="4"/>
        <v>2148</v>
      </c>
      <c r="F12" s="830">
        <f t="shared" si="4"/>
        <v>2154.5714285714284</v>
      </c>
      <c r="G12" s="830">
        <f t="shared" si="4"/>
        <v>2666.4285714285716</v>
      </c>
      <c r="H12" s="830">
        <f t="shared" si="4"/>
        <v>6750</v>
      </c>
      <c r="I12" s="830">
        <f t="shared" si="4"/>
        <v>16927.357142857145</v>
      </c>
      <c r="J12" s="830">
        <f t="shared" si="4"/>
        <v>24469.642857142855</v>
      </c>
      <c r="K12" s="830">
        <f t="shared" si="4"/>
        <v>27877.136363636368</v>
      </c>
      <c r="L12" s="830">
        <f>SUM(D12:K12)</f>
        <v>83709.136363636368</v>
      </c>
      <c r="M12" s="830">
        <f>M7*50%</f>
        <v>28292.18181818182</v>
      </c>
      <c r="N12" s="830">
        <f>N7*50%</f>
        <v>34281.181818181816</v>
      </c>
      <c r="O12" s="830">
        <f>O7*50%</f>
        <v>37921.46666666666</v>
      </c>
      <c r="P12" s="830">
        <f>SUM(M12:O12)</f>
        <v>100494.83030303029</v>
      </c>
      <c r="Q12" s="830">
        <f>L12+P12</f>
        <v>184203.96666666667</v>
      </c>
      <c r="U12" s="699">
        <f>U11-U11*25%</f>
        <v>13236.75</v>
      </c>
      <c r="X12" s="830">
        <f>9000*2*12</f>
        <v>216000</v>
      </c>
      <c r="Y12" s="830">
        <f>9000*2*12</f>
        <v>216000</v>
      </c>
      <c r="Z12" s="830">
        <f>7822*2*12</f>
        <v>187728</v>
      </c>
      <c r="AA12" s="830">
        <f>7822*2*12</f>
        <v>187728</v>
      </c>
      <c r="AB12" s="830">
        <f>7822*2*12</f>
        <v>187728</v>
      </c>
      <c r="AC12" s="830">
        <v>219114</v>
      </c>
      <c r="AD12" s="830">
        <v>219114</v>
      </c>
      <c r="AE12" s="830">
        <v>273240</v>
      </c>
      <c r="AF12" s="830">
        <v>273240</v>
      </c>
      <c r="AG12" s="830">
        <v>273240</v>
      </c>
      <c r="AH12" s="830">
        <v>273240</v>
      </c>
      <c r="AI12" s="830">
        <v>273240</v>
      </c>
      <c r="AJ12" s="830">
        <v>282048</v>
      </c>
      <c r="AK12" s="830">
        <f>282048/12*3</f>
        <v>70512</v>
      </c>
    </row>
    <row r="13" spans="2:38" x14ac:dyDescent="0.2">
      <c r="D13" s="830"/>
      <c r="E13" s="830"/>
      <c r="F13" s="830"/>
      <c r="G13" s="830"/>
      <c r="H13" s="830"/>
      <c r="I13" s="830"/>
      <c r="J13" s="830"/>
      <c r="K13" s="830"/>
      <c r="L13" s="830"/>
      <c r="M13" s="830"/>
      <c r="N13" s="830"/>
      <c r="O13" s="830"/>
      <c r="P13" s="830"/>
      <c r="Q13" s="830"/>
      <c r="X13" s="700"/>
      <c r="Y13" s="700"/>
      <c r="Z13" s="700"/>
      <c r="AA13" s="700"/>
      <c r="AB13" s="700"/>
      <c r="AC13" s="700"/>
      <c r="AD13" s="700"/>
      <c r="AE13" s="700"/>
      <c r="AF13" s="700"/>
      <c r="AG13" s="700"/>
      <c r="AH13" s="700"/>
      <c r="AI13" s="700"/>
      <c r="AJ13" s="700"/>
      <c r="AK13" s="700"/>
    </row>
    <row r="14" spans="2:38" x14ac:dyDescent="0.2">
      <c r="B14" s="703" t="s">
        <v>506</v>
      </c>
      <c r="C14" s="703" t="s">
        <v>512</v>
      </c>
      <c r="D14" s="829">
        <f>SUM(D15:D16)</f>
        <v>0</v>
      </c>
      <c r="E14" s="829">
        <f t="shared" ref="E14:O14" si="5">SUM(E15:E16)</f>
        <v>0</v>
      </c>
      <c r="F14" s="829">
        <f t="shared" si="5"/>
        <v>0</v>
      </c>
      <c r="G14" s="829">
        <f t="shared" si="5"/>
        <v>0</v>
      </c>
      <c r="H14" s="829">
        <f t="shared" si="5"/>
        <v>0</v>
      </c>
      <c r="I14" s="829">
        <f t="shared" si="5"/>
        <v>0</v>
      </c>
      <c r="J14" s="829">
        <f t="shared" si="5"/>
        <v>0</v>
      </c>
      <c r="K14" s="829">
        <f t="shared" si="5"/>
        <v>1336956.8999999999</v>
      </c>
      <c r="L14" s="829">
        <f>SUM(D14:K14)</f>
        <v>1336956.8999999999</v>
      </c>
      <c r="M14" s="829">
        <f t="shared" si="5"/>
        <v>0</v>
      </c>
      <c r="N14" s="829">
        <f t="shared" si="5"/>
        <v>0</v>
      </c>
      <c r="O14" s="829">
        <f t="shared" si="5"/>
        <v>3852345.8999999994</v>
      </c>
      <c r="P14" s="829">
        <f>SUM(M14:O14)</f>
        <v>3852345.8999999994</v>
      </c>
      <c r="Q14" s="829">
        <f>L14+P14</f>
        <v>5189302.7999999989</v>
      </c>
      <c r="X14" s="829"/>
      <c r="Y14" s="829"/>
      <c r="Z14" s="829"/>
      <c r="AA14" s="829"/>
      <c r="AB14" s="829"/>
      <c r="AC14" s="829"/>
      <c r="AD14" s="829"/>
      <c r="AE14" s="829"/>
      <c r="AF14" s="829"/>
      <c r="AG14" s="829"/>
      <c r="AH14" s="829"/>
      <c r="AI14" s="829"/>
      <c r="AJ14" s="829"/>
      <c r="AK14" s="829"/>
    </row>
    <row r="15" spans="2:38" x14ac:dyDescent="0.2">
      <c r="B15" s="699">
        <v>1</v>
      </c>
      <c r="C15" s="699" t="s">
        <v>674</v>
      </c>
      <c r="D15" s="830">
        <v>0</v>
      </c>
      <c r="E15" s="830">
        <v>0</v>
      </c>
      <c r="F15" s="830">
        <v>0</v>
      </c>
      <c r="G15" s="830">
        <v>0</v>
      </c>
      <c r="H15" s="830">
        <v>0</v>
      </c>
      <c r="I15" s="830">
        <v>0</v>
      </c>
      <c r="J15" s="830">
        <v>0</v>
      </c>
      <c r="K15" s="830">
        <f>(107.6*16567)-(107.6*16567)*25%</f>
        <v>1336956.8999999999</v>
      </c>
      <c r="L15" s="830">
        <f>SUM(D15:K15)</f>
        <v>1336956.8999999999</v>
      </c>
      <c r="M15" s="830">
        <v>0</v>
      </c>
      <c r="N15" s="830">
        <v>0</v>
      </c>
      <c r="O15" s="830">
        <v>0</v>
      </c>
      <c r="P15" s="830">
        <f>SUM(M15:O15)</f>
        <v>0</v>
      </c>
      <c r="Q15" s="830">
        <f>L15+P15</f>
        <v>1336956.8999999999</v>
      </c>
      <c r="X15" s="830">
        <f>0</f>
        <v>0</v>
      </c>
      <c r="Y15" s="830">
        <f>0</f>
        <v>0</v>
      </c>
      <c r="Z15" s="830">
        <f>0</f>
        <v>0</v>
      </c>
      <c r="AA15" s="830">
        <f>0</f>
        <v>0</v>
      </c>
      <c r="AB15" s="830">
        <f>0</f>
        <v>0</v>
      </c>
      <c r="AC15" s="830">
        <f>0</f>
        <v>0</v>
      </c>
      <c r="AD15" s="830">
        <f>0</f>
        <v>0</v>
      </c>
      <c r="AE15" s="830">
        <f>0</f>
        <v>0</v>
      </c>
      <c r="AF15" s="830">
        <f>0</f>
        <v>0</v>
      </c>
      <c r="AG15" s="830">
        <f>0</f>
        <v>0</v>
      </c>
      <c r="AH15" s="830">
        <f>0</f>
        <v>0</v>
      </c>
      <c r="AI15" s="830">
        <f>0</f>
        <v>0</v>
      </c>
      <c r="AJ15" s="830">
        <f>AJ7-AJ11</f>
        <v>5831.846153846127</v>
      </c>
      <c r="AK15" s="830">
        <f>AK7-AK11</f>
        <v>4824.1842948718113</v>
      </c>
      <c r="AL15" s="831">
        <f>SUM(AJ15:AK15)</f>
        <v>10656.030448717938</v>
      </c>
    </row>
    <row r="16" spans="2:38" x14ac:dyDescent="0.2">
      <c r="B16" s="699">
        <v>2</v>
      </c>
      <c r="C16" s="699" t="s">
        <v>675</v>
      </c>
      <c r="D16" s="830">
        <v>0</v>
      </c>
      <c r="E16" s="830">
        <v>0</v>
      </c>
      <c r="F16" s="830">
        <v>0</v>
      </c>
      <c r="G16" s="830">
        <v>0</v>
      </c>
      <c r="H16" s="830">
        <v>0</v>
      </c>
      <c r="I16" s="830">
        <v>0</v>
      </c>
      <c r="J16" s="830">
        <v>0</v>
      </c>
      <c r="K16" s="830">
        <v>0</v>
      </c>
      <c r="L16" s="830"/>
      <c r="M16" s="830">
        <v>0</v>
      </c>
      <c r="N16" s="830">
        <v>0</v>
      </c>
      <c r="O16" s="830">
        <f>(256.4*20033)-(256.4*20033)*25%</f>
        <v>3852345.8999999994</v>
      </c>
      <c r="P16" s="830">
        <f>SUM(M16:O16)</f>
        <v>3852345.8999999994</v>
      </c>
      <c r="Q16" s="830">
        <f>L16+P16</f>
        <v>3852345.8999999994</v>
      </c>
      <c r="X16" s="830"/>
      <c r="Y16" s="830"/>
      <c r="Z16" s="830"/>
      <c r="AA16" s="830"/>
      <c r="AB16" s="830"/>
      <c r="AC16" s="830"/>
      <c r="AD16" s="830"/>
      <c r="AE16" s="830"/>
      <c r="AF16" s="830"/>
      <c r="AG16" s="830"/>
      <c r="AH16" s="830"/>
      <c r="AI16" s="830"/>
      <c r="AJ16" s="830"/>
      <c r="AK16" s="830"/>
    </row>
    <row r="17" spans="2:37" x14ac:dyDescent="0.2">
      <c r="D17" s="830"/>
      <c r="E17" s="830"/>
      <c r="F17" s="830"/>
      <c r="G17" s="830"/>
      <c r="H17" s="830"/>
      <c r="I17" s="830"/>
      <c r="J17" s="830"/>
      <c r="K17" s="830"/>
      <c r="L17" s="830"/>
      <c r="M17" s="830"/>
      <c r="N17" s="830"/>
      <c r="O17" s="830"/>
      <c r="P17" s="830"/>
      <c r="Q17" s="830"/>
      <c r="X17" s="700"/>
      <c r="Y17" s="700"/>
      <c r="Z17" s="700"/>
      <c r="AA17" s="700"/>
      <c r="AB17" s="700"/>
      <c r="AC17" s="700"/>
      <c r="AD17" s="700"/>
      <c r="AE17" s="700"/>
      <c r="AF17" s="700"/>
      <c r="AG17" s="700"/>
      <c r="AH17" s="700"/>
      <c r="AI17" s="700"/>
      <c r="AJ17" s="700"/>
      <c r="AK17" s="700"/>
    </row>
    <row r="18" spans="2:37" x14ac:dyDescent="0.2">
      <c r="B18" s="703" t="s">
        <v>507</v>
      </c>
      <c r="C18" s="703" t="s">
        <v>511</v>
      </c>
      <c r="D18" s="829">
        <v>0</v>
      </c>
      <c r="E18" s="829">
        <v>0</v>
      </c>
      <c r="F18" s="829">
        <v>0</v>
      </c>
      <c r="G18" s="829">
        <v>0</v>
      </c>
      <c r="H18" s="829">
        <v>0</v>
      </c>
      <c r="I18" s="829">
        <v>0</v>
      </c>
      <c r="J18" s="829">
        <v>0</v>
      </c>
      <c r="K18" s="829">
        <v>0</v>
      </c>
      <c r="L18" s="829">
        <v>0</v>
      </c>
      <c r="M18" s="829">
        <v>0</v>
      </c>
      <c r="N18" s="829">
        <v>0</v>
      </c>
      <c r="O18" s="829">
        <v>0</v>
      </c>
      <c r="P18" s="829"/>
      <c r="Q18" s="829">
        <v>0</v>
      </c>
      <c r="X18" s="829"/>
      <c r="Y18" s="829"/>
      <c r="Z18" s="829"/>
      <c r="AA18" s="829"/>
      <c r="AB18" s="829"/>
      <c r="AC18" s="829"/>
      <c r="AD18" s="829"/>
      <c r="AE18" s="829"/>
      <c r="AF18" s="829"/>
      <c r="AG18" s="829"/>
      <c r="AH18" s="829"/>
      <c r="AI18" s="829"/>
      <c r="AJ18" s="829"/>
      <c r="AK18" s="829"/>
    </row>
    <row r="19" spans="2:37" x14ac:dyDescent="0.2">
      <c r="D19" s="830"/>
      <c r="E19" s="830"/>
      <c r="F19" s="830"/>
      <c r="G19" s="830"/>
      <c r="H19" s="830"/>
      <c r="I19" s="830"/>
      <c r="J19" s="830"/>
      <c r="K19" s="830"/>
      <c r="L19" s="830"/>
      <c r="M19" s="830"/>
      <c r="N19" s="830"/>
      <c r="O19" s="830"/>
      <c r="P19" s="830"/>
      <c r="Q19" s="830"/>
      <c r="X19" s="700"/>
      <c r="Y19" s="700"/>
      <c r="Z19" s="700"/>
      <c r="AA19" s="700"/>
      <c r="AB19" s="700"/>
      <c r="AC19" s="700"/>
      <c r="AD19" s="700"/>
      <c r="AE19" s="700"/>
      <c r="AF19" s="700"/>
      <c r="AG19" s="700"/>
      <c r="AH19" s="700"/>
      <c r="AI19" s="700"/>
      <c r="AJ19" s="700"/>
      <c r="AK19" s="700"/>
    </row>
    <row r="20" spans="2:37" x14ac:dyDescent="0.2">
      <c r="B20" s="703" t="s">
        <v>508</v>
      </c>
      <c r="C20" s="703" t="s">
        <v>676</v>
      </c>
      <c r="D20" s="829">
        <f>D14-D18</f>
        <v>0</v>
      </c>
      <c r="E20" s="829">
        <f t="shared" ref="E20:O20" si="6">E14-E18</f>
        <v>0</v>
      </c>
      <c r="F20" s="829">
        <f t="shared" si="6"/>
        <v>0</v>
      </c>
      <c r="G20" s="829">
        <f t="shared" si="6"/>
        <v>0</v>
      </c>
      <c r="H20" s="829">
        <f t="shared" si="6"/>
        <v>0</v>
      </c>
      <c r="I20" s="829">
        <f t="shared" si="6"/>
        <v>0</v>
      </c>
      <c r="J20" s="829">
        <f t="shared" si="6"/>
        <v>0</v>
      </c>
      <c r="K20" s="829">
        <f t="shared" si="6"/>
        <v>1336956.8999999999</v>
      </c>
      <c r="L20" s="829">
        <f>L14-L18</f>
        <v>1336956.8999999999</v>
      </c>
      <c r="M20" s="829">
        <f t="shared" si="6"/>
        <v>0</v>
      </c>
      <c r="N20" s="829">
        <f t="shared" si="6"/>
        <v>0</v>
      </c>
      <c r="O20" s="829">
        <f t="shared" si="6"/>
        <v>3852345.8999999994</v>
      </c>
      <c r="P20" s="829">
        <f>SUM(M20:O20)</f>
        <v>3852345.8999999994</v>
      </c>
      <c r="Q20" s="829">
        <f>Q14-Q18</f>
        <v>5189302.7999999989</v>
      </c>
      <c r="X20" s="829"/>
      <c r="Y20" s="829"/>
      <c r="Z20" s="829"/>
      <c r="AA20" s="829"/>
      <c r="AB20" s="829"/>
      <c r="AC20" s="829"/>
      <c r="AD20" s="829"/>
      <c r="AE20" s="829"/>
      <c r="AF20" s="829"/>
      <c r="AG20" s="829"/>
      <c r="AH20" s="829"/>
      <c r="AI20" s="829"/>
      <c r="AJ20" s="829"/>
      <c r="AK20" s="829"/>
    </row>
    <row r="21" spans="2:37" x14ac:dyDescent="0.2">
      <c r="D21" s="830"/>
      <c r="E21" s="830"/>
      <c r="F21" s="830"/>
      <c r="G21" s="830"/>
      <c r="H21" s="830"/>
      <c r="I21" s="830"/>
      <c r="J21" s="830"/>
      <c r="K21" s="830"/>
      <c r="L21" s="830"/>
      <c r="M21" s="830"/>
      <c r="N21" s="830"/>
      <c r="O21" s="830"/>
      <c r="P21" s="830"/>
      <c r="Q21" s="830"/>
      <c r="X21" s="700"/>
      <c r="Y21" s="700"/>
      <c r="Z21" s="700"/>
      <c r="AA21" s="700"/>
      <c r="AB21" s="700"/>
      <c r="AC21" s="700"/>
      <c r="AD21" s="700"/>
      <c r="AE21" s="700"/>
      <c r="AF21" s="700"/>
      <c r="AG21" s="700"/>
      <c r="AH21" s="700"/>
      <c r="AI21" s="700"/>
      <c r="AJ21" s="700"/>
      <c r="AK21" s="700"/>
    </row>
    <row r="22" spans="2:37" x14ac:dyDescent="0.2">
      <c r="B22" s="703" t="s">
        <v>513</v>
      </c>
      <c r="C22" s="703" t="s">
        <v>524</v>
      </c>
      <c r="D22" s="829">
        <f>D7-D11-D20</f>
        <v>716</v>
      </c>
      <c r="E22" s="829">
        <f t="shared" ref="E22:O22" si="7">E7-E11-E20</f>
        <v>2148</v>
      </c>
      <c r="F22" s="829">
        <f t="shared" si="7"/>
        <v>2154.5714285714284</v>
      </c>
      <c r="G22" s="829">
        <f t="shared" si="7"/>
        <v>2666.4285714285716</v>
      </c>
      <c r="H22" s="829">
        <f t="shared" si="7"/>
        <v>6750</v>
      </c>
      <c r="I22" s="829">
        <f t="shared" si="7"/>
        <v>16927.357142857145</v>
      </c>
      <c r="J22" s="829">
        <f t="shared" si="7"/>
        <v>24469.642857142855</v>
      </c>
      <c r="K22" s="832">
        <f>K7-K11-K20</f>
        <v>-1309079.7636363634</v>
      </c>
      <c r="L22" s="832">
        <f>SUM(D22:K22)</f>
        <v>-1253247.7636363634</v>
      </c>
      <c r="M22" s="829">
        <f t="shared" si="7"/>
        <v>28292.18181818182</v>
      </c>
      <c r="N22" s="829">
        <f t="shared" si="7"/>
        <v>34281.181818181816</v>
      </c>
      <c r="O22" s="832">
        <f t="shared" si="7"/>
        <v>-3814424.4333333327</v>
      </c>
      <c r="P22" s="832">
        <f>P7-P11-P20</f>
        <v>-3751851.0696969694</v>
      </c>
      <c r="Q22" s="832">
        <f>SUM(D22:K22)+SUM(M22:O22)</f>
        <v>-5005098.8333333321</v>
      </c>
      <c r="R22" s="833">
        <f>Q7-Q11-Q20</f>
        <v>-5005098.8333333321</v>
      </c>
      <c r="X22" s="829"/>
      <c r="Y22" s="829"/>
      <c r="Z22" s="829"/>
      <c r="AA22" s="829"/>
      <c r="AB22" s="829"/>
      <c r="AC22" s="829"/>
      <c r="AD22" s="829"/>
      <c r="AE22" s="829"/>
      <c r="AF22" s="829"/>
      <c r="AG22" s="829"/>
      <c r="AH22" s="829"/>
      <c r="AI22" s="829"/>
      <c r="AJ22" s="829"/>
      <c r="AK22" s="829"/>
    </row>
    <row r="24" spans="2:37" x14ac:dyDescent="0.2">
      <c r="L24" s="831">
        <f>L7-L11-L20</f>
        <v>-1253247.7636363634</v>
      </c>
      <c r="Q24" s="629">
        <f>L22+P22</f>
        <v>-5005098.833333333</v>
      </c>
    </row>
    <row r="26" spans="2:37" x14ac:dyDescent="0.2">
      <c r="O26" s="831"/>
      <c r="Q26" s="831">
        <f>L22+P22</f>
        <v>-5005098.833333333</v>
      </c>
      <c r="T26" s="831">
        <f>L22+Q22</f>
        <v>-6258346.5969696958</v>
      </c>
    </row>
    <row r="28" spans="2:37" x14ac:dyDescent="0.2">
      <c r="Q28" s="831">
        <f>Q26+5064044</f>
        <v>58945.166666666977</v>
      </c>
    </row>
    <row r="30" spans="2:37" x14ac:dyDescent="0.2">
      <c r="B30" s="703" t="s">
        <v>502</v>
      </c>
      <c r="C30" s="703" t="s">
        <v>503</v>
      </c>
      <c r="D30" s="699">
        <v>2000</v>
      </c>
      <c r="E30" s="703">
        <v>2001</v>
      </c>
      <c r="F30" s="703">
        <v>2002</v>
      </c>
      <c r="G30" s="703">
        <v>2003</v>
      </c>
      <c r="H30" s="703">
        <v>2004</v>
      </c>
      <c r="I30" s="703">
        <v>2005</v>
      </c>
      <c r="J30" s="703">
        <v>2006</v>
      </c>
      <c r="K30" s="827" t="s">
        <v>677</v>
      </c>
      <c r="L30" s="828" t="s">
        <v>62</v>
      </c>
      <c r="M30" s="703"/>
      <c r="N30" s="703"/>
      <c r="O30" s="703"/>
      <c r="P30" s="703"/>
      <c r="Q30" s="703"/>
    </row>
    <row r="31" spans="2:37" x14ac:dyDescent="0.2">
      <c r="K31" s="915" t="s">
        <v>734</v>
      </c>
    </row>
    <row r="32" spans="2:37" x14ac:dyDescent="0.2">
      <c r="B32" s="703" t="s">
        <v>504</v>
      </c>
      <c r="C32" s="703" t="s">
        <v>669</v>
      </c>
      <c r="D32" s="834">
        <f>SUM(D33:D34)</f>
        <v>81179.066666666666</v>
      </c>
      <c r="E32" s="834">
        <f>SUM(E33:E34)</f>
        <v>87305</v>
      </c>
      <c r="F32" s="834">
        <f t="shared" ref="F32:L32" si="8">SUM(F33:F34)</f>
        <v>97151</v>
      </c>
      <c r="G32" s="834">
        <f t="shared" si="8"/>
        <v>109275.35714285714</v>
      </c>
      <c r="H32" s="834">
        <f t="shared" si="8"/>
        <v>123465.06103896104</v>
      </c>
      <c r="I32" s="834">
        <f t="shared" si="8"/>
        <v>145197.8125874126</v>
      </c>
      <c r="J32" s="834">
        <f t="shared" si="8"/>
        <v>162655.26923076925</v>
      </c>
      <c r="K32" s="834">
        <f t="shared" si="8"/>
        <v>188328.75</v>
      </c>
      <c r="L32" s="834">
        <f t="shared" si="8"/>
        <v>913378.25</v>
      </c>
      <c r="M32" s="703"/>
      <c r="N32" s="703"/>
      <c r="O32" s="703"/>
      <c r="P32" s="703"/>
      <c r="Q32" s="703"/>
    </row>
    <row r="33" spans="2:20" x14ac:dyDescent="0.2">
      <c r="B33" s="699">
        <v>1</v>
      </c>
      <c r="C33" s="699" t="s">
        <v>670</v>
      </c>
      <c r="D33" s="831">
        <f>X8</f>
        <v>63991.166666666664</v>
      </c>
      <c r="E33" s="835">
        <f>'[5]Të ardhurat e prindërve_KPA'!R18</f>
        <v>71028.5</v>
      </c>
      <c r="F33" s="835">
        <f>'[5]Të ardhurat e prindërve_KPA'!R19</f>
        <v>76901</v>
      </c>
      <c r="G33" s="835">
        <f>'[5]Të ardhurat e prindërve_KPA'!R20</f>
        <v>84107.5</v>
      </c>
      <c r="H33" s="835">
        <f>'[5]Të ardhurat e prindërve_KPA'!R21</f>
        <v>90990.318181818177</v>
      </c>
      <c r="I33" s="835">
        <f>'[5]Të ardhurat e prindërve_KPA'!R22</f>
        <v>98218.489510489511</v>
      </c>
      <c r="J33" s="835">
        <f>'[5]Të ardhurat e prindërve_KPA'!R23</f>
        <v>106651.69230769231</v>
      </c>
      <c r="K33" s="835">
        <f>'[5]Të ardhurat e prindërve_KPA'!R27/12*9</f>
        <v>114092.73214285713</v>
      </c>
      <c r="L33" s="831">
        <f>SUM(E33:K33)</f>
        <v>641990.23214285716</v>
      </c>
    </row>
    <row r="34" spans="2:20" x14ac:dyDescent="0.2">
      <c r="B34" s="699">
        <v>2</v>
      </c>
      <c r="C34" s="699" t="s">
        <v>671</v>
      </c>
      <c r="D34" s="831">
        <f>X9</f>
        <v>17187.900000000001</v>
      </c>
      <c r="E34" s="835">
        <f>'[5]Të ardhurat e prindërve_KPA'!S18</f>
        <v>16276.5</v>
      </c>
      <c r="F34" s="835">
        <f>'[5]Të ardhurat e prindërve_KPA'!S19</f>
        <v>20250</v>
      </c>
      <c r="G34" s="835">
        <f>'[5]Të ardhurat e prindërve_KPA'!S20</f>
        <v>25167.857142857141</v>
      </c>
      <c r="H34" s="835">
        <f>'[5]Të ardhurat e prindërve_KPA'!S21</f>
        <v>32474.742857142861</v>
      </c>
      <c r="I34" s="835">
        <f>'[5]Të ardhurat e prindërve_KPA'!S22</f>
        <v>46979.323076923079</v>
      </c>
      <c r="J34" s="835">
        <f>'[5]Të ardhurat e prindërve_KPA'!S23</f>
        <v>56003.576923076922</v>
      </c>
      <c r="K34" s="835">
        <f>'[5]Të ardhurat e prindërve_KPA'!S27/12*9</f>
        <v>74236.01785714287</v>
      </c>
      <c r="L34" s="831">
        <f>SUM(E34:K34)</f>
        <v>271388.01785714284</v>
      </c>
    </row>
    <row r="36" spans="2:20" x14ac:dyDescent="0.2">
      <c r="B36" s="703" t="s">
        <v>505</v>
      </c>
      <c r="C36" s="703" t="s">
        <v>672</v>
      </c>
      <c r="D36" s="834">
        <f>SUM(D37)</f>
        <v>81179.066666666666</v>
      </c>
      <c r="E36" s="834">
        <f>SUM(E37)</f>
        <v>87305</v>
      </c>
      <c r="F36" s="834">
        <f t="shared" ref="F36:L36" si="9">SUM(F37)</f>
        <v>97151</v>
      </c>
      <c r="G36" s="834">
        <f t="shared" si="9"/>
        <v>109275.35714285714</v>
      </c>
      <c r="H36" s="834">
        <f t="shared" si="9"/>
        <v>123465.06103896104</v>
      </c>
      <c r="I36" s="834">
        <f t="shared" si="9"/>
        <v>145197.8125874126</v>
      </c>
      <c r="J36" s="834">
        <f t="shared" si="9"/>
        <v>162655.26923076925</v>
      </c>
      <c r="K36" s="834">
        <f t="shared" si="9"/>
        <v>188328.75</v>
      </c>
      <c r="L36" s="834">
        <f t="shared" si="9"/>
        <v>913378.25</v>
      </c>
      <c r="M36" s="703"/>
      <c r="N36" s="703"/>
      <c r="O36" s="703"/>
      <c r="P36" s="703"/>
      <c r="Q36" s="703"/>
    </row>
    <row r="37" spans="2:20" x14ac:dyDescent="0.2">
      <c r="B37" s="699">
        <v>1</v>
      </c>
      <c r="C37" s="699" t="s">
        <v>673</v>
      </c>
      <c r="D37" s="835">
        <f t="shared" ref="D37:K37" si="10">D33+D34</f>
        <v>81179.066666666666</v>
      </c>
      <c r="E37" s="835">
        <f t="shared" si="10"/>
        <v>87305</v>
      </c>
      <c r="F37" s="835">
        <f t="shared" si="10"/>
        <v>97151</v>
      </c>
      <c r="G37" s="835">
        <f t="shared" si="10"/>
        <v>109275.35714285714</v>
      </c>
      <c r="H37" s="835">
        <f t="shared" si="10"/>
        <v>123465.06103896104</v>
      </c>
      <c r="I37" s="835">
        <f t="shared" si="10"/>
        <v>145197.8125874126</v>
      </c>
      <c r="J37" s="835">
        <f t="shared" si="10"/>
        <v>162655.26923076925</v>
      </c>
      <c r="K37" s="835">
        <f t="shared" si="10"/>
        <v>188328.75</v>
      </c>
      <c r="L37" s="831">
        <f>SUM(E37:K37)</f>
        <v>913378.25</v>
      </c>
    </row>
    <row r="39" spans="2:20" x14ac:dyDescent="0.2">
      <c r="B39" s="703" t="s">
        <v>506</v>
      </c>
      <c r="C39" s="703" t="s">
        <v>512</v>
      </c>
      <c r="D39" s="836">
        <f>SUM(D40:D43)</f>
        <v>0</v>
      </c>
      <c r="E39" s="836">
        <f>SUM(E40:E43)</f>
        <v>0</v>
      </c>
      <c r="F39" s="836">
        <f t="shared" ref="F39:L39" si="11">SUM(F40:F43)</f>
        <v>0</v>
      </c>
      <c r="G39" s="836">
        <f t="shared" si="11"/>
        <v>0</v>
      </c>
      <c r="H39" s="836">
        <f t="shared" si="11"/>
        <v>0</v>
      </c>
      <c r="I39" s="836">
        <f t="shared" si="11"/>
        <v>0</v>
      </c>
      <c r="J39" s="836">
        <f t="shared" si="11"/>
        <v>0</v>
      </c>
      <c r="K39" s="834">
        <f t="shared" si="11"/>
        <v>16055200</v>
      </c>
      <c r="L39" s="834">
        <f t="shared" si="11"/>
        <v>16055200</v>
      </c>
      <c r="M39" s="703"/>
      <c r="N39" s="703"/>
      <c r="O39" s="703"/>
      <c r="P39" s="703"/>
      <c r="Q39" s="703"/>
    </row>
    <row r="40" spans="2:20" x14ac:dyDescent="0.2">
      <c r="B40" s="699">
        <v>1</v>
      </c>
      <c r="C40" s="699" t="s">
        <v>674</v>
      </c>
      <c r="D40" s="704">
        <v>0</v>
      </c>
      <c r="E40" s="704">
        <v>0</v>
      </c>
      <c r="F40" s="704">
        <v>0</v>
      </c>
      <c r="G40" s="704">
        <v>0</v>
      </c>
      <c r="H40" s="704">
        <v>0</v>
      </c>
      <c r="I40" s="704">
        <v>0</v>
      </c>
      <c r="J40" s="704">
        <v>0</v>
      </c>
      <c r="K40" s="704">
        <v>0</v>
      </c>
      <c r="L40" s="831">
        <f>SUM(E40:K40)</f>
        <v>0</v>
      </c>
    </row>
    <row r="41" spans="2:20" x14ac:dyDescent="0.2">
      <c r="B41" s="699">
        <v>2</v>
      </c>
      <c r="C41" s="699" t="s">
        <v>675</v>
      </c>
      <c r="D41" s="704">
        <v>0</v>
      </c>
      <c r="E41" s="704">
        <v>0</v>
      </c>
      <c r="F41" s="704">
        <v>0</v>
      </c>
      <c r="G41" s="704">
        <v>0</v>
      </c>
      <c r="H41" s="704">
        <v>0</v>
      </c>
      <c r="I41" s="704">
        <v>0</v>
      </c>
      <c r="J41" s="704">
        <v>0</v>
      </c>
      <c r="K41" s="704">
        <v>0</v>
      </c>
      <c r="L41" s="831">
        <f>SUM(E41:K41)</f>
        <v>0</v>
      </c>
      <c r="S41" s="699" t="s">
        <v>678</v>
      </c>
      <c r="T41" s="699">
        <v>122.72</v>
      </c>
    </row>
    <row r="42" spans="2:20" x14ac:dyDescent="0.2">
      <c r="B42" s="699">
        <v>3</v>
      </c>
      <c r="C42" s="699" t="s">
        <v>679</v>
      </c>
      <c r="D42" s="704">
        <v>0</v>
      </c>
      <c r="E42" s="704">
        <v>0</v>
      </c>
      <c r="F42" s="704">
        <v>0</v>
      </c>
      <c r="G42" s="704">
        <v>0</v>
      </c>
      <c r="H42" s="704">
        <v>0</v>
      </c>
      <c r="I42" s="704">
        <v>0</v>
      </c>
      <c r="J42" s="704">
        <v>0</v>
      </c>
      <c r="K42" s="835">
        <f>60000*122.72</f>
        <v>7363200</v>
      </c>
      <c r="L42" s="831">
        <f>SUM(E42:K42)</f>
        <v>7363200</v>
      </c>
      <c r="S42" s="699" t="s">
        <v>245</v>
      </c>
      <c r="T42" s="699">
        <v>86.92</v>
      </c>
    </row>
    <row r="43" spans="2:20" x14ac:dyDescent="0.2">
      <c r="B43" s="699">
        <v>4</v>
      </c>
      <c r="C43" s="699" t="s">
        <v>680</v>
      </c>
      <c r="D43" s="704">
        <v>0</v>
      </c>
      <c r="E43" s="704">
        <v>0</v>
      </c>
      <c r="F43" s="704">
        <v>0</v>
      </c>
      <c r="G43" s="704">
        <v>0</v>
      </c>
      <c r="H43" s="704">
        <v>0</v>
      </c>
      <c r="I43" s="704">
        <v>0</v>
      </c>
      <c r="J43" s="704">
        <v>0</v>
      </c>
      <c r="K43" s="835">
        <f>100000*86.92</f>
        <v>8692000</v>
      </c>
      <c r="L43" s="831">
        <f>SUM(E43:K43)</f>
        <v>8692000</v>
      </c>
    </row>
    <row r="44" spans="2:20" x14ac:dyDescent="0.2">
      <c r="D44" s="704"/>
    </row>
    <row r="45" spans="2:20" x14ac:dyDescent="0.2">
      <c r="B45" s="703" t="s">
        <v>507</v>
      </c>
      <c r="C45" s="703" t="s">
        <v>511</v>
      </c>
      <c r="D45" s="703">
        <v>0</v>
      </c>
      <c r="E45" s="703">
        <v>0</v>
      </c>
      <c r="F45" s="703">
        <v>0</v>
      </c>
      <c r="G45" s="703">
        <v>0</v>
      </c>
      <c r="H45" s="703">
        <v>0</v>
      </c>
      <c r="I45" s="703">
        <v>0</v>
      </c>
      <c r="J45" s="703">
        <v>0</v>
      </c>
      <c r="K45" s="703">
        <v>0</v>
      </c>
      <c r="L45" s="703">
        <f>SUM(E45:K45)</f>
        <v>0</v>
      </c>
      <c r="M45" s="703"/>
      <c r="N45" s="703"/>
      <c r="O45" s="703"/>
      <c r="P45" s="703"/>
      <c r="Q45" s="703"/>
    </row>
    <row r="47" spans="2:20" x14ac:dyDescent="0.2">
      <c r="B47" s="703" t="s">
        <v>508</v>
      </c>
      <c r="C47" s="703" t="s">
        <v>676</v>
      </c>
      <c r="D47" s="836">
        <f>D39-D45</f>
        <v>0</v>
      </c>
      <c r="E47" s="836">
        <f>E39-E45</f>
        <v>0</v>
      </c>
      <c r="F47" s="836">
        <f t="shared" ref="F47:K47" si="12">F39-F45</f>
        <v>0</v>
      </c>
      <c r="G47" s="836">
        <f t="shared" si="12"/>
        <v>0</v>
      </c>
      <c r="H47" s="836">
        <f t="shared" si="12"/>
        <v>0</v>
      </c>
      <c r="I47" s="836">
        <f t="shared" si="12"/>
        <v>0</v>
      </c>
      <c r="J47" s="836">
        <f t="shared" si="12"/>
        <v>0</v>
      </c>
      <c r="K47" s="834">
        <f t="shared" si="12"/>
        <v>16055200</v>
      </c>
      <c r="L47" s="834">
        <f>SUM(E47:K47)</f>
        <v>16055200</v>
      </c>
      <c r="M47" s="703"/>
      <c r="N47" s="703"/>
      <c r="O47" s="703"/>
      <c r="P47" s="703"/>
      <c r="Q47" s="703"/>
    </row>
    <row r="49" spans="2:17" x14ac:dyDescent="0.2">
      <c r="B49" s="703" t="s">
        <v>513</v>
      </c>
      <c r="C49" s="703" t="s">
        <v>524</v>
      </c>
      <c r="D49" s="836">
        <f>D32-D36-D47</f>
        <v>0</v>
      </c>
      <c r="E49" s="836">
        <f>E32-E36-E47</f>
        <v>0</v>
      </c>
      <c r="F49" s="836">
        <f t="shared" ref="F49:K49" si="13">F32-F36-F47</f>
        <v>0</v>
      </c>
      <c r="G49" s="836">
        <f t="shared" si="13"/>
        <v>0</v>
      </c>
      <c r="H49" s="836">
        <f t="shared" si="13"/>
        <v>0</v>
      </c>
      <c r="I49" s="836">
        <f t="shared" si="13"/>
        <v>0</v>
      </c>
      <c r="J49" s="836">
        <f t="shared" si="13"/>
        <v>0</v>
      </c>
      <c r="K49" s="837">
        <f t="shared" si="13"/>
        <v>-16055200</v>
      </c>
      <c r="L49" s="837">
        <f>L32-L36-L39</f>
        <v>-16055200</v>
      </c>
      <c r="M49" s="703"/>
      <c r="N49" s="703"/>
      <c r="O49" s="703"/>
      <c r="P49" s="703"/>
      <c r="Q49" s="703"/>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339CA-3446-4751-AE30-C15B484D2E33}">
  <dimension ref="A2:I37"/>
  <sheetViews>
    <sheetView workbookViewId="0">
      <selection activeCell="H41" sqref="H41"/>
    </sheetView>
  </sheetViews>
  <sheetFormatPr defaultColWidth="8.85546875" defaultRowHeight="11.25" x14ac:dyDescent="0.2"/>
  <cols>
    <col min="1" max="1" width="8.85546875" style="326"/>
    <col min="2" max="2" width="3.42578125" style="616" bestFit="1" customWidth="1"/>
    <col min="3" max="3" width="19.85546875" style="616" customWidth="1"/>
    <col min="4" max="4" width="9" style="616" bestFit="1" customWidth="1"/>
    <col min="5" max="5" width="17.28515625" style="326" customWidth="1"/>
    <col min="6" max="6" width="12" style="326" bestFit="1" customWidth="1"/>
    <col min="7" max="7" width="18.28515625" style="326" bestFit="1" customWidth="1"/>
    <col min="8" max="8" width="13.140625" style="326" bestFit="1" customWidth="1"/>
    <col min="9" max="9" width="10" style="326" bestFit="1" customWidth="1"/>
    <col min="10" max="16384" width="8.85546875" style="326"/>
  </cols>
  <sheetData>
    <row r="2" spans="1:7" x14ac:dyDescent="0.2">
      <c r="E2" s="625">
        <f>KK!V14</f>
        <v>558192</v>
      </c>
      <c r="F2" s="625"/>
      <c r="G2" s="326">
        <f>[7]sp_NRP_Balance!$L$568</f>
        <v>143036.03</v>
      </c>
    </row>
    <row r="3" spans="1:7" x14ac:dyDescent="0.2">
      <c r="E3" s="625">
        <f>E2/12</f>
        <v>46516</v>
      </c>
      <c r="F3" s="625"/>
      <c r="G3" s="638">
        <v>5.88</v>
      </c>
    </row>
    <row r="4" spans="1:7" x14ac:dyDescent="0.2">
      <c r="A4" s="616"/>
      <c r="C4" s="617"/>
      <c r="D4" s="617"/>
      <c r="E4" s="632">
        <f>E2/365</f>
        <v>1529.2931506849316</v>
      </c>
      <c r="F4" s="632"/>
      <c r="G4" s="326">
        <f>SUM(G2:G3)</f>
        <v>143041.91</v>
      </c>
    </row>
    <row r="5" spans="1:7" x14ac:dyDescent="0.2">
      <c r="A5" s="616"/>
      <c r="C5" s="617"/>
      <c r="D5" s="617"/>
    </row>
    <row r="6" spans="1:7" x14ac:dyDescent="0.2">
      <c r="A6" s="616"/>
      <c r="C6" s="617"/>
      <c r="D6" s="617"/>
    </row>
    <row r="7" spans="1:7" x14ac:dyDescent="0.2">
      <c r="B7" s="636" t="s">
        <v>502</v>
      </c>
      <c r="C7" s="636" t="s">
        <v>540</v>
      </c>
      <c r="D7" s="620"/>
      <c r="E7" s="621" t="s">
        <v>571</v>
      </c>
      <c r="F7" s="621"/>
      <c r="G7" s="621" t="s">
        <v>571</v>
      </c>
    </row>
    <row r="8" spans="1:7" x14ac:dyDescent="0.2">
      <c r="E8" s="631" t="s">
        <v>504</v>
      </c>
      <c r="F8" s="631"/>
    </row>
    <row r="9" spans="1:7" x14ac:dyDescent="0.2">
      <c r="B9" s="636" t="s">
        <v>504</v>
      </c>
      <c r="C9" s="636" t="s">
        <v>509</v>
      </c>
      <c r="D9" s="636"/>
      <c r="E9" s="637">
        <f>SUM(E10:E11)</f>
        <v>1266837</v>
      </c>
      <c r="F9" s="637"/>
      <c r="G9" s="637">
        <f>SUM(G10:G11)</f>
        <v>1266837</v>
      </c>
    </row>
    <row r="10" spans="1:7" x14ac:dyDescent="0.2">
      <c r="B10" s="616">
        <v>1</v>
      </c>
      <c r="C10" s="616" t="s">
        <v>542</v>
      </c>
      <c r="E10" s="569">
        <f>836886</f>
        <v>836886</v>
      </c>
      <c r="F10" s="569"/>
      <c r="G10" s="569">
        <f>E10</f>
        <v>836886</v>
      </c>
    </row>
    <row r="11" spans="1:7" x14ac:dyDescent="0.2">
      <c r="B11" s="616">
        <v>2</v>
      </c>
      <c r="C11" s="616" t="s">
        <v>543</v>
      </c>
      <c r="E11" s="569">
        <f>[8]Sheet1!$AH$19</f>
        <v>429951</v>
      </c>
      <c r="F11" s="569"/>
      <c r="G11" s="569">
        <f>E11</f>
        <v>429951</v>
      </c>
    </row>
    <row r="12" spans="1:7" x14ac:dyDescent="0.2">
      <c r="B12" s="616">
        <v>3</v>
      </c>
      <c r="C12" s="616" t="s">
        <v>568</v>
      </c>
      <c r="E12" s="625">
        <v>0</v>
      </c>
      <c r="F12" s="625"/>
      <c r="G12" s="569">
        <f>E12</f>
        <v>0</v>
      </c>
    </row>
    <row r="13" spans="1:7" x14ac:dyDescent="0.2">
      <c r="E13" s="625"/>
      <c r="F13" s="625"/>
    </row>
    <row r="14" spans="1:7" x14ac:dyDescent="0.2">
      <c r="B14" s="636" t="s">
        <v>505</v>
      </c>
      <c r="C14" s="636" t="s">
        <v>510</v>
      </c>
      <c r="D14" s="636"/>
      <c r="E14" s="637">
        <f>SUM(E15:E17)</f>
        <v>607612.90426301374</v>
      </c>
      <c r="F14" s="637"/>
      <c r="G14" s="637">
        <f>SUM(G15:G17)</f>
        <v>607612.90426301374</v>
      </c>
    </row>
    <row r="15" spans="1:7" x14ac:dyDescent="0.2">
      <c r="B15" s="616">
        <v>1</v>
      </c>
      <c r="C15" s="616" t="s">
        <v>544</v>
      </c>
      <c r="E15" s="625">
        <f>E3*9+E4*19</f>
        <v>447700.56986301369</v>
      </c>
      <c r="F15" s="625"/>
      <c r="G15" s="625">
        <f>E15</f>
        <v>447700.56986301369</v>
      </c>
    </row>
    <row r="16" spans="1:7" x14ac:dyDescent="0.2">
      <c r="B16" s="616">
        <v>2</v>
      </c>
      <c r="C16" s="616" t="s">
        <v>545</v>
      </c>
      <c r="E16" s="625">
        <v>0</v>
      </c>
      <c r="F16" s="625"/>
      <c r="G16" s="625">
        <f>E16</f>
        <v>0</v>
      </c>
    </row>
    <row r="17" spans="2:9" x14ac:dyDescent="0.2">
      <c r="B17" s="616">
        <v>3</v>
      </c>
      <c r="C17" s="616" t="s">
        <v>546</v>
      </c>
      <c r="E17" s="625">
        <f>'Kredi ne NBG '!L61*KK!V4</f>
        <v>159912.33439999999</v>
      </c>
      <c r="F17" s="625"/>
      <c r="G17" s="625">
        <f>E17</f>
        <v>159912.33439999999</v>
      </c>
    </row>
    <row r="18" spans="2:9" x14ac:dyDescent="0.2">
      <c r="E18" s="625"/>
      <c r="F18" s="625"/>
    </row>
    <row r="19" spans="2:9" x14ac:dyDescent="0.2">
      <c r="B19" s="636" t="s">
        <v>506</v>
      </c>
      <c r="C19" s="636" t="s">
        <v>512</v>
      </c>
      <c r="D19" s="620"/>
      <c r="E19" s="637">
        <f>SUM(E20)</f>
        <v>80814.850000000006</v>
      </c>
      <c r="F19" s="637">
        <f>SUM(F20)</f>
        <v>0</v>
      </c>
      <c r="G19" s="637">
        <f>SUM(G20)</f>
        <v>191648.18333333312</v>
      </c>
    </row>
    <row r="20" spans="2:9" x14ac:dyDescent="0.2">
      <c r="B20" s="326">
        <v>1</v>
      </c>
      <c r="C20" s="616" t="s">
        <v>554</v>
      </c>
      <c r="D20" s="326"/>
      <c r="E20" s="625">
        <f>E21-D21</f>
        <v>80814.850000000006</v>
      </c>
      <c r="F20" s="625"/>
      <c r="G20" s="625">
        <f>G21-F21</f>
        <v>191648.18333333312</v>
      </c>
      <c r="I20" s="625">
        <f>G17-G26</f>
        <v>645460.29239999992</v>
      </c>
    </row>
    <row r="21" spans="2:9" x14ac:dyDescent="0.2">
      <c r="B21" s="618" t="s">
        <v>573</v>
      </c>
      <c r="C21" s="616" t="s">
        <v>572</v>
      </c>
      <c r="D21" s="625">
        <f>SUM(D22:D23)</f>
        <v>62227.06</v>
      </c>
      <c r="E21" s="625">
        <f>SUM(E22:E23)</f>
        <v>143041.91</v>
      </c>
      <c r="F21" s="625">
        <f>SUM(F22:F23)</f>
        <v>1073923.06</v>
      </c>
      <c r="G21" s="625">
        <f>SUM(G22:G23)</f>
        <v>1265571.2433333332</v>
      </c>
    </row>
    <row r="22" spans="2:9" x14ac:dyDescent="0.2">
      <c r="B22" s="618" t="s">
        <v>574</v>
      </c>
      <c r="C22" s="616" t="s">
        <v>577</v>
      </c>
      <c r="D22" s="569">
        <f>' Likujditete'!W53</f>
        <v>62227.06</v>
      </c>
      <c r="E22" s="326">
        <f>G4</f>
        <v>143041.91</v>
      </c>
      <c r="F22" s="625">
        <f>D22</f>
        <v>62227.06</v>
      </c>
      <c r="G22" s="625">
        <f>G4</f>
        <v>143041.91</v>
      </c>
    </row>
    <row r="23" spans="2:9" x14ac:dyDescent="0.2">
      <c r="B23" s="618" t="s">
        <v>575</v>
      </c>
      <c r="C23" s="616" t="s">
        <v>576</v>
      </c>
      <c r="D23" s="569"/>
      <c r="E23" s="617"/>
      <c r="F23" s="625">
        <f>' Likujditete'!W56</f>
        <v>1011696</v>
      </c>
      <c r="G23" s="625">
        <f>F23+H23</f>
        <v>1122529.3333333333</v>
      </c>
      <c r="H23" s="326">
        <f>(140000/12)*9.5</f>
        <v>110833.33333333333</v>
      </c>
    </row>
    <row r="24" spans="2:9" x14ac:dyDescent="0.2">
      <c r="E24" s="625"/>
      <c r="F24" s="625"/>
    </row>
    <row r="25" spans="2:9" x14ac:dyDescent="0.2">
      <c r="B25" s="636" t="s">
        <v>507</v>
      </c>
      <c r="C25" s="636" t="s">
        <v>511</v>
      </c>
      <c r="D25" s="637">
        <f>SUM(D26:D27)</f>
        <v>0</v>
      </c>
      <c r="E25" s="637">
        <f>SUM(E26:E27)</f>
        <v>-1184147.9579999999</v>
      </c>
      <c r="F25" s="637">
        <f>SUM(F26:F27)</f>
        <v>0</v>
      </c>
      <c r="G25" s="637">
        <f>SUM(G26:G27)</f>
        <v>-1184147.9579999999</v>
      </c>
    </row>
    <row r="26" spans="2:9" x14ac:dyDescent="0.2">
      <c r="B26" s="616">
        <v>1</v>
      </c>
      <c r="C26" s="616" t="s">
        <v>547</v>
      </c>
      <c r="E26" s="569">
        <f>-'Kredi ne NBG '!K61*KK!V4</f>
        <v>-485547.95799999993</v>
      </c>
      <c r="F26" s="569"/>
      <c r="G26" s="625">
        <f>E26</f>
        <v>-485547.95799999993</v>
      </c>
    </row>
    <row r="27" spans="2:9" x14ac:dyDescent="0.2">
      <c r="B27" s="616">
        <v>2</v>
      </c>
      <c r="C27" s="616" t="s">
        <v>578</v>
      </c>
      <c r="E27" s="569">
        <f>-5000*139.72</f>
        <v>-698600</v>
      </c>
      <c r="F27" s="569"/>
      <c r="G27" s="625">
        <f>E27</f>
        <v>-698600</v>
      </c>
      <c r="H27" s="326">
        <v>139.72</v>
      </c>
    </row>
    <row r="28" spans="2:9" x14ac:dyDescent="0.2">
      <c r="E28" s="625"/>
      <c r="F28" s="625"/>
    </row>
    <row r="29" spans="2:9" x14ac:dyDescent="0.2">
      <c r="B29" s="636" t="s">
        <v>508</v>
      </c>
      <c r="C29" s="636" t="s">
        <v>541</v>
      </c>
      <c r="D29" s="637">
        <f>(D19)-(D25)</f>
        <v>0</v>
      </c>
      <c r="E29" s="637">
        <f>(E19)-(E25)</f>
        <v>1264962.808</v>
      </c>
      <c r="F29" s="637">
        <f>(F19)-(F25)</f>
        <v>0</v>
      </c>
      <c r="G29" s="637">
        <f>(G19)-(G25)</f>
        <v>1375796.141333333</v>
      </c>
    </row>
    <row r="30" spans="2:9" x14ac:dyDescent="0.2">
      <c r="E30" s="625"/>
      <c r="F30" s="625"/>
    </row>
    <row r="31" spans="2:9" x14ac:dyDescent="0.2">
      <c r="B31" s="636" t="s">
        <v>513</v>
      </c>
      <c r="C31" s="636" t="s">
        <v>556</v>
      </c>
      <c r="D31" s="637">
        <v>0</v>
      </c>
      <c r="E31" s="639">
        <f>(E9)-(E14)-(E29)</f>
        <v>-605738.7122630137</v>
      </c>
      <c r="F31" s="639">
        <f>(F9)-(F14)-(F29)</f>
        <v>0</v>
      </c>
      <c r="G31" s="639">
        <f>(G9)-(G14)-(G29)</f>
        <v>-716572.04559634672</v>
      </c>
    </row>
    <row r="32" spans="2:9" x14ac:dyDescent="0.2">
      <c r="C32" s="633" t="s">
        <v>557</v>
      </c>
      <c r="E32" s="625"/>
      <c r="F32" s="625"/>
    </row>
    <row r="33" s="326" customFormat="1" x14ac:dyDescent="0.2"/>
    <row r="34" s="326" customFormat="1" x14ac:dyDescent="0.2"/>
    <row r="35" s="326" customFormat="1" x14ac:dyDescent="0.2"/>
    <row r="36" s="326" customFormat="1" x14ac:dyDescent="0.2"/>
    <row r="37" s="326" customFormat="1" x14ac:dyDescent="0.2"/>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6C07A-C06C-4CF4-9F54-D387DC251295}">
  <dimension ref="A3:H58"/>
  <sheetViews>
    <sheetView zoomScale="89" zoomScaleNormal="89" workbookViewId="0">
      <selection sqref="A1:XFD1048576"/>
    </sheetView>
  </sheetViews>
  <sheetFormatPr defaultColWidth="37.28515625" defaultRowHeight="12.75" x14ac:dyDescent="0.25"/>
  <cols>
    <col min="1" max="1" width="10.5703125" style="868" customWidth="1"/>
    <col min="2" max="2" width="5.140625" style="868" bestFit="1" customWidth="1"/>
    <col min="3" max="3" width="38" style="891" bestFit="1" customWidth="1"/>
    <col min="4" max="5" width="11.85546875" style="871" bestFit="1" customWidth="1"/>
    <col min="6" max="6" width="37.42578125" style="871" bestFit="1" customWidth="1"/>
    <col min="7" max="8" width="37.28515625" style="871"/>
    <col min="9" max="16384" width="37.28515625" style="872"/>
  </cols>
  <sheetData>
    <row r="3" spans="1:8" s="851" customFormat="1" x14ac:dyDescent="0.25">
      <c r="A3" s="849"/>
      <c r="B3" s="873" t="s">
        <v>502</v>
      </c>
      <c r="C3" s="873" t="s">
        <v>692</v>
      </c>
      <c r="D3" s="874">
        <v>2014</v>
      </c>
      <c r="E3" s="874">
        <v>2015</v>
      </c>
      <c r="F3" s="871"/>
      <c r="G3" s="871"/>
      <c r="H3" s="850"/>
    </row>
    <row r="4" spans="1:8" s="851" customFormat="1" x14ac:dyDescent="0.25">
      <c r="A4" s="849"/>
      <c r="B4" s="875"/>
      <c r="C4" s="875"/>
      <c r="D4" s="876"/>
      <c r="E4" s="876"/>
      <c r="F4" s="871"/>
      <c r="G4" s="871"/>
      <c r="H4" s="850"/>
    </row>
    <row r="5" spans="1:8" s="854" customFormat="1" x14ac:dyDescent="0.25">
      <c r="A5" s="852"/>
      <c r="B5" s="877" t="s">
        <v>504</v>
      </c>
      <c r="C5" s="877" t="s">
        <v>509</v>
      </c>
      <c r="D5" s="878"/>
      <c r="E5" s="879">
        <f>SUM(E6:E8)</f>
        <v>6169790</v>
      </c>
      <c r="F5" s="864"/>
      <c r="G5" s="864"/>
      <c r="H5" s="853"/>
    </row>
    <row r="6" spans="1:8" s="854" customFormat="1" x14ac:dyDescent="0.25">
      <c r="A6" s="852"/>
      <c r="B6" s="880">
        <v>1</v>
      </c>
      <c r="C6" s="881" t="s">
        <v>693</v>
      </c>
      <c r="D6" s="882"/>
      <c r="E6" s="882">
        <f>[7]sp_NRP_Balance!$N$709</f>
        <v>1120422</v>
      </c>
      <c r="F6" s="864"/>
      <c r="G6" s="864"/>
      <c r="H6" s="853"/>
    </row>
    <row r="7" spans="1:8" s="854" customFormat="1" x14ac:dyDescent="0.25">
      <c r="A7" s="852"/>
      <c r="B7" s="880">
        <v>2</v>
      </c>
      <c r="C7" s="881" t="s">
        <v>694</v>
      </c>
      <c r="D7" s="882"/>
      <c r="E7" s="882">
        <f>824168</f>
        <v>824168</v>
      </c>
      <c r="F7" s="864"/>
      <c r="G7" s="864"/>
      <c r="H7" s="853"/>
    </row>
    <row r="8" spans="1:8" s="854" customFormat="1" x14ac:dyDescent="0.25">
      <c r="A8" s="852"/>
      <c r="B8" s="880">
        <v>3</v>
      </c>
      <c r="C8" s="883" t="s">
        <v>695</v>
      </c>
      <c r="D8" s="882"/>
      <c r="E8" s="882">
        <f>30000*F8</f>
        <v>4225200</v>
      </c>
      <c r="F8" s="864">
        <v>140.84</v>
      </c>
      <c r="G8" s="864" t="s">
        <v>185</v>
      </c>
      <c r="H8" s="853"/>
    </row>
    <row r="9" spans="1:8" s="854" customFormat="1" x14ac:dyDescent="0.25">
      <c r="A9" s="852"/>
      <c r="B9" s="880"/>
      <c r="C9" s="881"/>
      <c r="D9" s="882"/>
      <c r="E9" s="882"/>
      <c r="F9" s="864"/>
      <c r="G9" s="864"/>
      <c r="H9" s="853"/>
    </row>
    <row r="10" spans="1:8" s="854" customFormat="1" x14ac:dyDescent="0.25">
      <c r="A10" s="852"/>
      <c r="B10" s="877" t="s">
        <v>505</v>
      </c>
      <c r="C10" s="877" t="s">
        <v>510</v>
      </c>
      <c r="D10" s="884"/>
      <c r="E10" s="884">
        <f>SUM(E11:E17)</f>
        <v>1796082.3333333333</v>
      </c>
      <c r="F10" s="864"/>
      <c r="G10" s="864"/>
      <c r="H10" s="853"/>
    </row>
    <row r="11" spans="1:8" s="854" customFormat="1" x14ac:dyDescent="0.25">
      <c r="A11" s="852"/>
      <c r="B11" s="880">
        <v>1</v>
      </c>
      <c r="C11" s="881" t="s">
        <v>516</v>
      </c>
      <c r="D11" s="882"/>
      <c r="E11" s="882">
        <v>897104</v>
      </c>
      <c r="F11" s="864"/>
      <c r="G11" s="864"/>
      <c r="H11" s="853"/>
    </row>
    <row r="12" spans="1:8" s="854" customFormat="1" x14ac:dyDescent="0.25">
      <c r="A12" s="852"/>
      <c r="B12" s="880">
        <v>2</v>
      </c>
      <c r="C12" s="881" t="s">
        <v>696</v>
      </c>
      <c r="D12" s="882"/>
      <c r="E12" s="882">
        <f>(40000/10)*4</f>
        <v>16000</v>
      </c>
      <c r="F12" s="864"/>
      <c r="G12" s="864"/>
      <c r="H12" s="853"/>
    </row>
    <row r="13" spans="1:8" s="854" customFormat="1" x14ac:dyDescent="0.25">
      <c r="A13" s="852"/>
      <c r="B13" s="880">
        <v>3</v>
      </c>
      <c r="C13" s="881" t="s">
        <v>697</v>
      </c>
      <c r="D13" s="882"/>
      <c r="E13" s="882">
        <f>+(1800/10*4+1800/10*6)*[9]KK!Y4</f>
        <v>247770</v>
      </c>
      <c r="F13" s="864"/>
      <c r="G13" s="864"/>
      <c r="H13" s="853"/>
    </row>
    <row r="14" spans="1:8" s="854" customFormat="1" x14ac:dyDescent="0.25">
      <c r="A14" s="852"/>
      <c r="B14" s="880">
        <v>4</v>
      </c>
      <c r="C14" s="883" t="s">
        <v>698</v>
      </c>
      <c r="D14" s="882"/>
      <c r="E14" s="882">
        <v>37166</v>
      </c>
      <c r="F14" s="864"/>
      <c r="G14" s="864"/>
      <c r="H14" s="853"/>
    </row>
    <row r="15" spans="1:8" s="854" customFormat="1" x14ac:dyDescent="0.25">
      <c r="A15" s="852"/>
      <c r="B15" s="880">
        <v>5</v>
      </c>
      <c r="C15" s="881" t="s">
        <v>699</v>
      </c>
      <c r="D15" s="882"/>
      <c r="E15" s="882">
        <f>4000*[9]KK!X4/3</f>
        <v>186813.33333333334</v>
      </c>
      <c r="F15" s="864"/>
      <c r="G15" s="865"/>
      <c r="H15" s="853"/>
    </row>
    <row r="16" spans="1:8" s="854" customFormat="1" x14ac:dyDescent="0.25">
      <c r="A16" s="852"/>
      <c r="B16" s="880">
        <v>6</v>
      </c>
      <c r="C16" s="881" t="s">
        <v>700</v>
      </c>
      <c r="D16" s="882"/>
      <c r="E16" s="882">
        <v>410000</v>
      </c>
      <c r="F16" s="864"/>
      <c r="G16" s="864"/>
      <c r="H16" s="853"/>
    </row>
    <row r="17" spans="1:8" s="854" customFormat="1" x14ac:dyDescent="0.25">
      <c r="A17" s="852"/>
      <c r="B17" s="880">
        <v>7</v>
      </c>
      <c r="C17" s="881" t="s">
        <v>701</v>
      </c>
      <c r="D17" s="882"/>
      <c r="E17" s="882">
        <v>1229</v>
      </c>
      <c r="F17" s="864"/>
      <c r="G17" s="864"/>
      <c r="H17" s="853"/>
    </row>
    <row r="18" spans="1:8" s="854" customFormat="1" x14ac:dyDescent="0.25">
      <c r="A18" s="852"/>
      <c r="B18" s="880"/>
      <c r="C18" s="881"/>
      <c r="D18" s="882"/>
      <c r="E18" s="882"/>
      <c r="F18" s="864"/>
      <c r="G18" s="864"/>
      <c r="H18" s="853"/>
    </row>
    <row r="19" spans="1:8" s="854" customFormat="1" x14ac:dyDescent="0.25">
      <c r="A19" s="852"/>
      <c r="B19" s="877" t="s">
        <v>506</v>
      </c>
      <c r="C19" s="877" t="s">
        <v>512</v>
      </c>
      <c r="D19" s="885"/>
      <c r="E19" s="884">
        <f>SUM(E20:E21)</f>
        <v>4219811.0299999993</v>
      </c>
      <c r="F19" s="864"/>
      <c r="G19" s="864"/>
      <c r="H19" s="853"/>
    </row>
    <row r="20" spans="1:8" s="854" customFormat="1" x14ac:dyDescent="0.25">
      <c r="A20" s="852"/>
      <c r="B20" s="886">
        <v>1</v>
      </c>
      <c r="C20" s="887" t="s">
        <v>702</v>
      </c>
      <c r="D20" s="888"/>
      <c r="E20" s="882">
        <f>24400*140.84+230*138.33+5000*137.39</f>
        <v>4155261.9</v>
      </c>
      <c r="F20" s="864"/>
      <c r="G20" s="864"/>
      <c r="H20" s="853"/>
    </row>
    <row r="21" spans="1:8" s="854" customFormat="1" x14ac:dyDescent="0.25">
      <c r="A21" s="852"/>
      <c r="B21" s="880">
        <v>2</v>
      </c>
      <c r="C21" s="881" t="s">
        <v>703</v>
      </c>
      <c r="D21" s="882"/>
      <c r="E21" s="882">
        <f>E22-D22</f>
        <v>64549.129999999888</v>
      </c>
      <c r="F21" s="864"/>
      <c r="G21" s="865"/>
      <c r="H21" s="853"/>
    </row>
    <row r="22" spans="1:8" s="854" customFormat="1" x14ac:dyDescent="0.25">
      <c r="A22" s="852"/>
      <c r="B22" s="880" t="s">
        <v>573</v>
      </c>
      <c r="C22" s="881" t="s">
        <v>704</v>
      </c>
      <c r="D22" s="889">
        <f>D23+D24</f>
        <v>1352928.6600000001</v>
      </c>
      <c r="E22" s="889">
        <f>E23+E24</f>
        <v>1417477.79</v>
      </c>
      <c r="F22" s="864"/>
      <c r="G22" s="864"/>
      <c r="H22" s="853"/>
    </row>
    <row r="23" spans="1:8" s="854" customFormat="1" x14ac:dyDescent="0.25">
      <c r="A23" s="852"/>
      <c r="B23" s="880" t="s">
        <v>574</v>
      </c>
      <c r="C23" s="881" t="s">
        <v>705</v>
      </c>
      <c r="D23" s="882">
        <f>'[9] Likujditete'!Z53</f>
        <v>546609.66</v>
      </c>
      <c r="E23" s="882">
        <f>'[9] Likujditete'!AA53</f>
        <v>611158.79</v>
      </c>
      <c r="F23" s="864"/>
      <c r="G23" s="864"/>
      <c r="H23" s="853"/>
    </row>
    <row r="24" spans="1:8" s="854" customFormat="1" x14ac:dyDescent="0.25">
      <c r="A24" s="852"/>
      <c r="B24" s="880" t="s">
        <v>575</v>
      </c>
      <c r="C24" s="881" t="s">
        <v>715</v>
      </c>
      <c r="D24" s="889">
        <f>'[9] Likujditete'!Z56</f>
        <v>806319</v>
      </c>
      <c r="E24" s="889">
        <f>'[9] Likujditete'!AA56</f>
        <v>806319</v>
      </c>
      <c r="F24" s="864"/>
      <c r="G24" s="864"/>
      <c r="H24" s="853"/>
    </row>
    <row r="25" spans="1:8" s="854" customFormat="1" x14ac:dyDescent="0.25">
      <c r="A25" s="852"/>
      <c r="B25" s="880"/>
      <c r="C25" s="881"/>
      <c r="D25" s="882"/>
      <c r="E25" s="882"/>
      <c r="F25" s="864"/>
      <c r="G25" s="864"/>
      <c r="H25" s="853"/>
    </row>
    <row r="26" spans="1:8" s="854" customFormat="1" x14ac:dyDescent="0.25">
      <c r="A26" s="852"/>
      <c r="B26" s="877" t="s">
        <v>507</v>
      </c>
      <c r="C26" s="877" t="s">
        <v>511</v>
      </c>
      <c r="D26" s="884">
        <f>SUM(D27:D29)</f>
        <v>0</v>
      </c>
      <c r="E26" s="884">
        <f>SUM(E27:E29)</f>
        <v>0</v>
      </c>
      <c r="F26" s="864"/>
      <c r="G26" s="864"/>
      <c r="H26" s="853"/>
    </row>
    <row r="27" spans="1:8" s="854" customFormat="1" x14ac:dyDescent="0.25">
      <c r="A27" s="852"/>
      <c r="B27" s="880">
        <v>1</v>
      </c>
      <c r="C27" s="881" t="s">
        <v>706</v>
      </c>
      <c r="D27" s="882" t="s">
        <v>707</v>
      </c>
      <c r="E27" s="882" t="s">
        <v>707</v>
      </c>
      <c r="F27" s="864"/>
      <c r="G27" s="864"/>
      <c r="H27" s="853"/>
    </row>
    <row r="28" spans="1:8" s="854" customFormat="1" x14ac:dyDescent="0.25">
      <c r="A28" s="852"/>
      <c r="B28" s="880">
        <v>2</v>
      </c>
      <c r="C28" s="881" t="s">
        <v>708</v>
      </c>
      <c r="D28" s="882" t="s">
        <v>707</v>
      </c>
      <c r="E28" s="882" t="s">
        <v>707</v>
      </c>
      <c r="F28" s="864"/>
      <c r="G28" s="864"/>
      <c r="H28" s="853"/>
    </row>
    <row r="29" spans="1:8" s="854" customFormat="1" x14ac:dyDescent="0.25">
      <c r="A29" s="852"/>
      <c r="B29" s="880">
        <v>3</v>
      </c>
      <c r="C29" s="881" t="s">
        <v>709</v>
      </c>
      <c r="D29" s="882" t="s">
        <v>707</v>
      </c>
      <c r="E29" s="882" t="s">
        <v>707</v>
      </c>
      <c r="F29" s="864"/>
      <c r="G29" s="864"/>
      <c r="H29" s="853"/>
    </row>
    <row r="30" spans="1:8" s="854" customFormat="1" x14ac:dyDescent="0.25">
      <c r="A30" s="852"/>
      <c r="B30" s="880"/>
      <c r="C30" s="881"/>
      <c r="D30" s="882"/>
      <c r="E30" s="882"/>
      <c r="F30" s="864"/>
      <c r="G30" s="864"/>
      <c r="H30" s="853"/>
    </row>
    <row r="31" spans="1:8" s="854" customFormat="1" x14ac:dyDescent="0.25">
      <c r="A31" s="852"/>
      <c r="B31" s="877" t="s">
        <v>508</v>
      </c>
      <c r="C31" s="877" t="s">
        <v>676</v>
      </c>
      <c r="D31" s="885"/>
      <c r="E31" s="884">
        <f>E19-E26</f>
        <v>4219811.0299999993</v>
      </c>
      <c r="F31" s="864"/>
      <c r="G31" s="864"/>
      <c r="H31" s="853"/>
    </row>
    <row r="32" spans="1:8" s="854" customFormat="1" x14ac:dyDescent="0.25">
      <c r="A32" s="852"/>
      <c r="B32" s="881"/>
      <c r="C32" s="881"/>
      <c r="D32" s="882"/>
      <c r="E32" s="882"/>
      <c r="F32" s="864"/>
      <c r="G32" s="864"/>
      <c r="H32" s="853"/>
    </row>
    <row r="33" spans="1:8" s="854" customFormat="1" hidden="1" x14ac:dyDescent="0.25">
      <c r="A33" s="852"/>
      <c r="B33" s="881"/>
      <c r="C33" s="881"/>
      <c r="D33" s="882"/>
      <c r="E33" s="882"/>
      <c r="F33" s="864"/>
      <c r="G33" s="864"/>
      <c r="H33" s="853"/>
    </row>
    <row r="34" spans="1:8" s="857" customFormat="1" hidden="1" x14ac:dyDescent="0.25">
      <c r="A34" s="855"/>
      <c r="B34" s="881"/>
      <c r="C34" s="881"/>
      <c r="D34" s="882"/>
      <c r="E34" s="882"/>
      <c r="F34" s="890"/>
      <c r="G34" s="890"/>
      <c r="H34" s="856"/>
    </row>
    <row r="35" spans="1:8" s="860" customFormat="1" hidden="1" x14ac:dyDescent="0.25">
      <c r="A35" s="858"/>
      <c r="B35" s="881"/>
      <c r="C35" s="881"/>
      <c r="D35" s="882"/>
      <c r="E35" s="882"/>
      <c r="F35" s="859"/>
      <c r="G35" s="859"/>
      <c r="H35" s="859"/>
    </row>
    <row r="36" spans="1:8" s="863" customFormat="1" hidden="1" x14ac:dyDescent="0.25">
      <c r="A36" s="861"/>
      <c r="B36" s="881"/>
      <c r="C36" s="881"/>
      <c r="D36" s="882"/>
      <c r="E36" s="882"/>
      <c r="F36" s="862"/>
      <c r="G36" s="862"/>
      <c r="H36" s="862"/>
    </row>
    <row r="37" spans="1:8" s="854" customFormat="1" ht="20.25" hidden="1" customHeight="1" x14ac:dyDescent="0.25">
      <c r="A37" s="852"/>
      <c r="B37" s="881"/>
      <c r="C37" s="881"/>
      <c r="D37" s="882"/>
      <c r="E37" s="882"/>
      <c r="F37" s="864"/>
      <c r="G37" s="864"/>
      <c r="H37" s="853"/>
    </row>
    <row r="38" spans="1:8" s="865" customFormat="1" hidden="1" x14ac:dyDescent="0.25">
      <c r="A38" s="858"/>
      <c r="B38" s="881"/>
      <c r="C38" s="881"/>
      <c r="D38" s="882"/>
      <c r="E38" s="882"/>
      <c r="F38" s="864"/>
      <c r="G38" s="864"/>
      <c r="H38" s="864"/>
    </row>
    <row r="39" spans="1:8" s="865" customFormat="1" hidden="1" x14ac:dyDescent="0.25">
      <c r="A39" s="858"/>
      <c r="B39" s="881"/>
      <c r="C39" s="881"/>
      <c r="D39" s="882"/>
      <c r="E39" s="882"/>
      <c r="F39" s="864"/>
      <c r="G39" s="864"/>
      <c r="H39" s="864"/>
    </row>
    <row r="40" spans="1:8" s="865" customFormat="1" hidden="1" x14ac:dyDescent="0.25">
      <c r="A40" s="858"/>
      <c r="B40" s="881"/>
      <c r="C40" s="881"/>
      <c r="D40" s="882"/>
      <c r="E40" s="882"/>
      <c r="F40" s="864"/>
      <c r="G40" s="864"/>
      <c r="H40" s="864"/>
    </row>
    <row r="41" spans="1:8" s="865" customFormat="1" hidden="1" x14ac:dyDescent="0.25">
      <c r="A41" s="858"/>
      <c r="B41" s="881"/>
      <c r="C41" s="881"/>
      <c r="D41" s="882"/>
      <c r="E41" s="882"/>
      <c r="F41" s="864"/>
      <c r="G41" s="864"/>
      <c r="H41" s="864"/>
    </row>
    <row r="42" spans="1:8" s="865" customFormat="1" hidden="1" x14ac:dyDescent="0.25">
      <c r="A42" s="858"/>
      <c r="B42" s="881"/>
      <c r="C42" s="881"/>
      <c r="D42" s="882"/>
      <c r="E42" s="882"/>
      <c r="F42" s="864"/>
      <c r="G42" s="864"/>
      <c r="H42" s="864"/>
    </row>
    <row r="43" spans="1:8" s="865" customFormat="1" hidden="1" x14ac:dyDescent="0.25">
      <c r="A43" s="858"/>
      <c r="B43" s="881"/>
      <c r="C43" s="881"/>
      <c r="D43" s="882"/>
      <c r="E43" s="882"/>
      <c r="F43" s="864"/>
      <c r="G43" s="864"/>
      <c r="H43" s="864"/>
    </row>
    <row r="44" spans="1:8" s="865" customFormat="1" hidden="1" x14ac:dyDescent="0.25">
      <c r="A44" s="858"/>
      <c r="B44" s="881"/>
      <c r="C44" s="881"/>
      <c r="D44" s="882"/>
      <c r="E44" s="882"/>
      <c r="F44" s="864"/>
      <c r="G44" s="864"/>
      <c r="H44" s="864"/>
    </row>
    <row r="45" spans="1:8" s="865" customFormat="1" hidden="1" x14ac:dyDescent="0.25">
      <c r="A45" s="858"/>
      <c r="B45" s="881"/>
      <c r="C45" s="881"/>
      <c r="D45" s="882"/>
      <c r="E45" s="882"/>
      <c r="F45" s="864"/>
      <c r="G45" s="864"/>
      <c r="H45" s="864"/>
    </row>
    <row r="46" spans="1:8" s="865" customFormat="1" hidden="1" x14ac:dyDescent="0.25">
      <c r="A46" s="858"/>
      <c r="B46" s="881"/>
      <c r="C46" s="881"/>
      <c r="D46" s="882"/>
      <c r="E46" s="882"/>
      <c r="F46" s="864"/>
      <c r="G46" s="864"/>
      <c r="H46" s="864"/>
    </row>
    <row r="47" spans="1:8" s="854" customFormat="1" hidden="1" x14ac:dyDescent="0.25">
      <c r="A47" s="852"/>
      <c r="B47" s="881"/>
      <c r="C47" s="881"/>
      <c r="D47" s="882"/>
      <c r="E47" s="882"/>
      <c r="F47" s="864"/>
      <c r="G47" s="864"/>
      <c r="H47" s="853"/>
    </row>
    <row r="48" spans="1:8" s="854" customFormat="1" hidden="1" x14ac:dyDescent="0.25">
      <c r="A48" s="852"/>
      <c r="B48" s="881"/>
      <c r="C48" s="881"/>
      <c r="D48" s="882"/>
      <c r="E48" s="882"/>
      <c r="F48" s="864"/>
      <c r="G48" s="864"/>
      <c r="H48" s="853"/>
    </row>
    <row r="49" spans="1:8" s="859" customFormat="1" x14ac:dyDescent="0.25">
      <c r="A49" s="858"/>
      <c r="B49" s="877" t="s">
        <v>513</v>
      </c>
      <c r="C49" s="877" t="s">
        <v>710</v>
      </c>
      <c r="D49" s="885"/>
      <c r="E49" s="884">
        <f>E5-E10-E31</f>
        <v>153896.63666666765</v>
      </c>
    </row>
    <row r="50" spans="1:8" s="867" customFormat="1" x14ac:dyDescent="0.25">
      <c r="A50" s="866"/>
      <c r="B50" s="881"/>
      <c r="C50" s="881"/>
      <c r="D50" s="882"/>
      <c r="E50" s="882"/>
    </row>
    <row r="51" spans="1:8" s="870" customFormat="1" x14ac:dyDescent="0.25">
      <c r="A51" s="868"/>
      <c r="B51" s="868"/>
      <c r="C51" s="868"/>
      <c r="D51" s="869"/>
      <c r="E51" s="869"/>
      <c r="F51" s="869"/>
      <c r="G51" s="869"/>
      <c r="H51" s="869"/>
    </row>
    <row r="52" spans="1:8" x14ac:dyDescent="0.25">
      <c r="D52" s="864"/>
      <c r="E52" s="864"/>
    </row>
    <row r="53" spans="1:8" x14ac:dyDescent="0.25">
      <c r="D53" s="864"/>
      <c r="E53" s="864"/>
    </row>
    <row r="54" spans="1:8" ht="60" x14ac:dyDescent="0.25">
      <c r="G54" s="892" t="s">
        <v>711</v>
      </c>
    </row>
    <row r="56" spans="1:8" x14ac:dyDescent="0.25">
      <c r="G56" s="871" t="s">
        <v>712</v>
      </c>
    </row>
    <row r="57" spans="1:8" x14ac:dyDescent="0.25">
      <c r="G57" s="871" t="s">
        <v>713</v>
      </c>
    </row>
    <row r="58" spans="1:8" x14ac:dyDescent="0.25">
      <c r="G58" s="871" t="s">
        <v>714</v>
      </c>
    </row>
  </sheetData>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42"/>
  <sheetViews>
    <sheetView workbookViewId="0">
      <selection activeCell="H26" sqref="H26"/>
    </sheetView>
  </sheetViews>
  <sheetFormatPr defaultColWidth="9.140625" defaultRowHeight="12" x14ac:dyDescent="0.2"/>
  <cols>
    <col min="1" max="1" width="9.140625" style="487"/>
    <col min="2" max="2" width="57.85546875" style="487" customWidth="1"/>
    <col min="3" max="3" width="16.85546875" style="487" bestFit="1" customWidth="1"/>
    <col min="4" max="4" width="36" style="499" bestFit="1" customWidth="1"/>
    <col min="5" max="5" width="11.7109375" style="487" bestFit="1" customWidth="1"/>
    <col min="6" max="8" width="9.140625" style="487"/>
    <col min="9" max="9" width="38.140625" style="487" customWidth="1"/>
    <col min="10" max="10" width="18.7109375" style="487" customWidth="1"/>
    <col min="11" max="16384" width="9.140625" style="487"/>
  </cols>
  <sheetData>
    <row r="1" spans="2:4" x14ac:dyDescent="0.2">
      <c r="D1" s="487"/>
    </row>
    <row r="2" spans="2:4" ht="12.75" x14ac:dyDescent="0.25">
      <c r="B2" s="896"/>
      <c r="C2" s="897" t="s">
        <v>193</v>
      </c>
      <c r="D2" s="487"/>
    </row>
    <row r="3" spans="2:4" s="492" customFormat="1" ht="12.75" x14ac:dyDescent="0.25">
      <c r="B3" s="898" t="s">
        <v>2</v>
      </c>
      <c r="C3" s="899">
        <f>SUM(C4:C5)</f>
        <v>600527.05000000005</v>
      </c>
    </row>
    <row r="4" spans="2:4" s="492" customFormat="1" ht="12.75" x14ac:dyDescent="0.25">
      <c r="B4" s="900" t="str">
        <f>+'Analiza '!B8</f>
        <v>Automjet Daimler Chrysler</v>
      </c>
      <c r="C4" s="901">
        <f>+'Analiza '!P8</f>
        <v>677503.75</v>
      </c>
    </row>
    <row r="5" spans="2:4" ht="12.75" x14ac:dyDescent="0.25">
      <c r="B5" s="902" t="s">
        <v>0</v>
      </c>
      <c r="C5" s="901">
        <v>-76976.7</v>
      </c>
      <c r="D5" s="487"/>
    </row>
    <row r="6" spans="2:4" ht="12.75" x14ac:dyDescent="0.25">
      <c r="B6" s="898" t="s">
        <v>1</v>
      </c>
      <c r="C6" s="903">
        <f>SUM(C7:C8)</f>
        <v>-170238.215</v>
      </c>
      <c r="D6" s="487"/>
    </row>
    <row r="7" spans="2:4" ht="12.75" x14ac:dyDescent="0.25">
      <c r="B7" s="904" t="s">
        <v>143</v>
      </c>
      <c r="C7" s="899"/>
      <c r="D7" s="487"/>
    </row>
    <row r="8" spans="2:4" x14ac:dyDescent="0.2">
      <c r="B8" s="904" t="s">
        <v>411</v>
      </c>
      <c r="C8" s="905">
        <f>-(346+345+345+346)*KK!R4</f>
        <v>-170238.215</v>
      </c>
      <c r="D8" s="487"/>
    </row>
    <row r="9" spans="2:4" ht="12.75" x14ac:dyDescent="0.25">
      <c r="B9" s="898" t="s">
        <v>3</v>
      </c>
      <c r="C9" s="899">
        <f>+C3-C6</f>
        <v>770765.26500000001</v>
      </c>
      <c r="D9" s="487"/>
    </row>
    <row r="10" spans="2:4" ht="12.75" x14ac:dyDescent="0.25">
      <c r="B10" s="898" t="s">
        <v>4</v>
      </c>
      <c r="C10" s="899">
        <f>SUM(C11:C13)</f>
        <v>1521868</v>
      </c>
      <c r="D10" s="487"/>
    </row>
    <row r="11" spans="2:4" s="494" customFormat="1" ht="12.75" x14ac:dyDescent="0.25">
      <c r="B11" s="904" t="s">
        <v>177</v>
      </c>
      <c r="C11" s="901">
        <f>+'Analiza '!P27/12*11</f>
        <v>829838.16666666663</v>
      </c>
    </row>
    <row r="12" spans="2:4" s="495" customFormat="1" ht="12.75" x14ac:dyDescent="0.25">
      <c r="B12" s="904" t="s">
        <v>178</v>
      </c>
      <c r="C12" s="901">
        <f>+'Analiza '!P28/12*11</f>
        <v>292029.83333333337</v>
      </c>
    </row>
    <row r="13" spans="2:4" s="495" customFormat="1" ht="12.75" x14ac:dyDescent="0.25">
      <c r="B13" s="904" t="s">
        <v>412</v>
      </c>
      <c r="C13" s="901">
        <f>+'Analiza '!P29</f>
        <v>400000</v>
      </c>
    </row>
    <row r="14" spans="2:4" s="492" customFormat="1" ht="12.75" x14ac:dyDescent="0.25">
      <c r="B14" s="898" t="s">
        <v>5</v>
      </c>
      <c r="C14" s="899">
        <f>SUM(C15:C16)</f>
        <v>504635.47499999998</v>
      </c>
    </row>
    <row r="15" spans="2:4" x14ac:dyDescent="0.2">
      <c r="B15" s="904" t="s">
        <v>98</v>
      </c>
      <c r="C15" s="901">
        <f>+'Analiza '!P34/12*11</f>
        <v>500940</v>
      </c>
      <c r="D15" s="487"/>
    </row>
    <row r="16" spans="2:4" x14ac:dyDescent="0.2">
      <c r="B16" s="904" t="s">
        <v>99</v>
      </c>
      <c r="C16" s="901">
        <v>3695.4750000000004</v>
      </c>
      <c r="D16" s="487"/>
    </row>
    <row r="17" spans="2:5" ht="12.75" x14ac:dyDescent="0.25">
      <c r="B17" s="898" t="s">
        <v>6</v>
      </c>
      <c r="C17" s="899">
        <f>+C10-C9-C14</f>
        <v>246467.26</v>
      </c>
      <c r="D17" s="487"/>
    </row>
    <row r="18" spans="2:5" x14ac:dyDescent="0.2">
      <c r="D18" s="496"/>
      <c r="E18" s="496"/>
    </row>
    <row r="19" spans="2:5" x14ac:dyDescent="0.2">
      <c r="D19" s="496"/>
    </row>
    <row r="20" spans="2:5" x14ac:dyDescent="0.2">
      <c r="D20" s="487"/>
    </row>
    <row r="21" spans="2:5" x14ac:dyDescent="0.2">
      <c r="D21" s="487"/>
    </row>
    <row r="22" spans="2:5" x14ac:dyDescent="0.2">
      <c r="D22" s="487"/>
    </row>
    <row r="23" spans="2:5" x14ac:dyDescent="0.2">
      <c r="B23" s="497"/>
      <c r="D23" s="487"/>
    </row>
    <row r="24" spans="2:5" s="492" customFormat="1" ht="12.75" x14ac:dyDescent="0.25">
      <c r="D24" s="498"/>
      <c r="E24" s="487"/>
    </row>
    <row r="25" spans="2:5" ht="12.75" x14ac:dyDescent="0.25">
      <c r="B25" s="492"/>
      <c r="C25" s="492"/>
      <c r="D25" s="492"/>
    </row>
    <row r="26" spans="2:5" s="492" customFormat="1" ht="12.75" x14ac:dyDescent="0.25">
      <c r="B26" s="487"/>
      <c r="C26" s="487"/>
      <c r="D26" s="497"/>
      <c r="E26" s="487"/>
    </row>
    <row r="27" spans="2:5" x14ac:dyDescent="0.2">
      <c r="D27" s="497"/>
    </row>
    <row r="28" spans="2:5" x14ac:dyDescent="0.2">
      <c r="D28" s="487"/>
    </row>
    <row r="29" spans="2:5" x14ac:dyDescent="0.2">
      <c r="D29" s="487"/>
    </row>
    <row r="30" spans="2:5" x14ac:dyDescent="0.2">
      <c r="D30" s="487"/>
    </row>
    <row r="31" spans="2:5" x14ac:dyDescent="0.2">
      <c r="D31" s="487"/>
    </row>
    <row r="32" spans="2:5" x14ac:dyDescent="0.2">
      <c r="D32" s="487"/>
    </row>
    <row r="33" spans="4:5" s="492" customFormat="1" ht="12.75" x14ac:dyDescent="0.25">
      <c r="E33" s="487"/>
    </row>
    <row r="34" spans="4:5" x14ac:dyDescent="0.2">
      <c r="D34" s="487"/>
    </row>
    <row r="35" spans="4:5" x14ac:dyDescent="0.2">
      <c r="D35" s="487"/>
    </row>
    <row r="36" spans="4:5" x14ac:dyDescent="0.2">
      <c r="D36" s="487"/>
    </row>
    <row r="37" spans="4:5" x14ac:dyDescent="0.2">
      <c r="D37" s="487"/>
    </row>
    <row r="38" spans="4:5" x14ac:dyDescent="0.2">
      <c r="D38" s="487"/>
    </row>
    <row r="39" spans="4:5" x14ac:dyDescent="0.2">
      <c r="D39" s="487"/>
    </row>
    <row r="40" spans="4:5" x14ac:dyDescent="0.2">
      <c r="D40" s="487"/>
    </row>
    <row r="41" spans="4:5" x14ac:dyDescent="0.2">
      <c r="D41" s="487"/>
    </row>
    <row r="42" spans="4:5" s="492" customFormat="1" ht="12.75" x14ac:dyDescent="0.25">
      <c r="E42" s="487"/>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N24"/>
  <sheetViews>
    <sheetView topLeftCell="C1" zoomScale="70" zoomScaleNormal="70" workbookViewId="0">
      <selection activeCell="F22" sqref="F22"/>
    </sheetView>
  </sheetViews>
  <sheetFormatPr defaultColWidth="9.140625" defaultRowHeight="15.75" x14ac:dyDescent="0.25"/>
  <cols>
    <col min="1" max="1" width="9.140625" style="504"/>
    <col min="2" max="2" width="44.42578125" style="525" customWidth="1"/>
    <col min="3" max="3" width="30.7109375" style="525" bestFit="1" customWidth="1"/>
    <col min="4" max="4" width="24.5703125" style="504" bestFit="1" customWidth="1"/>
    <col min="5" max="5" width="28.85546875" style="504" customWidth="1"/>
    <col min="6" max="6" width="33.5703125" style="504" bestFit="1" customWidth="1"/>
    <col min="7" max="7" width="17.140625" style="504" customWidth="1"/>
    <col min="8" max="8" width="29.42578125" style="504" customWidth="1"/>
    <col min="9" max="9" width="33" style="504" customWidth="1"/>
    <col min="10" max="10" width="15" style="504" bestFit="1" customWidth="1"/>
    <col min="11" max="11" width="18.7109375" style="504" customWidth="1"/>
    <col min="12" max="12" width="19.7109375" style="504" customWidth="1"/>
    <col min="13" max="13" width="24.7109375" style="504" customWidth="1"/>
    <col min="14" max="14" width="34" style="504" customWidth="1"/>
    <col min="15" max="15" width="28.28515625" style="504" customWidth="1"/>
    <col min="16" max="16" width="9.140625" style="504"/>
    <col min="17" max="17" width="43.28515625" style="504" bestFit="1" customWidth="1"/>
    <col min="18" max="18" width="14" style="504" bestFit="1" customWidth="1"/>
    <col min="19" max="16384" width="9.140625" style="504"/>
  </cols>
  <sheetData>
    <row r="2" spans="2:14" ht="16.5" x14ac:dyDescent="0.3">
      <c r="B2" s="502" t="s">
        <v>408</v>
      </c>
      <c r="C2" s="503" t="s">
        <v>476</v>
      </c>
      <c r="E2" s="502"/>
      <c r="F2" s="505" t="s">
        <v>474</v>
      </c>
      <c r="H2" s="502" t="s">
        <v>408</v>
      </c>
      <c r="I2" s="502" t="s">
        <v>475</v>
      </c>
      <c r="K2" s="917" t="s">
        <v>408</v>
      </c>
      <c r="L2" s="506" t="s">
        <v>185</v>
      </c>
      <c r="M2" s="506" t="s">
        <v>472</v>
      </c>
      <c r="N2" s="507" t="s">
        <v>473</v>
      </c>
    </row>
    <row r="3" spans="2:14" ht="16.5" x14ac:dyDescent="0.3">
      <c r="B3" s="502"/>
      <c r="C3" s="503">
        <v>45968</v>
      </c>
      <c r="E3" s="502" t="s">
        <v>408</v>
      </c>
      <c r="F3" s="503">
        <v>5000</v>
      </c>
      <c r="H3" s="502"/>
      <c r="I3" s="503">
        <v>285</v>
      </c>
      <c r="K3" s="918"/>
      <c r="L3" s="508">
        <v>24400</v>
      </c>
      <c r="M3" s="508">
        <v>230</v>
      </c>
      <c r="N3" s="509">
        <v>5000</v>
      </c>
    </row>
    <row r="4" spans="2:14" ht="16.5" x14ac:dyDescent="0.3">
      <c r="B4" s="502"/>
      <c r="C4" s="505" t="s">
        <v>183</v>
      </c>
      <c r="E4" s="502"/>
      <c r="F4" s="505" t="s">
        <v>184</v>
      </c>
      <c r="H4" s="502"/>
      <c r="I4" s="510" t="s">
        <v>186</v>
      </c>
      <c r="K4" s="918"/>
      <c r="L4" s="511" t="s">
        <v>414</v>
      </c>
      <c r="M4" s="511" t="s">
        <v>413</v>
      </c>
      <c r="N4" s="512" t="s">
        <v>415</v>
      </c>
    </row>
    <row r="5" spans="2:14" ht="66" x14ac:dyDescent="0.3">
      <c r="B5" s="502" t="s">
        <v>2</v>
      </c>
      <c r="C5" s="513">
        <f>SUM(C6:C7)</f>
        <v>12134283.184999999</v>
      </c>
      <c r="E5" s="502" t="s">
        <v>2</v>
      </c>
      <c r="F5" s="513">
        <f>SUM(F6:F6)</f>
        <v>-270515.11</v>
      </c>
      <c r="H5" s="502" t="s">
        <v>2</v>
      </c>
      <c r="I5" s="513">
        <f>SUM(I6:I6)</f>
        <v>51878.07</v>
      </c>
      <c r="K5" s="919"/>
      <c r="L5" s="514" t="s">
        <v>477</v>
      </c>
      <c r="M5" s="514" t="s">
        <v>478</v>
      </c>
      <c r="N5" s="515" t="s">
        <v>479</v>
      </c>
    </row>
    <row r="6" spans="2:14" ht="33" x14ac:dyDescent="0.3">
      <c r="B6" s="516" t="s">
        <v>141</v>
      </c>
      <c r="C6" s="517">
        <v>11681396.475</v>
      </c>
      <c r="E6" s="518" t="s">
        <v>0</v>
      </c>
      <c r="F6" s="519">
        <v>-270515.11</v>
      </c>
      <c r="H6" s="518" t="s">
        <v>0</v>
      </c>
      <c r="I6" s="519">
        <v>51878.07</v>
      </c>
      <c r="K6" s="526" t="s">
        <v>2</v>
      </c>
      <c r="L6" s="548">
        <f>SUM(L7)</f>
        <v>-112009.59999999998</v>
      </c>
      <c r="M6" s="548">
        <f>SUM(M7)</f>
        <v>-638532.69000000006</v>
      </c>
      <c r="N6" s="548">
        <f>SUM(N7)</f>
        <v>-943326.58</v>
      </c>
    </row>
    <row r="7" spans="2:14" ht="33" x14ac:dyDescent="0.3">
      <c r="B7" s="520" t="s">
        <v>0</v>
      </c>
      <c r="C7" s="521">
        <v>452886.70999999996</v>
      </c>
      <c r="E7" s="502" t="s">
        <v>1</v>
      </c>
      <c r="F7" s="513">
        <f>SUM(F8:F9)</f>
        <v>-1344106.4</v>
      </c>
      <c r="H7" s="502" t="s">
        <v>1</v>
      </c>
      <c r="I7" s="513">
        <f>SUM(I8:I11)</f>
        <v>-14599.690000000002</v>
      </c>
      <c r="K7" s="520" t="s">
        <v>0</v>
      </c>
      <c r="L7" s="521">
        <v>-112009.59999999998</v>
      </c>
      <c r="M7" s="522">
        <f>562761.91-L23</f>
        <v>-638532.69000000006</v>
      </c>
      <c r="N7" s="522">
        <v>-943326.58</v>
      </c>
    </row>
    <row r="8" spans="2:14" ht="48" x14ac:dyDescent="0.3">
      <c r="B8" s="502" t="s">
        <v>1</v>
      </c>
      <c r="C8" s="513">
        <f>SUM(C9:C12)</f>
        <v>11472478.954999998</v>
      </c>
      <c r="E8" s="516" t="s">
        <v>411</v>
      </c>
      <c r="F8" s="517">
        <f>-(165+165+165+165+162+165+165+3090+198+180)*KK!V4</f>
        <v>-645506.4</v>
      </c>
      <c r="H8" s="516" t="s">
        <v>411</v>
      </c>
      <c r="I8" s="517">
        <f>-(165+165+165+165+162)*KK!V4</f>
        <v>-114849.84</v>
      </c>
      <c r="K8" s="526" t="s">
        <v>1</v>
      </c>
      <c r="L8" s="528">
        <f>+L9</f>
        <v>-3358660</v>
      </c>
      <c r="M8" s="528">
        <f>+M9</f>
        <v>-31659.5</v>
      </c>
      <c r="N8" s="528">
        <f>+N9</f>
        <v>-688250</v>
      </c>
    </row>
    <row r="9" spans="2:14" ht="47.25" x14ac:dyDescent="0.25">
      <c r="B9" s="516" t="s">
        <v>143</v>
      </c>
      <c r="C9" s="517">
        <f>+'Analiza '!P15</f>
        <v>5666395</v>
      </c>
      <c r="E9" s="516" t="s">
        <v>200</v>
      </c>
      <c r="F9" s="517">
        <f>-5000*KK!V4</f>
        <v>-698600</v>
      </c>
      <c r="H9" s="516" t="s">
        <v>200</v>
      </c>
      <c r="I9" s="522">
        <f>+'Analiza '!U18</f>
        <v>-39959.850000000006</v>
      </c>
      <c r="K9" s="516" t="s">
        <v>200</v>
      </c>
      <c r="L9" s="517">
        <v>-3358660</v>
      </c>
      <c r="M9" s="485">
        <v>-31659.5</v>
      </c>
      <c r="N9" s="485">
        <v>-688250</v>
      </c>
    </row>
    <row r="10" spans="2:14" ht="32.25" x14ac:dyDescent="0.3">
      <c r="B10" s="516" t="s">
        <v>411</v>
      </c>
      <c r="C10" s="517">
        <v>-212859.36000000002</v>
      </c>
      <c r="E10" s="502" t="s">
        <v>3</v>
      </c>
      <c r="F10" s="513">
        <f>+F5-F7</f>
        <v>1073591.29</v>
      </c>
      <c r="H10" s="516" t="s">
        <v>407</v>
      </c>
      <c r="I10" s="517">
        <f>1000*KK!W4</f>
        <v>140210</v>
      </c>
      <c r="K10" s="526" t="s">
        <v>3</v>
      </c>
      <c r="L10" s="528">
        <f>+L6-L8</f>
        <v>3246650.4</v>
      </c>
      <c r="M10" s="528">
        <f>+M6-M8</f>
        <v>-606873.19000000006</v>
      </c>
      <c r="N10" s="528">
        <f>+N6-N8</f>
        <v>-255076.57999999996</v>
      </c>
    </row>
    <row r="11" spans="2:14" ht="32.25" x14ac:dyDescent="0.3">
      <c r="B11" s="516" t="s">
        <v>406</v>
      </c>
      <c r="C11" s="517">
        <f>+'Analiza '!P17</f>
        <v>11681396.475</v>
      </c>
      <c r="E11" s="502" t="s">
        <v>4</v>
      </c>
      <c r="F11" s="513">
        <f>SUM(F12:F13)</f>
        <v>1307280.8333333333</v>
      </c>
      <c r="H11" s="484" t="str">
        <f>+'Analiza '!B19</f>
        <v>Hua nga babai 4000 Euro 2013</v>
      </c>
      <c r="I11" s="517">
        <v>0</v>
      </c>
      <c r="K11" s="526" t="s">
        <v>4</v>
      </c>
      <c r="L11" s="528">
        <f>SUM(L12:L14)</f>
        <v>5099553.5</v>
      </c>
      <c r="M11" s="528">
        <f>SUM(M12:M14)</f>
        <v>808377.91666666674</v>
      </c>
      <c r="N11" s="528">
        <f>SUM(N12:N14)</f>
        <v>161675.58333333334</v>
      </c>
    </row>
    <row r="12" spans="2:14" ht="32.25" x14ac:dyDescent="0.3">
      <c r="B12" s="516" t="s">
        <v>200</v>
      </c>
      <c r="C12" s="517">
        <f>+'Analiza '!P18</f>
        <v>-5662453.1600000001</v>
      </c>
      <c r="E12" s="516" t="s">
        <v>177</v>
      </c>
      <c r="F12" s="517">
        <f>983776/12*10</f>
        <v>819813.33333333326</v>
      </c>
      <c r="H12" s="502" t="s">
        <v>3</v>
      </c>
      <c r="I12" s="513">
        <f>+I5-I7</f>
        <v>66477.760000000009</v>
      </c>
      <c r="K12" s="516" t="s">
        <v>177</v>
      </c>
      <c r="L12" s="517">
        <v>561746.5</v>
      </c>
      <c r="M12" s="485">
        <v>468122.08333333337</v>
      </c>
      <c r="N12" s="485">
        <v>93624.416666666672</v>
      </c>
    </row>
    <row r="13" spans="2:14" ht="48" x14ac:dyDescent="0.3">
      <c r="B13" s="502" t="s">
        <v>3</v>
      </c>
      <c r="C13" s="513">
        <f>+C5-C8</f>
        <v>661804.23000000045</v>
      </c>
      <c r="E13" s="516" t="s">
        <v>178</v>
      </c>
      <c r="F13" s="517">
        <f>584961/12*10</f>
        <v>487467.5</v>
      </c>
      <c r="H13" s="502" t="s">
        <v>4</v>
      </c>
      <c r="I13" s="513">
        <f>SUM(I14:I15)</f>
        <v>631071.66666666663</v>
      </c>
      <c r="K13" s="516" t="s">
        <v>178</v>
      </c>
      <c r="L13" s="517">
        <v>408307</v>
      </c>
      <c r="M13" s="485">
        <v>340255.83333333337</v>
      </c>
      <c r="N13" s="485">
        <v>68051.166666666672</v>
      </c>
    </row>
    <row r="14" spans="2:14" ht="63.75" x14ac:dyDescent="0.3">
      <c r="B14" s="502" t="s">
        <v>4</v>
      </c>
      <c r="C14" s="513">
        <f>SUM(C15:C16)</f>
        <v>815904</v>
      </c>
      <c r="E14" s="502" t="s">
        <v>5</v>
      </c>
      <c r="F14" s="513">
        <f>SUM(F15:F15)</f>
        <v>465160</v>
      </c>
      <c r="H14" s="516" t="s">
        <v>177</v>
      </c>
      <c r="I14" s="517">
        <f>917794/12*5</f>
        <v>382414.16666666663</v>
      </c>
      <c r="K14" s="516" t="s">
        <v>203</v>
      </c>
      <c r="L14" s="517">
        <v>4129500</v>
      </c>
      <c r="M14" s="505">
        <v>0</v>
      </c>
      <c r="N14" s="505"/>
    </row>
    <row r="15" spans="2:14" ht="48" x14ac:dyDescent="0.3">
      <c r="B15" s="516" t="s">
        <v>177</v>
      </c>
      <c r="C15" s="517">
        <f>+'Analiza '!P27/12*8</f>
        <v>603518.66666666663</v>
      </c>
      <c r="E15" s="516" t="s">
        <v>98</v>
      </c>
      <c r="F15" s="517">
        <f>558192/12*10</f>
        <v>465160</v>
      </c>
      <c r="H15" s="516" t="s">
        <v>178</v>
      </c>
      <c r="I15" s="517">
        <f>596778/12*5</f>
        <v>248657.5</v>
      </c>
      <c r="K15" s="526" t="s">
        <v>5</v>
      </c>
      <c r="L15" s="528">
        <f>SUM(L16:L22)</f>
        <v>651608.5</v>
      </c>
      <c r="M15" s="528">
        <f>SUM(M16:M22)</f>
        <v>858124.33333333337</v>
      </c>
      <c r="N15" s="528">
        <f>SUM(N16:N22)</f>
        <v>286349</v>
      </c>
    </row>
    <row r="16" spans="2:14" ht="33" x14ac:dyDescent="0.3">
      <c r="B16" s="516" t="s">
        <v>178</v>
      </c>
      <c r="C16" s="517">
        <f>+'Analiza '!P28/12*8</f>
        <v>212385.33333333334</v>
      </c>
      <c r="E16" s="526" t="s">
        <v>6</v>
      </c>
      <c r="F16" s="527">
        <f>+F11-F10-F14</f>
        <v>-231470.45666666678</v>
      </c>
      <c r="H16" s="502" t="s">
        <v>5</v>
      </c>
      <c r="I16" s="513">
        <f>SUM(I17:I19)</f>
        <v>723531.64</v>
      </c>
      <c r="K16" s="516" t="s">
        <v>98</v>
      </c>
      <c r="L16" s="517">
        <v>448552</v>
      </c>
      <c r="M16" s="485">
        <v>373793.33333333337</v>
      </c>
      <c r="N16" s="485">
        <v>74758.666666666672</v>
      </c>
    </row>
    <row r="17" spans="2:14" ht="16.5" x14ac:dyDescent="0.3">
      <c r="B17" s="502" t="s">
        <v>5</v>
      </c>
      <c r="C17" s="513">
        <f>SUM(C18:C19)</f>
        <v>322475.47499999998</v>
      </c>
      <c r="H17" s="516" t="s">
        <v>98</v>
      </c>
      <c r="I17" s="517">
        <f>564096/12*5</f>
        <v>235040</v>
      </c>
      <c r="K17" s="516" t="s">
        <v>99</v>
      </c>
      <c r="L17" s="517">
        <v>37165.5</v>
      </c>
      <c r="M17" s="485">
        <v>0</v>
      </c>
      <c r="N17" s="523">
        <v>0</v>
      </c>
    </row>
    <row r="18" spans="2:14" ht="111" x14ac:dyDescent="0.3">
      <c r="B18" s="516" t="s">
        <v>98</v>
      </c>
      <c r="C18" s="517">
        <f>+'Analiza '!P34/12*7</f>
        <v>318780</v>
      </c>
      <c r="H18" s="516" t="s">
        <v>99</v>
      </c>
      <c r="I18" s="517">
        <v>392588</v>
      </c>
      <c r="K18" s="516" t="s">
        <v>416</v>
      </c>
      <c r="L18" s="517"/>
      <c r="M18" s="485">
        <v>410000</v>
      </c>
      <c r="N18" s="505">
        <v>0</v>
      </c>
    </row>
    <row r="19" spans="2:14" ht="78.75" x14ac:dyDescent="0.25">
      <c r="B19" s="516" t="s">
        <v>99</v>
      </c>
      <c r="C19" s="517">
        <v>3695.4750000000004</v>
      </c>
      <c r="H19" s="516" t="s">
        <v>211</v>
      </c>
      <c r="I19" s="517">
        <f>+'Analiza '!U39</f>
        <v>95903.64</v>
      </c>
      <c r="K19" s="516" t="s">
        <v>209</v>
      </c>
      <c r="L19" s="517">
        <v>1229</v>
      </c>
      <c r="M19" s="524">
        <v>0</v>
      </c>
      <c r="N19" s="524"/>
    </row>
    <row r="20" spans="2:14" ht="63.75" x14ac:dyDescent="0.3">
      <c r="B20" s="526" t="s">
        <v>6</v>
      </c>
      <c r="C20" s="527">
        <f>+C14-C17-C13</f>
        <v>-168375.70500000042</v>
      </c>
      <c r="D20" s="483"/>
      <c r="H20" s="526" t="s">
        <v>6</v>
      </c>
      <c r="I20" s="527">
        <f>+I13-I12-I16</f>
        <v>-158937.7333333334</v>
      </c>
      <c r="K20" s="516" t="s">
        <v>210</v>
      </c>
      <c r="L20" s="517">
        <v>16000</v>
      </c>
      <c r="M20" s="524"/>
      <c r="N20" s="524"/>
    </row>
    <row r="21" spans="2:14" ht="94.5" x14ac:dyDescent="0.25">
      <c r="C21" s="504"/>
      <c r="D21" s="483"/>
      <c r="K21" s="516" t="s">
        <v>211</v>
      </c>
      <c r="L21" s="331">
        <v>148662</v>
      </c>
      <c r="M21" s="485">
        <v>74331</v>
      </c>
      <c r="N21" s="485">
        <v>24777</v>
      </c>
    </row>
    <row r="22" spans="2:14" ht="31.5" x14ac:dyDescent="0.25">
      <c r="C22" s="504"/>
      <c r="K22" s="484" t="s">
        <v>212</v>
      </c>
      <c r="L22" s="331"/>
      <c r="M22" s="485"/>
      <c r="N22" s="485">
        <v>186813.33333333334</v>
      </c>
    </row>
    <row r="23" spans="2:14" ht="33" x14ac:dyDescent="0.3">
      <c r="C23" s="504"/>
      <c r="K23" s="526" t="s">
        <v>6</v>
      </c>
      <c r="L23" s="528">
        <f>+L11-L10-L15</f>
        <v>1201294.6000000001</v>
      </c>
      <c r="M23" s="528">
        <f>+M11-M10-M15</f>
        <v>557126.77333333355</v>
      </c>
      <c r="N23" s="528">
        <f>+N11-N10-N15</f>
        <v>130403.16333333333</v>
      </c>
    </row>
    <row r="24" spans="2:14" x14ac:dyDescent="0.25">
      <c r="C24" s="504"/>
    </row>
  </sheetData>
  <mergeCells count="1">
    <mergeCell ref="K2:K5"/>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G23"/>
  <sheetViews>
    <sheetView workbookViewId="0">
      <selection activeCell="L39" sqref="L39"/>
    </sheetView>
  </sheetViews>
  <sheetFormatPr defaultColWidth="9.140625" defaultRowHeight="12" x14ac:dyDescent="0.2"/>
  <cols>
    <col min="1" max="1" width="9.140625" style="487"/>
    <col min="2" max="2" width="61.140625" style="487" customWidth="1"/>
    <col min="3" max="3" width="14.140625" style="487" bestFit="1" customWidth="1"/>
    <col min="4" max="4" width="27.42578125" style="487" bestFit="1" customWidth="1"/>
    <col min="5" max="5" width="14" style="487" bestFit="1" customWidth="1"/>
    <col min="6" max="6" width="11.140625" style="487" bestFit="1" customWidth="1"/>
    <col min="7" max="16384" width="9.140625" style="487"/>
  </cols>
  <sheetData>
    <row r="1" spans="2:7" ht="12.75" x14ac:dyDescent="0.25">
      <c r="B1" s="549"/>
      <c r="C1" s="550"/>
      <c r="D1" s="551"/>
      <c r="E1" s="551"/>
      <c r="F1" s="551"/>
    </row>
    <row r="2" spans="2:7" ht="12.75" x14ac:dyDescent="0.25">
      <c r="B2" s="906"/>
      <c r="C2" s="897" t="s">
        <v>189</v>
      </c>
      <c r="D2" s="551"/>
      <c r="E2" s="551"/>
      <c r="F2" s="551"/>
      <c r="G2" s="551"/>
    </row>
    <row r="3" spans="2:7" ht="12.75" x14ac:dyDescent="0.25">
      <c r="B3" s="907" t="str">
        <f>+'Analiza '!B4</f>
        <v>Pasuria</v>
      </c>
      <c r="C3" s="908">
        <f>SUM(C4:C5)</f>
        <v>1164373.07</v>
      </c>
      <c r="D3" s="551"/>
      <c r="E3" s="553"/>
      <c r="F3" s="554"/>
      <c r="G3" s="551"/>
    </row>
    <row r="4" spans="2:7" ht="12.75" x14ac:dyDescent="0.25">
      <c r="B4" s="909" t="str">
        <f>+'Analiza '!B9</f>
        <v xml:space="preserve">Garazhd me sip 45 m2 </v>
      </c>
      <c r="C4" s="910">
        <f>11000*KK!W4</f>
        <v>1542310</v>
      </c>
      <c r="D4" s="551"/>
      <c r="E4" s="554"/>
      <c r="F4" s="554"/>
      <c r="G4" s="551"/>
    </row>
    <row r="5" spans="2:7" s="556" customFormat="1" ht="12.75" x14ac:dyDescent="0.25">
      <c r="B5" s="911" t="str">
        <f>+'Analiza '!B11</f>
        <v xml:space="preserve">Ndryshim likujditeti </v>
      </c>
      <c r="C5" s="912">
        <v>-377936.93</v>
      </c>
      <c r="E5" s="554"/>
      <c r="F5" s="554"/>
      <c r="G5" s="551"/>
    </row>
    <row r="6" spans="2:7" s="492" customFormat="1" ht="12.75" x14ac:dyDescent="0.25">
      <c r="B6" s="907" t="str">
        <f>+'Analiza '!B14</f>
        <v xml:space="preserve">Detyrime </v>
      </c>
      <c r="C6" s="908">
        <f>SUM(C7:C11)</f>
        <v>2623.8400000000838</v>
      </c>
      <c r="D6" s="494"/>
      <c r="E6" s="554"/>
      <c r="F6" s="554"/>
      <c r="G6" s="556"/>
    </row>
    <row r="7" spans="2:7" ht="12.75" x14ac:dyDescent="0.25">
      <c r="B7" s="909" t="str">
        <f>+'Analiza '!B16</f>
        <v xml:space="preserve">Shlyerje e kredise ne NBG  46,000 Euro </v>
      </c>
      <c r="C7" s="910">
        <f>-(140+138+138+140+140)*KK!W4</f>
        <v>-97586.16</v>
      </c>
      <c r="D7" s="551"/>
      <c r="E7" s="554"/>
      <c r="F7" s="553"/>
      <c r="G7" s="494"/>
    </row>
    <row r="8" spans="2:7" ht="12.75" x14ac:dyDescent="0.25">
      <c r="B8" s="909" t="str">
        <f>+'Analiza '!B18</f>
        <v xml:space="preserve">Shlyerje detyrim ndaj KDK </v>
      </c>
      <c r="C8" s="910">
        <v>-40000</v>
      </c>
      <c r="D8" s="551"/>
      <c r="E8" s="551"/>
      <c r="F8" s="551"/>
      <c r="G8" s="551"/>
    </row>
    <row r="9" spans="2:7" ht="12.75" x14ac:dyDescent="0.25">
      <c r="B9" s="909" t="str">
        <f>+'Analiza '!B19</f>
        <v>Hua nga babai 4000 Euro 2013</v>
      </c>
      <c r="C9" s="904"/>
      <c r="E9" s="551"/>
      <c r="F9" s="551"/>
      <c r="G9" s="551"/>
    </row>
    <row r="10" spans="2:7" x14ac:dyDescent="0.2">
      <c r="B10" s="909" t="str">
        <f>+'Analiza '!B22</f>
        <v xml:space="preserve">Detyrim per garazhdin </v>
      </c>
      <c r="C10" s="910">
        <v>1542310</v>
      </c>
    </row>
    <row r="11" spans="2:7" x14ac:dyDescent="0.2">
      <c r="B11" s="909" t="str">
        <f>+'Analiza '!B23</f>
        <v xml:space="preserve">Shlyerje detyrim per garazhdin </v>
      </c>
      <c r="C11" s="910">
        <v>-1402100</v>
      </c>
    </row>
    <row r="12" spans="2:7" ht="12.75" x14ac:dyDescent="0.25">
      <c r="B12" s="907" t="str">
        <f>+'Analiza '!B24</f>
        <v xml:space="preserve">Pasuria Neto </v>
      </c>
      <c r="C12" s="908">
        <f>+C3-C6</f>
        <v>1161749.23</v>
      </c>
    </row>
    <row r="13" spans="2:7" ht="12.75" x14ac:dyDescent="0.25">
      <c r="B13" s="907" t="str">
        <f>+'Analiza '!B26</f>
        <v xml:space="preserve">Te ardhura </v>
      </c>
      <c r="C13" s="908">
        <f>SUM(C14:C15)</f>
        <v>504857.33333333331</v>
      </c>
    </row>
    <row r="14" spans="2:7" s="492" customFormat="1" ht="12.75" x14ac:dyDescent="0.25">
      <c r="B14" s="909" t="str">
        <f>+'Analiza '!B27</f>
        <v xml:space="preserve">Te ardhurat e subjektit </v>
      </c>
      <c r="C14" s="910">
        <f>917794/12*4</f>
        <v>305931.33333333331</v>
      </c>
    </row>
    <row r="15" spans="2:7" s="492" customFormat="1" ht="13.5" customHeight="1" x14ac:dyDescent="0.25">
      <c r="B15" s="909" t="str">
        <f>+'Analiza '!B28</f>
        <v xml:space="preserve">Te ardhurat e Bshortes se Subjektit </v>
      </c>
      <c r="C15" s="910">
        <f>596778/12*4</f>
        <v>198926</v>
      </c>
    </row>
    <row r="16" spans="2:7" ht="12.75" x14ac:dyDescent="0.25">
      <c r="B16" s="907" t="str">
        <f>+'Analiza '!B33</f>
        <v xml:space="preserve">Shpenzime </v>
      </c>
      <c r="C16" s="908">
        <f>SUM(C17:C20)</f>
        <v>261952.14</v>
      </c>
    </row>
    <row r="17" spans="2:4" x14ac:dyDescent="0.2">
      <c r="B17" s="909" t="str">
        <f>+'Analiza '!B34</f>
        <v xml:space="preserve">Shpenzime Jetike </v>
      </c>
      <c r="C17" s="910">
        <f>564096/12*3.5</f>
        <v>164528</v>
      </c>
    </row>
    <row r="18" spans="2:4" s="492" customFormat="1" ht="12.75" x14ac:dyDescent="0.25">
      <c r="B18" s="909" t="str">
        <f>+'Analiza '!B35</f>
        <v xml:space="preserve">TIMS </v>
      </c>
      <c r="C18" s="910"/>
    </row>
    <row r="19" spans="2:4" x14ac:dyDescent="0.2">
      <c r="B19" s="909" t="str">
        <f>+'Analiza '!B37</f>
        <v xml:space="preserve">Shpenzime per Taksat vendore te tokes bujqesore </v>
      </c>
      <c r="C19" s="910">
        <v>1520.5</v>
      </c>
    </row>
    <row r="20" spans="2:4" ht="13.5" customHeight="1" x14ac:dyDescent="0.2">
      <c r="B20" s="909" t="str">
        <f>+'Analiza '!B39</f>
        <v xml:space="preserve">Shpenzime per shkollimin e Ersa  Sharra Shkolla Faik Konica </v>
      </c>
      <c r="C20" s="910">
        <f>+'Analiza '!U39</f>
        <v>95903.64</v>
      </c>
    </row>
    <row r="21" spans="2:4" ht="12.75" x14ac:dyDescent="0.25">
      <c r="B21" s="907" t="str">
        <f>+'Analiza '!B42</f>
        <v xml:space="preserve">Mundesia per kursime </v>
      </c>
      <c r="C21" s="913">
        <f>+C13-C12-C16</f>
        <v>-918844.03666666674</v>
      </c>
      <c r="D21" s="496"/>
    </row>
    <row r="23" spans="2:4" s="492" customFormat="1" ht="12.75" x14ac:dyDescent="0.25">
      <c r="B23" s="487"/>
      <c r="C23" s="487"/>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65661-083F-4F2C-8B76-99BC67B01013}">
  <dimension ref="C4:I33"/>
  <sheetViews>
    <sheetView workbookViewId="0">
      <selection activeCell="L47" sqref="L47"/>
    </sheetView>
  </sheetViews>
  <sheetFormatPr defaultRowHeight="11.25" x14ac:dyDescent="0.2"/>
  <cols>
    <col min="1" max="3" width="9.140625" style="326"/>
    <col min="4" max="4" width="42.140625" style="326" bestFit="1" customWidth="1"/>
    <col min="5" max="5" width="11" style="326" bestFit="1" customWidth="1"/>
    <col min="6" max="6" width="13.140625" style="326" bestFit="1" customWidth="1"/>
    <col min="7" max="7" width="14.140625" style="326" bestFit="1" customWidth="1"/>
    <col min="8" max="8" width="11" style="326" bestFit="1" customWidth="1"/>
    <col min="9" max="16384" width="9.140625" style="326"/>
  </cols>
  <sheetData>
    <row r="4" spans="3:9" x14ac:dyDescent="0.2">
      <c r="C4" s="326" t="s">
        <v>502</v>
      </c>
      <c r="D4" s="326" t="s">
        <v>692</v>
      </c>
      <c r="E4" s="326" t="s">
        <v>716</v>
      </c>
      <c r="F4" s="328" t="s">
        <v>189</v>
      </c>
      <c r="G4" s="328" t="s">
        <v>189</v>
      </c>
      <c r="H4" s="326" t="s">
        <v>717</v>
      </c>
    </row>
    <row r="5" spans="3:9" x14ac:dyDescent="0.2">
      <c r="C5" s="326" t="s">
        <v>586</v>
      </c>
      <c r="D5" s="326" t="s">
        <v>586</v>
      </c>
      <c r="E5" s="326" t="s">
        <v>586</v>
      </c>
      <c r="F5" s="328" t="s">
        <v>718</v>
      </c>
      <c r="G5" s="328" t="s">
        <v>719</v>
      </c>
    </row>
    <row r="6" spans="3:9" x14ac:dyDescent="0.2">
      <c r="C6" s="326" t="s">
        <v>504</v>
      </c>
      <c r="D6" s="326" t="s">
        <v>720</v>
      </c>
      <c r="E6" s="328" t="s">
        <v>586</v>
      </c>
      <c r="F6" s="893">
        <f>SUM(F7:F8)</f>
        <v>504857</v>
      </c>
      <c r="G6" s="893">
        <f>SUM(G7:G8)</f>
        <v>438197</v>
      </c>
      <c r="H6" s="328"/>
      <c r="I6" s="328"/>
    </row>
    <row r="7" spans="3:9" x14ac:dyDescent="0.2">
      <c r="C7" s="326">
        <v>1</v>
      </c>
      <c r="D7" s="326" t="s">
        <v>693</v>
      </c>
      <c r="E7" s="631" t="s">
        <v>707</v>
      </c>
      <c r="F7" s="893">
        <v>305931</v>
      </c>
      <c r="G7" s="893">
        <v>302300</v>
      </c>
      <c r="H7" s="328" t="s">
        <v>721</v>
      </c>
      <c r="I7" s="328"/>
    </row>
    <row r="8" spans="3:9" x14ac:dyDescent="0.2">
      <c r="C8" s="326">
        <v>2</v>
      </c>
      <c r="D8" s="326" t="s">
        <v>694</v>
      </c>
      <c r="E8" s="631" t="s">
        <v>707</v>
      </c>
      <c r="F8" s="893">
        <v>198926</v>
      </c>
      <c r="G8" s="893">
        <v>135897</v>
      </c>
      <c r="H8" s="328" t="s">
        <v>721</v>
      </c>
      <c r="I8" s="328"/>
    </row>
    <row r="9" spans="3:9" x14ac:dyDescent="0.2">
      <c r="C9" s="326" t="s">
        <v>586</v>
      </c>
      <c r="D9" s="326" t="s">
        <v>586</v>
      </c>
      <c r="E9" s="631" t="s">
        <v>586</v>
      </c>
      <c r="F9" s="328" t="s">
        <v>586</v>
      </c>
      <c r="G9" s="328" t="s">
        <v>586</v>
      </c>
      <c r="H9" s="328"/>
      <c r="I9" s="328"/>
    </row>
    <row r="10" spans="3:9" x14ac:dyDescent="0.2">
      <c r="C10" s="326" t="s">
        <v>505</v>
      </c>
      <c r="D10" s="326" t="s">
        <v>510</v>
      </c>
      <c r="E10" s="631" t="s">
        <v>586</v>
      </c>
      <c r="F10" s="893">
        <f>SUM(F11:F15)</f>
        <v>261953</v>
      </c>
      <c r="G10" s="893">
        <f>SUM(G11:G15)</f>
        <v>310792</v>
      </c>
      <c r="H10" s="328"/>
      <c r="I10" s="328"/>
    </row>
    <row r="11" spans="3:9" x14ac:dyDescent="0.2">
      <c r="C11" s="326">
        <v>1</v>
      </c>
      <c r="D11" s="326" t="s">
        <v>516</v>
      </c>
      <c r="E11" s="631" t="s">
        <v>707</v>
      </c>
      <c r="F11" s="893">
        <v>164528</v>
      </c>
      <c r="G11" s="893">
        <v>164528</v>
      </c>
      <c r="H11" s="328"/>
      <c r="I11" s="328"/>
    </row>
    <row r="12" spans="3:9" x14ac:dyDescent="0.2">
      <c r="C12" s="326">
        <v>2</v>
      </c>
      <c r="D12" s="326" t="s">
        <v>722</v>
      </c>
      <c r="E12" s="631" t="s">
        <v>707</v>
      </c>
      <c r="F12" s="328" t="s">
        <v>707</v>
      </c>
      <c r="G12" s="893">
        <v>48839</v>
      </c>
      <c r="H12" s="328" t="s">
        <v>723</v>
      </c>
      <c r="I12" s="328"/>
    </row>
    <row r="13" spans="3:9" x14ac:dyDescent="0.2">
      <c r="C13" s="326">
        <v>3</v>
      </c>
      <c r="D13" s="326" t="s">
        <v>724</v>
      </c>
      <c r="E13" s="631" t="s">
        <v>707</v>
      </c>
      <c r="F13" s="893">
        <v>95904</v>
      </c>
      <c r="G13" s="893">
        <v>95904</v>
      </c>
      <c r="H13" s="328"/>
      <c r="I13" s="328"/>
    </row>
    <row r="14" spans="3:9" x14ac:dyDescent="0.2">
      <c r="C14" s="326">
        <v>4</v>
      </c>
      <c r="D14" s="326" t="s">
        <v>698</v>
      </c>
      <c r="E14" s="631" t="s">
        <v>707</v>
      </c>
      <c r="F14" s="328" t="s">
        <v>707</v>
      </c>
      <c r="G14" s="328" t="s">
        <v>707</v>
      </c>
      <c r="H14" s="328"/>
      <c r="I14" s="328"/>
    </row>
    <row r="15" spans="3:9" x14ac:dyDescent="0.2">
      <c r="C15" s="326">
        <v>5</v>
      </c>
      <c r="D15" s="326" t="s">
        <v>701</v>
      </c>
      <c r="E15" s="631" t="s">
        <v>707</v>
      </c>
      <c r="F15" s="893">
        <v>1521</v>
      </c>
      <c r="G15" s="893">
        <v>1521</v>
      </c>
      <c r="H15" s="328"/>
      <c r="I15" s="328"/>
    </row>
    <row r="16" spans="3:9" x14ac:dyDescent="0.2">
      <c r="C16" s="326" t="s">
        <v>586</v>
      </c>
      <c r="D16" s="326" t="s">
        <v>586</v>
      </c>
      <c r="E16" s="328" t="s">
        <v>586</v>
      </c>
      <c r="F16" s="328" t="s">
        <v>586</v>
      </c>
      <c r="G16" s="328" t="s">
        <v>586</v>
      </c>
      <c r="H16" s="328"/>
      <c r="I16" s="328"/>
    </row>
    <row r="17" spans="3:9" x14ac:dyDescent="0.2">
      <c r="C17" s="326" t="s">
        <v>506</v>
      </c>
      <c r="D17" s="326" t="s">
        <v>512</v>
      </c>
      <c r="E17" s="914">
        <v>0</v>
      </c>
      <c r="F17" s="894">
        <f>SUM(F18:F19)</f>
        <v>1164373</v>
      </c>
      <c r="G17" s="894">
        <f>SUM(G18:G19)</f>
        <v>1525132</v>
      </c>
      <c r="H17" s="328"/>
      <c r="I17" s="328"/>
    </row>
    <row r="18" spans="3:9" x14ac:dyDescent="0.2">
      <c r="C18" s="326">
        <v>1</v>
      </c>
      <c r="D18" s="326" t="s">
        <v>725</v>
      </c>
      <c r="E18" s="631" t="s">
        <v>707</v>
      </c>
      <c r="F18" s="893">
        <v>1542310</v>
      </c>
      <c r="G18" s="893">
        <v>1542310</v>
      </c>
      <c r="H18" s="328"/>
      <c r="I18" s="328"/>
    </row>
    <row r="19" spans="3:9" x14ac:dyDescent="0.2">
      <c r="C19" s="326">
        <v>2</v>
      </c>
      <c r="D19" s="326" t="s">
        <v>703</v>
      </c>
      <c r="E19" s="631" t="s">
        <v>707</v>
      </c>
      <c r="F19" s="893">
        <v>-377937</v>
      </c>
      <c r="G19" s="893">
        <v>-17178</v>
      </c>
      <c r="H19" s="328" t="s">
        <v>726</v>
      </c>
      <c r="I19" s="328"/>
    </row>
    <row r="20" spans="3:9" x14ac:dyDescent="0.2">
      <c r="C20" s="326" t="s">
        <v>573</v>
      </c>
      <c r="D20" s="326" t="s">
        <v>704</v>
      </c>
      <c r="E20" s="893">
        <v>1212850</v>
      </c>
      <c r="F20" s="328" t="s">
        <v>707</v>
      </c>
      <c r="G20" s="893">
        <v>1195672</v>
      </c>
      <c r="H20" s="328"/>
      <c r="I20" s="328"/>
    </row>
    <row r="21" spans="3:9" x14ac:dyDescent="0.2">
      <c r="C21" s="326" t="s">
        <v>574</v>
      </c>
      <c r="D21" s="326" t="s">
        <v>705</v>
      </c>
      <c r="E21" s="893">
        <v>61154</v>
      </c>
      <c r="F21" s="328" t="s">
        <v>707</v>
      </c>
      <c r="G21" s="893">
        <v>43976</v>
      </c>
      <c r="H21" s="328"/>
      <c r="I21" s="328"/>
    </row>
    <row r="22" spans="3:9" x14ac:dyDescent="0.2">
      <c r="C22" s="326" t="s">
        <v>575</v>
      </c>
      <c r="D22" s="326" t="s">
        <v>727</v>
      </c>
      <c r="E22" s="893">
        <v>1151696</v>
      </c>
      <c r="F22" s="328" t="s">
        <v>707</v>
      </c>
      <c r="G22" s="893">
        <v>1151696</v>
      </c>
      <c r="H22" s="328"/>
      <c r="I22" s="328"/>
    </row>
    <row r="23" spans="3:9" x14ac:dyDescent="0.2">
      <c r="C23" s="326" t="s">
        <v>586</v>
      </c>
      <c r="D23" s="326" t="s">
        <v>586</v>
      </c>
      <c r="E23" s="328" t="s">
        <v>586</v>
      </c>
      <c r="F23" s="328" t="s">
        <v>586</v>
      </c>
      <c r="G23" s="328" t="s">
        <v>586</v>
      </c>
      <c r="H23" s="328"/>
      <c r="I23" s="328"/>
    </row>
    <row r="24" spans="3:9" x14ac:dyDescent="0.2">
      <c r="C24" s="326" t="s">
        <v>507</v>
      </c>
      <c r="D24" s="326" t="s">
        <v>511</v>
      </c>
      <c r="E24" s="631" t="s">
        <v>707</v>
      </c>
      <c r="F24" s="893">
        <f>SUM(F25:F29)</f>
        <v>2624</v>
      </c>
      <c r="G24" s="893">
        <f>SUM(G25:G29)</f>
        <v>168889</v>
      </c>
      <c r="H24" s="328"/>
      <c r="I24" s="328"/>
    </row>
    <row r="25" spans="3:9" x14ac:dyDescent="0.2">
      <c r="C25" s="326">
        <v>1</v>
      </c>
      <c r="D25" s="326" t="s">
        <v>728</v>
      </c>
      <c r="E25" s="631" t="s">
        <v>707</v>
      </c>
      <c r="F25" s="893">
        <v>1542310</v>
      </c>
      <c r="G25" s="893">
        <v>1542310</v>
      </c>
      <c r="H25" s="328"/>
      <c r="I25" s="328"/>
    </row>
    <row r="26" spans="3:9" x14ac:dyDescent="0.2">
      <c r="C26" s="326">
        <v>2</v>
      </c>
      <c r="D26" s="326" t="s">
        <v>729</v>
      </c>
      <c r="E26" s="631" t="s">
        <v>707</v>
      </c>
      <c r="F26" s="893">
        <v>-1402100</v>
      </c>
      <c r="G26" s="893">
        <v>-1402100</v>
      </c>
      <c r="H26" s="328"/>
      <c r="I26" s="328"/>
    </row>
    <row r="27" spans="3:9" x14ac:dyDescent="0.2">
      <c r="C27" s="326">
        <v>3</v>
      </c>
      <c r="D27" s="326" t="s">
        <v>730</v>
      </c>
      <c r="E27" s="631" t="s">
        <v>707</v>
      </c>
      <c r="F27" s="893">
        <v>-97586</v>
      </c>
      <c r="G27" s="893">
        <v>28679</v>
      </c>
      <c r="H27" s="328"/>
      <c r="I27" s="328"/>
    </row>
    <row r="28" spans="3:9" x14ac:dyDescent="0.2">
      <c r="C28" s="326">
        <v>4</v>
      </c>
      <c r="D28" s="326" t="s">
        <v>731</v>
      </c>
      <c r="E28" s="631" t="s">
        <v>707</v>
      </c>
      <c r="F28" s="893">
        <v>-40000</v>
      </c>
      <c r="G28" s="328" t="s">
        <v>707</v>
      </c>
      <c r="H28" s="328" t="s">
        <v>732</v>
      </c>
      <c r="I28" s="328"/>
    </row>
    <row r="29" spans="3:9" x14ac:dyDescent="0.2">
      <c r="C29" s="326">
        <v>5</v>
      </c>
      <c r="D29" s="326" t="s">
        <v>733</v>
      </c>
      <c r="E29" s="631" t="s">
        <v>707</v>
      </c>
      <c r="F29" s="328" t="s">
        <v>707</v>
      </c>
      <c r="G29" s="328" t="s">
        <v>707</v>
      </c>
      <c r="H29" s="328"/>
      <c r="I29" s="328"/>
    </row>
    <row r="30" spans="3:9" x14ac:dyDescent="0.2">
      <c r="C30" s="326" t="s">
        <v>586</v>
      </c>
      <c r="D30" s="326" t="s">
        <v>586</v>
      </c>
      <c r="E30" s="631" t="s">
        <v>586</v>
      </c>
      <c r="F30" s="328" t="s">
        <v>586</v>
      </c>
      <c r="G30" s="328" t="s">
        <v>586</v>
      </c>
      <c r="H30" s="328"/>
      <c r="I30" s="328"/>
    </row>
    <row r="31" spans="3:9" x14ac:dyDescent="0.2">
      <c r="C31" s="326" t="s">
        <v>508</v>
      </c>
      <c r="D31" s="326" t="s">
        <v>676</v>
      </c>
      <c r="E31" s="631" t="s">
        <v>707</v>
      </c>
      <c r="F31" s="894">
        <f>F17-F24</f>
        <v>1161749</v>
      </c>
      <c r="G31" s="894">
        <f>G17-G24</f>
        <v>1356243</v>
      </c>
      <c r="H31" s="328"/>
      <c r="I31" s="328"/>
    </row>
    <row r="32" spans="3:9" x14ac:dyDescent="0.2">
      <c r="C32" s="326" t="s">
        <v>586</v>
      </c>
      <c r="D32" s="326" t="s">
        <v>586</v>
      </c>
      <c r="E32" s="631"/>
      <c r="F32" s="328" t="s">
        <v>586</v>
      </c>
      <c r="G32" s="328" t="s">
        <v>586</v>
      </c>
      <c r="H32" s="328"/>
      <c r="I32" s="328"/>
    </row>
    <row r="33" spans="3:9" x14ac:dyDescent="0.2">
      <c r="C33" s="326" t="s">
        <v>513</v>
      </c>
      <c r="D33" s="326" t="s">
        <v>710</v>
      </c>
      <c r="E33" s="631" t="s">
        <v>707</v>
      </c>
      <c r="F33" s="895">
        <f>F6-F10-F31</f>
        <v>-918845</v>
      </c>
      <c r="G33" s="895">
        <f>G6-G10-G31</f>
        <v>-1228838</v>
      </c>
      <c r="H33" s="328"/>
      <c r="I33" s="328"/>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C2:D19"/>
  <sheetViews>
    <sheetView workbookViewId="0">
      <selection activeCell="H36" sqref="H36"/>
    </sheetView>
  </sheetViews>
  <sheetFormatPr defaultColWidth="9.140625" defaultRowHeight="12" x14ac:dyDescent="0.2"/>
  <cols>
    <col min="1" max="2" width="9.140625" style="487"/>
    <col min="3" max="3" width="66.5703125" style="487" bestFit="1" customWidth="1"/>
    <col min="4" max="4" width="15.5703125" style="487" bestFit="1" customWidth="1"/>
    <col min="5" max="7" width="9.140625" style="487"/>
    <col min="8" max="8" width="59.5703125" style="487" bestFit="1" customWidth="1"/>
    <col min="9" max="9" width="12.42578125" style="487" bestFit="1" customWidth="1"/>
    <col min="10" max="16384" width="9.140625" style="487"/>
  </cols>
  <sheetData>
    <row r="2" spans="3:4" ht="12.75" x14ac:dyDescent="0.25">
      <c r="C2" s="500"/>
      <c r="D2" s="501" t="s">
        <v>461</v>
      </c>
    </row>
    <row r="3" spans="3:4" s="492" customFormat="1" ht="12.75" x14ac:dyDescent="0.25">
      <c r="C3" s="486" t="s">
        <v>2</v>
      </c>
      <c r="D3" s="552">
        <f>SUM(D4:D5)</f>
        <v>874649.99999999988</v>
      </c>
    </row>
    <row r="4" spans="3:4" x14ac:dyDescent="0.2">
      <c r="C4" s="488" t="s">
        <v>218</v>
      </c>
      <c r="D4" s="555">
        <v>930649.99999999988</v>
      </c>
    </row>
    <row r="5" spans="3:4" s="551" customFormat="1" ht="12.75" x14ac:dyDescent="0.25">
      <c r="C5" s="558" t="s">
        <v>0</v>
      </c>
      <c r="D5" s="559">
        <v>-56000</v>
      </c>
    </row>
    <row r="6" spans="3:4" s="492" customFormat="1" ht="12.75" x14ac:dyDescent="0.25">
      <c r="C6" s="486" t="s">
        <v>1</v>
      </c>
      <c r="D6" s="552">
        <f>SUM(D7:D9)</f>
        <v>161135.4</v>
      </c>
    </row>
    <row r="7" spans="3:4" x14ac:dyDescent="0.2">
      <c r="C7" s="488" t="s">
        <v>406</v>
      </c>
      <c r="D7" s="555">
        <v>0</v>
      </c>
    </row>
    <row r="8" spans="3:4" x14ac:dyDescent="0.2">
      <c r="C8" s="488" t="s">
        <v>200</v>
      </c>
      <c r="D8" s="555">
        <v>-104764.6</v>
      </c>
    </row>
    <row r="9" spans="3:4" x14ac:dyDescent="0.2">
      <c r="C9" s="488" t="s">
        <v>213</v>
      </c>
      <c r="D9" s="555">
        <v>265900</v>
      </c>
    </row>
    <row r="10" spans="3:4" s="492" customFormat="1" ht="12.75" x14ac:dyDescent="0.25">
      <c r="C10" s="486" t="s">
        <v>3</v>
      </c>
      <c r="D10" s="552">
        <f>+D3-D6</f>
        <v>713514.59999999986</v>
      </c>
    </row>
    <row r="11" spans="3:4" s="492" customFormat="1" ht="12.75" x14ac:dyDescent="0.25">
      <c r="C11" s="486" t="s">
        <v>4</v>
      </c>
      <c r="D11" s="552">
        <f>SUM(D12:D13)</f>
        <v>552226.5</v>
      </c>
    </row>
    <row r="12" spans="3:4" x14ac:dyDescent="0.2">
      <c r="C12" s="488" t="s">
        <v>177</v>
      </c>
      <c r="D12" s="555">
        <f>1264368/12*3</f>
        <v>316092</v>
      </c>
    </row>
    <row r="13" spans="3:4" x14ac:dyDescent="0.2">
      <c r="C13" s="488" t="s">
        <v>178</v>
      </c>
      <c r="D13" s="555">
        <f>944538/12*3</f>
        <v>236134.5</v>
      </c>
    </row>
    <row r="14" spans="3:4" s="492" customFormat="1" ht="12.75" x14ac:dyDescent="0.25">
      <c r="C14" s="486" t="s">
        <v>5</v>
      </c>
      <c r="D14" s="552">
        <f>SUM(D15:D17)</f>
        <v>160224.54270270266</v>
      </c>
    </row>
    <row r="15" spans="3:4" x14ac:dyDescent="0.2">
      <c r="C15" s="488" t="s">
        <v>98</v>
      </c>
      <c r="D15" s="555">
        <f>952216.216216216/12*2</f>
        <v>158702.70270270266</v>
      </c>
    </row>
    <row r="16" spans="3:4" x14ac:dyDescent="0.2">
      <c r="C16" s="488" t="s">
        <v>99</v>
      </c>
      <c r="D16" s="555"/>
    </row>
    <row r="17" spans="3:4" x14ac:dyDescent="0.2">
      <c r="C17" s="488" t="s">
        <v>209</v>
      </c>
      <c r="D17" s="555">
        <v>1521.84</v>
      </c>
    </row>
    <row r="18" spans="3:4" s="492" customFormat="1" ht="12.75" x14ac:dyDescent="0.25">
      <c r="C18" s="486" t="s">
        <v>6</v>
      </c>
      <c r="D18" s="557">
        <f>+D11-D10-D14</f>
        <v>-321512.64270270255</v>
      </c>
    </row>
    <row r="19" spans="3:4" x14ac:dyDescent="0.2">
      <c r="D19" s="499"/>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A8A62-F62D-48ED-84AC-F283D5B7F671}">
  <dimension ref="B2:D24"/>
  <sheetViews>
    <sheetView workbookViewId="0">
      <selection activeCell="I44" sqref="I44"/>
    </sheetView>
  </sheetViews>
  <sheetFormatPr defaultRowHeight="11.25" x14ac:dyDescent="0.2"/>
  <cols>
    <col min="1" max="1" width="9.140625" style="699"/>
    <col min="2" max="2" width="4" style="699" bestFit="1" customWidth="1"/>
    <col min="3" max="3" width="36.85546875" style="699" bestFit="1" customWidth="1"/>
    <col min="4" max="4" width="14.140625" style="699" bestFit="1" customWidth="1"/>
    <col min="5" max="6" width="9.140625" style="699"/>
    <col min="7" max="7" width="9.28515625" style="699" bestFit="1" customWidth="1"/>
    <col min="8" max="8" width="59.5703125" style="699" bestFit="1" customWidth="1"/>
    <col min="9" max="9" width="12.42578125" style="699" bestFit="1" customWidth="1"/>
    <col min="10" max="16384" width="9.140625" style="699"/>
  </cols>
  <sheetData>
    <row r="2" spans="2:4" ht="22.5" x14ac:dyDescent="0.2">
      <c r="B2" s="838" t="s">
        <v>502</v>
      </c>
      <c r="C2" s="838" t="s">
        <v>503</v>
      </c>
      <c r="D2" s="839" t="s">
        <v>681</v>
      </c>
    </row>
    <row r="3" spans="2:4" x14ac:dyDescent="0.2">
      <c r="B3" s="840"/>
      <c r="C3" s="840"/>
      <c r="D3" s="841"/>
    </row>
    <row r="4" spans="2:4" x14ac:dyDescent="0.2">
      <c r="B4" s="842" t="s">
        <v>504</v>
      </c>
      <c r="C4" s="842" t="s">
        <v>509</v>
      </c>
      <c r="D4" s="843">
        <f>SUM(D5:D6)</f>
        <v>351346</v>
      </c>
    </row>
    <row r="5" spans="2:4" x14ac:dyDescent="0.2">
      <c r="B5" s="844">
        <v>1</v>
      </c>
      <c r="C5" s="844" t="s">
        <v>682</v>
      </c>
      <c r="D5" s="845">
        <f>99845+99845</f>
        <v>199690</v>
      </c>
    </row>
    <row r="6" spans="2:4" x14ac:dyDescent="0.2">
      <c r="B6" s="844">
        <v>2</v>
      </c>
      <c r="C6" s="844" t="s">
        <v>683</v>
      </c>
      <c r="D6" s="845">
        <f>75828*2</f>
        <v>151656</v>
      </c>
    </row>
    <row r="7" spans="2:4" x14ac:dyDescent="0.2">
      <c r="B7" s="840"/>
      <c r="C7" s="840"/>
      <c r="D7" s="841"/>
    </row>
    <row r="8" spans="2:4" x14ac:dyDescent="0.2">
      <c r="B8" s="842" t="s">
        <v>505</v>
      </c>
      <c r="C8" s="842" t="s">
        <v>510</v>
      </c>
      <c r="D8" s="846">
        <f>SUM(D9:D11)</f>
        <v>161255.58246575342</v>
      </c>
    </row>
    <row r="9" spans="2:4" x14ac:dyDescent="0.2">
      <c r="B9" s="844">
        <v>1</v>
      </c>
      <c r="C9" s="844" t="s">
        <v>673</v>
      </c>
      <c r="D9" s="847">
        <f>(940368/365)*(31+29+2)</f>
        <v>159733.74246575343</v>
      </c>
    </row>
    <row r="10" spans="2:4" x14ac:dyDescent="0.2">
      <c r="B10" s="844">
        <v>2</v>
      </c>
      <c r="C10" s="844" t="s">
        <v>684</v>
      </c>
      <c r="D10" s="847">
        <v>1521.84</v>
      </c>
    </row>
    <row r="11" spans="2:4" x14ac:dyDescent="0.2">
      <c r="B11" s="844">
        <v>3</v>
      </c>
      <c r="C11" s="844" t="s">
        <v>685</v>
      </c>
      <c r="D11" s="841"/>
    </row>
    <row r="12" spans="2:4" x14ac:dyDescent="0.2">
      <c r="B12" s="840"/>
      <c r="C12" s="840"/>
      <c r="D12" s="841"/>
    </row>
    <row r="13" spans="2:4" x14ac:dyDescent="0.2">
      <c r="B13" s="842" t="s">
        <v>506</v>
      </c>
      <c r="C13" s="842" t="s">
        <v>512</v>
      </c>
      <c r="D13" s="846">
        <f>SUM(D14:D15)</f>
        <v>887840</v>
      </c>
    </row>
    <row r="14" spans="2:4" x14ac:dyDescent="0.2">
      <c r="B14" s="840">
        <v>1</v>
      </c>
      <c r="C14" s="840" t="s">
        <v>686</v>
      </c>
      <c r="D14" s="847">
        <f>7000*135.12</f>
        <v>945840</v>
      </c>
    </row>
    <row r="15" spans="2:4" x14ac:dyDescent="0.2">
      <c r="B15" s="840">
        <v>2</v>
      </c>
      <c r="C15" s="840" t="s">
        <v>521</v>
      </c>
      <c r="D15" s="847">
        <v>-58000</v>
      </c>
    </row>
    <row r="16" spans="2:4" x14ac:dyDescent="0.2">
      <c r="B16" s="840"/>
      <c r="C16" s="840"/>
      <c r="D16" s="841"/>
    </row>
    <row r="17" spans="2:4" x14ac:dyDescent="0.2">
      <c r="B17" s="842" t="s">
        <v>507</v>
      </c>
      <c r="C17" s="842" t="s">
        <v>511</v>
      </c>
      <c r="D17" s="846">
        <f>SUM(D18:D20)</f>
        <v>161135.40000000002</v>
      </c>
    </row>
    <row r="18" spans="2:4" x14ac:dyDescent="0.2">
      <c r="B18" s="840">
        <v>1</v>
      </c>
      <c r="C18" s="840" t="s">
        <v>687</v>
      </c>
      <c r="D18" s="847">
        <v>0</v>
      </c>
    </row>
    <row r="19" spans="2:4" x14ac:dyDescent="0.2">
      <c r="B19" s="840">
        <v>2</v>
      </c>
      <c r="C19" s="840" t="s">
        <v>688</v>
      </c>
      <c r="D19" s="847">
        <f>-788*132.95</f>
        <v>-104764.59999999999</v>
      </c>
    </row>
    <row r="20" spans="2:4" x14ac:dyDescent="0.2">
      <c r="B20" s="840">
        <v>3</v>
      </c>
      <c r="C20" s="840" t="s">
        <v>689</v>
      </c>
      <c r="D20" s="847">
        <f>2000*132.95</f>
        <v>265900</v>
      </c>
    </row>
    <row r="21" spans="2:4" x14ac:dyDescent="0.2">
      <c r="B21" s="840"/>
      <c r="C21" s="840"/>
      <c r="D21" s="841"/>
    </row>
    <row r="22" spans="2:4" x14ac:dyDescent="0.2">
      <c r="B22" s="842" t="s">
        <v>508</v>
      </c>
      <c r="C22" s="842" t="s">
        <v>690</v>
      </c>
      <c r="D22" s="846">
        <f>D13-D17</f>
        <v>726704.6</v>
      </c>
    </row>
    <row r="24" spans="2:4" x14ac:dyDescent="0.2">
      <c r="B24" s="842" t="s">
        <v>513</v>
      </c>
      <c r="C24" s="842" t="s">
        <v>691</v>
      </c>
      <c r="D24" s="848">
        <f>D4-D8-D22</f>
        <v>-536614.1824657534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ACFDD-AEE8-4CE7-A0CE-A60D5A082E3E}">
  <dimension ref="A1"/>
  <sheetViews>
    <sheetView workbookViewId="0"/>
  </sheetViews>
  <sheetFormatPr defaultRowHeight="15"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J60"/>
  <sheetViews>
    <sheetView topLeftCell="I4" zoomScale="60" zoomScaleNormal="60" workbookViewId="0">
      <selection activeCell="V57" sqref="V57"/>
    </sheetView>
  </sheetViews>
  <sheetFormatPr defaultColWidth="9.140625" defaultRowHeight="18.75" x14ac:dyDescent="0.3"/>
  <cols>
    <col min="1" max="1" width="18.28515625" style="217" bestFit="1" customWidth="1"/>
    <col min="2" max="2" width="56.85546875" style="217" bestFit="1" customWidth="1"/>
    <col min="3" max="3" width="33.42578125" style="219" customWidth="1"/>
    <col min="4" max="4" width="29.42578125" style="220" customWidth="1"/>
    <col min="5" max="5" width="16.85546875" style="217" customWidth="1"/>
    <col min="6" max="6" width="19.28515625" style="217" customWidth="1"/>
    <col min="7" max="7" width="19.7109375" style="217" customWidth="1"/>
    <col min="8" max="8" width="20" style="217" customWidth="1"/>
    <col min="9" max="9" width="23.42578125" style="217" customWidth="1"/>
    <col min="10" max="11" width="19.7109375" style="217" customWidth="1"/>
    <col min="12" max="12" width="18.7109375" style="217" customWidth="1"/>
    <col min="13" max="13" width="19.28515625" style="217" customWidth="1"/>
    <col min="14" max="14" width="20.85546875" style="217" customWidth="1"/>
    <col min="15" max="15" width="20.42578125" style="217" customWidth="1"/>
    <col min="16" max="17" width="20.85546875" style="217" customWidth="1"/>
    <col min="18" max="18" width="21.42578125" style="217" customWidth="1"/>
    <col min="19" max="20" width="20.85546875" style="217" customWidth="1"/>
    <col min="21" max="21" width="21.42578125" style="217" customWidth="1"/>
    <col min="22" max="22" width="20.85546875" style="217" customWidth="1"/>
    <col min="23" max="25" width="21.42578125" style="217" customWidth="1"/>
    <col min="26" max="26" width="20.42578125" style="217" customWidth="1"/>
    <col min="27" max="27" width="19.28515625" style="217" customWidth="1"/>
    <col min="28" max="28" width="19.7109375" style="217" customWidth="1"/>
    <col min="29" max="29" width="19.28515625" style="217" bestFit="1" customWidth="1"/>
    <col min="30" max="30" width="18.28515625" style="217" bestFit="1" customWidth="1"/>
    <col min="31" max="31" width="28.7109375" style="217" bestFit="1" customWidth="1"/>
    <col min="32" max="32" width="20" style="217" bestFit="1" customWidth="1"/>
    <col min="33" max="16384" width="9.140625" style="217"/>
  </cols>
  <sheetData>
    <row r="2" spans="1:30" x14ac:dyDescent="0.3">
      <c r="B2" s="218" t="s">
        <v>189</v>
      </c>
    </row>
    <row r="3" spans="1:30" x14ac:dyDescent="0.3">
      <c r="B3" s="218" t="s">
        <v>146</v>
      </c>
    </row>
    <row r="4" spans="1:30" x14ac:dyDescent="0.3">
      <c r="B4" s="218" t="s">
        <v>147</v>
      </c>
    </row>
    <row r="7" spans="1:30" s="221" customFormat="1" x14ac:dyDescent="0.3">
      <c r="B7" s="221" t="s">
        <v>470</v>
      </c>
      <c r="C7" s="222"/>
      <c r="D7" s="223"/>
    </row>
    <row r="8" spans="1:30" s="224" customFormat="1" x14ac:dyDescent="0.3">
      <c r="B8" s="225" t="s">
        <v>469</v>
      </c>
      <c r="C8" s="226" t="s">
        <v>187</v>
      </c>
      <c r="D8" s="227" t="s">
        <v>188</v>
      </c>
      <c r="E8" s="224">
        <v>1989</v>
      </c>
      <c r="F8" s="224">
        <v>1990</v>
      </c>
      <c r="G8" s="224">
        <v>1991</v>
      </c>
      <c r="H8" s="224">
        <v>1992</v>
      </c>
      <c r="I8" s="224">
        <v>1993</v>
      </c>
      <c r="J8" s="224">
        <v>1994</v>
      </c>
      <c r="K8" s="224">
        <v>1995</v>
      </c>
      <c r="L8" s="224">
        <v>1996</v>
      </c>
      <c r="M8" s="224">
        <v>1997</v>
      </c>
      <c r="N8" s="224">
        <v>1998</v>
      </c>
      <c r="O8" s="224">
        <v>1999</v>
      </c>
      <c r="P8" s="224">
        <v>2000</v>
      </c>
      <c r="Q8" s="224">
        <v>2001</v>
      </c>
      <c r="R8" s="224">
        <v>2002</v>
      </c>
      <c r="S8" s="224">
        <v>2003</v>
      </c>
      <c r="T8" s="224">
        <v>2004</v>
      </c>
      <c r="U8" s="224">
        <v>2005</v>
      </c>
      <c r="V8" s="224">
        <v>2006</v>
      </c>
      <c r="W8" s="224">
        <v>2007</v>
      </c>
      <c r="X8" s="224">
        <v>2008</v>
      </c>
      <c r="Y8" s="224">
        <v>2009</v>
      </c>
      <c r="Z8" s="224">
        <v>2010</v>
      </c>
      <c r="AA8" s="224">
        <v>2011</v>
      </c>
      <c r="AB8" s="224">
        <v>2012</v>
      </c>
      <c r="AC8" s="224" t="s">
        <v>462</v>
      </c>
    </row>
    <row r="9" spans="1:30" s="228" customFormat="1" ht="75" x14ac:dyDescent="0.3">
      <c r="B9" s="229" t="s">
        <v>439</v>
      </c>
      <c r="C9" s="230" t="s">
        <v>404</v>
      </c>
      <c r="D9" s="231"/>
      <c r="J9" s="232">
        <v>5587.2857142857138</v>
      </c>
      <c r="K9" s="232">
        <v>9845</v>
      </c>
      <c r="L9" s="232">
        <v>6827.681818181818</v>
      </c>
      <c r="M9" s="232">
        <v>10970.727272727272</v>
      </c>
      <c r="N9" s="232">
        <v>14047</v>
      </c>
      <c r="O9" s="232">
        <v>14461.411764705881</v>
      </c>
      <c r="P9" s="232">
        <v>11602.588235294117</v>
      </c>
      <c r="Q9" s="232">
        <v>16276.5</v>
      </c>
      <c r="R9" s="232">
        <v>20250</v>
      </c>
      <c r="S9" s="232">
        <v>22614</v>
      </c>
      <c r="T9" s="232">
        <v>32474.742857142854</v>
      </c>
      <c r="U9" s="232">
        <v>16747.400000000001</v>
      </c>
      <c r="V9" s="232">
        <v>55307.339743589742</v>
      </c>
      <c r="W9" s="232">
        <v>62764</v>
      </c>
      <c r="X9" s="232">
        <v>69336.5</v>
      </c>
      <c r="Y9" s="232">
        <v>82679.142857142855</v>
      </c>
      <c r="Z9" s="232">
        <v>98981.357142857145</v>
      </c>
      <c r="AA9" s="232">
        <v>112457</v>
      </c>
      <c r="AB9" s="232">
        <v>115862.11538461538</v>
      </c>
      <c r="AC9" s="232">
        <v>29354.307692307691</v>
      </c>
      <c r="AD9" s="232"/>
    </row>
    <row r="10" spans="1:30" s="233" customFormat="1" ht="168.75" x14ac:dyDescent="0.3">
      <c r="B10" s="233" t="s">
        <v>440</v>
      </c>
      <c r="C10" s="234" t="s">
        <v>471</v>
      </c>
      <c r="D10" s="235"/>
      <c r="I10" s="236">
        <f>+(1620*100)/9.4</f>
        <v>17234.042553191488</v>
      </c>
      <c r="J10" s="236">
        <f>+(823*100)/9.4</f>
        <v>8755.3191489361707</v>
      </c>
      <c r="K10" s="236"/>
      <c r="L10" s="236"/>
      <c r="M10" s="236"/>
      <c r="N10" s="236"/>
      <c r="O10" s="236"/>
      <c r="P10" s="236"/>
      <c r="Q10" s="236"/>
      <c r="R10" s="236"/>
      <c r="S10" s="236"/>
      <c r="T10" s="236"/>
      <c r="U10" s="236"/>
      <c r="V10" s="236"/>
      <c r="W10" s="236"/>
      <c r="X10" s="236"/>
      <c r="Y10" s="236"/>
      <c r="Z10" s="236"/>
      <c r="AA10" s="236"/>
      <c r="AB10" s="236"/>
      <c r="AC10" s="236"/>
      <c r="AD10" s="237"/>
    </row>
    <row r="11" spans="1:30" s="66" customFormat="1" x14ac:dyDescent="0.3">
      <c r="C11" s="140"/>
      <c r="D11" s="238" t="s">
        <v>104</v>
      </c>
      <c r="E11" s="239">
        <f>+E9+E10</f>
        <v>0</v>
      </c>
      <c r="F11" s="239">
        <f>+F9+F10</f>
        <v>0</v>
      </c>
      <c r="G11" s="239">
        <f>+G9+G10</f>
        <v>0</v>
      </c>
      <c r="H11" s="239">
        <f>+H9+H10</f>
        <v>0</v>
      </c>
      <c r="I11" s="239">
        <f>+I9+I10</f>
        <v>17234.042553191488</v>
      </c>
      <c r="J11" s="239">
        <f t="shared" ref="J11:AC11" si="0">+J9+J10</f>
        <v>14342.604863221884</v>
      </c>
      <c r="K11" s="239">
        <f t="shared" si="0"/>
        <v>9845</v>
      </c>
      <c r="L11" s="239">
        <f t="shared" si="0"/>
        <v>6827.681818181818</v>
      </c>
      <c r="M11" s="239">
        <f t="shared" si="0"/>
        <v>10970.727272727272</v>
      </c>
      <c r="N11" s="239">
        <f t="shared" si="0"/>
        <v>14047</v>
      </c>
      <c r="O11" s="239">
        <f t="shared" si="0"/>
        <v>14461.411764705881</v>
      </c>
      <c r="P11" s="239">
        <f t="shared" si="0"/>
        <v>11602.588235294117</v>
      </c>
      <c r="Q11" s="239">
        <f t="shared" si="0"/>
        <v>16276.5</v>
      </c>
      <c r="R11" s="239">
        <f t="shared" si="0"/>
        <v>20250</v>
      </c>
      <c r="S11" s="239">
        <f t="shared" si="0"/>
        <v>22614</v>
      </c>
      <c r="T11" s="239">
        <f t="shared" si="0"/>
        <v>32474.742857142854</v>
      </c>
      <c r="U11" s="239">
        <f t="shared" si="0"/>
        <v>16747.400000000001</v>
      </c>
      <c r="V11" s="239">
        <f t="shared" si="0"/>
        <v>55307.339743589742</v>
      </c>
      <c r="W11" s="239">
        <f t="shared" si="0"/>
        <v>62764</v>
      </c>
      <c r="X11" s="239">
        <f t="shared" si="0"/>
        <v>69336.5</v>
      </c>
      <c r="Y11" s="239">
        <f t="shared" si="0"/>
        <v>82679.142857142855</v>
      </c>
      <c r="Z11" s="239">
        <f t="shared" si="0"/>
        <v>98981.357142857145</v>
      </c>
      <c r="AA11" s="239">
        <f t="shared" si="0"/>
        <v>112457</v>
      </c>
      <c r="AB11" s="239">
        <f t="shared" si="0"/>
        <v>115862.11538461538</v>
      </c>
      <c r="AC11" s="239">
        <f t="shared" si="0"/>
        <v>29354.307692307691</v>
      </c>
      <c r="AD11" s="239"/>
    </row>
    <row r="12" spans="1:30" s="240" customFormat="1" x14ac:dyDescent="0.3">
      <c r="C12" s="241"/>
      <c r="D12" s="242"/>
      <c r="J12" s="243"/>
      <c r="K12" s="243"/>
      <c r="L12" s="243"/>
      <c r="M12" s="243"/>
      <c r="N12" s="243"/>
      <c r="O12" s="243"/>
      <c r="P12" s="243"/>
      <c r="Q12" s="243"/>
      <c r="R12" s="243"/>
      <c r="S12" s="243"/>
      <c r="T12" s="243"/>
      <c r="U12" s="243"/>
      <c r="V12" s="243"/>
      <c r="W12" s="243"/>
      <c r="X12" s="243"/>
      <c r="Y12" s="243"/>
      <c r="Z12" s="243"/>
      <c r="AA12" s="243"/>
      <c r="AB12" s="243"/>
      <c r="AC12" s="243"/>
      <c r="AD12" s="244"/>
    </row>
    <row r="13" spans="1:30" s="245" customFormat="1" x14ac:dyDescent="0.3">
      <c r="B13" s="245" t="s">
        <v>190</v>
      </c>
      <c r="C13" s="246" t="s">
        <v>187</v>
      </c>
      <c r="D13" s="247" t="s">
        <v>188</v>
      </c>
      <c r="E13" s="245">
        <v>1989</v>
      </c>
      <c r="F13" s="245">
        <v>1990</v>
      </c>
      <c r="G13" s="245">
        <v>1991</v>
      </c>
      <c r="H13" s="245">
        <v>1992</v>
      </c>
      <c r="I13" s="245">
        <v>1993</v>
      </c>
      <c r="J13" s="245">
        <v>1994</v>
      </c>
      <c r="K13" s="245">
        <v>1995</v>
      </c>
      <c r="L13" s="245">
        <v>1996</v>
      </c>
      <c r="M13" s="245">
        <v>1997</v>
      </c>
      <c r="N13" s="245">
        <v>1998</v>
      </c>
      <c r="O13" s="245">
        <v>1999</v>
      </c>
      <c r="P13" s="245">
        <v>2000</v>
      </c>
      <c r="Q13" s="245">
        <v>2001</v>
      </c>
      <c r="R13" s="245">
        <v>2002</v>
      </c>
      <c r="S13" s="245">
        <v>2003</v>
      </c>
      <c r="T13" s="245">
        <v>2004</v>
      </c>
      <c r="U13" s="245">
        <v>2005</v>
      </c>
      <c r="V13" s="245">
        <v>2006</v>
      </c>
      <c r="W13" s="245">
        <v>2007</v>
      </c>
      <c r="X13" s="245">
        <v>2008</v>
      </c>
      <c r="Y13" s="245">
        <v>2009</v>
      </c>
      <c r="Z13" s="245">
        <v>2010</v>
      </c>
      <c r="AA13" s="245">
        <v>2011</v>
      </c>
      <c r="AB13" s="245">
        <v>2012</v>
      </c>
      <c r="AC13" s="245">
        <v>2013</v>
      </c>
    </row>
    <row r="14" spans="1:30" s="251" customFormat="1" ht="93.75" x14ac:dyDescent="0.3">
      <c r="A14" s="248"/>
      <c r="B14" s="249"/>
      <c r="C14" s="250" t="s">
        <v>438</v>
      </c>
      <c r="E14" s="248">
        <v>22066.328000000001</v>
      </c>
      <c r="F14" s="248">
        <v>66198.983999999997</v>
      </c>
      <c r="G14" s="248">
        <v>66198.983999999997</v>
      </c>
      <c r="H14" s="248">
        <v>66198.983999999997</v>
      </c>
      <c r="I14" s="248">
        <v>66198.983999999997</v>
      </c>
      <c r="J14" s="248">
        <v>66198.983999999997</v>
      </c>
      <c r="K14" s="248">
        <v>66198.983999999997</v>
      </c>
      <c r="L14" s="248">
        <v>66198.983999999997</v>
      </c>
      <c r="M14" s="248">
        <v>66198.983999999997</v>
      </c>
      <c r="N14" s="248">
        <v>66198.983999999997</v>
      </c>
      <c r="O14" s="248">
        <v>66198.983999999997</v>
      </c>
      <c r="P14" s="248">
        <v>66198.983999999997</v>
      </c>
      <c r="Q14" s="248">
        <v>66198.983999999997</v>
      </c>
      <c r="R14" s="248">
        <v>66198.983999999997</v>
      </c>
      <c r="S14" s="248">
        <v>66198.983999999997</v>
      </c>
      <c r="T14" s="248">
        <v>66198.983999999997</v>
      </c>
      <c r="U14" s="248">
        <v>66198.983999999997</v>
      </c>
      <c r="V14" s="248">
        <v>66198.983999999997</v>
      </c>
      <c r="W14" s="248">
        <v>66198.983999999997</v>
      </c>
      <c r="X14" s="248">
        <v>66198.983999999997</v>
      </c>
      <c r="Y14" s="248">
        <v>66198.983999999997</v>
      </c>
      <c r="Z14" s="248">
        <v>66198.983999999997</v>
      </c>
      <c r="AA14" s="248">
        <v>66198.983999999997</v>
      </c>
      <c r="AB14" s="248">
        <v>66198.983999999997</v>
      </c>
      <c r="AC14" s="248">
        <v>16549.745999999999</v>
      </c>
    </row>
    <row r="15" spans="1:30" s="252" customFormat="1" ht="56.25" x14ac:dyDescent="0.3">
      <c r="C15" s="253" t="s">
        <v>437</v>
      </c>
      <c r="D15" s="254"/>
      <c r="E15" s="255"/>
      <c r="F15" s="255"/>
      <c r="G15" s="255"/>
      <c r="H15" s="255"/>
      <c r="I15" s="255"/>
      <c r="J15" s="255"/>
      <c r="K15" s="255"/>
      <c r="L15" s="255"/>
      <c r="M15" s="255"/>
      <c r="N15" s="255"/>
      <c r="O15" s="255"/>
      <c r="P15" s="255"/>
      <c r="Q15" s="255"/>
      <c r="R15" s="255"/>
      <c r="S15" s="255"/>
      <c r="T15" s="255"/>
      <c r="U15" s="255"/>
      <c r="V15" s="255"/>
      <c r="W15" s="255"/>
      <c r="X15" s="255"/>
      <c r="Y15" s="255"/>
      <c r="Z15" s="255"/>
      <c r="AA15" s="255"/>
      <c r="AB15" s="256">
        <f>+X22</f>
        <v>221200</v>
      </c>
      <c r="AC15" s="256">
        <f>+Y22/12*3</f>
        <v>57150</v>
      </c>
    </row>
    <row r="16" spans="1:30" s="257" customFormat="1" x14ac:dyDescent="0.3">
      <c r="C16" s="258"/>
      <c r="D16" s="259" t="s">
        <v>104</v>
      </c>
      <c r="E16" s="260">
        <f>+E15+E14</f>
        <v>22066.328000000001</v>
      </c>
      <c r="F16" s="260">
        <f t="shared" ref="F16:AC16" si="1">+F15+F14</f>
        <v>66198.983999999997</v>
      </c>
      <c r="G16" s="260">
        <f t="shared" si="1"/>
        <v>66198.983999999997</v>
      </c>
      <c r="H16" s="260">
        <f t="shared" si="1"/>
        <v>66198.983999999997</v>
      </c>
      <c r="I16" s="260">
        <f t="shared" si="1"/>
        <v>66198.983999999997</v>
      </c>
      <c r="J16" s="260">
        <f t="shared" si="1"/>
        <v>66198.983999999997</v>
      </c>
      <c r="K16" s="260">
        <f t="shared" si="1"/>
        <v>66198.983999999997</v>
      </c>
      <c r="L16" s="260">
        <f t="shared" si="1"/>
        <v>66198.983999999997</v>
      </c>
      <c r="M16" s="260">
        <f t="shared" si="1"/>
        <v>66198.983999999997</v>
      </c>
      <c r="N16" s="260">
        <f t="shared" si="1"/>
        <v>66198.983999999997</v>
      </c>
      <c r="O16" s="260">
        <f t="shared" si="1"/>
        <v>66198.983999999997</v>
      </c>
      <c r="P16" s="260">
        <f t="shared" si="1"/>
        <v>66198.983999999997</v>
      </c>
      <c r="Q16" s="260">
        <f t="shared" si="1"/>
        <v>66198.983999999997</v>
      </c>
      <c r="R16" s="260">
        <f t="shared" si="1"/>
        <v>66198.983999999997</v>
      </c>
      <c r="S16" s="260">
        <f t="shared" si="1"/>
        <v>66198.983999999997</v>
      </c>
      <c r="T16" s="260">
        <f t="shared" si="1"/>
        <v>66198.983999999997</v>
      </c>
      <c r="U16" s="260">
        <f t="shared" si="1"/>
        <v>66198.983999999997</v>
      </c>
      <c r="V16" s="260">
        <f t="shared" si="1"/>
        <v>66198.983999999997</v>
      </c>
      <c r="W16" s="260">
        <f t="shared" si="1"/>
        <v>66198.983999999997</v>
      </c>
      <c r="X16" s="260">
        <f t="shared" si="1"/>
        <v>66198.983999999997</v>
      </c>
      <c r="Y16" s="260">
        <f t="shared" si="1"/>
        <v>66198.983999999997</v>
      </c>
      <c r="Z16" s="260">
        <f t="shared" si="1"/>
        <v>66198.983999999997</v>
      </c>
      <c r="AA16" s="260">
        <f t="shared" si="1"/>
        <v>66198.983999999997</v>
      </c>
      <c r="AB16" s="260">
        <f t="shared" si="1"/>
        <v>287398.984</v>
      </c>
      <c r="AC16" s="260">
        <f t="shared" si="1"/>
        <v>73699.745999999999</v>
      </c>
      <c r="AD16" s="260"/>
    </row>
    <row r="19" spans="2:36" s="295" customFormat="1" x14ac:dyDescent="0.3">
      <c r="B19" s="292" t="s">
        <v>467</v>
      </c>
      <c r="C19" s="293"/>
      <c r="D19" s="294"/>
    </row>
    <row r="20" spans="2:36" s="292" customFormat="1" x14ac:dyDescent="0.3">
      <c r="B20" s="296" t="s">
        <v>237</v>
      </c>
      <c r="C20" s="296" t="s">
        <v>100</v>
      </c>
      <c r="D20" s="297" t="s">
        <v>101</v>
      </c>
      <c r="E20" s="292" t="s">
        <v>133</v>
      </c>
      <c r="F20" s="292">
        <v>1994</v>
      </c>
      <c r="G20" s="292">
        <v>1995</v>
      </c>
      <c r="H20" s="292">
        <v>1996</v>
      </c>
      <c r="I20" s="292">
        <v>1997</v>
      </c>
      <c r="J20" s="292">
        <v>1998</v>
      </c>
      <c r="K20" s="292">
        <v>1999</v>
      </c>
      <c r="L20" s="292">
        <v>2000</v>
      </c>
      <c r="M20" s="292">
        <v>2001</v>
      </c>
      <c r="N20" s="292">
        <v>2002</v>
      </c>
      <c r="O20" s="296">
        <v>2003</v>
      </c>
      <c r="P20" s="292">
        <v>2004</v>
      </c>
      <c r="Q20" s="292">
        <v>2005</v>
      </c>
      <c r="R20" s="292">
        <v>2006</v>
      </c>
      <c r="S20" s="292">
        <v>2007</v>
      </c>
      <c r="T20" s="292">
        <v>2008</v>
      </c>
      <c r="U20" s="292">
        <v>2009</v>
      </c>
      <c r="V20" s="292">
        <v>2010</v>
      </c>
      <c r="W20" s="292">
        <v>2011</v>
      </c>
      <c r="X20" s="292">
        <v>2012</v>
      </c>
      <c r="Y20" s="292">
        <v>2013</v>
      </c>
      <c r="Z20" s="292">
        <v>2014</v>
      </c>
      <c r="AA20" s="292">
        <v>2015</v>
      </c>
      <c r="AB20" s="292">
        <v>2016</v>
      </c>
      <c r="AC20" s="292" t="s">
        <v>62</v>
      </c>
      <c r="AD20" s="292" t="s">
        <v>135</v>
      </c>
      <c r="AE20" s="292">
        <v>2017</v>
      </c>
      <c r="AF20" s="292">
        <v>2018</v>
      </c>
      <c r="AG20" s="292">
        <v>2019</v>
      </c>
    </row>
    <row r="21" spans="2:36" s="300" customFormat="1" x14ac:dyDescent="0.3">
      <c r="B21" s="298" t="s">
        <v>241</v>
      </c>
      <c r="C21" s="298" t="s">
        <v>240</v>
      </c>
      <c r="D21" s="299">
        <v>847639</v>
      </c>
      <c r="E21" s="300" t="s">
        <v>232</v>
      </c>
      <c r="O21" s="298"/>
      <c r="X21" s="301">
        <v>13525</v>
      </c>
      <c r="Y21" s="301">
        <v>22222.54</v>
      </c>
      <c r="Z21" s="301">
        <v>112722.54</v>
      </c>
      <c r="AA21" s="301">
        <v>442.54</v>
      </c>
    </row>
    <row r="22" spans="2:36" s="304" customFormat="1" ht="37.5" x14ac:dyDescent="0.3">
      <c r="B22" s="302" t="s">
        <v>436</v>
      </c>
      <c r="C22" s="302"/>
      <c r="D22" s="303"/>
      <c r="O22" s="302"/>
      <c r="X22" s="305">
        <v>221200</v>
      </c>
      <c r="Y22" s="305">
        <v>228600</v>
      </c>
      <c r="Z22" s="305">
        <v>296400</v>
      </c>
      <c r="AA22" s="305">
        <v>273120</v>
      </c>
    </row>
    <row r="23" spans="2:36" s="308" customFormat="1" ht="56.25" x14ac:dyDescent="0.3">
      <c r="B23" s="306" t="s">
        <v>454</v>
      </c>
      <c r="C23" s="306" t="s">
        <v>455</v>
      </c>
      <c r="D23" s="307"/>
      <c r="O23" s="306"/>
      <c r="X23" s="309">
        <f>10600*10+11200+43200</f>
        <v>160400</v>
      </c>
      <c r="Y23" s="309">
        <f>10800*8+11100</f>
        <v>97500</v>
      </c>
      <c r="Z23" s="309">
        <f>11100*11+13500</f>
        <v>135600</v>
      </c>
      <c r="AA23" s="309">
        <f>11259*9+11530+11390*2</f>
        <v>135641</v>
      </c>
      <c r="AB23" s="308">
        <f>11390*9+11630</f>
        <v>114140</v>
      </c>
    </row>
    <row r="24" spans="2:36" s="308" customFormat="1" ht="56.25" x14ac:dyDescent="0.3">
      <c r="B24" s="306" t="s">
        <v>456</v>
      </c>
      <c r="C24" s="306" t="s">
        <v>455</v>
      </c>
      <c r="D24" s="307"/>
      <c r="O24" s="306"/>
      <c r="X24" s="309">
        <f>10600*10+11200+10800</f>
        <v>128000</v>
      </c>
      <c r="Y24" s="309">
        <f>10800*8+11100</f>
        <v>97500</v>
      </c>
      <c r="Z24" s="309">
        <f>11100*11+13500</f>
        <v>135600</v>
      </c>
      <c r="AA24" s="309">
        <f>11259*9+11530+11390*2</f>
        <v>135641</v>
      </c>
      <c r="AB24" s="308">
        <f>11390*9+11630</f>
        <v>114140</v>
      </c>
    </row>
    <row r="25" spans="2:36" s="300" customFormat="1" x14ac:dyDescent="0.3">
      <c r="B25" s="298" t="s">
        <v>241</v>
      </c>
      <c r="C25" s="298" t="s">
        <v>238</v>
      </c>
      <c r="D25" s="299">
        <v>185095</v>
      </c>
      <c r="E25" s="300" t="s">
        <v>243</v>
      </c>
      <c r="O25" s="298"/>
      <c r="X25" s="301"/>
      <c r="Y25" s="301"/>
      <c r="Z25" s="301"/>
      <c r="AA25" s="301"/>
      <c r="AE25" s="301">
        <f>+(75000-50000)*KK!AA4</f>
        <v>3323749.9999999995</v>
      </c>
    </row>
    <row r="26" spans="2:36" s="308" customFormat="1" x14ac:dyDescent="0.3">
      <c r="B26" s="306"/>
      <c r="C26" s="306"/>
      <c r="D26" s="307"/>
      <c r="O26" s="306"/>
      <c r="X26" s="309"/>
      <c r="Y26" s="309"/>
      <c r="Z26" s="309"/>
      <c r="AA26" s="309"/>
    </row>
    <row r="27" spans="2:36" s="308" customFormat="1" x14ac:dyDescent="0.3">
      <c r="B27" s="306"/>
      <c r="C27" s="306"/>
      <c r="D27" s="307"/>
      <c r="O27" s="306"/>
      <c r="X27" s="309"/>
      <c r="Y27" s="309"/>
      <c r="Z27" s="309"/>
      <c r="AA27" s="309"/>
    </row>
    <row r="28" spans="2:36" s="300" customFormat="1" x14ac:dyDescent="0.3">
      <c r="B28" s="298" t="s">
        <v>244</v>
      </c>
      <c r="C28" s="298" t="s">
        <v>238</v>
      </c>
      <c r="D28" s="299">
        <v>185095</v>
      </c>
      <c r="E28" s="300" t="s">
        <v>245</v>
      </c>
      <c r="O28" s="298"/>
      <c r="S28" s="301">
        <f>100000*KK!Q5</f>
        <v>8303000</v>
      </c>
      <c r="T28" s="301">
        <f>5523.55*KK!Q5</f>
        <v>458620.35649999999</v>
      </c>
      <c r="U28" s="301">
        <f>5042*KK!R5</f>
        <v>458620.31999999995</v>
      </c>
      <c r="V28" s="301">
        <v>0</v>
      </c>
      <c r="X28" s="301"/>
      <c r="Y28" s="301"/>
      <c r="Z28" s="301"/>
      <c r="AA28" s="301"/>
      <c r="AE28" s="301"/>
    </row>
    <row r="29" spans="2:36" s="312" customFormat="1" x14ac:dyDescent="0.3">
      <c r="B29" s="310" t="s">
        <v>246</v>
      </c>
      <c r="C29" s="310" t="s">
        <v>247</v>
      </c>
      <c r="D29" s="311"/>
      <c r="I29" s="313"/>
      <c r="J29" s="313"/>
      <c r="K29" s="313"/>
      <c r="L29" s="313"/>
      <c r="M29" s="313"/>
      <c r="N29" s="313"/>
      <c r="O29" s="314"/>
      <c r="P29" s="313"/>
      <c r="Q29" s="313"/>
      <c r="R29" s="313"/>
      <c r="S29" s="315">
        <v>372265.005</v>
      </c>
      <c r="T29" s="313"/>
      <c r="U29" s="313"/>
      <c r="V29" s="313"/>
      <c r="W29" s="313"/>
      <c r="X29" s="313"/>
      <c r="Y29" s="313"/>
      <c r="Z29" s="313"/>
      <c r="AA29" s="313"/>
      <c r="AB29" s="313"/>
      <c r="AC29" s="313"/>
      <c r="AD29" s="313"/>
      <c r="AE29" s="313"/>
      <c r="AF29" s="313"/>
      <c r="AG29" s="313"/>
      <c r="AH29" s="313"/>
      <c r="AI29" s="313"/>
      <c r="AJ29" s="313"/>
    </row>
    <row r="30" spans="2:36" s="318" customFormat="1" ht="15" x14ac:dyDescent="0.25">
      <c r="B30" s="316"/>
      <c r="C30" s="316"/>
      <c r="D30" s="317"/>
      <c r="I30" s="319"/>
      <c r="J30" s="319"/>
      <c r="K30" s="319"/>
      <c r="L30" s="319"/>
      <c r="M30" s="319"/>
      <c r="N30" s="319"/>
      <c r="O30" s="320"/>
      <c r="P30" s="319"/>
      <c r="Q30" s="319"/>
      <c r="R30" s="319"/>
      <c r="S30" s="319"/>
      <c r="T30" s="319"/>
      <c r="U30" s="319"/>
      <c r="V30" s="319"/>
      <c r="W30" s="319"/>
      <c r="X30" s="319"/>
      <c r="Y30" s="319"/>
      <c r="Z30" s="319"/>
      <c r="AA30" s="319"/>
      <c r="AB30" s="319"/>
      <c r="AC30" s="319"/>
      <c r="AD30" s="319"/>
      <c r="AE30" s="319"/>
      <c r="AF30" s="319"/>
      <c r="AG30" s="319"/>
      <c r="AH30" s="319"/>
      <c r="AI30" s="319"/>
      <c r="AJ30" s="319"/>
    </row>
    <row r="31" spans="2:36" s="318" customFormat="1" ht="15" x14ac:dyDescent="0.25">
      <c r="B31" s="316"/>
      <c r="C31" s="316"/>
      <c r="D31" s="317"/>
      <c r="I31" s="319"/>
      <c r="J31" s="319"/>
      <c r="K31" s="319"/>
      <c r="L31" s="319"/>
      <c r="M31" s="319"/>
      <c r="N31" s="319"/>
      <c r="O31" s="320"/>
      <c r="P31" s="319"/>
      <c r="Q31" s="319"/>
      <c r="R31" s="319"/>
      <c r="S31" s="319"/>
      <c r="T31" s="319"/>
      <c r="U31" s="319"/>
      <c r="V31" s="319"/>
      <c r="W31" s="319"/>
      <c r="X31" s="319"/>
      <c r="Y31" s="319"/>
      <c r="Z31" s="319"/>
      <c r="AA31" s="319"/>
      <c r="AB31" s="319"/>
      <c r="AC31" s="319"/>
      <c r="AD31" s="319"/>
      <c r="AE31" s="319"/>
      <c r="AF31" s="319"/>
      <c r="AG31" s="319"/>
      <c r="AH31" s="319"/>
      <c r="AI31" s="319"/>
      <c r="AJ31" s="319"/>
    </row>
    <row r="32" spans="2:36" s="292" customFormat="1" x14ac:dyDescent="0.3">
      <c r="B32" s="296" t="s">
        <v>104</v>
      </c>
      <c r="C32" s="296"/>
      <c r="D32" s="297"/>
      <c r="E32" s="297"/>
      <c r="F32" s="297">
        <f t="shared" ref="F32:AH32" si="2">+F28+F25+F21</f>
        <v>0</v>
      </c>
      <c r="G32" s="297">
        <f t="shared" si="2"/>
        <v>0</v>
      </c>
      <c r="H32" s="297">
        <f t="shared" si="2"/>
        <v>0</v>
      </c>
      <c r="I32" s="297">
        <f t="shared" si="2"/>
        <v>0</v>
      </c>
      <c r="J32" s="297">
        <f t="shared" si="2"/>
        <v>0</v>
      </c>
      <c r="K32" s="297">
        <f t="shared" si="2"/>
        <v>0</v>
      </c>
      <c r="L32" s="297">
        <f t="shared" si="2"/>
        <v>0</v>
      </c>
      <c r="M32" s="297">
        <f t="shared" si="2"/>
        <v>0</v>
      </c>
      <c r="N32" s="297">
        <f t="shared" si="2"/>
        <v>0</v>
      </c>
      <c r="O32" s="297">
        <f t="shared" si="2"/>
        <v>0</v>
      </c>
      <c r="P32" s="297">
        <f t="shared" si="2"/>
        <v>0</v>
      </c>
      <c r="Q32" s="297">
        <f t="shared" si="2"/>
        <v>0</v>
      </c>
      <c r="R32" s="297">
        <f t="shared" si="2"/>
        <v>0</v>
      </c>
      <c r="S32" s="321">
        <f t="shared" si="2"/>
        <v>8303000</v>
      </c>
      <c r="T32" s="321">
        <f t="shared" si="2"/>
        <v>458620.35649999999</v>
      </c>
      <c r="U32" s="321">
        <f t="shared" si="2"/>
        <v>458620.31999999995</v>
      </c>
      <c r="V32" s="321">
        <f t="shared" si="2"/>
        <v>0</v>
      </c>
      <c r="W32" s="321">
        <f t="shared" si="2"/>
        <v>0</v>
      </c>
      <c r="X32" s="321">
        <f t="shared" si="2"/>
        <v>13525</v>
      </c>
      <c r="Y32" s="321">
        <f t="shared" si="2"/>
        <v>22222.54</v>
      </c>
      <c r="Z32" s="321">
        <f t="shared" si="2"/>
        <v>112722.54</v>
      </c>
      <c r="AA32" s="321">
        <f t="shared" si="2"/>
        <v>442.54</v>
      </c>
      <c r="AB32" s="321">
        <f t="shared" si="2"/>
        <v>0</v>
      </c>
      <c r="AC32" s="321">
        <f t="shared" si="2"/>
        <v>0</v>
      </c>
      <c r="AD32" s="321">
        <f t="shared" si="2"/>
        <v>0</v>
      </c>
      <c r="AE32" s="321">
        <f t="shared" si="2"/>
        <v>3323749.9999999995</v>
      </c>
      <c r="AF32" s="321">
        <f t="shared" si="2"/>
        <v>0</v>
      </c>
      <c r="AG32" s="321">
        <f t="shared" si="2"/>
        <v>0</v>
      </c>
      <c r="AH32" s="321">
        <f t="shared" si="2"/>
        <v>0</v>
      </c>
      <c r="AI32" s="322"/>
      <c r="AJ32" s="322"/>
    </row>
    <row r="33" spans="1:32" s="323" customFormat="1" x14ac:dyDescent="0.3">
      <c r="B33" s="323" t="s">
        <v>0</v>
      </c>
      <c r="C33" s="324"/>
      <c r="D33" s="325"/>
      <c r="F33" s="323">
        <f>+F32</f>
        <v>0</v>
      </c>
      <c r="G33" s="323">
        <f>+G32-F32</f>
        <v>0</v>
      </c>
      <c r="H33" s="323">
        <f t="shared" ref="H33:S33" si="3">+H32-G32</f>
        <v>0</v>
      </c>
      <c r="I33" s="323">
        <f t="shared" si="3"/>
        <v>0</v>
      </c>
      <c r="J33" s="323">
        <f t="shared" si="3"/>
        <v>0</v>
      </c>
      <c r="K33" s="323">
        <f t="shared" si="3"/>
        <v>0</v>
      </c>
      <c r="L33" s="323">
        <f t="shared" si="3"/>
        <v>0</v>
      </c>
      <c r="M33" s="323">
        <f t="shared" si="3"/>
        <v>0</v>
      </c>
      <c r="N33" s="323">
        <f t="shared" si="3"/>
        <v>0</v>
      </c>
      <c r="O33" s="323">
        <f t="shared" si="3"/>
        <v>0</v>
      </c>
      <c r="P33" s="323">
        <f t="shared" si="3"/>
        <v>0</v>
      </c>
      <c r="Q33" s="323">
        <f t="shared" si="3"/>
        <v>0</v>
      </c>
      <c r="R33" s="323">
        <f t="shared" si="3"/>
        <v>0</v>
      </c>
      <c r="S33" s="323">
        <f t="shared" si="3"/>
        <v>8303000</v>
      </c>
      <c r="T33" s="323">
        <f>+T32-S32</f>
        <v>-7844379.6435000002</v>
      </c>
      <c r="U33" s="323">
        <f t="shared" ref="U33:AB33" si="4">+U32-T32</f>
        <v>-3.6500000045634806E-2</v>
      </c>
      <c r="V33" s="323">
        <f t="shared" si="4"/>
        <v>-458620.31999999995</v>
      </c>
      <c r="W33" s="323">
        <f t="shared" si="4"/>
        <v>0</v>
      </c>
      <c r="X33" s="323">
        <f t="shared" si="4"/>
        <v>13525</v>
      </c>
      <c r="Y33" s="323">
        <f t="shared" si="4"/>
        <v>8697.5400000000009</v>
      </c>
      <c r="Z33" s="323">
        <f t="shared" si="4"/>
        <v>90500</v>
      </c>
      <c r="AA33" s="323">
        <f t="shared" si="4"/>
        <v>-112280</v>
      </c>
      <c r="AB33" s="323">
        <f t="shared" si="4"/>
        <v>-442.54</v>
      </c>
      <c r="AC33" s="323">
        <f>+AC32-AB32</f>
        <v>0</v>
      </c>
      <c r="AD33" s="323">
        <f>+AD32-AC32</f>
        <v>0</v>
      </c>
      <c r="AE33" s="323">
        <f>+AE32-AD32</f>
        <v>3323749.9999999995</v>
      </c>
      <c r="AF33" s="323">
        <f>+AF32-AE32</f>
        <v>-3323749.9999999995</v>
      </c>
    </row>
    <row r="35" spans="1:32" s="261" customFormat="1" x14ac:dyDescent="0.3">
      <c r="C35" s="262"/>
      <c r="D35" s="263"/>
      <c r="E35" s="264"/>
      <c r="F35" s="264"/>
      <c r="G35" s="264"/>
      <c r="H35" s="264"/>
      <c r="I35" s="264"/>
      <c r="J35" s="265"/>
      <c r="K35" s="265"/>
      <c r="L35" s="265"/>
      <c r="M35" s="265"/>
      <c r="N35" s="265"/>
      <c r="O35" s="265"/>
      <c r="P35" s="265"/>
      <c r="Q35" s="265"/>
      <c r="R35" s="265"/>
      <c r="S35" s="265"/>
      <c r="T35" s="156"/>
      <c r="U35" s="156"/>
      <c r="V35" s="265"/>
      <c r="W35" s="265"/>
      <c r="X35" s="265"/>
      <c r="Y35" s="265"/>
      <c r="Z35" s="265"/>
      <c r="AA35" s="265"/>
      <c r="AB35" s="265"/>
      <c r="AC35" s="265"/>
    </row>
    <row r="36" spans="1:32" s="261" customFormat="1" x14ac:dyDescent="0.3">
      <c r="C36" s="262"/>
      <c r="D36" s="263"/>
      <c r="E36" s="264"/>
      <c r="F36" s="264"/>
      <c r="G36" s="264"/>
      <c r="H36" s="264"/>
      <c r="I36" s="264"/>
      <c r="J36" s="265"/>
      <c r="K36" s="265"/>
      <c r="L36" s="265"/>
      <c r="M36" s="265"/>
      <c r="N36" s="265"/>
      <c r="O36" s="265"/>
      <c r="P36" s="265"/>
      <c r="Q36" s="265"/>
      <c r="R36" s="265"/>
      <c r="S36" s="265"/>
      <c r="T36" s="265"/>
      <c r="U36" s="265"/>
      <c r="V36" s="265"/>
      <c r="W36" s="265"/>
      <c r="X36" s="265"/>
      <c r="Y36" s="265"/>
      <c r="Z36" s="265"/>
      <c r="AA36" s="265"/>
      <c r="AB36" s="265"/>
      <c r="AC36" s="265"/>
    </row>
    <row r="37" spans="1:32" x14ac:dyDescent="0.3">
      <c r="J37" s="266"/>
      <c r="K37" s="266"/>
      <c r="L37" s="267"/>
      <c r="M37" s="266"/>
      <c r="N37" s="266"/>
      <c r="O37" s="266"/>
      <c r="P37" s="266"/>
      <c r="Q37" s="266"/>
      <c r="R37" s="266"/>
      <c r="S37" s="266"/>
      <c r="T37" s="266"/>
      <c r="U37" s="266"/>
    </row>
    <row r="38" spans="1:32" x14ac:dyDescent="0.3">
      <c r="B38" s="219" t="s">
        <v>468</v>
      </c>
      <c r="C38" s="217"/>
      <c r="D38" s="217"/>
    </row>
    <row r="39" spans="1:32" s="270" customFormat="1" x14ac:dyDescent="0.3">
      <c r="A39" s="261"/>
      <c r="B39" s="268"/>
      <c r="C39" s="269">
        <v>1989</v>
      </c>
      <c r="D39" s="269">
        <v>1990</v>
      </c>
      <c r="E39" s="269">
        <v>1991</v>
      </c>
      <c r="F39" s="269">
        <v>1992</v>
      </c>
      <c r="G39" s="269">
        <v>1993</v>
      </c>
      <c r="H39" s="269">
        <v>1994</v>
      </c>
      <c r="I39" s="269">
        <v>1995</v>
      </c>
      <c r="J39" s="269">
        <v>1996</v>
      </c>
      <c r="K39" s="269">
        <v>1997</v>
      </c>
      <c r="L39" s="269">
        <v>1998</v>
      </c>
      <c r="M39" s="269">
        <v>1999</v>
      </c>
      <c r="N39" s="269">
        <v>2000</v>
      </c>
      <c r="O39" s="269">
        <v>2001</v>
      </c>
      <c r="P39" s="269">
        <v>2002</v>
      </c>
      <c r="Q39" s="269">
        <v>2003</v>
      </c>
      <c r="R39" s="269">
        <v>2004</v>
      </c>
      <c r="S39" s="269">
        <v>2005</v>
      </c>
      <c r="T39" s="269">
        <v>2006</v>
      </c>
      <c r="U39" s="269">
        <v>2007</v>
      </c>
      <c r="V39" s="269">
        <v>2008</v>
      </c>
      <c r="W39" s="269">
        <v>2009</v>
      </c>
      <c r="X39" s="269">
        <v>2010</v>
      </c>
      <c r="Y39" s="269">
        <v>2011</v>
      </c>
      <c r="Z39" s="269">
        <v>2012</v>
      </c>
      <c r="AA39" s="269" t="s">
        <v>463</v>
      </c>
    </row>
    <row r="40" spans="1:32" s="273" customFormat="1" x14ac:dyDescent="0.3">
      <c r="A40" s="85"/>
      <c r="B40" s="271" t="s">
        <v>420</v>
      </c>
      <c r="C40" s="272">
        <f>+C42</f>
        <v>0</v>
      </c>
      <c r="D40" s="272">
        <f t="shared" ref="D40:AA40" si="5">+D42</f>
        <v>0</v>
      </c>
      <c r="E40" s="272">
        <f t="shared" si="5"/>
        <v>0</v>
      </c>
      <c r="F40" s="272">
        <f t="shared" si="5"/>
        <v>0</v>
      </c>
      <c r="G40" s="272">
        <f t="shared" si="5"/>
        <v>0</v>
      </c>
      <c r="H40" s="272">
        <f t="shared" si="5"/>
        <v>0</v>
      </c>
      <c r="I40" s="272">
        <f t="shared" si="5"/>
        <v>0</v>
      </c>
      <c r="J40" s="272">
        <f t="shared" si="5"/>
        <v>0</v>
      </c>
      <c r="K40" s="272">
        <f t="shared" si="5"/>
        <v>0</v>
      </c>
      <c r="L40" s="272">
        <f t="shared" si="5"/>
        <v>0</v>
      </c>
      <c r="M40" s="272">
        <f t="shared" si="5"/>
        <v>0</v>
      </c>
      <c r="N40" s="272">
        <f t="shared" si="5"/>
        <v>0</v>
      </c>
      <c r="O40" s="272">
        <f t="shared" si="5"/>
        <v>0</v>
      </c>
      <c r="P40" s="272">
        <f t="shared" si="5"/>
        <v>0</v>
      </c>
      <c r="Q40" s="272">
        <f t="shared" si="5"/>
        <v>0</v>
      </c>
      <c r="R40" s="272">
        <f t="shared" si="5"/>
        <v>0</v>
      </c>
      <c r="S40" s="272">
        <f t="shared" si="5"/>
        <v>0</v>
      </c>
      <c r="T40" s="272">
        <f t="shared" si="5"/>
        <v>0</v>
      </c>
      <c r="U40" s="272">
        <f>SUM(U41:U42)</f>
        <v>15557600</v>
      </c>
      <c r="V40" s="272">
        <f t="shared" si="5"/>
        <v>-7844379.6435000002</v>
      </c>
      <c r="W40" s="272">
        <f t="shared" si="5"/>
        <v>-3.6500000045634806E-2</v>
      </c>
      <c r="X40" s="272">
        <f t="shared" si="5"/>
        <v>-458620.31999999995</v>
      </c>
      <c r="Y40" s="272">
        <f t="shared" si="5"/>
        <v>0</v>
      </c>
      <c r="Z40" s="272">
        <f t="shared" si="5"/>
        <v>13525</v>
      </c>
      <c r="AA40" s="272">
        <f t="shared" si="5"/>
        <v>8697.5400000000009</v>
      </c>
    </row>
    <row r="41" spans="1:32" s="85" customFormat="1" x14ac:dyDescent="0.3">
      <c r="B41" s="84" t="e">
        <f>+#REF!</f>
        <v>#REF!</v>
      </c>
      <c r="C41" s="87"/>
      <c r="D41" s="87"/>
      <c r="E41" s="87"/>
      <c r="F41" s="87"/>
      <c r="G41" s="87"/>
      <c r="H41" s="87"/>
      <c r="I41" s="87"/>
      <c r="J41" s="87"/>
      <c r="K41" s="87"/>
      <c r="L41" s="87"/>
      <c r="M41" s="87"/>
      <c r="N41" s="87"/>
      <c r="O41" s="87"/>
      <c r="P41" s="87"/>
      <c r="Q41" s="87"/>
      <c r="R41" s="87"/>
      <c r="S41" s="87"/>
      <c r="T41" s="87"/>
      <c r="U41" s="87">
        <v>7254600</v>
      </c>
      <c r="V41" s="87"/>
      <c r="W41" s="87"/>
      <c r="X41" s="87"/>
      <c r="Y41" s="87"/>
      <c r="Z41" s="87"/>
      <c r="AA41" s="87"/>
    </row>
    <row r="42" spans="1:32" s="261" customFormat="1" x14ac:dyDescent="0.3">
      <c r="B42" s="262" t="s">
        <v>0</v>
      </c>
      <c r="C42" s="264">
        <v>0</v>
      </c>
      <c r="D42" s="264">
        <v>0</v>
      </c>
      <c r="E42" s="264">
        <v>0</v>
      </c>
      <c r="F42" s="264">
        <v>0</v>
      </c>
      <c r="G42" s="264">
        <v>0</v>
      </c>
      <c r="H42" s="264">
        <v>0</v>
      </c>
      <c r="I42" s="264">
        <v>0</v>
      </c>
      <c r="J42" s="264">
        <v>0</v>
      </c>
      <c r="K42" s="264">
        <v>0</v>
      </c>
      <c r="L42" s="264">
        <v>0</v>
      </c>
      <c r="M42" s="264">
        <v>0</v>
      </c>
      <c r="N42" s="264">
        <v>0</v>
      </c>
      <c r="O42" s="264">
        <v>0</v>
      </c>
      <c r="P42" s="264">
        <v>0</v>
      </c>
      <c r="Q42" s="264">
        <v>0</v>
      </c>
      <c r="R42" s="264">
        <v>0</v>
      </c>
      <c r="S42" s="264">
        <v>0</v>
      </c>
      <c r="T42" s="264">
        <v>0</v>
      </c>
      <c r="U42" s="264">
        <f t="shared" ref="U42:AA42" si="6">+S33</f>
        <v>8303000</v>
      </c>
      <c r="V42" s="264">
        <f t="shared" si="6"/>
        <v>-7844379.6435000002</v>
      </c>
      <c r="W42" s="264">
        <f t="shared" si="6"/>
        <v>-3.6500000045634806E-2</v>
      </c>
      <c r="X42" s="264">
        <f t="shared" si="6"/>
        <v>-458620.31999999995</v>
      </c>
      <c r="Y42" s="264">
        <f t="shared" si="6"/>
        <v>0</v>
      </c>
      <c r="Z42" s="264">
        <f t="shared" si="6"/>
        <v>13525</v>
      </c>
      <c r="AA42" s="264">
        <f t="shared" si="6"/>
        <v>8697.5400000000009</v>
      </c>
    </row>
    <row r="43" spans="1:32" s="277" customFormat="1" x14ac:dyDescent="0.3">
      <c r="A43" s="274"/>
      <c r="B43" s="275" t="s">
        <v>421</v>
      </c>
      <c r="C43" s="276">
        <f>+C44+C45+C46</f>
        <v>22066.328000000001</v>
      </c>
      <c r="D43" s="276">
        <f t="shared" ref="D43:AA43" si="7">+D44+D45+D46</f>
        <v>66198.983999999997</v>
      </c>
      <c r="E43" s="276">
        <f t="shared" si="7"/>
        <v>66198.983999999997</v>
      </c>
      <c r="F43" s="276">
        <f t="shared" si="7"/>
        <v>66198.983999999997</v>
      </c>
      <c r="G43" s="276">
        <f t="shared" si="7"/>
        <v>83433.026553191477</v>
      </c>
      <c r="H43" s="276">
        <f t="shared" si="7"/>
        <v>80541.588863221885</v>
      </c>
      <c r="I43" s="276">
        <f t="shared" si="7"/>
        <v>76043.983999999997</v>
      </c>
      <c r="J43" s="276">
        <f t="shared" si="7"/>
        <v>73026.66581818182</v>
      </c>
      <c r="K43" s="276">
        <f t="shared" si="7"/>
        <v>77169.711272727262</v>
      </c>
      <c r="L43" s="276">
        <f t="shared" si="7"/>
        <v>80245.983999999997</v>
      </c>
      <c r="M43" s="276">
        <f t="shared" si="7"/>
        <v>80660.395764705871</v>
      </c>
      <c r="N43" s="276">
        <f t="shared" si="7"/>
        <v>77801.572235294108</v>
      </c>
      <c r="O43" s="276">
        <f t="shared" si="7"/>
        <v>82475.483999999997</v>
      </c>
      <c r="P43" s="276">
        <f t="shared" si="7"/>
        <v>86448.983999999997</v>
      </c>
      <c r="Q43" s="276">
        <f t="shared" si="7"/>
        <v>88812.983999999997</v>
      </c>
      <c r="R43" s="276">
        <f t="shared" si="7"/>
        <v>98673.726857142843</v>
      </c>
      <c r="S43" s="276">
        <f t="shared" si="7"/>
        <v>82946.383999999991</v>
      </c>
      <c r="T43" s="276">
        <f t="shared" si="7"/>
        <v>121506.32374358975</v>
      </c>
      <c r="U43" s="276">
        <f t="shared" si="7"/>
        <v>501227.989</v>
      </c>
      <c r="V43" s="276">
        <f t="shared" si="7"/>
        <v>135535.484</v>
      </c>
      <c r="W43" s="276">
        <f t="shared" si="7"/>
        <v>148878.12685714284</v>
      </c>
      <c r="X43" s="276">
        <f t="shared" si="7"/>
        <v>165180.34114285716</v>
      </c>
      <c r="Y43" s="276">
        <f t="shared" si="7"/>
        <v>178655.984</v>
      </c>
      <c r="Z43" s="276">
        <f t="shared" si="7"/>
        <v>403261.09938461537</v>
      </c>
      <c r="AA43" s="276">
        <f t="shared" si="7"/>
        <v>103054.05369230769</v>
      </c>
    </row>
    <row r="44" spans="1:32" s="278" customFormat="1" x14ac:dyDescent="0.3">
      <c r="B44" s="279" t="s">
        <v>417</v>
      </c>
      <c r="C44" s="280">
        <f t="shared" ref="C44:AA44" si="8">+E11</f>
        <v>0</v>
      </c>
      <c r="D44" s="280">
        <f t="shared" si="8"/>
        <v>0</v>
      </c>
      <c r="E44" s="280">
        <f t="shared" si="8"/>
        <v>0</v>
      </c>
      <c r="F44" s="280">
        <f t="shared" si="8"/>
        <v>0</v>
      </c>
      <c r="G44" s="280">
        <f t="shared" si="8"/>
        <v>17234.042553191488</v>
      </c>
      <c r="H44" s="280">
        <f t="shared" si="8"/>
        <v>14342.604863221884</v>
      </c>
      <c r="I44" s="280">
        <f t="shared" si="8"/>
        <v>9845</v>
      </c>
      <c r="J44" s="280">
        <f t="shared" si="8"/>
        <v>6827.681818181818</v>
      </c>
      <c r="K44" s="280">
        <f t="shared" si="8"/>
        <v>10970.727272727272</v>
      </c>
      <c r="L44" s="280">
        <f t="shared" si="8"/>
        <v>14047</v>
      </c>
      <c r="M44" s="280">
        <f t="shared" si="8"/>
        <v>14461.411764705881</v>
      </c>
      <c r="N44" s="280">
        <f t="shared" si="8"/>
        <v>11602.588235294117</v>
      </c>
      <c r="O44" s="280">
        <f t="shared" si="8"/>
        <v>16276.5</v>
      </c>
      <c r="P44" s="280">
        <f t="shared" si="8"/>
        <v>20250</v>
      </c>
      <c r="Q44" s="280">
        <f t="shared" si="8"/>
        <v>22614</v>
      </c>
      <c r="R44" s="280">
        <f t="shared" si="8"/>
        <v>32474.742857142854</v>
      </c>
      <c r="S44" s="280">
        <f t="shared" si="8"/>
        <v>16747.400000000001</v>
      </c>
      <c r="T44" s="280">
        <f t="shared" si="8"/>
        <v>55307.339743589742</v>
      </c>
      <c r="U44" s="280">
        <f t="shared" si="8"/>
        <v>62764</v>
      </c>
      <c r="V44" s="280">
        <f t="shared" si="8"/>
        <v>69336.5</v>
      </c>
      <c r="W44" s="280">
        <f t="shared" si="8"/>
        <v>82679.142857142855</v>
      </c>
      <c r="X44" s="280">
        <f t="shared" si="8"/>
        <v>98981.357142857145</v>
      </c>
      <c r="Y44" s="280">
        <f t="shared" si="8"/>
        <v>112457</v>
      </c>
      <c r="Z44" s="280">
        <f t="shared" si="8"/>
        <v>115862.11538461538</v>
      </c>
      <c r="AA44" s="280">
        <f t="shared" si="8"/>
        <v>29354.307692307691</v>
      </c>
    </row>
    <row r="45" spans="1:32" s="278" customFormat="1" x14ac:dyDescent="0.3">
      <c r="B45" s="279" t="s">
        <v>418</v>
      </c>
      <c r="C45" s="280">
        <f t="shared" ref="C45:AA45" si="9">+E16</f>
        <v>22066.328000000001</v>
      </c>
      <c r="D45" s="280">
        <f t="shared" si="9"/>
        <v>66198.983999999997</v>
      </c>
      <c r="E45" s="280">
        <f t="shared" si="9"/>
        <v>66198.983999999997</v>
      </c>
      <c r="F45" s="280">
        <f t="shared" si="9"/>
        <v>66198.983999999997</v>
      </c>
      <c r="G45" s="280">
        <f t="shared" si="9"/>
        <v>66198.983999999997</v>
      </c>
      <c r="H45" s="280">
        <f t="shared" si="9"/>
        <v>66198.983999999997</v>
      </c>
      <c r="I45" s="280">
        <f t="shared" si="9"/>
        <v>66198.983999999997</v>
      </c>
      <c r="J45" s="280">
        <f t="shared" si="9"/>
        <v>66198.983999999997</v>
      </c>
      <c r="K45" s="280">
        <f t="shared" si="9"/>
        <v>66198.983999999997</v>
      </c>
      <c r="L45" s="280">
        <f t="shared" si="9"/>
        <v>66198.983999999997</v>
      </c>
      <c r="M45" s="280">
        <f t="shared" si="9"/>
        <v>66198.983999999997</v>
      </c>
      <c r="N45" s="280">
        <f t="shared" si="9"/>
        <v>66198.983999999997</v>
      </c>
      <c r="O45" s="280">
        <f t="shared" si="9"/>
        <v>66198.983999999997</v>
      </c>
      <c r="P45" s="280">
        <f t="shared" si="9"/>
        <v>66198.983999999997</v>
      </c>
      <c r="Q45" s="280">
        <f t="shared" si="9"/>
        <v>66198.983999999997</v>
      </c>
      <c r="R45" s="280">
        <f t="shared" si="9"/>
        <v>66198.983999999997</v>
      </c>
      <c r="S45" s="280">
        <f t="shared" si="9"/>
        <v>66198.983999999997</v>
      </c>
      <c r="T45" s="280">
        <f t="shared" si="9"/>
        <v>66198.983999999997</v>
      </c>
      <c r="U45" s="280">
        <f t="shared" si="9"/>
        <v>66198.983999999997</v>
      </c>
      <c r="V45" s="280">
        <f t="shared" si="9"/>
        <v>66198.983999999997</v>
      </c>
      <c r="W45" s="280">
        <f t="shared" si="9"/>
        <v>66198.983999999997</v>
      </c>
      <c r="X45" s="280">
        <f t="shared" si="9"/>
        <v>66198.983999999997</v>
      </c>
      <c r="Y45" s="280">
        <f t="shared" si="9"/>
        <v>66198.983999999997</v>
      </c>
      <c r="Z45" s="280">
        <f t="shared" si="9"/>
        <v>287398.984</v>
      </c>
      <c r="AA45" s="280">
        <f t="shared" si="9"/>
        <v>73699.745999999999</v>
      </c>
    </row>
    <row r="46" spans="1:32" s="278" customFormat="1" x14ac:dyDescent="0.3">
      <c r="B46" s="279" t="s">
        <v>422</v>
      </c>
      <c r="C46" s="280"/>
      <c r="D46" s="280"/>
      <c r="E46" s="280"/>
      <c r="F46" s="280"/>
      <c r="G46" s="280"/>
      <c r="H46" s="280"/>
      <c r="I46" s="280"/>
      <c r="J46" s="280"/>
      <c r="K46" s="280"/>
      <c r="L46" s="280"/>
      <c r="M46" s="280"/>
      <c r="N46" s="280"/>
      <c r="O46" s="280"/>
      <c r="P46" s="280"/>
      <c r="Q46" s="280"/>
      <c r="R46" s="280"/>
      <c r="S46" s="280"/>
      <c r="T46" s="280"/>
      <c r="U46" s="280">
        <v>372265.005</v>
      </c>
      <c r="V46" s="280"/>
      <c r="W46" s="280"/>
      <c r="X46" s="280"/>
      <c r="Y46" s="280"/>
      <c r="Z46" s="280"/>
      <c r="AA46" s="280"/>
    </row>
    <row r="47" spans="1:32" s="283" customFormat="1" x14ac:dyDescent="0.3">
      <c r="A47" s="151"/>
      <c r="B47" s="281" t="s">
        <v>191</v>
      </c>
      <c r="C47" s="282">
        <f>+C43*0.66</f>
        <v>14563.776480000002</v>
      </c>
      <c r="D47" s="282">
        <f t="shared" ref="D47:M47" si="10">+D43*0.66</f>
        <v>43691.329440000001</v>
      </c>
      <c r="E47" s="282">
        <f t="shared" si="10"/>
        <v>43691.329440000001</v>
      </c>
      <c r="F47" s="282">
        <f t="shared" si="10"/>
        <v>43691.329440000001</v>
      </c>
      <c r="G47" s="282">
        <f t="shared" si="10"/>
        <v>55065.797525106376</v>
      </c>
      <c r="H47" s="282">
        <f t="shared" si="10"/>
        <v>53157.448649726444</v>
      </c>
      <c r="I47" s="282">
        <f t="shared" si="10"/>
        <v>50189.029439999998</v>
      </c>
      <c r="J47" s="282">
        <f t="shared" si="10"/>
        <v>48197.599440000005</v>
      </c>
      <c r="K47" s="282">
        <f t="shared" si="10"/>
        <v>50932.009439999994</v>
      </c>
      <c r="L47" s="282">
        <f t="shared" si="10"/>
        <v>52962.349439999998</v>
      </c>
      <c r="M47" s="282">
        <f t="shared" si="10"/>
        <v>53235.861204705878</v>
      </c>
      <c r="N47" s="282">
        <v>216000</v>
      </c>
      <c r="O47" s="282">
        <v>216000</v>
      </c>
      <c r="P47" s="282">
        <v>187788</v>
      </c>
      <c r="Q47" s="282">
        <v>187928</v>
      </c>
      <c r="R47" s="282">
        <v>187928</v>
      </c>
      <c r="S47" s="282">
        <v>219114</v>
      </c>
      <c r="T47" s="282">
        <v>219114</v>
      </c>
      <c r="U47" s="282">
        <v>273240</v>
      </c>
      <c r="V47" s="282">
        <v>273240</v>
      </c>
      <c r="W47" s="282">
        <v>273240</v>
      </c>
      <c r="X47" s="282">
        <v>273240</v>
      </c>
      <c r="Y47" s="282">
        <v>273240</v>
      </c>
      <c r="Z47" s="282">
        <v>279096</v>
      </c>
      <c r="AA47" s="282">
        <f>279096/12*3</f>
        <v>69774</v>
      </c>
    </row>
    <row r="48" spans="1:32" s="289" customFormat="1" x14ac:dyDescent="0.3">
      <c r="B48" s="290" t="s">
        <v>419</v>
      </c>
      <c r="C48" s="291">
        <f t="shared" ref="C48:U48" si="11">+C43-C40-C47</f>
        <v>7502.5515199999991</v>
      </c>
      <c r="D48" s="291">
        <f t="shared" si="11"/>
        <v>22507.654559999995</v>
      </c>
      <c r="E48" s="291">
        <f t="shared" si="11"/>
        <v>22507.654559999995</v>
      </c>
      <c r="F48" s="291">
        <f t="shared" si="11"/>
        <v>22507.654559999995</v>
      </c>
      <c r="G48" s="291">
        <f t="shared" si="11"/>
        <v>28367.229028085101</v>
      </c>
      <c r="H48" s="291">
        <f t="shared" si="11"/>
        <v>27384.140213495441</v>
      </c>
      <c r="I48" s="291">
        <f t="shared" si="11"/>
        <v>25854.954559999998</v>
      </c>
      <c r="J48" s="291">
        <f t="shared" si="11"/>
        <v>24829.066378181815</v>
      </c>
      <c r="K48" s="291">
        <f t="shared" si="11"/>
        <v>26237.701832727267</v>
      </c>
      <c r="L48" s="291">
        <f t="shared" si="11"/>
        <v>27283.634559999999</v>
      </c>
      <c r="M48" s="291">
        <f t="shared" si="11"/>
        <v>27424.534559999993</v>
      </c>
      <c r="N48" s="291">
        <f t="shared" si="11"/>
        <v>-138198.42776470591</v>
      </c>
      <c r="O48" s="291">
        <f t="shared" si="11"/>
        <v>-133524.516</v>
      </c>
      <c r="P48" s="291">
        <f t="shared" si="11"/>
        <v>-101339.016</v>
      </c>
      <c r="Q48" s="291">
        <f t="shared" si="11"/>
        <v>-99115.016000000003</v>
      </c>
      <c r="R48" s="291">
        <f t="shared" si="11"/>
        <v>-89254.273142857157</v>
      </c>
      <c r="S48" s="291">
        <f t="shared" si="11"/>
        <v>-136167.61600000001</v>
      </c>
      <c r="T48" s="291">
        <f t="shared" si="11"/>
        <v>-97607.676256410254</v>
      </c>
      <c r="U48" s="291">
        <f t="shared" si="11"/>
        <v>-15329612.011</v>
      </c>
      <c r="V48" s="291">
        <f t="shared" ref="V48:AA48" si="12">+V43-V40-V47</f>
        <v>7706675.1275000004</v>
      </c>
      <c r="W48" s="291">
        <f t="shared" si="12"/>
        <v>-124361.83664285712</v>
      </c>
      <c r="X48" s="291">
        <f t="shared" si="12"/>
        <v>350560.66114285705</v>
      </c>
      <c r="Y48" s="291">
        <f t="shared" si="12"/>
        <v>-94584.016000000003</v>
      </c>
      <c r="Z48" s="291">
        <f t="shared" si="12"/>
        <v>110640.09938461537</v>
      </c>
      <c r="AA48" s="291">
        <f t="shared" si="12"/>
        <v>24582.513692307693</v>
      </c>
      <c r="AB48" s="291"/>
    </row>
    <row r="49" spans="3:29" s="284" customFormat="1" x14ac:dyDescent="0.3">
      <c r="C49" s="285"/>
      <c r="D49" s="285"/>
      <c r="E49" s="286"/>
      <c r="F49" s="286"/>
      <c r="G49" s="286"/>
      <c r="H49" s="286"/>
      <c r="I49" s="286"/>
      <c r="J49" s="287"/>
      <c r="K49" s="287"/>
      <c r="L49" s="287"/>
      <c r="M49" s="287"/>
      <c r="N49" s="287"/>
      <c r="O49" s="287"/>
      <c r="P49" s="287"/>
      <c r="Q49" s="287"/>
      <c r="R49" s="287"/>
      <c r="S49" s="287"/>
      <c r="T49" s="287"/>
      <c r="U49" s="287"/>
      <c r="V49" s="287"/>
      <c r="W49" s="287"/>
      <c r="X49" s="287"/>
      <c r="Y49" s="287"/>
      <c r="Z49" s="287"/>
      <c r="AA49" s="287"/>
      <c r="AB49" s="287"/>
      <c r="AC49" s="287"/>
    </row>
    <row r="50" spans="3:29" s="261" customFormat="1" x14ac:dyDescent="0.3">
      <c r="C50" s="262"/>
      <c r="D50" s="263"/>
      <c r="E50" s="264"/>
      <c r="F50" s="264"/>
      <c r="G50" s="264"/>
      <c r="H50" s="264"/>
      <c r="I50" s="264"/>
      <c r="J50" s="265"/>
      <c r="K50" s="265"/>
      <c r="L50" s="265"/>
      <c r="M50" s="265"/>
      <c r="N50" s="265"/>
      <c r="O50" s="265"/>
      <c r="P50" s="265"/>
      <c r="Q50" s="265"/>
      <c r="R50" s="265"/>
      <c r="S50" s="265"/>
      <c r="T50" s="265"/>
      <c r="U50" s="265"/>
      <c r="V50" s="265"/>
      <c r="W50" s="265"/>
      <c r="X50" s="265"/>
      <c r="Y50" s="265"/>
      <c r="Z50" s="265"/>
      <c r="AA50" s="265"/>
      <c r="AB50" s="265"/>
      <c r="AC50" s="265"/>
    </row>
    <row r="53" spans="3:29" x14ac:dyDescent="0.3">
      <c r="X53" s="221"/>
      <c r="Y53" s="221"/>
    </row>
    <row r="54" spans="3:29" x14ac:dyDescent="0.3">
      <c r="X54" s="221"/>
      <c r="Y54" s="221"/>
    </row>
    <row r="55" spans="3:29" x14ac:dyDescent="0.3">
      <c r="X55" s="288"/>
      <c r="Y55" s="288"/>
    </row>
    <row r="56" spans="3:29" x14ac:dyDescent="0.3">
      <c r="X56" s="221"/>
      <c r="Y56" s="221"/>
    </row>
    <row r="60" spans="3:29" x14ac:dyDescent="0.3">
      <c r="X60" s="221"/>
      <c r="Y60" s="221"/>
    </row>
  </sheetData>
  <pageMargins left="0.7" right="0.7" top="0.75" bottom="0.75" header="0.3" footer="0.3"/>
  <pageSetup orientation="portrait"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2:AA79"/>
  <sheetViews>
    <sheetView zoomScale="70" zoomScaleNormal="70" workbookViewId="0">
      <pane ySplit="10" topLeftCell="A11" activePane="bottomLeft" state="frozen"/>
      <selection pane="bottomLeft" activeCell="C6" sqref="C6"/>
    </sheetView>
  </sheetViews>
  <sheetFormatPr defaultColWidth="51.5703125" defaultRowHeight="15" x14ac:dyDescent="0.25"/>
  <cols>
    <col min="1" max="1" width="8.85546875" style="124" customWidth="1"/>
    <col min="2" max="2" width="17.42578125" style="108" bestFit="1" customWidth="1"/>
    <col min="3" max="3" width="18.140625" style="108" bestFit="1" customWidth="1"/>
    <col min="4" max="4" width="41.42578125" style="108" bestFit="1" customWidth="1"/>
    <col min="5" max="5" width="28.85546875" style="108" bestFit="1" customWidth="1"/>
    <col min="6" max="6" width="12.140625" style="108" customWidth="1"/>
    <col min="7" max="7" width="13.7109375" style="112" customWidth="1"/>
    <col min="8" max="8" width="14.28515625" style="112" bestFit="1" customWidth="1"/>
    <col min="9" max="9" width="15.85546875" style="112" bestFit="1" customWidth="1"/>
    <col min="10" max="10" width="16.42578125" style="108" customWidth="1"/>
    <col min="11" max="11" width="41.42578125" style="108" bestFit="1" customWidth="1"/>
    <col min="12" max="12" width="36" style="108" bestFit="1" customWidth="1"/>
    <col min="13" max="13" width="14.5703125" style="108" bestFit="1" customWidth="1"/>
    <col min="14" max="14" width="20.28515625" style="122" customWidth="1"/>
    <col min="15" max="16" width="36.5703125" style="122" customWidth="1"/>
    <col min="17" max="17" width="18.140625" style="113" customWidth="1"/>
    <col min="18" max="18" width="12.7109375" style="108" bestFit="1" customWidth="1"/>
    <col min="19" max="21" width="13.42578125" style="108" bestFit="1" customWidth="1"/>
    <col min="22" max="22" width="15.140625" style="108" customWidth="1"/>
    <col min="23" max="23" width="11.140625" style="110" bestFit="1" customWidth="1"/>
    <col min="24" max="24" width="9.140625" style="110" bestFit="1" customWidth="1"/>
    <col min="25" max="26" width="51.5703125" style="110"/>
    <col min="27" max="27" width="51.5703125" style="111"/>
    <col min="28" max="16384" width="51.5703125" style="108"/>
  </cols>
  <sheetData>
    <row r="2" spans="1:27" s="106" customFormat="1" x14ac:dyDescent="0.2">
      <c r="B2" s="45" t="s">
        <v>118</v>
      </c>
      <c r="C2" s="45">
        <v>2008</v>
      </c>
      <c r="D2" s="45">
        <v>2009</v>
      </c>
      <c r="E2" s="45">
        <v>2010</v>
      </c>
      <c r="F2" s="118">
        <v>2011</v>
      </c>
      <c r="G2" s="46">
        <v>2012</v>
      </c>
      <c r="H2" s="118">
        <v>2013</v>
      </c>
      <c r="I2" s="46">
        <v>2014</v>
      </c>
      <c r="J2" s="118">
        <v>2015</v>
      </c>
      <c r="K2" s="46">
        <v>2016</v>
      </c>
      <c r="L2" s="118" t="s">
        <v>127</v>
      </c>
      <c r="M2" s="45" t="s">
        <v>402</v>
      </c>
      <c r="N2" s="107">
        <v>2017</v>
      </c>
      <c r="O2" s="106">
        <v>2018</v>
      </c>
      <c r="P2" s="107">
        <v>2019</v>
      </c>
      <c r="Q2" s="106">
        <v>2020</v>
      </c>
    </row>
    <row r="3" spans="1:27" s="191" customFormat="1" x14ac:dyDescent="0.25">
      <c r="B3" s="192" t="s">
        <v>119</v>
      </c>
      <c r="C3" s="193">
        <f>+H24</f>
        <v>30</v>
      </c>
      <c r="D3" s="193">
        <f>+H23</f>
        <v>0</v>
      </c>
      <c r="E3" s="193">
        <v>0</v>
      </c>
      <c r="F3" s="193">
        <f>+H22+H21</f>
        <v>2450</v>
      </c>
      <c r="G3" s="193">
        <f>+H40</f>
        <v>0</v>
      </c>
      <c r="H3" s="193">
        <f>+H20</f>
        <v>2800</v>
      </c>
      <c r="I3" s="193">
        <f>+H19</f>
        <v>1000</v>
      </c>
      <c r="J3" s="193">
        <f>+H37</f>
        <v>270</v>
      </c>
      <c r="K3" s="193">
        <f>+H36</f>
        <v>200</v>
      </c>
      <c r="L3" s="193"/>
      <c r="M3" s="193">
        <f>+H15</f>
        <v>60</v>
      </c>
      <c r="N3" s="193">
        <f>+H15</f>
        <v>60</v>
      </c>
      <c r="O3" s="193">
        <f>+H55+H56+H57+H70</f>
        <v>465</v>
      </c>
      <c r="P3" s="193">
        <f>+H14+H13</f>
        <v>580</v>
      </c>
      <c r="Q3" s="193"/>
      <c r="R3" s="47"/>
      <c r="S3" s="109"/>
      <c r="T3" s="194"/>
      <c r="U3" s="194"/>
      <c r="V3" s="195"/>
      <c r="W3" s="196"/>
    </row>
    <row r="4" spans="1:27" s="197" customFormat="1" x14ac:dyDescent="0.25">
      <c r="B4" s="192" t="s">
        <v>120</v>
      </c>
      <c r="C4" s="48">
        <f>+KK!R4</f>
        <v>123.1825</v>
      </c>
      <c r="D4" s="48">
        <f>+KK!S4</f>
        <v>137.16999999999999</v>
      </c>
      <c r="E4" s="48">
        <f>+KK!T4</f>
        <v>138.81</v>
      </c>
      <c r="F4" s="48">
        <f>+KK!U4</f>
        <v>138.30000000000001</v>
      </c>
      <c r="G4" s="48">
        <f>+KK!V4</f>
        <v>139.72</v>
      </c>
      <c r="H4" s="48">
        <f>+KK!W4</f>
        <v>140.21</v>
      </c>
      <c r="I4" s="48">
        <f>+KK!X4</f>
        <v>140.11000000000001</v>
      </c>
      <c r="J4" s="48">
        <f>+KK!Y4</f>
        <v>137.65</v>
      </c>
      <c r="K4" s="48">
        <f>+KK!Z4</f>
        <v>135.27000000000001</v>
      </c>
      <c r="L4" s="48"/>
      <c r="M4" s="49">
        <f>+KK!AA4</f>
        <v>132.94999999999999</v>
      </c>
      <c r="N4" s="197">
        <f>+KK!AA4</f>
        <v>132.94999999999999</v>
      </c>
      <c r="O4" s="197">
        <f>+KK!AB4</f>
        <v>123.42</v>
      </c>
      <c r="P4" s="197">
        <f>+KK!AC4</f>
        <v>121.77</v>
      </c>
      <c r="Q4" s="49"/>
      <c r="R4" s="48"/>
      <c r="S4" s="48"/>
      <c r="T4" s="48"/>
      <c r="U4" s="50"/>
      <c r="V4" s="48"/>
      <c r="W4" s="198"/>
    </row>
    <row r="5" spans="1:27" s="197" customFormat="1" x14ac:dyDescent="0.25">
      <c r="B5" s="192" t="s">
        <v>403</v>
      </c>
      <c r="C5" s="48"/>
      <c r="D5" s="48"/>
      <c r="E5" s="48"/>
      <c r="F5" s="48"/>
      <c r="G5" s="48"/>
      <c r="H5" s="48"/>
      <c r="I5" s="48"/>
      <c r="J5" s="48"/>
      <c r="K5" s="189">
        <v>4000</v>
      </c>
      <c r="L5" s="48"/>
      <c r="M5" s="48"/>
      <c r="N5" s="49"/>
      <c r="O5" s="49"/>
      <c r="P5" s="49"/>
      <c r="Q5" s="49"/>
      <c r="R5" s="48"/>
      <c r="S5" s="48"/>
      <c r="T5" s="48"/>
      <c r="U5" s="50"/>
      <c r="V5" s="48"/>
      <c r="W5" s="198"/>
    </row>
    <row r="6" spans="1:27" s="199" customFormat="1" x14ac:dyDescent="0.2">
      <c r="B6" s="200" t="s">
        <v>121</v>
      </c>
      <c r="C6" s="190">
        <f>+C3*C4+C5</f>
        <v>3695.4750000000004</v>
      </c>
      <c r="D6" s="190">
        <f t="shared" ref="D6:K6" si="0">+D3*D4+D5</f>
        <v>0</v>
      </c>
      <c r="E6" s="190">
        <f t="shared" si="0"/>
        <v>0</v>
      </c>
      <c r="F6" s="190">
        <f t="shared" si="0"/>
        <v>338835</v>
      </c>
      <c r="G6" s="190">
        <f t="shared" si="0"/>
        <v>0</v>
      </c>
      <c r="H6" s="190">
        <f t="shared" si="0"/>
        <v>392588</v>
      </c>
      <c r="I6" s="190">
        <f t="shared" si="0"/>
        <v>140110</v>
      </c>
      <c r="J6" s="190">
        <f t="shared" si="0"/>
        <v>37165.5</v>
      </c>
      <c r="K6" s="190">
        <f t="shared" si="0"/>
        <v>31054.000000000004</v>
      </c>
      <c r="L6" s="190">
        <f>SUM(C6:K6)</f>
        <v>943447.97499999998</v>
      </c>
      <c r="M6" s="190">
        <f>+M3*M4+M5</f>
        <v>7976.9999999999991</v>
      </c>
      <c r="N6" s="190">
        <f>+N3*N4+N5</f>
        <v>7976.9999999999991</v>
      </c>
      <c r="O6" s="190">
        <f>+O3*O4+O5</f>
        <v>57390.3</v>
      </c>
      <c r="P6" s="190">
        <f>+P3*P4+P5</f>
        <v>70626.599999999991</v>
      </c>
      <c r="Q6" s="190">
        <f>+Q3*Q4+Q5</f>
        <v>0</v>
      </c>
      <c r="R6" s="190"/>
      <c r="S6" s="190"/>
      <c r="T6" s="190"/>
      <c r="U6" s="190"/>
      <c r="V6" s="190"/>
      <c r="W6" s="201"/>
    </row>
    <row r="7" spans="1:27" x14ac:dyDescent="0.25">
      <c r="J7" s="112"/>
      <c r="K7" s="112"/>
      <c r="L7" s="112"/>
      <c r="M7" s="112"/>
      <c r="N7" s="119"/>
      <c r="O7" s="119"/>
      <c r="P7" s="119"/>
      <c r="Q7" s="112"/>
      <c r="R7" s="112"/>
      <c r="S7" s="112"/>
      <c r="T7" s="112"/>
      <c r="U7" s="112"/>
    </row>
    <row r="8" spans="1:27" x14ac:dyDescent="0.25">
      <c r="B8" s="28"/>
      <c r="C8" s="28"/>
      <c r="D8" s="28"/>
      <c r="E8" s="28"/>
      <c r="F8" s="28"/>
      <c r="G8" s="29"/>
      <c r="H8" s="29"/>
      <c r="I8" s="29"/>
      <c r="J8" s="28"/>
      <c r="K8" s="28"/>
      <c r="L8" s="28"/>
      <c r="M8" s="28"/>
      <c r="N8" s="120"/>
      <c r="O8" s="120"/>
      <c r="P8" s="120"/>
      <c r="Q8" s="36"/>
      <c r="R8" s="28"/>
      <c r="S8" s="28"/>
      <c r="T8" s="28"/>
      <c r="U8" s="28"/>
      <c r="V8" s="28"/>
      <c r="W8" s="31"/>
      <c r="X8" s="31"/>
      <c r="Y8" s="31"/>
      <c r="Z8" s="31"/>
      <c r="AA8" s="32"/>
    </row>
    <row r="9" spans="1:27" x14ac:dyDescent="0.25">
      <c r="B9" s="28" t="s">
        <v>108</v>
      </c>
      <c r="C9" s="28"/>
      <c r="D9" s="28"/>
      <c r="E9" s="28"/>
      <c r="F9" s="28"/>
      <c r="G9" s="124"/>
      <c r="H9" s="124"/>
      <c r="I9" s="108"/>
      <c r="J9" s="28" t="s">
        <v>109</v>
      </c>
      <c r="K9" s="28"/>
      <c r="L9" s="28"/>
      <c r="M9" s="28"/>
      <c r="N9" s="120"/>
      <c r="O9" s="120"/>
      <c r="P9" s="120"/>
      <c r="T9" s="110"/>
      <c r="U9" s="111"/>
      <c r="V9" s="110"/>
    </row>
    <row r="10" spans="1:27" s="37" customFormat="1" ht="30" x14ac:dyDescent="0.25">
      <c r="A10" s="125"/>
      <c r="B10" s="37" t="s">
        <v>110</v>
      </c>
      <c r="C10" s="37" t="s">
        <v>111</v>
      </c>
      <c r="D10" s="37" t="s">
        <v>112</v>
      </c>
      <c r="E10" s="37" t="s">
        <v>113</v>
      </c>
      <c r="F10" s="37" t="s">
        <v>114</v>
      </c>
      <c r="G10" s="38" t="s">
        <v>116</v>
      </c>
      <c r="H10" s="38" t="s">
        <v>117</v>
      </c>
      <c r="I10" s="37" t="s">
        <v>110</v>
      </c>
      <c r="J10" s="37" t="s">
        <v>115</v>
      </c>
      <c r="K10" s="37" t="s">
        <v>112</v>
      </c>
      <c r="L10" s="37" t="s">
        <v>113</v>
      </c>
      <c r="M10" s="37" t="s">
        <v>114</v>
      </c>
      <c r="N10" s="187" t="s">
        <v>125</v>
      </c>
      <c r="O10" s="187" t="s">
        <v>379</v>
      </c>
      <c r="P10" s="187"/>
      <c r="Q10" s="38" t="s">
        <v>126</v>
      </c>
      <c r="R10" s="188" t="s">
        <v>129</v>
      </c>
      <c r="S10" s="188" t="s">
        <v>130</v>
      </c>
      <c r="T10" s="188" t="s">
        <v>124</v>
      </c>
      <c r="U10" s="188" t="s">
        <v>122</v>
      </c>
      <c r="V10" s="188" t="s">
        <v>123</v>
      </c>
      <c r="W10" s="188" t="s">
        <v>62</v>
      </c>
      <c r="X10" s="188"/>
    </row>
    <row r="11" spans="1:27" s="30" customFormat="1" x14ac:dyDescent="0.25">
      <c r="A11" s="126"/>
      <c r="G11" s="33"/>
      <c r="H11" s="168"/>
      <c r="I11" s="33"/>
      <c r="J11" s="33"/>
      <c r="K11" s="33"/>
      <c r="L11" s="33"/>
      <c r="M11" s="33"/>
      <c r="N11" s="121"/>
      <c r="O11" s="121"/>
      <c r="P11" s="121"/>
      <c r="Q11" s="33"/>
      <c r="T11" s="34"/>
      <c r="U11" s="33"/>
      <c r="V11" s="34"/>
      <c r="W11" s="34"/>
      <c r="X11" s="35"/>
    </row>
    <row r="12" spans="1:27" s="30" customFormat="1" x14ac:dyDescent="0.25">
      <c r="A12" s="126" t="s">
        <v>173</v>
      </c>
      <c r="B12" s="30" t="s">
        <v>248</v>
      </c>
      <c r="C12" s="30" t="s">
        <v>249</v>
      </c>
      <c r="D12" s="30" t="s">
        <v>250</v>
      </c>
      <c r="E12" s="30" t="s">
        <v>251</v>
      </c>
      <c r="F12" s="30" t="s">
        <v>252</v>
      </c>
      <c r="G12" s="33"/>
      <c r="H12" s="168"/>
      <c r="I12" s="33" t="s">
        <v>248</v>
      </c>
      <c r="J12" s="33" t="s">
        <v>282</v>
      </c>
      <c r="K12" s="33" t="s">
        <v>250</v>
      </c>
      <c r="L12" s="33" t="s">
        <v>251</v>
      </c>
      <c r="M12" s="33" t="s">
        <v>252</v>
      </c>
      <c r="N12" s="121"/>
      <c r="O12" s="121"/>
      <c r="P12" s="121"/>
      <c r="Q12" s="33"/>
      <c r="T12" s="34"/>
      <c r="U12" s="33"/>
      <c r="V12" s="34"/>
      <c r="W12" s="34"/>
      <c r="X12" s="35"/>
    </row>
    <row r="13" spans="1:27" s="114" customFormat="1" ht="75" x14ac:dyDescent="0.25">
      <c r="A13" s="127" t="s">
        <v>173</v>
      </c>
      <c r="B13" s="114" t="s">
        <v>253</v>
      </c>
      <c r="C13" s="114" t="s">
        <v>254</v>
      </c>
      <c r="D13" s="114" t="s">
        <v>255</v>
      </c>
      <c r="E13" s="114" t="s">
        <v>256</v>
      </c>
      <c r="G13" s="115">
        <v>3</v>
      </c>
      <c r="H13" s="170">
        <v>330</v>
      </c>
      <c r="I13" s="115" t="s">
        <v>253</v>
      </c>
      <c r="J13" s="115" t="s">
        <v>283</v>
      </c>
      <c r="K13" s="115" t="s">
        <v>255</v>
      </c>
      <c r="L13" s="115" t="s">
        <v>284</v>
      </c>
      <c r="M13" s="115"/>
      <c r="N13" s="123" t="s">
        <v>378</v>
      </c>
      <c r="O13" s="123" t="s">
        <v>388</v>
      </c>
      <c r="P13" s="123" t="s">
        <v>431</v>
      </c>
      <c r="Q13" s="115"/>
      <c r="T13" s="116"/>
      <c r="U13" s="115"/>
      <c r="V13" s="116"/>
      <c r="W13" s="116"/>
      <c r="X13" s="117"/>
    </row>
    <row r="14" spans="1:27" s="114" customFormat="1" ht="90" x14ac:dyDescent="0.25">
      <c r="A14" s="127" t="s">
        <v>173</v>
      </c>
      <c r="B14" s="114" t="s">
        <v>253</v>
      </c>
      <c r="C14" s="114" t="s">
        <v>257</v>
      </c>
      <c r="D14" s="114" t="s">
        <v>250</v>
      </c>
      <c r="E14" s="114" t="s">
        <v>258</v>
      </c>
      <c r="F14" s="114" t="s">
        <v>252</v>
      </c>
      <c r="G14" s="115">
        <v>1</v>
      </c>
      <c r="H14" s="170">
        <v>250</v>
      </c>
      <c r="I14" s="115" t="s">
        <v>253</v>
      </c>
      <c r="J14" s="115" t="s">
        <v>285</v>
      </c>
      <c r="K14" s="115" t="s">
        <v>250</v>
      </c>
      <c r="L14" s="115" t="s">
        <v>258</v>
      </c>
      <c r="M14" s="115" t="s">
        <v>286</v>
      </c>
      <c r="N14" s="123" t="s">
        <v>377</v>
      </c>
      <c r="O14" s="123" t="s">
        <v>387</v>
      </c>
      <c r="P14" s="123" t="s">
        <v>432</v>
      </c>
      <c r="Q14" s="115"/>
      <c r="T14" s="116"/>
      <c r="U14" s="115"/>
      <c r="V14" s="116"/>
      <c r="W14" s="116"/>
      <c r="X14" s="117"/>
    </row>
    <row r="15" spans="1:27" s="114" customFormat="1" ht="105" x14ac:dyDescent="0.25">
      <c r="A15" s="127" t="s">
        <v>173</v>
      </c>
      <c r="B15" s="114" t="s">
        <v>253</v>
      </c>
      <c r="C15" s="114" t="s">
        <v>259</v>
      </c>
      <c r="D15" s="114" t="s">
        <v>250</v>
      </c>
      <c r="E15" s="114" t="s">
        <v>251</v>
      </c>
      <c r="F15" s="114" t="s">
        <v>252</v>
      </c>
      <c r="G15" s="115">
        <v>1</v>
      </c>
      <c r="H15" s="170">
        <v>60</v>
      </c>
      <c r="I15" s="115" t="s">
        <v>253</v>
      </c>
      <c r="J15" s="115" t="s">
        <v>287</v>
      </c>
      <c r="K15" s="115" t="s">
        <v>250</v>
      </c>
      <c r="L15" s="115" t="s">
        <v>251</v>
      </c>
      <c r="M15" s="115" t="s">
        <v>252</v>
      </c>
      <c r="N15" s="123" t="s">
        <v>376</v>
      </c>
      <c r="O15" s="123" t="s">
        <v>386</v>
      </c>
      <c r="P15" s="123"/>
      <c r="Q15" s="115"/>
      <c r="T15" s="116"/>
      <c r="U15" s="115"/>
      <c r="V15" s="116"/>
      <c r="W15" s="116"/>
      <c r="X15" s="117"/>
    </row>
    <row r="16" spans="1:27" s="114" customFormat="1" ht="90" x14ac:dyDescent="0.25">
      <c r="A16" s="127" t="s">
        <v>173</v>
      </c>
      <c r="B16" s="114" t="s">
        <v>253</v>
      </c>
      <c r="C16" s="114" t="s">
        <v>260</v>
      </c>
      <c r="D16" s="114" t="s">
        <v>261</v>
      </c>
      <c r="E16" s="114" t="s">
        <v>262</v>
      </c>
      <c r="G16" s="115">
        <v>1</v>
      </c>
      <c r="H16" s="170">
        <v>160</v>
      </c>
      <c r="I16" s="115" t="s">
        <v>253</v>
      </c>
      <c r="J16" s="115" t="s">
        <v>288</v>
      </c>
      <c r="K16" s="115" t="s">
        <v>261</v>
      </c>
      <c r="L16" s="115" t="s">
        <v>262</v>
      </c>
      <c r="M16" s="115"/>
      <c r="N16" s="123" t="s">
        <v>375</v>
      </c>
      <c r="O16" s="123" t="s">
        <v>385</v>
      </c>
      <c r="P16" s="123"/>
      <c r="Q16" s="115"/>
      <c r="T16" s="116"/>
      <c r="U16" s="115"/>
      <c r="V16" s="116"/>
      <c r="W16" s="116"/>
      <c r="X16" s="117"/>
    </row>
    <row r="17" spans="1:27" s="114" customFormat="1" ht="21" customHeight="1" x14ac:dyDescent="0.25">
      <c r="A17" s="127" t="s">
        <v>173</v>
      </c>
      <c r="B17" s="114" t="s">
        <v>263</v>
      </c>
      <c r="C17" s="114" t="s">
        <v>264</v>
      </c>
      <c r="D17" s="114" t="s">
        <v>250</v>
      </c>
      <c r="E17" s="114" t="s">
        <v>265</v>
      </c>
      <c r="G17" s="115">
        <v>0</v>
      </c>
      <c r="H17" s="169">
        <v>0</v>
      </c>
      <c r="I17" s="115" t="s">
        <v>253</v>
      </c>
      <c r="J17" s="115" t="s">
        <v>289</v>
      </c>
      <c r="K17" s="115" t="s">
        <v>250</v>
      </c>
      <c r="L17" s="115" t="s">
        <v>251</v>
      </c>
      <c r="M17" s="115" t="s">
        <v>252</v>
      </c>
      <c r="N17" s="123" t="s">
        <v>374</v>
      </c>
      <c r="O17" s="123">
        <v>0</v>
      </c>
      <c r="P17" s="123"/>
      <c r="Q17" s="115"/>
      <c r="T17" s="116"/>
      <c r="U17" s="115"/>
      <c r="V17" s="116"/>
      <c r="W17" s="116"/>
      <c r="X17" s="117"/>
    </row>
    <row r="18" spans="1:27" s="114" customFormat="1" ht="28.5" customHeight="1" x14ac:dyDescent="0.25">
      <c r="A18" s="127" t="s">
        <v>173</v>
      </c>
      <c r="B18" s="114" t="s">
        <v>253</v>
      </c>
      <c r="C18" s="114" t="s">
        <v>266</v>
      </c>
      <c r="D18" s="114" t="s">
        <v>250</v>
      </c>
      <c r="E18" s="114" t="s">
        <v>251</v>
      </c>
      <c r="G18" s="115">
        <v>1</v>
      </c>
      <c r="H18" s="171">
        <v>4000</v>
      </c>
      <c r="I18" s="115" t="s">
        <v>253</v>
      </c>
      <c r="J18" s="115" t="s">
        <v>290</v>
      </c>
      <c r="K18" s="115" t="s">
        <v>250</v>
      </c>
      <c r="L18" s="115" t="s">
        <v>265</v>
      </c>
      <c r="M18" s="115" t="s">
        <v>252</v>
      </c>
      <c r="N18" s="123" t="s">
        <v>374</v>
      </c>
      <c r="O18" s="123" t="s">
        <v>384</v>
      </c>
      <c r="P18" s="123"/>
      <c r="Q18" s="115"/>
      <c r="T18" s="116"/>
      <c r="U18" s="115"/>
      <c r="V18" s="116"/>
      <c r="W18" s="116"/>
      <c r="X18" s="117"/>
    </row>
    <row r="19" spans="1:27" s="114" customFormat="1" ht="74.25" customHeight="1" x14ac:dyDescent="0.25">
      <c r="A19" s="127" t="s">
        <v>173</v>
      </c>
      <c r="B19" s="114" t="s">
        <v>253</v>
      </c>
      <c r="C19" s="114" t="s">
        <v>267</v>
      </c>
      <c r="D19" s="114" t="s">
        <v>268</v>
      </c>
      <c r="E19" s="114" t="s">
        <v>269</v>
      </c>
      <c r="G19" s="115">
        <v>3</v>
      </c>
      <c r="H19" s="170">
        <v>1000</v>
      </c>
      <c r="I19" s="115" t="s">
        <v>253</v>
      </c>
      <c r="J19" s="115" t="s">
        <v>291</v>
      </c>
      <c r="K19" s="115" t="s">
        <v>292</v>
      </c>
      <c r="L19" s="115" t="s">
        <v>269</v>
      </c>
      <c r="M19" s="115"/>
      <c r="N19" s="123" t="s">
        <v>373</v>
      </c>
      <c r="O19" s="123" t="s">
        <v>383</v>
      </c>
      <c r="P19" s="123" t="s">
        <v>427</v>
      </c>
      <c r="Q19" s="115"/>
      <c r="T19" s="116"/>
      <c r="U19" s="115"/>
      <c r="V19" s="116"/>
      <c r="W19" s="116"/>
      <c r="X19" s="117"/>
    </row>
    <row r="20" spans="1:27" s="114" customFormat="1" ht="32.25" customHeight="1" x14ac:dyDescent="0.25">
      <c r="A20" s="127" t="s">
        <v>173</v>
      </c>
      <c r="B20" s="114" t="s">
        <v>253</v>
      </c>
      <c r="C20" s="114" t="s">
        <v>270</v>
      </c>
      <c r="D20" s="114" t="s">
        <v>271</v>
      </c>
      <c r="E20" s="114" t="s">
        <v>269</v>
      </c>
      <c r="G20" s="115">
        <v>7</v>
      </c>
      <c r="H20" s="170">
        <v>2800</v>
      </c>
      <c r="I20" s="115" t="s">
        <v>253</v>
      </c>
      <c r="J20" s="115" t="s">
        <v>293</v>
      </c>
      <c r="K20" s="115" t="s">
        <v>294</v>
      </c>
      <c r="L20" s="115" t="s">
        <v>269</v>
      </c>
      <c r="M20" s="115"/>
      <c r="N20" s="123" t="s">
        <v>372</v>
      </c>
      <c r="O20" s="123" t="s">
        <v>382</v>
      </c>
      <c r="P20" s="123" t="s">
        <v>428</v>
      </c>
      <c r="Q20" s="115"/>
      <c r="T20" s="116"/>
      <c r="U20" s="115"/>
      <c r="V20" s="116"/>
      <c r="W20" s="116"/>
      <c r="X20" s="117"/>
    </row>
    <row r="21" spans="1:27" s="114" customFormat="1" ht="60" x14ac:dyDescent="0.25">
      <c r="A21" s="127" t="s">
        <v>173</v>
      </c>
      <c r="B21" s="114" t="s">
        <v>253</v>
      </c>
      <c r="C21" s="114" t="s">
        <v>272</v>
      </c>
      <c r="D21" s="114" t="s">
        <v>271</v>
      </c>
      <c r="E21" s="114" t="s">
        <v>269</v>
      </c>
      <c r="G21" s="115">
        <v>7</v>
      </c>
      <c r="H21" s="170">
        <v>2450</v>
      </c>
      <c r="I21" s="115" t="s">
        <v>253</v>
      </c>
      <c r="J21" s="115" t="s">
        <v>295</v>
      </c>
      <c r="K21" s="115" t="s">
        <v>271</v>
      </c>
      <c r="L21" s="115" t="s">
        <v>269</v>
      </c>
      <c r="M21" s="115"/>
      <c r="N21" s="123" t="s">
        <v>372</v>
      </c>
      <c r="O21" s="123" t="s">
        <v>381</v>
      </c>
      <c r="P21" s="123" t="s">
        <v>429</v>
      </c>
      <c r="Q21" s="115"/>
      <c r="T21" s="116"/>
      <c r="U21" s="115"/>
      <c r="V21" s="116"/>
      <c r="W21" s="116"/>
      <c r="X21" s="117"/>
    </row>
    <row r="22" spans="1:27" s="114" customFormat="1" ht="75" x14ac:dyDescent="0.25">
      <c r="A22" s="127" t="s">
        <v>173</v>
      </c>
      <c r="B22" s="114" t="s">
        <v>253</v>
      </c>
      <c r="C22" s="114" t="s">
        <v>273</v>
      </c>
      <c r="D22" s="114" t="s">
        <v>274</v>
      </c>
      <c r="E22" s="114" t="s">
        <v>269</v>
      </c>
      <c r="G22" s="115">
        <v>7</v>
      </c>
      <c r="H22" s="169"/>
      <c r="I22" s="115" t="s">
        <v>253</v>
      </c>
      <c r="J22" s="115" t="s">
        <v>296</v>
      </c>
      <c r="K22" s="115" t="s">
        <v>274</v>
      </c>
      <c r="L22" s="115" t="s">
        <v>269</v>
      </c>
      <c r="M22" s="115"/>
      <c r="N22" s="123" t="s">
        <v>371</v>
      </c>
      <c r="O22" s="123"/>
      <c r="P22" s="123" t="s">
        <v>430</v>
      </c>
      <c r="Q22" s="115"/>
      <c r="T22" s="116"/>
      <c r="U22" s="115"/>
      <c r="V22" s="116"/>
      <c r="W22" s="116"/>
      <c r="X22" s="117"/>
    </row>
    <row r="23" spans="1:27" s="114" customFormat="1" ht="45" x14ac:dyDescent="0.25">
      <c r="A23" s="127" t="s">
        <v>173</v>
      </c>
      <c r="B23" s="114" t="s">
        <v>275</v>
      </c>
      <c r="C23" s="114" t="s">
        <v>276</v>
      </c>
      <c r="D23" s="114" t="s">
        <v>250</v>
      </c>
      <c r="E23" s="114" t="s">
        <v>277</v>
      </c>
      <c r="F23" s="114" t="s">
        <v>278</v>
      </c>
      <c r="G23" s="115">
        <v>0</v>
      </c>
      <c r="H23" s="169"/>
      <c r="I23" s="115" t="s">
        <v>275</v>
      </c>
      <c r="J23" s="115" t="s">
        <v>297</v>
      </c>
      <c r="K23" s="115" t="s">
        <v>250</v>
      </c>
      <c r="L23" s="115" t="s">
        <v>298</v>
      </c>
      <c r="M23" s="115"/>
      <c r="N23" s="123" t="s">
        <v>370</v>
      </c>
      <c r="O23" s="123"/>
      <c r="P23" s="123"/>
      <c r="Q23" s="115"/>
      <c r="T23" s="116"/>
      <c r="U23" s="115"/>
      <c r="V23" s="116"/>
      <c r="W23" s="116"/>
      <c r="X23" s="117"/>
    </row>
    <row r="24" spans="1:27" s="114" customFormat="1" ht="60" x14ac:dyDescent="0.25">
      <c r="A24" s="127" t="s">
        <v>173</v>
      </c>
      <c r="B24" s="114" t="s">
        <v>275</v>
      </c>
      <c r="C24" s="114" t="s">
        <v>279</v>
      </c>
      <c r="D24" s="114" t="s">
        <v>250</v>
      </c>
      <c r="E24" s="114" t="s">
        <v>280</v>
      </c>
      <c r="F24" s="114" t="s">
        <v>281</v>
      </c>
      <c r="G24" s="115">
        <v>1</v>
      </c>
      <c r="H24" s="170">
        <v>30</v>
      </c>
      <c r="I24" s="115" t="s">
        <v>275</v>
      </c>
      <c r="J24" s="115" t="s">
        <v>299</v>
      </c>
      <c r="K24" s="115" t="s">
        <v>250</v>
      </c>
      <c r="L24" s="115" t="s">
        <v>280</v>
      </c>
      <c r="M24" s="115" t="s">
        <v>281</v>
      </c>
      <c r="N24" s="123" t="s">
        <v>369</v>
      </c>
      <c r="O24" s="123" t="s">
        <v>380</v>
      </c>
      <c r="P24" s="123"/>
      <c r="Q24" s="115"/>
      <c r="T24" s="116"/>
      <c r="U24" s="115"/>
      <c r="V24" s="116"/>
      <c r="W24" s="116"/>
      <c r="X24" s="117"/>
    </row>
    <row r="25" spans="1:27" s="175" customFormat="1" x14ac:dyDescent="0.25">
      <c r="A25" s="178"/>
      <c r="G25" s="172"/>
      <c r="H25" s="172"/>
      <c r="I25" s="172"/>
      <c r="N25" s="173"/>
      <c r="O25" s="173"/>
      <c r="P25" s="173"/>
      <c r="Q25" s="174"/>
      <c r="W25" s="176"/>
      <c r="X25" s="176"/>
      <c r="Y25" s="176"/>
      <c r="Z25" s="176"/>
      <c r="AA25" s="177"/>
    </row>
    <row r="28" spans="1:27" x14ac:dyDescent="0.25">
      <c r="B28" s="30" t="s">
        <v>300</v>
      </c>
      <c r="C28" s="30" t="s">
        <v>249</v>
      </c>
      <c r="D28" s="30" t="s">
        <v>250</v>
      </c>
      <c r="E28" s="30" t="s">
        <v>251</v>
      </c>
      <c r="F28" s="30" t="s">
        <v>252</v>
      </c>
      <c r="G28" s="126"/>
      <c r="H28" s="30"/>
      <c r="I28" s="30" t="s">
        <v>300</v>
      </c>
      <c r="J28" s="30" t="s">
        <v>314</v>
      </c>
      <c r="K28" s="30" t="s">
        <v>250</v>
      </c>
      <c r="L28" s="30" t="s">
        <v>251</v>
      </c>
      <c r="M28" s="30" t="s">
        <v>252</v>
      </c>
      <c r="N28" s="30"/>
    </row>
    <row r="29" spans="1:27" s="180" customFormat="1" x14ac:dyDescent="0.25">
      <c r="A29" s="179"/>
      <c r="B29" s="180" t="s">
        <v>301</v>
      </c>
      <c r="C29" s="180" t="s">
        <v>254</v>
      </c>
      <c r="D29" s="180" t="s">
        <v>255</v>
      </c>
      <c r="E29" s="180" t="s">
        <v>256</v>
      </c>
      <c r="G29" s="179"/>
      <c r="I29" s="180" t="s">
        <v>301</v>
      </c>
      <c r="J29" s="180" t="s">
        <v>315</v>
      </c>
      <c r="K29" s="180" t="s">
        <v>255</v>
      </c>
      <c r="L29" s="180" t="s">
        <v>284</v>
      </c>
      <c r="O29" s="182"/>
      <c r="P29" s="182"/>
      <c r="Q29" s="183"/>
      <c r="W29" s="184"/>
      <c r="X29" s="184"/>
      <c r="Y29" s="184"/>
      <c r="Z29" s="184"/>
      <c r="AA29" s="185"/>
    </row>
    <row r="30" spans="1:27" s="180" customFormat="1" x14ac:dyDescent="0.25">
      <c r="A30" s="179"/>
      <c r="B30" s="180" t="s">
        <v>301</v>
      </c>
      <c r="C30" s="180" t="s">
        <v>257</v>
      </c>
      <c r="D30" s="180" t="s">
        <v>250</v>
      </c>
      <c r="E30" s="180" t="s">
        <v>258</v>
      </c>
      <c r="F30" s="180" t="s">
        <v>252</v>
      </c>
      <c r="G30" s="179"/>
      <c r="I30" s="180" t="s">
        <v>301</v>
      </c>
      <c r="J30" s="180" t="s">
        <v>285</v>
      </c>
      <c r="K30" s="180" t="s">
        <v>250</v>
      </c>
      <c r="L30" s="180" t="s">
        <v>258</v>
      </c>
      <c r="M30" s="180" t="s">
        <v>286</v>
      </c>
      <c r="O30" s="182"/>
      <c r="P30" s="182"/>
      <c r="Q30" s="183"/>
      <c r="W30" s="184"/>
      <c r="X30" s="184"/>
      <c r="Y30" s="184"/>
      <c r="Z30" s="184"/>
      <c r="AA30" s="185"/>
    </row>
    <row r="31" spans="1:27" s="180" customFormat="1" x14ac:dyDescent="0.25">
      <c r="A31" s="179"/>
      <c r="B31" s="180" t="s">
        <v>301</v>
      </c>
      <c r="C31" s="180" t="s">
        <v>259</v>
      </c>
      <c r="D31" s="180" t="s">
        <v>250</v>
      </c>
      <c r="E31" s="180" t="s">
        <v>251</v>
      </c>
      <c r="F31" s="180" t="s">
        <v>252</v>
      </c>
      <c r="G31" s="179"/>
      <c r="I31" s="180" t="s">
        <v>301</v>
      </c>
      <c r="J31" s="180" t="s">
        <v>316</v>
      </c>
      <c r="K31" s="180" t="s">
        <v>250</v>
      </c>
      <c r="L31" s="180" t="s">
        <v>251</v>
      </c>
      <c r="M31" s="180" t="s">
        <v>252</v>
      </c>
      <c r="O31" s="182"/>
      <c r="P31" s="182"/>
      <c r="Q31" s="183"/>
      <c r="W31" s="184"/>
      <c r="X31" s="184"/>
      <c r="Y31" s="184"/>
      <c r="Z31" s="184"/>
      <c r="AA31" s="185"/>
    </row>
    <row r="32" spans="1:27" x14ac:dyDescent="0.25">
      <c r="B32" s="30" t="s">
        <v>301</v>
      </c>
      <c r="C32" s="30" t="s">
        <v>302</v>
      </c>
      <c r="D32" s="30" t="s">
        <v>250</v>
      </c>
      <c r="E32" s="30" t="s">
        <v>265</v>
      </c>
      <c r="F32" s="30" t="s">
        <v>303</v>
      </c>
      <c r="G32" s="126"/>
      <c r="H32" s="30"/>
      <c r="I32" s="30" t="s">
        <v>301</v>
      </c>
      <c r="J32" s="30" t="s">
        <v>317</v>
      </c>
      <c r="K32" s="30" t="s">
        <v>250</v>
      </c>
      <c r="L32" s="30" t="s">
        <v>251</v>
      </c>
      <c r="M32" s="30" t="s">
        <v>303</v>
      </c>
      <c r="N32" s="30"/>
    </row>
    <row r="33" spans="1:27" s="180" customFormat="1" x14ac:dyDescent="0.25">
      <c r="A33" s="179"/>
      <c r="B33" s="180" t="s">
        <v>301</v>
      </c>
      <c r="C33" s="180" t="s">
        <v>304</v>
      </c>
      <c r="D33" s="180" t="s">
        <v>261</v>
      </c>
      <c r="E33" s="180" t="s">
        <v>262</v>
      </c>
      <c r="G33" s="179"/>
      <c r="I33" s="180" t="s">
        <v>312</v>
      </c>
      <c r="J33" s="180" t="s">
        <v>318</v>
      </c>
      <c r="K33" s="180" t="s">
        <v>255</v>
      </c>
      <c r="L33" s="180" t="s">
        <v>265</v>
      </c>
      <c r="M33" s="180" t="s">
        <v>319</v>
      </c>
      <c r="O33" s="182"/>
      <c r="P33" s="182"/>
      <c r="Q33" s="183"/>
      <c r="W33" s="184"/>
      <c r="X33" s="184"/>
      <c r="Y33" s="184"/>
      <c r="Z33" s="184"/>
      <c r="AA33" s="185"/>
    </row>
    <row r="34" spans="1:27" s="180" customFormat="1" x14ac:dyDescent="0.25">
      <c r="A34" s="179"/>
      <c r="B34" s="180" t="s">
        <v>301</v>
      </c>
      <c r="C34" s="180" t="s">
        <v>305</v>
      </c>
      <c r="D34" s="180" t="s">
        <v>250</v>
      </c>
      <c r="E34" s="180" t="s">
        <v>265</v>
      </c>
      <c r="G34" s="179"/>
      <c r="I34" s="180" t="s">
        <v>301</v>
      </c>
      <c r="J34" s="180" t="s">
        <v>320</v>
      </c>
      <c r="K34" s="180" t="s">
        <v>261</v>
      </c>
      <c r="L34" s="180" t="s">
        <v>262</v>
      </c>
      <c r="O34" s="182"/>
      <c r="P34" s="182"/>
      <c r="Q34" s="183"/>
      <c r="W34" s="184"/>
      <c r="X34" s="184"/>
      <c r="Y34" s="184"/>
      <c r="Z34" s="184"/>
      <c r="AA34" s="185"/>
    </row>
    <row r="35" spans="1:27" s="180" customFormat="1" x14ac:dyDescent="0.25">
      <c r="A35" s="179"/>
      <c r="B35" s="180" t="s">
        <v>301</v>
      </c>
      <c r="C35" s="180" t="s">
        <v>266</v>
      </c>
      <c r="D35" s="180" t="s">
        <v>250</v>
      </c>
      <c r="E35" s="180" t="s">
        <v>251</v>
      </c>
      <c r="G35" s="179"/>
      <c r="I35" s="180" t="s">
        <v>301</v>
      </c>
      <c r="J35" s="180" t="s">
        <v>321</v>
      </c>
      <c r="K35" s="180" t="s">
        <v>250</v>
      </c>
      <c r="L35" s="180" t="s">
        <v>265</v>
      </c>
      <c r="M35" s="180" t="s">
        <v>252</v>
      </c>
      <c r="O35" s="182"/>
      <c r="P35" s="182"/>
      <c r="Q35" s="183"/>
      <c r="W35" s="184"/>
      <c r="X35" s="184"/>
      <c r="Y35" s="184"/>
      <c r="Z35" s="184"/>
      <c r="AA35" s="185"/>
    </row>
    <row r="36" spans="1:27" s="129" customFormat="1" ht="30" x14ac:dyDescent="0.25">
      <c r="A36" s="128"/>
      <c r="B36" s="129" t="s">
        <v>301</v>
      </c>
      <c r="C36" s="129" t="s">
        <v>306</v>
      </c>
      <c r="D36" s="129" t="s">
        <v>255</v>
      </c>
      <c r="E36" s="129" t="s">
        <v>256</v>
      </c>
      <c r="F36" s="129" t="s">
        <v>307</v>
      </c>
      <c r="G36" s="128">
        <v>2</v>
      </c>
      <c r="H36" s="170">
        <v>200</v>
      </c>
      <c r="J36" s="129" t="s">
        <v>393</v>
      </c>
      <c r="N36" s="129" t="s">
        <v>394</v>
      </c>
      <c r="O36" s="131" t="s">
        <v>395</v>
      </c>
      <c r="P36" s="131" t="s">
        <v>425</v>
      </c>
      <c r="Q36" s="132"/>
      <c r="W36" s="133"/>
      <c r="X36" s="133"/>
      <c r="Y36" s="133"/>
      <c r="Z36" s="133"/>
      <c r="AA36" s="134"/>
    </row>
    <row r="37" spans="1:27" s="129" customFormat="1" ht="45" x14ac:dyDescent="0.25">
      <c r="A37" s="128"/>
      <c r="B37" s="129" t="s">
        <v>301</v>
      </c>
      <c r="C37" s="129" t="s">
        <v>308</v>
      </c>
      <c r="D37" s="129" t="s">
        <v>255</v>
      </c>
      <c r="E37" s="129" t="s">
        <v>258</v>
      </c>
      <c r="F37" s="129" t="s">
        <v>309</v>
      </c>
      <c r="G37" s="130">
        <v>2</v>
      </c>
      <c r="H37" s="170">
        <v>270</v>
      </c>
      <c r="I37" s="130" t="s">
        <v>301</v>
      </c>
      <c r="J37" s="129" t="s">
        <v>322</v>
      </c>
      <c r="K37" s="129" t="s">
        <v>255</v>
      </c>
      <c r="L37" s="129" t="s">
        <v>280</v>
      </c>
      <c r="M37" s="129" t="s">
        <v>309</v>
      </c>
      <c r="N37" s="131" t="s">
        <v>391</v>
      </c>
      <c r="O37" s="131" t="s">
        <v>392</v>
      </c>
      <c r="P37" s="131" t="s">
        <v>426</v>
      </c>
      <c r="Q37" s="132"/>
      <c r="W37" s="133"/>
      <c r="X37" s="133"/>
      <c r="Y37" s="133"/>
      <c r="Z37" s="133"/>
      <c r="AA37" s="134"/>
    </row>
    <row r="38" spans="1:27" s="180" customFormat="1" x14ac:dyDescent="0.25">
      <c r="A38" s="179"/>
      <c r="B38" s="180" t="s">
        <v>301</v>
      </c>
      <c r="C38" s="180" t="s">
        <v>310</v>
      </c>
      <c r="D38" s="180" t="s">
        <v>268</v>
      </c>
      <c r="E38" s="180" t="s">
        <v>269</v>
      </c>
      <c r="G38" s="179"/>
      <c r="I38" s="180" t="s">
        <v>301</v>
      </c>
      <c r="J38" s="180" t="s">
        <v>291</v>
      </c>
      <c r="K38" s="180" t="s">
        <v>292</v>
      </c>
      <c r="L38" s="180" t="s">
        <v>269</v>
      </c>
      <c r="N38" s="182"/>
      <c r="O38" s="182"/>
      <c r="P38" s="182"/>
      <c r="Q38" s="183"/>
      <c r="W38" s="184"/>
      <c r="X38" s="184"/>
      <c r="Y38" s="184"/>
      <c r="Z38" s="184"/>
      <c r="AA38" s="185"/>
    </row>
    <row r="39" spans="1:27" s="180" customFormat="1" x14ac:dyDescent="0.25">
      <c r="A39" s="179"/>
      <c r="B39" s="180" t="s">
        <v>301</v>
      </c>
      <c r="C39" s="180" t="s">
        <v>311</v>
      </c>
      <c r="D39" s="180" t="s">
        <v>271</v>
      </c>
      <c r="E39" s="180" t="s">
        <v>269</v>
      </c>
      <c r="G39" s="179"/>
      <c r="I39" s="180" t="s">
        <v>301</v>
      </c>
      <c r="J39" s="180" t="s">
        <v>293</v>
      </c>
      <c r="K39" s="180" t="s">
        <v>294</v>
      </c>
      <c r="L39" s="180" t="s">
        <v>269</v>
      </c>
      <c r="N39" s="182"/>
      <c r="O39" s="182"/>
      <c r="P39" s="182"/>
      <c r="Q39" s="183"/>
      <c r="W39" s="184"/>
      <c r="X39" s="184"/>
      <c r="Y39" s="184"/>
      <c r="Z39" s="184"/>
      <c r="AA39" s="185"/>
    </row>
    <row r="40" spans="1:27" s="129" customFormat="1" ht="90" x14ac:dyDescent="0.25">
      <c r="A40" s="128"/>
      <c r="B40" s="129" t="s">
        <v>312</v>
      </c>
      <c r="C40" s="129" t="s">
        <v>313</v>
      </c>
      <c r="D40" s="129" t="s">
        <v>250</v>
      </c>
      <c r="E40" s="129" t="s">
        <v>251</v>
      </c>
      <c r="G40" s="130"/>
      <c r="H40" s="130"/>
      <c r="I40" s="130"/>
      <c r="J40" s="129" t="s">
        <v>389</v>
      </c>
      <c r="N40" s="131" t="s">
        <v>390</v>
      </c>
      <c r="O40" s="131"/>
      <c r="P40" s="131"/>
      <c r="Q40" s="132"/>
      <c r="W40" s="133"/>
      <c r="X40" s="133"/>
      <c r="Y40" s="133"/>
      <c r="Z40" s="133"/>
      <c r="AA40" s="134"/>
    </row>
    <row r="41" spans="1:27" s="180" customFormat="1" x14ac:dyDescent="0.25">
      <c r="A41" s="179"/>
      <c r="B41" s="180" t="s">
        <v>301</v>
      </c>
      <c r="C41" s="180" t="s">
        <v>272</v>
      </c>
      <c r="D41" s="180" t="s">
        <v>271</v>
      </c>
      <c r="E41" s="180" t="s">
        <v>269</v>
      </c>
      <c r="G41" s="179"/>
      <c r="I41" s="180" t="s">
        <v>301</v>
      </c>
      <c r="J41" s="180" t="s">
        <v>295</v>
      </c>
      <c r="K41" s="180" t="s">
        <v>271</v>
      </c>
      <c r="L41" s="180" t="s">
        <v>269</v>
      </c>
      <c r="N41" s="182"/>
      <c r="O41" s="182"/>
      <c r="P41" s="182"/>
      <c r="Q41" s="183"/>
      <c r="W41" s="184"/>
      <c r="X41" s="184"/>
      <c r="Y41" s="184"/>
      <c r="Z41" s="184"/>
      <c r="AA41" s="185"/>
    </row>
    <row r="43" spans="1:27" s="175" customFormat="1" x14ac:dyDescent="0.25">
      <c r="A43" s="178"/>
      <c r="G43" s="172"/>
      <c r="H43" s="172"/>
      <c r="I43" s="172"/>
      <c r="N43" s="173"/>
      <c r="O43" s="173"/>
      <c r="P43" s="173"/>
      <c r="Q43" s="174"/>
      <c r="W43" s="176"/>
      <c r="X43" s="176"/>
      <c r="Y43" s="176"/>
      <c r="Z43" s="176"/>
      <c r="AA43" s="177"/>
    </row>
    <row r="46" spans="1:27" x14ac:dyDescent="0.25">
      <c r="B46" s="30" t="s">
        <v>323</v>
      </c>
      <c r="C46" s="30" t="s">
        <v>324</v>
      </c>
      <c r="D46" s="30" t="s">
        <v>250</v>
      </c>
      <c r="E46" s="30" t="s">
        <v>251</v>
      </c>
      <c r="F46" s="30" t="s">
        <v>325</v>
      </c>
      <c r="G46" s="126"/>
      <c r="H46" s="30"/>
      <c r="I46" s="30" t="s">
        <v>326</v>
      </c>
      <c r="J46" s="30" t="s">
        <v>345</v>
      </c>
      <c r="K46" s="30" t="s">
        <v>250</v>
      </c>
      <c r="L46" s="30" t="s">
        <v>256</v>
      </c>
      <c r="M46" s="30"/>
      <c r="N46" s="30"/>
    </row>
    <row r="47" spans="1:27" x14ac:dyDescent="0.25">
      <c r="B47" s="30" t="s">
        <v>326</v>
      </c>
      <c r="C47" s="30" t="s">
        <v>327</v>
      </c>
      <c r="D47" s="30" t="s">
        <v>250</v>
      </c>
      <c r="E47" s="30" t="s">
        <v>284</v>
      </c>
      <c r="F47" s="30" t="s">
        <v>325</v>
      </c>
      <c r="G47" s="126"/>
      <c r="H47" s="30"/>
      <c r="I47" s="30" t="s">
        <v>323</v>
      </c>
      <c r="J47" s="30" t="s">
        <v>346</v>
      </c>
      <c r="K47" s="30" t="s">
        <v>250</v>
      </c>
      <c r="L47" s="30" t="s">
        <v>251</v>
      </c>
      <c r="M47" s="30" t="s">
        <v>325</v>
      </c>
      <c r="N47" s="30"/>
    </row>
    <row r="48" spans="1:27" x14ac:dyDescent="0.25">
      <c r="B48" s="30" t="s">
        <v>323</v>
      </c>
      <c r="C48" s="30" t="s">
        <v>328</v>
      </c>
      <c r="D48" s="30" t="s">
        <v>250</v>
      </c>
      <c r="E48" s="30" t="s">
        <v>251</v>
      </c>
      <c r="F48" s="30" t="s">
        <v>329</v>
      </c>
      <c r="G48" s="126"/>
      <c r="H48" s="30"/>
      <c r="I48" s="30" t="s">
        <v>323</v>
      </c>
      <c r="J48" s="30" t="s">
        <v>347</v>
      </c>
      <c r="K48" s="30" t="s">
        <v>250</v>
      </c>
      <c r="L48" s="30" t="s">
        <v>251</v>
      </c>
      <c r="M48" s="30" t="s">
        <v>333</v>
      </c>
      <c r="N48" s="30"/>
    </row>
    <row r="49" spans="1:27" x14ac:dyDescent="0.25">
      <c r="B49" s="30" t="s">
        <v>323</v>
      </c>
      <c r="C49" s="30" t="s">
        <v>330</v>
      </c>
      <c r="D49" s="30" t="s">
        <v>250</v>
      </c>
      <c r="E49" s="30" t="s">
        <v>251</v>
      </c>
      <c r="F49" s="30" t="s">
        <v>331</v>
      </c>
      <c r="G49" s="126"/>
      <c r="H49" s="30"/>
      <c r="I49" s="30" t="s">
        <v>323</v>
      </c>
      <c r="J49" s="30" t="s">
        <v>348</v>
      </c>
      <c r="K49" s="30" t="s">
        <v>250</v>
      </c>
      <c r="L49" s="30" t="s">
        <v>251</v>
      </c>
      <c r="M49" s="30" t="s">
        <v>333</v>
      </c>
      <c r="N49" s="30"/>
    </row>
    <row r="50" spans="1:27" x14ac:dyDescent="0.25">
      <c r="B50" s="30" t="s">
        <v>323</v>
      </c>
      <c r="C50" s="30" t="s">
        <v>332</v>
      </c>
      <c r="D50" s="30" t="s">
        <v>250</v>
      </c>
      <c r="E50" s="30" t="s">
        <v>251</v>
      </c>
      <c r="F50" s="30" t="s">
        <v>333</v>
      </c>
      <c r="G50" s="126"/>
      <c r="H50" s="30"/>
      <c r="I50" s="30" t="s">
        <v>323</v>
      </c>
      <c r="J50" s="30" t="s">
        <v>349</v>
      </c>
      <c r="K50" s="30" t="s">
        <v>250</v>
      </c>
      <c r="L50" s="30" t="s">
        <v>251</v>
      </c>
      <c r="M50" s="30" t="s">
        <v>331</v>
      </c>
      <c r="N50" s="30"/>
    </row>
    <row r="51" spans="1:27" x14ac:dyDescent="0.25">
      <c r="B51" s="30" t="s">
        <v>323</v>
      </c>
      <c r="C51" s="30" t="s">
        <v>334</v>
      </c>
      <c r="D51" s="30" t="s">
        <v>250</v>
      </c>
      <c r="E51" s="30" t="s">
        <v>251</v>
      </c>
      <c r="F51" s="30" t="s">
        <v>331</v>
      </c>
      <c r="G51" s="126"/>
      <c r="H51" s="30"/>
      <c r="I51" s="30" t="s">
        <v>323</v>
      </c>
      <c r="J51" s="30" t="s">
        <v>350</v>
      </c>
      <c r="K51" s="30" t="s">
        <v>250</v>
      </c>
      <c r="L51" s="30" t="s">
        <v>251</v>
      </c>
      <c r="M51" s="30" t="s">
        <v>331</v>
      </c>
      <c r="N51" s="30"/>
    </row>
    <row r="52" spans="1:27" x14ac:dyDescent="0.25">
      <c r="B52" s="30" t="s">
        <v>323</v>
      </c>
      <c r="C52" s="30" t="s">
        <v>249</v>
      </c>
      <c r="D52" s="30" t="s">
        <v>250</v>
      </c>
      <c r="E52" s="30" t="s">
        <v>251</v>
      </c>
      <c r="F52" s="30" t="s">
        <v>252</v>
      </c>
      <c r="G52" s="126"/>
      <c r="H52" s="30"/>
      <c r="I52" s="30" t="s">
        <v>323</v>
      </c>
      <c r="J52" s="30" t="s">
        <v>314</v>
      </c>
      <c r="K52" s="30" t="s">
        <v>250</v>
      </c>
      <c r="L52" s="30" t="s">
        <v>251</v>
      </c>
      <c r="M52" s="30" t="s">
        <v>252</v>
      </c>
      <c r="N52" s="30"/>
    </row>
    <row r="53" spans="1:27" s="180" customFormat="1" x14ac:dyDescent="0.25">
      <c r="A53" s="179"/>
      <c r="B53" s="180" t="s">
        <v>335</v>
      </c>
      <c r="C53" s="180" t="s">
        <v>254</v>
      </c>
      <c r="D53" s="180" t="s">
        <v>255</v>
      </c>
      <c r="E53" s="180" t="s">
        <v>256</v>
      </c>
      <c r="G53" s="179"/>
      <c r="I53" s="180" t="s">
        <v>335</v>
      </c>
      <c r="J53" s="180" t="s">
        <v>283</v>
      </c>
      <c r="K53" s="180" t="s">
        <v>255</v>
      </c>
      <c r="L53" s="180" t="s">
        <v>284</v>
      </c>
      <c r="O53" s="182"/>
      <c r="P53" s="182"/>
      <c r="Q53" s="183"/>
      <c r="W53" s="184"/>
      <c r="X53" s="184"/>
      <c r="Y53" s="184"/>
      <c r="Z53" s="184"/>
      <c r="AA53" s="185"/>
    </row>
    <row r="54" spans="1:27" s="180" customFormat="1" x14ac:dyDescent="0.25">
      <c r="A54" s="179"/>
      <c r="B54" s="180" t="s">
        <v>335</v>
      </c>
      <c r="C54" s="180" t="s">
        <v>257</v>
      </c>
      <c r="D54" s="180" t="s">
        <v>250</v>
      </c>
      <c r="E54" s="180" t="s">
        <v>258</v>
      </c>
      <c r="F54" s="180" t="s">
        <v>252</v>
      </c>
      <c r="G54" s="179"/>
      <c r="I54" s="180" t="s">
        <v>335</v>
      </c>
      <c r="J54" s="180" t="s">
        <v>351</v>
      </c>
      <c r="K54" s="180" t="s">
        <v>250</v>
      </c>
      <c r="L54" s="180" t="s">
        <v>258</v>
      </c>
      <c r="M54" s="180" t="s">
        <v>252</v>
      </c>
      <c r="O54" s="182"/>
      <c r="P54" s="182"/>
      <c r="Q54" s="183"/>
      <c r="W54" s="184"/>
      <c r="X54" s="184"/>
      <c r="Y54" s="184"/>
      <c r="Z54" s="184"/>
      <c r="AA54" s="185"/>
    </row>
    <row r="55" spans="1:27" s="129" customFormat="1" x14ac:dyDescent="0.25">
      <c r="A55" s="128"/>
      <c r="B55" s="129" t="s">
        <v>335</v>
      </c>
      <c r="C55" s="129" t="s">
        <v>336</v>
      </c>
      <c r="D55" s="129" t="s">
        <v>337</v>
      </c>
      <c r="E55" s="129" t="s">
        <v>280</v>
      </c>
      <c r="F55" s="129" t="s">
        <v>338</v>
      </c>
      <c r="G55" s="128">
        <v>2</v>
      </c>
      <c r="H55" s="170">
        <v>85</v>
      </c>
      <c r="I55" s="129" t="s">
        <v>335</v>
      </c>
      <c r="J55" s="129" t="s">
        <v>352</v>
      </c>
      <c r="K55" s="129" t="s">
        <v>255</v>
      </c>
      <c r="L55" s="129" t="s">
        <v>280</v>
      </c>
      <c r="M55" s="129" t="s">
        <v>338</v>
      </c>
      <c r="N55" s="114" t="s">
        <v>400</v>
      </c>
      <c r="O55" s="114" t="s">
        <v>401</v>
      </c>
      <c r="P55" s="920" t="s">
        <v>423</v>
      </c>
      <c r="Q55" s="132"/>
      <c r="W55" s="133"/>
      <c r="X55" s="133"/>
      <c r="Y55" s="133"/>
      <c r="Z55" s="133"/>
      <c r="AA55" s="134"/>
    </row>
    <row r="56" spans="1:27" s="129" customFormat="1" x14ac:dyDescent="0.25">
      <c r="A56" s="128"/>
      <c r="B56" s="114" t="s">
        <v>335</v>
      </c>
      <c r="C56" s="114" t="s">
        <v>339</v>
      </c>
      <c r="D56" s="114" t="s">
        <v>255</v>
      </c>
      <c r="E56" s="114" t="s">
        <v>280</v>
      </c>
      <c r="F56" s="114" t="s">
        <v>340</v>
      </c>
      <c r="G56" s="127">
        <v>2</v>
      </c>
      <c r="H56" s="170">
        <v>85</v>
      </c>
      <c r="I56" s="114" t="s">
        <v>335</v>
      </c>
      <c r="J56" s="114" t="s">
        <v>353</v>
      </c>
      <c r="K56" s="114" t="s">
        <v>337</v>
      </c>
      <c r="L56" s="114" t="s">
        <v>280</v>
      </c>
      <c r="M56" s="114" t="s">
        <v>340</v>
      </c>
      <c r="N56" s="114" t="s">
        <v>400</v>
      </c>
      <c r="O56" s="114" t="s">
        <v>401</v>
      </c>
      <c r="P56" s="920"/>
      <c r="Q56" s="132"/>
      <c r="W56" s="133"/>
      <c r="X56" s="133"/>
      <c r="Y56" s="133"/>
      <c r="Z56" s="133"/>
      <c r="AA56" s="134"/>
    </row>
    <row r="57" spans="1:27" s="114" customFormat="1" x14ac:dyDescent="0.25">
      <c r="A57" s="127"/>
      <c r="B57" s="114" t="s">
        <v>335</v>
      </c>
      <c r="C57" s="114" t="s">
        <v>341</v>
      </c>
      <c r="D57" s="114" t="s">
        <v>255</v>
      </c>
      <c r="E57" s="114" t="s">
        <v>277</v>
      </c>
      <c r="G57" s="127">
        <v>3</v>
      </c>
      <c r="H57" s="170">
        <v>175</v>
      </c>
      <c r="I57" s="114" t="s">
        <v>335</v>
      </c>
      <c r="J57" s="114" t="s">
        <v>354</v>
      </c>
      <c r="K57" s="114" t="s">
        <v>255</v>
      </c>
      <c r="L57" s="114" t="s">
        <v>277</v>
      </c>
      <c r="N57" s="114" t="s">
        <v>398</v>
      </c>
      <c r="O57" s="114" t="s">
        <v>399</v>
      </c>
      <c r="P57" s="920"/>
      <c r="Q57" s="186"/>
      <c r="W57" s="116"/>
      <c r="X57" s="116"/>
      <c r="Y57" s="116"/>
      <c r="Z57" s="116"/>
      <c r="AA57" s="117"/>
    </row>
    <row r="58" spans="1:27" s="180" customFormat="1" x14ac:dyDescent="0.25">
      <c r="A58" s="179"/>
      <c r="B58" s="180" t="s">
        <v>335</v>
      </c>
      <c r="C58" s="180" t="s">
        <v>342</v>
      </c>
      <c r="D58" s="180" t="s">
        <v>261</v>
      </c>
      <c r="E58" s="180" t="s">
        <v>262</v>
      </c>
      <c r="G58" s="179"/>
      <c r="I58" s="180" t="s">
        <v>335</v>
      </c>
      <c r="J58" s="180" t="s">
        <v>320</v>
      </c>
      <c r="K58" s="180" t="s">
        <v>261</v>
      </c>
      <c r="L58" s="180" t="s">
        <v>262</v>
      </c>
      <c r="O58" s="182"/>
      <c r="P58" s="182"/>
      <c r="Q58" s="183"/>
      <c r="W58" s="184"/>
      <c r="X58" s="184"/>
      <c r="Y58" s="184"/>
      <c r="Z58" s="184"/>
      <c r="AA58" s="185"/>
    </row>
    <row r="59" spans="1:27" s="180" customFormat="1" x14ac:dyDescent="0.25">
      <c r="A59" s="179"/>
      <c r="B59" s="180" t="s">
        <v>335</v>
      </c>
      <c r="C59" s="180" t="s">
        <v>305</v>
      </c>
      <c r="D59" s="180" t="s">
        <v>250</v>
      </c>
      <c r="E59" s="180" t="s">
        <v>265</v>
      </c>
      <c r="G59" s="179"/>
      <c r="I59" s="180" t="s">
        <v>335</v>
      </c>
      <c r="J59" s="180" t="s">
        <v>321</v>
      </c>
      <c r="K59" s="180" t="s">
        <v>250</v>
      </c>
      <c r="L59" s="180" t="s">
        <v>265</v>
      </c>
      <c r="M59" s="180" t="s">
        <v>252</v>
      </c>
      <c r="O59" s="182"/>
      <c r="P59" s="182"/>
      <c r="Q59" s="183"/>
      <c r="W59" s="184"/>
      <c r="X59" s="184"/>
      <c r="Y59" s="184"/>
      <c r="Z59" s="184"/>
      <c r="AA59" s="185"/>
    </row>
    <row r="60" spans="1:27" s="180" customFormat="1" x14ac:dyDescent="0.25">
      <c r="A60" s="179"/>
      <c r="B60" s="180" t="s">
        <v>335</v>
      </c>
      <c r="C60" s="180" t="s">
        <v>266</v>
      </c>
      <c r="D60" s="180" t="s">
        <v>250</v>
      </c>
      <c r="E60" s="180" t="s">
        <v>251</v>
      </c>
      <c r="G60" s="179"/>
      <c r="I60" s="180" t="s">
        <v>344</v>
      </c>
      <c r="J60" s="180" t="s">
        <v>322</v>
      </c>
      <c r="K60" s="180" t="s">
        <v>255</v>
      </c>
      <c r="L60" s="180" t="s">
        <v>280</v>
      </c>
      <c r="M60" s="180" t="s">
        <v>309</v>
      </c>
      <c r="O60" s="182"/>
      <c r="P60" s="182"/>
      <c r="Q60" s="183"/>
      <c r="W60" s="184"/>
      <c r="X60" s="184"/>
      <c r="Y60" s="184"/>
      <c r="Z60" s="184"/>
      <c r="AA60" s="185"/>
    </row>
    <row r="61" spans="1:27" s="180" customFormat="1" x14ac:dyDescent="0.25">
      <c r="A61" s="179"/>
      <c r="B61" s="180" t="s">
        <v>335</v>
      </c>
      <c r="C61" s="180" t="s">
        <v>343</v>
      </c>
      <c r="D61" s="180" t="s">
        <v>255</v>
      </c>
      <c r="E61" s="180" t="s">
        <v>256</v>
      </c>
      <c r="F61" s="180" t="s">
        <v>307</v>
      </c>
      <c r="G61" s="179"/>
      <c r="I61" s="180" t="s">
        <v>344</v>
      </c>
      <c r="J61" s="180" t="s">
        <v>291</v>
      </c>
      <c r="K61" s="180" t="s">
        <v>292</v>
      </c>
      <c r="L61" s="180" t="s">
        <v>269</v>
      </c>
      <c r="O61" s="182"/>
      <c r="P61" s="182"/>
      <c r="Q61" s="183"/>
      <c r="W61" s="184"/>
      <c r="X61" s="184"/>
      <c r="Y61" s="184"/>
      <c r="Z61" s="184"/>
      <c r="AA61" s="185"/>
    </row>
    <row r="62" spans="1:27" s="180" customFormat="1" x14ac:dyDescent="0.25">
      <c r="A62" s="179"/>
      <c r="B62" s="180" t="s">
        <v>344</v>
      </c>
      <c r="C62" s="180" t="s">
        <v>308</v>
      </c>
      <c r="D62" s="180" t="s">
        <v>255</v>
      </c>
      <c r="E62" s="180" t="s">
        <v>258</v>
      </c>
      <c r="F62" s="180" t="s">
        <v>309</v>
      </c>
      <c r="G62" s="179"/>
      <c r="I62" s="180" t="s">
        <v>344</v>
      </c>
      <c r="J62" s="180" t="s">
        <v>293</v>
      </c>
      <c r="K62" s="180" t="s">
        <v>294</v>
      </c>
      <c r="L62" s="180" t="s">
        <v>269</v>
      </c>
      <c r="O62" s="182"/>
      <c r="P62" s="182"/>
      <c r="Q62" s="183"/>
      <c r="W62" s="184"/>
      <c r="X62" s="184"/>
      <c r="Y62" s="184"/>
      <c r="Z62" s="184"/>
      <c r="AA62" s="185"/>
    </row>
    <row r="63" spans="1:27" s="180" customFormat="1" x14ac:dyDescent="0.25">
      <c r="A63" s="179"/>
      <c r="B63" s="180" t="s">
        <v>344</v>
      </c>
      <c r="C63" s="180" t="s">
        <v>267</v>
      </c>
      <c r="D63" s="180" t="s">
        <v>268</v>
      </c>
      <c r="E63" s="180" t="s">
        <v>269</v>
      </c>
      <c r="G63" s="179"/>
      <c r="I63" s="181"/>
      <c r="O63" s="182"/>
      <c r="P63" s="182"/>
      <c r="Q63" s="183"/>
      <c r="W63" s="184"/>
      <c r="X63" s="184"/>
      <c r="Y63" s="184"/>
      <c r="Z63" s="184"/>
      <c r="AA63" s="185"/>
    </row>
    <row r="64" spans="1:27" s="180" customFormat="1" x14ac:dyDescent="0.25">
      <c r="A64" s="179"/>
      <c r="B64" s="180" t="s">
        <v>344</v>
      </c>
      <c r="C64" s="180" t="s">
        <v>311</v>
      </c>
      <c r="D64" s="180" t="s">
        <v>271</v>
      </c>
      <c r="E64" s="180" t="s">
        <v>269</v>
      </c>
      <c r="G64" s="179"/>
      <c r="I64" s="180" t="s">
        <v>344</v>
      </c>
      <c r="J64" s="180" t="s">
        <v>355</v>
      </c>
      <c r="K64" s="180" t="s">
        <v>271</v>
      </c>
      <c r="L64" s="180" t="s">
        <v>269</v>
      </c>
      <c r="O64" s="182"/>
      <c r="P64" s="182"/>
      <c r="Q64" s="183"/>
      <c r="W64" s="184"/>
      <c r="X64" s="184"/>
      <c r="Y64" s="184"/>
      <c r="Z64" s="184"/>
      <c r="AA64" s="185"/>
    </row>
    <row r="65" spans="1:27" s="180" customFormat="1" x14ac:dyDescent="0.25">
      <c r="A65" s="179"/>
      <c r="B65" s="180" t="s">
        <v>344</v>
      </c>
      <c r="C65" s="180" t="s">
        <v>272</v>
      </c>
      <c r="D65" s="180" t="s">
        <v>271</v>
      </c>
      <c r="E65" s="180" t="s">
        <v>269</v>
      </c>
      <c r="G65" s="179"/>
      <c r="O65" s="182"/>
      <c r="P65" s="182"/>
      <c r="Q65" s="183"/>
      <c r="W65" s="184"/>
      <c r="X65" s="184"/>
      <c r="Y65" s="184"/>
      <c r="Z65" s="184"/>
      <c r="AA65" s="185"/>
    </row>
    <row r="67" spans="1:27" s="175" customFormat="1" x14ac:dyDescent="0.25">
      <c r="A67" s="178"/>
      <c r="G67" s="172"/>
      <c r="H67" s="172"/>
      <c r="I67" s="172"/>
      <c r="N67" s="173"/>
      <c r="O67" s="173"/>
      <c r="P67" s="173"/>
      <c r="Q67" s="174"/>
      <c r="W67" s="176"/>
      <c r="X67" s="176"/>
      <c r="Y67" s="176"/>
      <c r="Z67" s="176"/>
      <c r="AA67" s="177"/>
    </row>
    <row r="69" spans="1:27" s="180" customFormat="1" x14ac:dyDescent="0.25">
      <c r="A69" s="179"/>
      <c r="B69" s="180" t="s">
        <v>356</v>
      </c>
      <c r="C69" s="180" t="s">
        <v>357</v>
      </c>
      <c r="D69" s="180" t="s">
        <v>250</v>
      </c>
      <c r="E69" s="180" t="s">
        <v>258</v>
      </c>
      <c r="F69" s="180" t="s">
        <v>252</v>
      </c>
      <c r="G69" s="179"/>
      <c r="I69" s="180" t="s">
        <v>356</v>
      </c>
      <c r="J69" s="180" t="s">
        <v>363</v>
      </c>
      <c r="K69" s="180" t="s">
        <v>250</v>
      </c>
      <c r="L69" s="180" t="s">
        <v>258</v>
      </c>
      <c r="M69" s="180" t="s">
        <v>252</v>
      </c>
      <c r="O69" s="182"/>
      <c r="P69" s="182"/>
      <c r="Q69" s="183"/>
      <c r="W69" s="184"/>
      <c r="X69" s="184"/>
      <c r="Y69" s="184"/>
      <c r="Z69" s="184"/>
      <c r="AA69" s="185"/>
    </row>
    <row r="70" spans="1:27" s="129" customFormat="1" ht="30" x14ac:dyDescent="0.25">
      <c r="A70" s="128"/>
      <c r="B70" s="129" t="s">
        <v>356</v>
      </c>
      <c r="C70" s="129" t="s">
        <v>358</v>
      </c>
      <c r="D70" s="129" t="s">
        <v>255</v>
      </c>
      <c r="E70" s="129" t="s">
        <v>258</v>
      </c>
      <c r="F70" s="129" t="s">
        <v>359</v>
      </c>
      <c r="G70" s="128">
        <v>2</v>
      </c>
      <c r="H70" s="170">
        <v>120</v>
      </c>
      <c r="I70" s="129" t="s">
        <v>356</v>
      </c>
      <c r="J70" s="129" t="s">
        <v>364</v>
      </c>
      <c r="K70" s="129" t="s">
        <v>255</v>
      </c>
      <c r="L70" s="129" t="s">
        <v>280</v>
      </c>
      <c r="M70" s="129" t="s">
        <v>365</v>
      </c>
      <c r="N70" s="129" t="s">
        <v>396</v>
      </c>
      <c r="O70" s="131" t="s">
        <v>397</v>
      </c>
      <c r="P70" s="131" t="s">
        <v>424</v>
      </c>
      <c r="Q70" s="132"/>
      <c r="W70" s="133"/>
      <c r="X70" s="133"/>
      <c r="Y70" s="133"/>
      <c r="Z70" s="133"/>
      <c r="AA70" s="134"/>
    </row>
    <row r="71" spans="1:27" s="180" customFormat="1" x14ac:dyDescent="0.25">
      <c r="A71" s="179"/>
      <c r="B71" s="180" t="s">
        <v>356</v>
      </c>
      <c r="C71" s="180" t="s">
        <v>259</v>
      </c>
      <c r="D71" s="180" t="s">
        <v>250</v>
      </c>
      <c r="E71" s="180" t="s">
        <v>251</v>
      </c>
      <c r="F71" s="180" t="s">
        <v>252</v>
      </c>
      <c r="G71" s="179"/>
      <c r="I71" s="180" t="s">
        <v>356</v>
      </c>
      <c r="J71" s="180" t="s">
        <v>366</v>
      </c>
      <c r="K71" s="180" t="s">
        <v>250</v>
      </c>
      <c r="L71" s="180" t="s">
        <v>251</v>
      </c>
      <c r="M71" s="180" t="s">
        <v>252</v>
      </c>
      <c r="O71" s="182"/>
      <c r="P71" s="182"/>
      <c r="Q71" s="183"/>
      <c r="W71" s="184"/>
      <c r="X71" s="184"/>
      <c r="Y71" s="184"/>
      <c r="Z71" s="184"/>
      <c r="AA71" s="185"/>
    </row>
    <row r="72" spans="1:27" s="180" customFormat="1" x14ac:dyDescent="0.25">
      <c r="A72" s="179"/>
      <c r="B72" s="180" t="s">
        <v>356</v>
      </c>
      <c r="C72" s="180" t="s">
        <v>304</v>
      </c>
      <c r="D72" s="180" t="s">
        <v>261</v>
      </c>
      <c r="E72" s="180" t="s">
        <v>262</v>
      </c>
      <c r="G72" s="179"/>
      <c r="I72" s="180" t="s">
        <v>356</v>
      </c>
      <c r="J72" s="180" t="s">
        <v>288</v>
      </c>
      <c r="K72" s="180" t="s">
        <v>261</v>
      </c>
      <c r="L72" s="180" t="s">
        <v>262</v>
      </c>
      <c r="O72" s="182"/>
      <c r="P72" s="182"/>
      <c r="Q72" s="183"/>
      <c r="W72" s="184"/>
      <c r="X72" s="184"/>
      <c r="Y72" s="184"/>
      <c r="Z72" s="184"/>
      <c r="AA72" s="185"/>
    </row>
    <row r="73" spans="1:27" s="180" customFormat="1" x14ac:dyDescent="0.25">
      <c r="A73" s="179"/>
      <c r="B73" s="180" t="s">
        <v>356</v>
      </c>
      <c r="C73" s="180" t="s">
        <v>360</v>
      </c>
      <c r="D73" s="180" t="s">
        <v>250</v>
      </c>
      <c r="E73" s="180" t="s">
        <v>265</v>
      </c>
      <c r="G73" s="179"/>
      <c r="I73" s="180" t="s">
        <v>356</v>
      </c>
      <c r="J73" s="180" t="s">
        <v>289</v>
      </c>
      <c r="K73" s="180" t="s">
        <v>250</v>
      </c>
      <c r="L73" s="180" t="s">
        <v>251</v>
      </c>
      <c r="M73" s="180" t="s">
        <v>252</v>
      </c>
      <c r="O73" s="182"/>
      <c r="P73" s="182"/>
      <c r="Q73" s="183"/>
      <c r="W73" s="184"/>
      <c r="X73" s="184"/>
      <c r="Y73" s="184"/>
      <c r="Z73" s="184"/>
      <c r="AA73" s="185"/>
    </row>
    <row r="74" spans="1:27" s="180" customFormat="1" x14ac:dyDescent="0.25">
      <c r="A74" s="179"/>
      <c r="B74" s="180" t="s">
        <v>356</v>
      </c>
      <c r="C74" s="180" t="s">
        <v>266</v>
      </c>
      <c r="D74" s="180" t="s">
        <v>250</v>
      </c>
      <c r="E74" s="180" t="s">
        <v>251</v>
      </c>
      <c r="G74" s="179"/>
      <c r="I74" s="180" t="s">
        <v>361</v>
      </c>
      <c r="J74" s="180" t="s">
        <v>367</v>
      </c>
      <c r="K74" s="180" t="s">
        <v>292</v>
      </c>
      <c r="L74" s="180" t="s">
        <v>269</v>
      </c>
      <c r="O74" s="182"/>
      <c r="P74" s="182"/>
      <c r="Q74" s="183"/>
      <c r="W74" s="184"/>
      <c r="X74" s="184"/>
      <c r="Y74" s="184"/>
      <c r="Z74" s="184"/>
      <c r="AA74" s="185"/>
    </row>
    <row r="75" spans="1:27" s="180" customFormat="1" x14ac:dyDescent="0.25">
      <c r="A75" s="179"/>
      <c r="B75" s="180" t="s">
        <v>361</v>
      </c>
      <c r="C75" s="180" t="s">
        <v>310</v>
      </c>
      <c r="D75" s="180" t="s">
        <v>268</v>
      </c>
      <c r="E75" s="180" t="s">
        <v>269</v>
      </c>
      <c r="G75" s="179"/>
      <c r="I75" s="180" t="s">
        <v>361</v>
      </c>
      <c r="J75" s="180" t="s">
        <v>368</v>
      </c>
      <c r="K75" s="180" t="s">
        <v>294</v>
      </c>
      <c r="L75" s="180" t="s">
        <v>269</v>
      </c>
      <c r="O75" s="182"/>
      <c r="P75" s="182"/>
      <c r="Q75" s="183"/>
      <c r="W75" s="184"/>
      <c r="X75" s="184"/>
      <c r="Y75" s="184"/>
      <c r="Z75" s="184"/>
      <c r="AA75" s="185"/>
    </row>
    <row r="76" spans="1:27" s="180" customFormat="1" x14ac:dyDescent="0.25">
      <c r="A76" s="179"/>
      <c r="B76" s="180" t="s">
        <v>361</v>
      </c>
      <c r="C76" s="180" t="s">
        <v>270</v>
      </c>
      <c r="D76" s="180" t="s">
        <v>271</v>
      </c>
      <c r="E76" s="180" t="s">
        <v>269</v>
      </c>
      <c r="G76" s="179"/>
      <c r="I76" s="180" t="s">
        <v>361</v>
      </c>
      <c r="J76" s="180" t="s">
        <v>355</v>
      </c>
      <c r="K76" s="180" t="s">
        <v>271</v>
      </c>
      <c r="L76" s="180" t="s">
        <v>269</v>
      </c>
      <c r="O76" s="182"/>
      <c r="P76" s="182"/>
      <c r="Q76" s="183"/>
      <c r="W76" s="184"/>
      <c r="X76" s="184"/>
      <c r="Y76" s="184"/>
      <c r="Z76" s="184"/>
      <c r="AA76" s="185"/>
    </row>
    <row r="77" spans="1:27" s="180" customFormat="1" x14ac:dyDescent="0.25">
      <c r="A77" s="179"/>
      <c r="B77" s="180" t="s">
        <v>361</v>
      </c>
      <c r="C77" s="180" t="s">
        <v>362</v>
      </c>
      <c r="D77" s="180" t="s">
        <v>271</v>
      </c>
      <c r="E77" s="180" t="s">
        <v>269</v>
      </c>
      <c r="G77" s="179"/>
      <c r="O77" s="182"/>
      <c r="P77" s="182"/>
      <c r="Q77" s="183"/>
      <c r="W77" s="184"/>
      <c r="X77" s="184"/>
      <c r="Y77" s="184"/>
      <c r="Z77" s="184"/>
      <c r="AA77" s="185"/>
    </row>
    <row r="78" spans="1:27" x14ac:dyDescent="0.25">
      <c r="B78" s="30"/>
      <c r="C78" s="30"/>
      <c r="D78" s="30"/>
      <c r="E78" s="30"/>
      <c r="F78" s="30"/>
      <c r="G78" s="126"/>
      <c r="H78" s="30"/>
      <c r="I78" s="30"/>
      <c r="J78" s="30"/>
      <c r="K78" s="30"/>
      <c r="L78" s="30"/>
      <c r="M78" s="30"/>
      <c r="N78" s="30"/>
    </row>
    <row r="79" spans="1:27" x14ac:dyDescent="0.25">
      <c r="B79" s="30"/>
      <c r="C79" s="30"/>
      <c r="D79" s="30"/>
      <c r="E79" s="30"/>
      <c r="F79" s="30"/>
      <c r="G79" s="126"/>
      <c r="H79" s="30"/>
      <c r="I79" s="30"/>
      <c r="J79" s="30"/>
      <c r="K79" s="30"/>
      <c r="L79" s="30"/>
      <c r="M79" s="30"/>
      <c r="N79" s="30"/>
    </row>
  </sheetData>
  <mergeCells count="1">
    <mergeCell ref="P55:P57"/>
  </mergeCells>
  <pageMargins left="0.25" right="0.25" top="0.75" bottom="0.75" header="0.3" footer="0.3"/>
  <pageSetup scale="22" fitToHeight="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Q55"/>
  <sheetViews>
    <sheetView workbookViewId="0">
      <selection activeCell="M32" sqref="M32"/>
    </sheetView>
  </sheetViews>
  <sheetFormatPr defaultColWidth="9.140625" defaultRowHeight="12.75" x14ac:dyDescent="0.2"/>
  <cols>
    <col min="1" max="1" width="9.140625" style="13"/>
    <col min="2" max="2" width="42.42578125" style="13" customWidth="1"/>
    <col min="3" max="3" width="21.5703125" style="27" customWidth="1"/>
    <col min="4" max="4" width="4.28515625" style="13" customWidth="1"/>
    <col min="5" max="5" width="24.42578125" style="14" customWidth="1"/>
    <col min="6" max="6" width="11.42578125" style="15" customWidth="1"/>
    <col min="7" max="7" width="9.140625" style="13"/>
    <col min="8" max="8" width="9.42578125" style="13" customWidth="1"/>
    <col min="9" max="9" width="8.5703125" style="13" customWidth="1"/>
    <col min="10" max="10" width="7.5703125" style="14" customWidth="1"/>
    <col min="11" max="11" width="8.7109375" style="14" customWidth="1"/>
    <col min="12" max="12" width="8" style="13" customWidth="1"/>
    <col min="13" max="13" width="7.5703125" style="13" customWidth="1"/>
    <col min="14" max="14" width="8" style="13" customWidth="1"/>
    <col min="15" max="15" width="7.140625" style="13" customWidth="1"/>
    <col min="16" max="16" width="8.42578125" style="13" customWidth="1"/>
    <col min="17" max="17" width="7.5703125" style="13" customWidth="1"/>
    <col min="18" max="20" width="7.42578125" style="13" customWidth="1"/>
    <col min="21" max="16384" width="9.140625" style="13"/>
  </cols>
  <sheetData>
    <row r="2" spans="2:17" s="3" customFormat="1" ht="25.5" x14ac:dyDescent="0.2">
      <c r="B2" s="1" t="s">
        <v>29</v>
      </c>
      <c r="C2" s="2"/>
      <c r="E2" s="4"/>
      <c r="F2" s="5"/>
      <c r="J2" s="4"/>
      <c r="K2" s="4"/>
    </row>
    <row r="4" spans="2:17" s="8" customFormat="1" ht="31.5" customHeight="1" x14ac:dyDescent="0.25">
      <c r="B4" s="6" t="s">
        <v>30</v>
      </c>
      <c r="C4" s="7" t="s">
        <v>31</v>
      </c>
      <c r="E4" s="6" t="s">
        <v>32</v>
      </c>
      <c r="F4" s="9" t="s">
        <v>33</v>
      </c>
    </row>
    <row r="5" spans="2:17" s="8" customFormat="1" ht="25.5" x14ac:dyDescent="0.2">
      <c r="B5" s="6" t="s">
        <v>34</v>
      </c>
      <c r="C5" s="7"/>
      <c r="E5" s="10" t="s">
        <v>35</v>
      </c>
      <c r="F5" s="11">
        <v>50</v>
      </c>
    </row>
    <row r="6" spans="2:17" ht="25.5" x14ac:dyDescent="0.2">
      <c r="B6" s="12" t="s">
        <v>36</v>
      </c>
      <c r="C6" s="11">
        <v>180</v>
      </c>
      <c r="E6" s="10" t="s">
        <v>37</v>
      </c>
      <c r="F6" s="11">
        <v>60</v>
      </c>
    </row>
    <row r="7" spans="2:17" x14ac:dyDescent="0.2">
      <c r="B7" s="12" t="s">
        <v>38</v>
      </c>
      <c r="C7" s="11">
        <v>135</v>
      </c>
    </row>
    <row r="8" spans="2:17" ht="15" customHeight="1" x14ac:dyDescent="0.2">
      <c r="B8" s="12" t="s">
        <v>39</v>
      </c>
      <c r="C8" s="11">
        <v>18</v>
      </c>
      <c r="E8" s="921" t="s">
        <v>40</v>
      </c>
      <c r="F8" s="922"/>
      <c r="G8" s="922"/>
      <c r="H8" s="922"/>
      <c r="I8" s="922"/>
      <c r="J8" s="922"/>
      <c r="K8" s="922"/>
      <c r="L8" s="922"/>
      <c r="M8" s="922"/>
      <c r="N8" s="922"/>
      <c r="O8" s="922"/>
      <c r="P8" s="922"/>
      <c r="Q8" s="923"/>
    </row>
    <row r="9" spans="2:17" x14ac:dyDescent="0.2">
      <c r="B9" s="12"/>
      <c r="C9" s="11"/>
      <c r="E9" s="16" t="s">
        <v>41</v>
      </c>
      <c r="F9" s="17">
        <v>2005</v>
      </c>
      <c r="G9" s="18">
        <v>2006</v>
      </c>
      <c r="H9" s="18">
        <v>2007</v>
      </c>
      <c r="I9" s="17">
        <v>2008</v>
      </c>
      <c r="J9" s="17">
        <v>2009</v>
      </c>
      <c r="K9" s="17">
        <v>2010</v>
      </c>
      <c r="L9" s="17">
        <v>2011</v>
      </c>
      <c r="M9" s="17">
        <v>2012</v>
      </c>
      <c r="N9" s="17">
        <v>2013</v>
      </c>
      <c r="O9" s="3">
        <v>2014</v>
      </c>
      <c r="P9" s="17">
        <v>2015</v>
      </c>
      <c r="Q9" s="17">
        <v>2016</v>
      </c>
    </row>
    <row r="10" spans="2:17" x14ac:dyDescent="0.2">
      <c r="B10" s="12" t="s">
        <v>42</v>
      </c>
      <c r="C10" s="11">
        <v>250</v>
      </c>
      <c r="E10" s="12" t="s">
        <v>43</v>
      </c>
      <c r="F10" s="12">
        <v>0.93200000000000005</v>
      </c>
      <c r="G10" s="19">
        <v>1.0740000000000001</v>
      </c>
      <c r="H10" s="19">
        <v>1.032</v>
      </c>
      <c r="I10" s="12">
        <v>1.2010000000000001</v>
      </c>
      <c r="J10" s="20">
        <v>0.97299999999999998</v>
      </c>
      <c r="K10" s="21">
        <v>1.0900000000000001</v>
      </c>
      <c r="L10" s="12">
        <v>1.302</v>
      </c>
      <c r="M10" s="12">
        <v>1.472</v>
      </c>
      <c r="N10" s="12">
        <v>1.47</v>
      </c>
      <c r="O10" s="12">
        <v>1.423</v>
      </c>
      <c r="P10" s="21">
        <v>1.1930000000000001</v>
      </c>
      <c r="Q10" s="12">
        <v>1.0649999999999999</v>
      </c>
    </row>
    <row r="11" spans="2:17" x14ac:dyDescent="0.2">
      <c r="B11" s="12" t="s">
        <v>44</v>
      </c>
      <c r="C11" s="11">
        <v>187.5</v>
      </c>
      <c r="E11" s="12" t="s">
        <v>45</v>
      </c>
      <c r="F11" s="12">
        <v>0.94</v>
      </c>
      <c r="G11" s="19">
        <v>1.0760000000000001</v>
      </c>
      <c r="H11" s="19">
        <v>1.0349999999999999</v>
      </c>
      <c r="I11" s="12">
        <v>1.208</v>
      </c>
      <c r="J11" s="20">
        <v>0.97199999999999998</v>
      </c>
      <c r="K11" s="21">
        <v>1.0860000000000001</v>
      </c>
      <c r="L11" s="12">
        <v>1.3380000000000001</v>
      </c>
      <c r="M11" s="12">
        <v>1.49</v>
      </c>
      <c r="N11" s="12">
        <v>1.4830000000000001</v>
      </c>
      <c r="O11" s="12">
        <v>1.4219999999999999</v>
      </c>
      <c r="P11" s="21">
        <v>1.228</v>
      </c>
      <c r="Q11" s="12">
        <v>1.0389999999999999</v>
      </c>
    </row>
    <row r="12" spans="2:17" x14ac:dyDescent="0.2">
      <c r="B12" s="12" t="s">
        <v>46</v>
      </c>
      <c r="C12" s="11">
        <v>25</v>
      </c>
      <c r="E12" s="12" t="s">
        <v>47</v>
      </c>
      <c r="F12" s="12">
        <v>0.98</v>
      </c>
      <c r="G12" s="19">
        <v>1.085</v>
      </c>
      <c r="H12" s="19">
        <v>1.0529999999999999</v>
      </c>
      <c r="I12" s="12">
        <v>1.2569999999999999</v>
      </c>
      <c r="J12" s="20">
        <v>0.94399999999999995</v>
      </c>
      <c r="K12" s="21">
        <v>1.131</v>
      </c>
      <c r="L12" s="12">
        <v>1.3839999999999999</v>
      </c>
      <c r="M12" s="12">
        <v>1.5189999999999999</v>
      </c>
      <c r="N12" s="12">
        <v>1.47</v>
      </c>
      <c r="O12" s="12">
        <v>1.4079999999999999</v>
      </c>
      <c r="P12" s="21">
        <v>1.2809999999999999</v>
      </c>
      <c r="Q12" s="12">
        <v>1.0760000000000001</v>
      </c>
    </row>
    <row r="13" spans="2:17" x14ac:dyDescent="0.2">
      <c r="B13" s="12"/>
      <c r="C13" s="11"/>
      <c r="E13" s="12" t="s">
        <v>48</v>
      </c>
      <c r="F13" s="12">
        <v>1.014</v>
      </c>
      <c r="G13" s="12">
        <v>1.1080000000000001</v>
      </c>
      <c r="H13" s="19">
        <v>1.081</v>
      </c>
      <c r="I13" s="19">
        <v>1.2849999999999999</v>
      </c>
      <c r="J13" s="20">
        <v>0.97299999999999998</v>
      </c>
      <c r="K13" s="21">
        <v>1.1819999999999999</v>
      </c>
      <c r="L13" s="12">
        <v>1.3979999999999999</v>
      </c>
      <c r="M13" s="12">
        <v>1.5149999999999999</v>
      </c>
      <c r="N13" s="12">
        <v>1.4370000000000001</v>
      </c>
      <c r="O13" s="12">
        <v>1.4119999999999999</v>
      </c>
      <c r="P13" s="21">
        <v>1.29</v>
      </c>
      <c r="Q13" s="12">
        <v>1.0860000000000001</v>
      </c>
    </row>
    <row r="14" spans="2:17" x14ac:dyDescent="0.2">
      <c r="B14" s="6" t="s">
        <v>49</v>
      </c>
      <c r="C14" s="11"/>
      <c r="E14" s="12" t="s">
        <v>50</v>
      </c>
      <c r="F14" s="12">
        <v>0.999</v>
      </c>
      <c r="G14" s="12">
        <v>1.127</v>
      </c>
      <c r="H14" s="19">
        <v>1.0880000000000001</v>
      </c>
      <c r="I14" s="19">
        <v>1.375</v>
      </c>
      <c r="J14" s="20">
        <v>0.98199999999999998</v>
      </c>
      <c r="K14" s="21">
        <v>1.1910000000000001</v>
      </c>
      <c r="L14" s="12">
        <v>1.3720000000000001</v>
      </c>
      <c r="M14" s="12">
        <v>1.4850000000000001</v>
      </c>
      <c r="N14" s="12">
        <v>1.419</v>
      </c>
      <c r="O14" s="12">
        <v>1.4139999999999999</v>
      </c>
      <c r="P14" s="21">
        <v>1.3120000000000001</v>
      </c>
      <c r="Q14" s="12">
        <v>1.133</v>
      </c>
    </row>
    <row r="15" spans="2:17" x14ac:dyDescent="0.2">
      <c r="B15" s="12" t="s">
        <v>51</v>
      </c>
      <c r="C15" s="11">
        <v>600</v>
      </c>
      <c r="E15" s="12" t="s">
        <v>52</v>
      </c>
      <c r="F15" s="12">
        <v>1.034</v>
      </c>
      <c r="G15" s="12">
        <v>1.117</v>
      </c>
      <c r="H15" s="19">
        <v>1.101</v>
      </c>
      <c r="I15" s="19">
        <v>1.4350000000000001</v>
      </c>
      <c r="J15" s="12">
        <v>1.024</v>
      </c>
      <c r="K15" s="21">
        <v>1.1970000000000001</v>
      </c>
      <c r="L15" s="12">
        <v>1.36</v>
      </c>
      <c r="M15" s="12">
        <v>1.4370000000000001</v>
      </c>
      <c r="N15" s="12">
        <v>1.42</v>
      </c>
      <c r="O15" s="12">
        <v>1.421</v>
      </c>
      <c r="P15" s="21">
        <v>1.3029999999999999</v>
      </c>
      <c r="Q15" s="12">
        <v>1.163</v>
      </c>
    </row>
    <row r="16" spans="2:17" x14ac:dyDescent="0.2">
      <c r="B16" s="12" t="s">
        <v>38</v>
      </c>
      <c r="C16" s="11">
        <v>450</v>
      </c>
      <c r="E16" s="12" t="s">
        <v>53</v>
      </c>
      <c r="F16" s="12">
        <v>1.0629999999999999</v>
      </c>
      <c r="G16" s="12">
        <v>1.131</v>
      </c>
      <c r="H16" s="19">
        <v>1.1120000000000001</v>
      </c>
      <c r="I16" s="19">
        <v>1.4430000000000001</v>
      </c>
      <c r="J16" s="12">
        <v>1.0169999999999999</v>
      </c>
      <c r="K16" s="21">
        <v>1.1779999999999999</v>
      </c>
      <c r="L16" s="12">
        <v>1.3640000000000001</v>
      </c>
      <c r="M16" s="12">
        <v>1.4590000000000001</v>
      </c>
      <c r="N16" s="12">
        <v>1.4370000000000001</v>
      </c>
      <c r="O16" s="12">
        <v>1.419</v>
      </c>
      <c r="P16" s="21">
        <v>1.2769999999999999</v>
      </c>
      <c r="Q16" s="12">
        <v>1.143</v>
      </c>
    </row>
    <row r="17" spans="2:17" x14ac:dyDescent="0.2">
      <c r="B17" s="12" t="s">
        <v>39</v>
      </c>
      <c r="C17" s="11">
        <v>60</v>
      </c>
      <c r="E17" s="12" t="s">
        <v>54</v>
      </c>
      <c r="F17" s="12">
        <v>1.075</v>
      </c>
      <c r="G17" s="19">
        <v>1.137</v>
      </c>
      <c r="H17" s="19">
        <v>1.109</v>
      </c>
      <c r="I17" s="12">
        <v>1.3620000000000001</v>
      </c>
      <c r="J17" s="12">
        <v>1.0489999999999999</v>
      </c>
      <c r="K17" s="21">
        <v>1.1779999999999999</v>
      </c>
      <c r="L17" s="12">
        <v>1.3640000000000001</v>
      </c>
      <c r="M17" s="12">
        <v>1.526</v>
      </c>
      <c r="N17" s="12">
        <v>1.446</v>
      </c>
      <c r="O17" s="12">
        <v>1.41</v>
      </c>
      <c r="P17" s="21">
        <v>1.212</v>
      </c>
      <c r="Q17" s="12">
        <v>1.1220000000000001</v>
      </c>
    </row>
    <row r="18" spans="2:17" x14ac:dyDescent="0.2">
      <c r="B18" s="12"/>
      <c r="C18" s="11"/>
      <c r="E18" s="12" t="s">
        <v>55</v>
      </c>
      <c r="F18" s="12">
        <v>1.1140000000000001</v>
      </c>
      <c r="G18" s="19">
        <v>1.097</v>
      </c>
      <c r="H18" s="19">
        <v>1.1240000000000001</v>
      </c>
      <c r="I18" s="12">
        <v>1.3160000000000001</v>
      </c>
      <c r="J18" s="21">
        <v>1.0269999999999999</v>
      </c>
      <c r="K18" s="21">
        <v>1.179</v>
      </c>
      <c r="L18" s="12">
        <v>1.371</v>
      </c>
      <c r="M18" s="12">
        <v>1.532</v>
      </c>
      <c r="N18" s="12">
        <v>1.4650000000000001</v>
      </c>
      <c r="O18" s="12">
        <v>1.407</v>
      </c>
      <c r="P18" s="21">
        <v>1.1870000000000001</v>
      </c>
      <c r="Q18" s="12">
        <v>1.137</v>
      </c>
    </row>
    <row r="19" spans="2:17" s="3" customFormat="1" x14ac:dyDescent="0.2">
      <c r="B19" s="16" t="s">
        <v>56</v>
      </c>
      <c r="C19" s="22"/>
      <c r="E19" s="12" t="s">
        <v>57</v>
      </c>
      <c r="F19" s="12">
        <v>1.1220000000000001</v>
      </c>
      <c r="G19" s="19">
        <v>1.0589999999999999</v>
      </c>
      <c r="H19" s="19">
        <v>1.1459999999999999</v>
      </c>
      <c r="I19" s="12">
        <v>1.234</v>
      </c>
      <c r="J19" s="21">
        <v>1.03</v>
      </c>
      <c r="K19" s="21">
        <v>1.1859999999999999</v>
      </c>
      <c r="L19" s="12">
        <v>1.387</v>
      </c>
      <c r="M19" s="12">
        <v>1.518</v>
      </c>
      <c r="N19" s="12">
        <v>1.4359999999999999</v>
      </c>
      <c r="O19" s="12">
        <v>1.3740000000000001</v>
      </c>
      <c r="P19" s="21">
        <v>1.177</v>
      </c>
      <c r="Q19" s="12">
        <v>1.1619999999999999</v>
      </c>
    </row>
    <row r="20" spans="2:17" x14ac:dyDescent="0.2">
      <c r="B20" s="12" t="s">
        <v>58</v>
      </c>
      <c r="C20" s="11">
        <v>100</v>
      </c>
      <c r="E20" s="12" t="s">
        <v>59</v>
      </c>
      <c r="F20" s="12">
        <v>1.07</v>
      </c>
      <c r="G20" s="19">
        <v>1.0489999999999999</v>
      </c>
      <c r="H20" s="19">
        <v>1.2150000000000001</v>
      </c>
      <c r="I20" s="12">
        <v>1.1339999999999999</v>
      </c>
      <c r="J20" s="21">
        <v>1.0549999999999999</v>
      </c>
      <c r="K20" s="21">
        <v>1.2090000000000001</v>
      </c>
      <c r="L20" s="12">
        <v>1.4139999999999999</v>
      </c>
      <c r="M20" s="12">
        <v>1.4930000000000001</v>
      </c>
      <c r="N20" s="12">
        <v>1.421</v>
      </c>
      <c r="O20" s="12">
        <v>1.347</v>
      </c>
      <c r="P20" s="21">
        <v>1.18</v>
      </c>
      <c r="Q20" s="12">
        <v>1.1639999999999999</v>
      </c>
    </row>
    <row r="21" spans="2:17" x14ac:dyDescent="0.2">
      <c r="B21" s="12" t="s">
        <v>60</v>
      </c>
      <c r="C21" s="11">
        <v>0</v>
      </c>
      <c r="E21" s="12" t="s">
        <v>61</v>
      </c>
      <c r="F21" s="12">
        <v>1.0509999999999999</v>
      </c>
      <c r="G21" s="19">
        <v>1.054</v>
      </c>
      <c r="H21" s="19">
        <v>1.2230000000000001</v>
      </c>
      <c r="I21" s="12">
        <v>1.038</v>
      </c>
      <c r="J21" s="21">
        <v>1.0469999999999999</v>
      </c>
      <c r="K21" s="21">
        <v>1.252</v>
      </c>
      <c r="L21" s="12">
        <v>1.4219999999999999</v>
      </c>
      <c r="M21" s="12">
        <v>1.472</v>
      </c>
      <c r="N21" s="12">
        <v>1.4339999999999999</v>
      </c>
      <c r="O21" s="12">
        <v>1.2090000000000001</v>
      </c>
      <c r="P21" s="21">
        <v>1.145</v>
      </c>
      <c r="Q21" s="12">
        <v>1.2010000000000001</v>
      </c>
    </row>
    <row r="22" spans="2:17" x14ac:dyDescent="0.2">
      <c r="B22" s="12"/>
      <c r="C22" s="11"/>
      <c r="E22" s="16" t="s">
        <v>62</v>
      </c>
      <c r="F22" s="16">
        <v>1.032</v>
      </c>
      <c r="G22" s="23">
        <v>1.0940000000000001</v>
      </c>
      <c r="H22" s="23">
        <v>1.1080000000000001</v>
      </c>
      <c r="I22" s="16">
        <v>1.2829999999999999</v>
      </c>
      <c r="J22" s="24">
        <v>1.008</v>
      </c>
      <c r="K22" s="24">
        <v>1.17</v>
      </c>
      <c r="L22" s="16">
        <v>1.37</v>
      </c>
      <c r="M22" s="16">
        <v>1.494</v>
      </c>
      <c r="N22" s="16">
        <v>1.4450000000000001</v>
      </c>
      <c r="O22" s="16">
        <v>1.399</v>
      </c>
      <c r="P22" s="24">
        <v>1.236</v>
      </c>
      <c r="Q22" s="16">
        <v>1.123</v>
      </c>
    </row>
    <row r="23" spans="2:17" ht="21" customHeight="1" x14ac:dyDescent="0.25">
      <c r="B23" s="12" t="s">
        <v>63</v>
      </c>
      <c r="C23" s="11">
        <v>50</v>
      </c>
      <c r="E23" s="924" t="s">
        <v>64</v>
      </c>
      <c r="F23" s="925"/>
      <c r="G23" s="925"/>
      <c r="H23" s="925"/>
      <c r="I23" s="925"/>
      <c r="J23" s="925"/>
      <c r="K23" s="925"/>
      <c r="L23" s="925"/>
      <c r="M23" s="925"/>
      <c r="N23" s="925"/>
      <c r="O23" s="925"/>
      <c r="P23" s="925"/>
      <c r="Q23" s="926"/>
    </row>
    <row r="24" spans="2:17" x14ac:dyDescent="0.2">
      <c r="B24" s="12" t="s">
        <v>65</v>
      </c>
      <c r="C24" s="11">
        <v>0</v>
      </c>
    </row>
    <row r="25" spans="2:17" x14ac:dyDescent="0.2">
      <c r="B25" s="12"/>
      <c r="C25" s="11"/>
    </row>
    <row r="28" spans="2:17" ht="25.5" x14ac:dyDescent="0.2">
      <c r="B28" s="6" t="s">
        <v>66</v>
      </c>
      <c r="C28" s="8"/>
      <c r="D28" s="8"/>
      <c r="E28" s="6" t="s">
        <v>67</v>
      </c>
      <c r="F28" s="9" t="s">
        <v>68</v>
      </c>
      <c r="G28" s="15"/>
    </row>
    <row r="29" spans="2:17" ht="25.5" x14ac:dyDescent="0.2">
      <c r="B29" s="10" t="s">
        <v>69</v>
      </c>
      <c r="C29" s="8"/>
      <c r="D29" s="8"/>
      <c r="E29" s="19" t="s">
        <v>70</v>
      </c>
      <c r="F29" s="10">
        <v>50</v>
      </c>
      <c r="G29" s="15"/>
    </row>
    <row r="30" spans="2:17" x14ac:dyDescent="0.2">
      <c r="B30" s="12"/>
      <c r="C30" s="13"/>
      <c r="E30" s="19" t="s">
        <v>71</v>
      </c>
      <c r="F30" s="10">
        <v>25</v>
      </c>
      <c r="G30" s="15"/>
    </row>
    <row r="31" spans="2:17" x14ac:dyDescent="0.2">
      <c r="B31" s="12" t="s">
        <v>72</v>
      </c>
      <c r="C31" s="13"/>
      <c r="E31" s="19" t="s">
        <v>73</v>
      </c>
      <c r="F31" s="10">
        <v>15</v>
      </c>
      <c r="G31" s="15"/>
    </row>
    <row r="32" spans="2:17" x14ac:dyDescent="0.2">
      <c r="B32" s="12"/>
      <c r="C32" s="13"/>
      <c r="D32" s="14"/>
    </row>
    <row r="33" spans="2:11" x14ac:dyDescent="0.2">
      <c r="B33" s="12" t="s">
        <v>74</v>
      </c>
      <c r="C33" s="13"/>
      <c r="D33" s="14"/>
    </row>
    <row r="34" spans="2:11" x14ac:dyDescent="0.2">
      <c r="B34" s="12"/>
      <c r="C34" s="13"/>
      <c r="D34" s="14"/>
    </row>
    <row r="35" spans="2:11" x14ac:dyDescent="0.2">
      <c r="B35" s="16" t="s">
        <v>75</v>
      </c>
      <c r="C35" s="13"/>
      <c r="D35" s="14"/>
    </row>
    <row r="36" spans="2:11" x14ac:dyDescent="0.2">
      <c r="B36" s="12" t="s">
        <v>76</v>
      </c>
      <c r="C36" s="13"/>
      <c r="D36" s="14"/>
    </row>
    <row r="37" spans="2:11" x14ac:dyDescent="0.2">
      <c r="B37" s="12" t="s">
        <v>77</v>
      </c>
      <c r="C37" s="13"/>
      <c r="D37" s="14"/>
      <c r="K37" s="4"/>
    </row>
    <row r="38" spans="2:11" x14ac:dyDescent="0.2">
      <c r="B38" s="12" t="s">
        <v>78</v>
      </c>
      <c r="C38" s="13"/>
      <c r="D38" s="14"/>
    </row>
    <row r="41" spans="2:11" s="3" customFormat="1" x14ac:dyDescent="0.2">
      <c r="B41" s="16" t="s">
        <v>79</v>
      </c>
      <c r="C41" s="25" t="s">
        <v>80</v>
      </c>
      <c r="E41" s="4"/>
      <c r="F41" s="5"/>
      <c r="J41" s="4"/>
      <c r="K41" s="4"/>
    </row>
    <row r="42" spans="2:11" x14ac:dyDescent="0.2">
      <c r="B42" s="12" t="s">
        <v>81</v>
      </c>
      <c r="C42" s="26" t="s">
        <v>82</v>
      </c>
    </row>
    <row r="43" spans="2:11" x14ac:dyDescent="0.2">
      <c r="B43" s="12" t="s">
        <v>83</v>
      </c>
      <c r="C43" s="26" t="s">
        <v>84</v>
      </c>
    </row>
    <row r="44" spans="2:11" x14ac:dyDescent="0.2">
      <c r="B44" s="12" t="s">
        <v>85</v>
      </c>
      <c r="C44" s="26" t="s">
        <v>86</v>
      </c>
    </row>
    <row r="45" spans="2:11" x14ac:dyDescent="0.2">
      <c r="B45" s="12" t="s">
        <v>87</v>
      </c>
      <c r="C45" s="26" t="s">
        <v>88</v>
      </c>
    </row>
    <row r="46" spans="2:11" x14ac:dyDescent="0.2">
      <c r="B46" s="12" t="s">
        <v>89</v>
      </c>
      <c r="C46" s="26" t="s">
        <v>90</v>
      </c>
    </row>
    <row r="47" spans="2:11" x14ac:dyDescent="0.2">
      <c r="B47" s="12" t="s">
        <v>91</v>
      </c>
      <c r="C47" s="26" t="s">
        <v>92</v>
      </c>
    </row>
    <row r="48" spans="2:11" x14ac:dyDescent="0.2">
      <c r="B48" s="12" t="s">
        <v>93</v>
      </c>
      <c r="C48" s="26" t="s">
        <v>94</v>
      </c>
    </row>
    <row r="49" spans="2:5" x14ac:dyDescent="0.2">
      <c r="B49" s="12" t="s">
        <v>95</v>
      </c>
      <c r="C49" s="26" t="s">
        <v>96</v>
      </c>
    </row>
    <row r="55" spans="2:5" x14ac:dyDescent="0.2">
      <c r="E55" s="27"/>
    </row>
  </sheetData>
  <mergeCells count="2">
    <mergeCell ref="E8:Q8"/>
    <mergeCell ref="E23:Q2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79E74-2313-4988-B173-1F9E79859F47}">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Analiza_KPA</vt:lpstr>
      <vt:lpstr>05.10.2007</vt:lpstr>
      <vt:lpstr>KK</vt:lpstr>
      <vt:lpstr>ID</vt:lpstr>
      <vt:lpstr>Analiza </vt:lpstr>
      <vt:lpstr> Likujditete</vt:lpstr>
      <vt:lpstr>Analiza fin. 2005-2008</vt:lpstr>
      <vt:lpstr>Anal.fin.shly.pjes.</vt:lpstr>
      <vt:lpstr>Te Ardhurat </vt:lpstr>
      <vt:lpstr>Të ardh_.S.Sharra</vt:lpstr>
      <vt:lpstr>Të ardh.prind.</vt:lpstr>
      <vt:lpstr>Kredi ne NBG </vt:lpstr>
      <vt:lpstr>KPA_apart 05 10 2007</vt:lpstr>
      <vt:lpstr>KPA_ndërt.2 kate+ papaf. (2)</vt:lpstr>
      <vt:lpstr>ndertesa 2 kate+papafingo</vt:lpstr>
      <vt:lpstr>KPA_ndërt.2 kate+ papaf.</vt:lpstr>
      <vt:lpstr>lik këst. 5,000 eur-19.10.2012</vt:lpstr>
      <vt:lpstr>anal.fin.2015</vt:lpstr>
      <vt:lpstr>Automjeti ne 14.11.2008</vt:lpstr>
      <vt:lpstr>Apartamenti </vt:lpstr>
      <vt:lpstr>Garazhd </vt:lpstr>
      <vt:lpstr>Garazh_KPA</vt:lpstr>
      <vt:lpstr>Automjeti 2017</vt:lpstr>
      <vt:lpstr>Automjeti 2017 KPA</vt:lpstr>
      <vt:lpstr>Sheet1</vt:lpstr>
      <vt:lpstr>Te ardhura S Sharra</vt:lpstr>
      <vt:lpstr>TIMS</vt:lpstr>
      <vt:lpstr>E.Islamaj</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cp:lastModifiedBy>
  <cp:lastPrinted>2022-02-22T11:54:33Z</cp:lastPrinted>
  <dcterms:created xsi:type="dcterms:W3CDTF">2021-05-28T08:05:22Z</dcterms:created>
  <dcterms:modified xsi:type="dcterms:W3CDTF">2025-03-12T15:39:52Z</dcterms:modified>
</cp:coreProperties>
</file>