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316349\Desktop\Asignaciones\AFI\Requerimientos\9999x_MICROSOFT_ESI\LinkedIn\PowerBI_Essentials\Datasets CombustiblesRD 2021\"/>
    </mc:Choice>
  </mc:AlternateContent>
  <xr:revisionPtr revIDLastSave="0" documentId="13_ncr:1_{144C207A-0ED8-4CA2-A786-AD97B33250B5}" xr6:coauthVersionLast="45" xr6:coauthVersionMax="45" xr10:uidLastSave="{00000000-0000-0000-0000-000000000000}"/>
  <bookViews>
    <workbookView xWindow="-120" yWindow="-120" windowWidth="20730" windowHeight="11160" xr2:uid="{661B65E7-DDCC-4D4B-BA92-A051CE4B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C50" i="1"/>
  <c r="C49" i="1"/>
  <c r="C48" i="1"/>
  <c r="C47" i="1"/>
  <c r="D46" i="1"/>
  <c r="D45" i="1"/>
  <c r="D44" i="1"/>
  <c r="D43" i="1"/>
  <c r="D42" i="1"/>
  <c r="C45" i="1"/>
  <c r="C44" i="1"/>
  <c r="C43" i="1"/>
  <c r="C42" i="1"/>
  <c r="D41" i="1"/>
  <c r="D40" i="1"/>
  <c r="D39" i="1"/>
  <c r="D38" i="1"/>
  <c r="D37" i="1"/>
  <c r="C40" i="1"/>
  <c r="C39" i="1"/>
  <c r="C38" i="1"/>
  <c r="C37" i="1"/>
  <c r="D36" i="1"/>
  <c r="D35" i="1"/>
  <c r="D34" i="1"/>
  <c r="D33" i="1"/>
  <c r="D32" i="1"/>
  <c r="C35" i="1"/>
  <c r="C34" i="1"/>
  <c r="C33" i="1"/>
  <c r="C32" i="1"/>
  <c r="D31" i="1"/>
  <c r="D30" i="1"/>
  <c r="D29" i="1"/>
  <c r="D28" i="1"/>
  <c r="D27" i="1"/>
  <c r="C30" i="1"/>
  <c r="E30" i="1" s="1"/>
  <c r="H30" i="1" s="1"/>
  <c r="C29" i="1"/>
  <c r="C28" i="1"/>
  <c r="C27" i="1"/>
  <c r="D26" i="1"/>
  <c r="D25" i="1"/>
  <c r="D24" i="1"/>
  <c r="D23" i="1"/>
  <c r="D22" i="1"/>
  <c r="C25" i="1"/>
  <c r="C24" i="1"/>
  <c r="C23" i="1"/>
  <c r="C22" i="1"/>
  <c r="D21" i="1"/>
  <c r="D20" i="1"/>
  <c r="D19" i="1"/>
  <c r="D18" i="1"/>
  <c r="D17" i="1"/>
  <c r="C21" i="1"/>
  <c r="C20" i="1"/>
  <c r="C19" i="1"/>
  <c r="C18" i="1"/>
  <c r="C17" i="1"/>
  <c r="D16" i="1"/>
  <c r="D15" i="1"/>
  <c r="D14" i="1"/>
  <c r="D13" i="1"/>
  <c r="D12" i="1"/>
  <c r="C15" i="1"/>
  <c r="C14" i="1"/>
  <c r="C13" i="1"/>
  <c r="C12" i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5" i="1"/>
  <c r="H45" i="1" s="1"/>
  <c r="E44" i="1"/>
  <c r="H44" i="1" s="1"/>
  <c r="E43" i="1"/>
  <c r="H43" i="1" s="1"/>
  <c r="E42" i="1"/>
  <c r="H42" i="1" s="1"/>
  <c r="E41" i="1"/>
  <c r="H41" i="1" s="1"/>
  <c r="E40" i="1"/>
  <c r="H40" i="1" s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E29" i="1"/>
  <c r="H29" i="1" s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D11" i="1"/>
  <c r="D10" i="1"/>
  <c r="D9" i="1"/>
  <c r="D8" i="1"/>
  <c r="D7" i="1"/>
  <c r="C10" i="1"/>
  <c r="C9" i="1"/>
  <c r="C8" i="1"/>
  <c r="C7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D6" i="1"/>
  <c r="D5" i="1"/>
  <c r="D4" i="1"/>
  <c r="D3" i="1"/>
  <c r="D2" i="1"/>
  <c r="C5" i="1"/>
  <c r="C4" i="1"/>
  <c r="C3" i="1"/>
  <c r="C2" i="1"/>
  <c r="E2" i="1" s="1"/>
  <c r="H2" i="1" s="1"/>
</calcChain>
</file>

<file path=xl/sharedStrings.xml><?xml version="1.0" encoding="utf-8"?>
<sst xmlns="http://schemas.openxmlformats.org/spreadsheetml/2006/main" count="59" uniqueCount="14">
  <si>
    <t>Gasolina Premium</t>
  </si>
  <si>
    <t>Gasolina Regular</t>
  </si>
  <si>
    <t>Gasoil Regular</t>
  </si>
  <si>
    <t>Gasoil Optimo</t>
  </si>
  <si>
    <t>Gas Licuado de Petróleo (GLP) **</t>
  </si>
  <si>
    <t>Tipo de Combustible</t>
  </si>
  <si>
    <t>Precio de Paridad</t>
  </si>
  <si>
    <t>IMPUESTOS</t>
  </si>
  <si>
    <t>MARGENES DE COMERCIALIZACION</t>
  </si>
  <si>
    <t>AJUSTE RESOL NO. 201-14</t>
  </si>
  <si>
    <t>PRECIO Bruto</t>
  </si>
  <si>
    <t>PRECIO OFICIAL A PAGAR POR EL PUBLICO</t>
  </si>
  <si>
    <t>Fecha</t>
  </si>
  <si>
    <t>BONO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</si>
</sst>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5">
    <dxf>
      <numFmt numFmtId="19" formatCode="m/d/yyyy"/>
      <alignment horizontal="center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6D93B-52B4-4970-984D-8279434D26B9}" name="Table1" displayName="Table1" ref="A1:I51" totalsRowShown="0" headerRowDxfId="4">
  <autoFilter ref="A1:I51" xr:uid="{790F1E68-BC14-4E1F-8B9D-2C4E4572CB20}"/>
  <tableColumns count="9">
    <tableColumn id="1" xr3:uid="{46B9239E-B30A-422F-8F2D-CE24E1F355A9}" name="Tipo de Combustible" dataDxfId="3"/>
    <tableColumn id="2" xr3:uid="{E9E635F2-DC52-41C3-9EC7-FA6C911EAB42}" name="Precio de Paridad" dataCellStyle="Currency"/>
    <tableColumn id="3" xr3:uid="{22CFD4E1-9CDF-41B3-9995-BC970964B14A}" name="IMPUESTOS" dataCellStyle="Currency">
      <calculatedColumnFormula>71.85+16.2</calculatedColumnFormula>
    </tableColumn>
    <tableColumn id="4" xr3:uid="{C4764500-AF49-47EA-975B-BD65809154CA}" name="MARGENES DE COMERCIALIZACION" dataCellStyle="Currency">
      <calculatedColumnFormula>13.92+21.99+5.68</calculatedColumnFormula>
    </tableColumn>
    <tableColumn id="5" xr3:uid="{9097A3EF-EA96-4612-9CE9-16364C27F945}" name="PRECIO Bruto" dataCellStyle="Currency">
      <calculatedColumnFormula>SUM(Table1[[#This Row],[Precio de Paridad]:[MARGENES DE COMERCIALIZACION]])</calculatedColumnFormula>
    </tableColumn>
    <tableColumn id="6" xr3:uid="{1249EFAA-EDDA-468D-8839-EF2727C04CCE}" name="AJUSTE RESOL NO. 201-14" dataCellStyle="Currency"/>
    <tableColumn id="9" xr3:uid="{F3463AC8-EBC1-44DC-9F03-F2AA2C30D89F}" name="BONO GAS" dataDxfId="2" dataCellStyle="Currency"/>
    <tableColumn id="7" xr3:uid="{408EED3D-CD11-4C28-BE2D-5E8600186470}" name="PRECIO OFICIAL A PAGAR POR EL PUBLICO" dataDxfId="1">
      <calculatedColumnFormula>Table1[[#This Row],[PRECIO Bruto]]+Table1[[#This Row],[BONO GAS]]+Table1[[#This Row],[AJUSTE RESOL NO. 201-14]]</calculatedColumnFormula>
    </tableColumn>
    <tableColumn id="8" xr3:uid="{F87CE196-FBCD-4182-99FF-286D6B1E5F56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84D3-2E4F-4B9C-BD86-66F250FCBF43}">
  <dimension ref="A1:I51"/>
  <sheetViews>
    <sheetView tabSelected="1" topLeftCell="F41" workbookViewId="0">
      <selection activeCell="H56" sqref="H56"/>
    </sheetView>
  </sheetViews>
  <sheetFormatPr defaultRowHeight="15" x14ac:dyDescent="0.25"/>
  <cols>
    <col min="1" max="1" width="30.42578125" bestFit="1" customWidth="1"/>
    <col min="2" max="2" width="21.140625" bestFit="1" customWidth="1"/>
    <col min="3" max="3" width="16" bestFit="1" customWidth="1"/>
    <col min="4" max="4" width="37.42578125" bestFit="1" customWidth="1"/>
    <col min="5" max="5" width="17.28515625" bestFit="1" customWidth="1"/>
    <col min="6" max="6" width="28.28515625" bestFit="1" customWidth="1"/>
    <col min="7" max="7" width="15.140625" bestFit="1" customWidth="1"/>
    <col min="8" max="8" width="43.28515625" bestFit="1" customWidth="1"/>
    <col min="9" max="9" width="10.7109375" bestFit="1" customWidth="1"/>
  </cols>
  <sheetData>
    <row r="1" spans="1:9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13</v>
      </c>
      <c r="H1" s="1" t="s">
        <v>11</v>
      </c>
      <c r="I1" s="1" t="s">
        <v>12</v>
      </c>
    </row>
    <row r="2" spans="1:9" x14ac:dyDescent="0.25">
      <c r="A2" s="1" t="s">
        <v>0</v>
      </c>
      <c r="B2" s="4">
        <v>101.26</v>
      </c>
      <c r="C2" s="4">
        <f t="shared" ref="C2" si="0">71.85+16.2</f>
        <v>88.05</v>
      </c>
      <c r="D2" s="4">
        <f t="shared" ref="D2" si="1">13.92+21.99+5.68</f>
        <v>41.589999999999996</v>
      </c>
      <c r="E2" s="4">
        <f>SUM(Table1[[#This Row],[Precio de Paridad]:[MARGENES DE COMERCIALIZACION]])</f>
        <v>230.9</v>
      </c>
      <c r="F2" s="4">
        <v>-2.2999999999999998</v>
      </c>
      <c r="G2" s="4">
        <v>0</v>
      </c>
      <c r="H2" s="3">
        <f>Table1[[#This Row],[PRECIO Bruto]]+Table1[[#This Row],[BONO GAS]]+Table1[[#This Row],[AJUSTE RESOL NO. 201-14]]</f>
        <v>228.6</v>
      </c>
      <c r="I2" s="2">
        <v>44226</v>
      </c>
    </row>
    <row r="3" spans="1:9" x14ac:dyDescent="0.25">
      <c r="A3" s="1" t="s">
        <v>1</v>
      </c>
      <c r="B3" s="4">
        <v>99.56</v>
      </c>
      <c r="C3" s="4">
        <f>63.83+15.94</f>
        <v>79.77</v>
      </c>
      <c r="D3" s="4">
        <f>12.6+20.19+5.68</f>
        <v>38.47</v>
      </c>
      <c r="E3" s="4">
        <f>SUM(Table1[[#This Row],[Precio de Paridad]:[MARGENES DE COMERCIALIZACION]])</f>
        <v>217.79999999999998</v>
      </c>
      <c r="F3" s="4">
        <v>-2.8</v>
      </c>
      <c r="G3" s="4">
        <v>0</v>
      </c>
      <c r="H3" s="3">
        <f>Table1[[#This Row],[PRECIO Bruto]]+Table1[[#This Row],[BONO GAS]]+Table1[[#This Row],[AJUSTE RESOL NO. 201-14]]</f>
        <v>214.99999999999997</v>
      </c>
      <c r="I3" s="2">
        <v>44226</v>
      </c>
    </row>
    <row r="4" spans="1:9" x14ac:dyDescent="0.25">
      <c r="A4" s="1" t="s">
        <v>2</v>
      </c>
      <c r="B4" s="4">
        <v>96.33</v>
      </c>
      <c r="C4" s="4">
        <f>28.06+15.42</f>
        <v>43.48</v>
      </c>
      <c r="D4" s="4">
        <f>10.97+16.64+5.68</f>
        <v>33.29</v>
      </c>
      <c r="E4" s="4">
        <f>SUM(Table1[[#This Row],[Precio de Paridad]:[MARGENES DE COMERCIALIZACION]])</f>
        <v>173.1</v>
      </c>
      <c r="F4" s="4">
        <v>-1.7</v>
      </c>
      <c r="G4" s="4">
        <v>0</v>
      </c>
      <c r="H4" s="3">
        <f>Table1[[#This Row],[PRECIO Bruto]]+Table1[[#This Row],[BONO GAS]]+Table1[[#This Row],[AJUSTE RESOL NO. 201-14]]</f>
        <v>171.4</v>
      </c>
      <c r="I4" s="2">
        <v>44226</v>
      </c>
    </row>
    <row r="5" spans="1:9" x14ac:dyDescent="0.25">
      <c r="A5" s="1" t="s">
        <v>3</v>
      </c>
      <c r="B5" s="4">
        <v>102.82</v>
      </c>
      <c r="C5" s="4">
        <f>34.53+16.45</f>
        <v>50.980000000000004</v>
      </c>
      <c r="D5" s="4">
        <f>11.1+16.72+5.68</f>
        <v>33.5</v>
      </c>
      <c r="E5" s="4">
        <f>SUM(Table1[[#This Row],[Precio de Paridad]:[MARGENES DE COMERCIALIZACION]])</f>
        <v>187.3</v>
      </c>
      <c r="F5" s="4">
        <v>-1.6</v>
      </c>
      <c r="G5" s="4">
        <v>0</v>
      </c>
      <c r="H5" s="3">
        <f>Table1[[#This Row],[PRECIO Bruto]]+Table1[[#This Row],[BONO GAS]]+Table1[[#This Row],[AJUSTE RESOL NO. 201-14]]</f>
        <v>185.70000000000002</v>
      </c>
      <c r="I5" s="2">
        <v>44226</v>
      </c>
    </row>
    <row r="6" spans="1:9" x14ac:dyDescent="0.25">
      <c r="A6" s="1" t="s">
        <v>4</v>
      </c>
      <c r="B6" s="4">
        <v>87.74</v>
      </c>
      <c r="C6" s="4">
        <v>14.04</v>
      </c>
      <c r="D6" s="4">
        <f>7.95+11.89+5.68</f>
        <v>25.52</v>
      </c>
      <c r="E6" s="4">
        <f>SUM(Table1[[#This Row],[Precio de Paridad]:[MARGENES DE COMERCIALIZACION]])</f>
        <v>127.3</v>
      </c>
      <c r="F6" s="4">
        <v>0</v>
      </c>
      <c r="G6" s="4">
        <v>0.8</v>
      </c>
      <c r="H6" s="3">
        <f>Table1[[#This Row],[PRECIO Bruto]]+Table1[[#This Row],[BONO GAS]]+Table1[[#This Row],[AJUSTE RESOL NO. 201-14]]</f>
        <v>128.1</v>
      </c>
      <c r="I6" s="2">
        <v>44226</v>
      </c>
    </row>
    <row r="7" spans="1:9" x14ac:dyDescent="0.25">
      <c r="A7" s="1" t="s">
        <v>0</v>
      </c>
      <c r="B7" s="4">
        <v>113.24</v>
      </c>
      <c r="C7" s="4">
        <f>71.85+18.12</f>
        <v>89.97</v>
      </c>
      <c r="D7" s="4">
        <f>13.92+21.99+5.68</f>
        <v>41.589999999999996</v>
      </c>
      <c r="E7" s="4">
        <f>SUM(Table1[[#This Row],[Precio de Paridad]:[MARGENES DE COMERCIALIZACION]])</f>
        <v>244.79999999999998</v>
      </c>
      <c r="F7" s="4">
        <v>-2.7</v>
      </c>
      <c r="G7" s="4">
        <v>0</v>
      </c>
      <c r="H7" s="3">
        <f>Table1[[#This Row],[PRECIO Bruto]]+Table1[[#This Row],[BONO GAS]]+Table1[[#This Row],[AJUSTE RESOL NO. 201-14]]</f>
        <v>242.1</v>
      </c>
      <c r="I7" s="2">
        <v>44255</v>
      </c>
    </row>
    <row r="8" spans="1:9" x14ac:dyDescent="0.25">
      <c r="A8" s="1" t="s">
        <v>1</v>
      </c>
      <c r="B8" s="4">
        <v>111.29</v>
      </c>
      <c r="C8" s="4">
        <f>63.83+17.81</f>
        <v>81.64</v>
      </c>
      <c r="D8" s="4">
        <f>12.6+20.19+5.68</f>
        <v>38.47</v>
      </c>
      <c r="E8" s="4">
        <f>SUM(Table1[[#This Row],[Precio de Paridad]:[MARGENES DE COMERCIALIZACION]])</f>
        <v>231.4</v>
      </c>
      <c r="F8" s="4">
        <v>-2.9</v>
      </c>
      <c r="G8" s="4">
        <v>0</v>
      </c>
      <c r="H8" s="3">
        <f>Table1[[#This Row],[PRECIO Bruto]]+Table1[[#This Row],[BONO GAS]]+Table1[[#This Row],[AJUSTE RESOL NO. 201-14]]</f>
        <v>228.5</v>
      </c>
      <c r="I8" s="2">
        <v>44255</v>
      </c>
    </row>
    <row r="9" spans="1:9" x14ac:dyDescent="0.25">
      <c r="A9" s="1" t="s">
        <v>2</v>
      </c>
      <c r="B9" s="4">
        <v>105.21</v>
      </c>
      <c r="C9" s="4">
        <f>28.06+16.84</f>
        <v>44.9</v>
      </c>
      <c r="D9" s="4">
        <f>10.97+16.64+5.68</f>
        <v>33.29</v>
      </c>
      <c r="E9" s="4">
        <f>SUM(Table1[[#This Row],[Precio de Paridad]:[MARGENES DE COMERCIALIZACION]])</f>
        <v>183.39999999999998</v>
      </c>
      <c r="F9" s="4">
        <v>-1.8</v>
      </c>
      <c r="G9" s="4">
        <v>0</v>
      </c>
      <c r="H9" s="3">
        <f>Table1[[#This Row],[PRECIO Bruto]]+Table1[[#This Row],[BONO GAS]]+Table1[[#This Row],[AJUSTE RESOL NO. 201-14]]</f>
        <v>181.59999999999997</v>
      </c>
      <c r="I9" s="2">
        <v>44255</v>
      </c>
    </row>
    <row r="10" spans="1:9" x14ac:dyDescent="0.25">
      <c r="A10" s="1" t="s">
        <v>3</v>
      </c>
      <c r="B10" s="4">
        <v>113.16</v>
      </c>
      <c r="C10" s="4">
        <f>34.53+18.11</f>
        <v>52.64</v>
      </c>
      <c r="D10" s="4">
        <f>11.1+16.72+5.68</f>
        <v>33.5</v>
      </c>
      <c r="E10" s="4">
        <f>SUM(Table1[[#This Row],[Precio de Paridad]:[MARGENES DE COMERCIALIZACION]])</f>
        <v>199.3</v>
      </c>
      <c r="F10" s="4">
        <v>-1.8</v>
      </c>
      <c r="G10" s="4">
        <v>0</v>
      </c>
      <c r="H10" s="3">
        <f>Table1[[#This Row],[PRECIO Bruto]]+Table1[[#This Row],[BONO GAS]]+Table1[[#This Row],[AJUSTE RESOL NO. 201-14]]</f>
        <v>197.5</v>
      </c>
      <c r="I10" s="2">
        <v>44255</v>
      </c>
    </row>
    <row r="11" spans="1:9" x14ac:dyDescent="0.25">
      <c r="A11" s="1" t="s">
        <v>4</v>
      </c>
      <c r="B11" s="4">
        <v>87.74</v>
      </c>
      <c r="C11" s="4">
        <v>14.04</v>
      </c>
      <c r="D11" s="4">
        <f>7.95+11.89+5.68</f>
        <v>25.52</v>
      </c>
      <c r="E11" s="4">
        <f>SUM(Table1[[#This Row],[Precio de Paridad]:[MARGENES DE COMERCIALIZACION]])</f>
        <v>127.3</v>
      </c>
      <c r="F11" s="4">
        <v>0</v>
      </c>
      <c r="G11" s="4">
        <v>0.8</v>
      </c>
      <c r="H11" s="3">
        <f>Table1[[#This Row],[PRECIO Bruto]]+Table1[[#This Row],[BONO GAS]]+Table1[[#This Row],[AJUSTE RESOL NO. 201-14]]</f>
        <v>128.1</v>
      </c>
      <c r="I11" s="2">
        <v>44255</v>
      </c>
    </row>
    <row r="12" spans="1:9" x14ac:dyDescent="0.25">
      <c r="A12" s="1" t="s">
        <v>0</v>
      </c>
      <c r="B12" s="4">
        <v>113.16</v>
      </c>
      <c r="C12" s="4">
        <f>71.85+18.1</f>
        <v>89.949999999999989</v>
      </c>
      <c r="D12" s="4">
        <f>13.92+21.99+5.68</f>
        <v>41.589999999999996</v>
      </c>
      <c r="E12" s="4">
        <f>SUM(Table1[[#This Row],[Precio de Paridad]:[MARGENES DE COMERCIALIZACION]])</f>
        <v>244.7</v>
      </c>
      <c r="F12" s="4">
        <v>-2.6</v>
      </c>
      <c r="G12" s="4">
        <v>0</v>
      </c>
      <c r="H12" s="3">
        <f>Table1[[#This Row],[PRECIO Bruto]]+Table1[[#This Row],[BONO GAS]]+Table1[[#This Row],[AJUSTE RESOL NO. 201-14]]</f>
        <v>242.1</v>
      </c>
      <c r="I12" s="2">
        <v>44286</v>
      </c>
    </row>
    <row r="13" spans="1:9" x14ac:dyDescent="0.25">
      <c r="A13" s="1" t="s">
        <v>1</v>
      </c>
      <c r="B13" s="4">
        <v>111.29</v>
      </c>
      <c r="C13" s="4">
        <f>63.83+17.81</f>
        <v>81.64</v>
      </c>
      <c r="D13" s="4">
        <f>12.6+20.19+5.68</f>
        <v>38.47</v>
      </c>
      <c r="E13" s="4">
        <f>SUM(Table1[[#This Row],[Precio de Paridad]:[MARGENES DE COMERCIALIZACION]])</f>
        <v>231.4</v>
      </c>
      <c r="F13" s="4">
        <v>-2.9</v>
      </c>
      <c r="G13" s="4">
        <v>0</v>
      </c>
      <c r="H13" s="3">
        <f>Table1[[#This Row],[PRECIO Bruto]]+Table1[[#This Row],[BONO GAS]]+Table1[[#This Row],[AJUSTE RESOL NO. 201-14]]</f>
        <v>228.5</v>
      </c>
      <c r="I13" s="2">
        <v>44286</v>
      </c>
    </row>
    <row r="14" spans="1:9" x14ac:dyDescent="0.25">
      <c r="A14" s="1" t="s">
        <v>2</v>
      </c>
      <c r="B14" s="4">
        <v>105.22</v>
      </c>
      <c r="C14" s="4">
        <f>28.06+16.83</f>
        <v>44.89</v>
      </c>
      <c r="D14" s="4">
        <f>10.97+16.64+5.68</f>
        <v>33.29</v>
      </c>
      <c r="E14" s="4">
        <f>SUM(Table1[[#This Row],[Precio de Paridad]:[MARGENES DE COMERCIALIZACION]])</f>
        <v>183.4</v>
      </c>
      <c r="F14" s="4">
        <v>-1.8</v>
      </c>
      <c r="G14" s="4">
        <v>0</v>
      </c>
      <c r="H14" s="3">
        <f>Table1[[#This Row],[PRECIO Bruto]]+Table1[[#This Row],[BONO GAS]]+Table1[[#This Row],[AJUSTE RESOL NO. 201-14]]</f>
        <v>181.6</v>
      </c>
      <c r="I14" s="2">
        <v>44286</v>
      </c>
    </row>
    <row r="15" spans="1:9" x14ac:dyDescent="0.25">
      <c r="A15" s="1" t="s">
        <v>3</v>
      </c>
      <c r="B15" s="4">
        <v>113.25</v>
      </c>
      <c r="C15" s="4">
        <f>34.53+18.12</f>
        <v>52.650000000000006</v>
      </c>
      <c r="D15" s="4">
        <f>11.1+16.72+5.68</f>
        <v>33.5</v>
      </c>
      <c r="E15" s="4">
        <f>SUM(Table1[[#This Row],[Precio de Paridad]:[MARGENES DE COMERCIALIZACION]])</f>
        <v>199.4</v>
      </c>
      <c r="F15" s="4">
        <v>-1.9</v>
      </c>
      <c r="G15" s="4">
        <v>0</v>
      </c>
      <c r="H15" s="3">
        <f>Table1[[#This Row],[PRECIO Bruto]]+Table1[[#This Row],[BONO GAS]]+Table1[[#This Row],[AJUSTE RESOL NO. 201-14]]</f>
        <v>197.5</v>
      </c>
      <c r="I15" s="2">
        <v>44286</v>
      </c>
    </row>
    <row r="16" spans="1:9" x14ac:dyDescent="0.25">
      <c r="A16" s="1" t="s">
        <v>4</v>
      </c>
      <c r="B16" s="4">
        <v>87.74</v>
      </c>
      <c r="C16" s="4">
        <v>14.04</v>
      </c>
      <c r="D16" s="4">
        <f>7.95+11.89+5.68</f>
        <v>25.52</v>
      </c>
      <c r="E16" s="4">
        <f>SUM(Table1[[#This Row],[Precio de Paridad]:[MARGENES DE COMERCIALIZACION]])</f>
        <v>127.3</v>
      </c>
      <c r="F16" s="4">
        <v>0</v>
      </c>
      <c r="G16" s="4">
        <v>0.8</v>
      </c>
      <c r="H16" s="3">
        <f>Table1[[#This Row],[PRECIO Bruto]]+Table1[[#This Row],[BONO GAS]]+Table1[[#This Row],[AJUSTE RESOL NO. 201-14]]</f>
        <v>128.1</v>
      </c>
      <c r="I16" s="2">
        <v>44286</v>
      </c>
    </row>
    <row r="17" spans="1:9" x14ac:dyDescent="0.25">
      <c r="A17" s="1" t="s">
        <v>0</v>
      </c>
      <c r="B17" s="4">
        <v>118.32</v>
      </c>
      <c r="C17" s="4">
        <f>71.85+18.94</f>
        <v>90.789999999999992</v>
      </c>
      <c r="D17" s="4">
        <f>13.92+21.99+5.68</f>
        <v>41.589999999999996</v>
      </c>
      <c r="E17" s="4">
        <f>SUM(Table1[[#This Row],[Precio de Paridad]:[MARGENES DE COMERCIALIZACION]])</f>
        <v>250.7</v>
      </c>
      <c r="F17" s="4">
        <v>-2.6</v>
      </c>
      <c r="G17" s="4">
        <v>0</v>
      </c>
      <c r="H17" s="3">
        <f>Table1[[#This Row],[PRECIO Bruto]]+Table1[[#This Row],[BONO GAS]]+Table1[[#This Row],[AJUSTE RESOL NO. 201-14]]</f>
        <v>248.1</v>
      </c>
      <c r="I17" s="2">
        <v>44316</v>
      </c>
    </row>
    <row r="18" spans="1:9" x14ac:dyDescent="0.25">
      <c r="A18" s="1" t="s">
        <v>1</v>
      </c>
      <c r="B18" s="4">
        <v>115.77</v>
      </c>
      <c r="C18" s="4">
        <f>63.83+18.53</f>
        <v>82.36</v>
      </c>
      <c r="D18" s="4">
        <f>12.6+20.19+5.68</f>
        <v>38.47</v>
      </c>
      <c r="E18" s="4">
        <f>SUM(Table1[[#This Row],[Precio de Paridad]:[MARGENES DE COMERCIALIZACION]])</f>
        <v>236.6</v>
      </c>
      <c r="F18" s="4">
        <v>-3.1</v>
      </c>
      <c r="G18" s="4">
        <v>0</v>
      </c>
      <c r="H18" s="3">
        <f>Table1[[#This Row],[PRECIO Bruto]]+Table1[[#This Row],[BONO GAS]]+Table1[[#This Row],[AJUSTE RESOL NO. 201-14]]</f>
        <v>233.5</v>
      </c>
      <c r="I18" s="2">
        <v>44316</v>
      </c>
    </row>
    <row r="19" spans="1:9" x14ac:dyDescent="0.25">
      <c r="A19" s="1" t="s">
        <v>2</v>
      </c>
      <c r="B19" s="4">
        <v>104.78</v>
      </c>
      <c r="C19" s="4">
        <f>28.06+16.77</f>
        <v>44.83</v>
      </c>
      <c r="D19" s="4">
        <f>10.97+16.64+5.68</f>
        <v>33.29</v>
      </c>
      <c r="E19" s="4">
        <f>SUM(Table1[[#This Row],[Precio de Paridad]:[MARGENES DE COMERCIALIZACION]])</f>
        <v>182.9</v>
      </c>
      <c r="F19" s="4">
        <v>-1.8</v>
      </c>
      <c r="G19" s="4">
        <v>0</v>
      </c>
      <c r="H19" s="3">
        <f>Table1[[#This Row],[PRECIO Bruto]]+Table1[[#This Row],[BONO GAS]]+Table1[[#This Row],[AJUSTE RESOL NO. 201-14]]</f>
        <v>181.1</v>
      </c>
      <c r="I19" s="2">
        <v>44316</v>
      </c>
    </row>
    <row r="20" spans="1:9" x14ac:dyDescent="0.25">
      <c r="A20" s="1" t="s">
        <v>3</v>
      </c>
      <c r="B20" s="4">
        <v>113.16</v>
      </c>
      <c r="C20" s="4">
        <f>34.53+18.11</f>
        <v>52.64</v>
      </c>
      <c r="D20" s="4">
        <f>11.1+16.72+5.68</f>
        <v>33.5</v>
      </c>
      <c r="E20" s="4">
        <f>SUM(Table1[[#This Row],[Precio de Paridad]:[MARGENES DE COMERCIALIZACION]])</f>
        <v>199.3</v>
      </c>
      <c r="F20" s="4">
        <v>-1.8</v>
      </c>
      <c r="G20" s="4">
        <v>0</v>
      </c>
      <c r="H20" s="3">
        <f>Table1[[#This Row],[PRECIO Bruto]]+Table1[[#This Row],[BONO GAS]]+Table1[[#This Row],[AJUSTE RESOL NO. 201-14]]</f>
        <v>197.5</v>
      </c>
      <c r="I20" s="2">
        <v>44316</v>
      </c>
    </row>
    <row r="21" spans="1:9" x14ac:dyDescent="0.25">
      <c r="A21" s="1" t="s">
        <v>4</v>
      </c>
      <c r="B21" s="4">
        <v>87.74</v>
      </c>
      <c r="C21" s="4">
        <f>14.04</f>
        <v>14.04</v>
      </c>
      <c r="D21" s="4">
        <f>7.95+11.89+5.68</f>
        <v>25.52</v>
      </c>
      <c r="E21" s="4">
        <f>SUM(Table1[[#This Row],[Precio de Paridad]:[MARGENES DE COMERCIALIZACION]])</f>
        <v>127.3</v>
      </c>
      <c r="F21" s="4">
        <v>0</v>
      </c>
      <c r="G21" s="4">
        <v>0.8</v>
      </c>
      <c r="H21" s="3">
        <f>Table1[[#This Row],[PRECIO Bruto]]+Table1[[#This Row],[BONO GAS]]+Table1[[#This Row],[AJUSTE RESOL NO. 201-14]]</f>
        <v>128.1</v>
      </c>
      <c r="I21" s="2">
        <v>44316</v>
      </c>
    </row>
    <row r="22" spans="1:9" x14ac:dyDescent="0.25">
      <c r="A22" s="1" t="s">
        <v>0</v>
      </c>
      <c r="B22" s="4">
        <v>122.81</v>
      </c>
      <c r="C22" s="4">
        <f>71.85+19.65</f>
        <v>91.5</v>
      </c>
      <c r="D22" s="4">
        <f>13.92+21.99+5.68</f>
        <v>41.589999999999996</v>
      </c>
      <c r="E22" s="4">
        <f>SUM(Table1[[#This Row],[Precio de Paridad]:[MARGENES DE COMERCIALIZACION]])</f>
        <v>255.9</v>
      </c>
      <c r="F22" s="4">
        <v>-3.7</v>
      </c>
      <c r="G22" s="4">
        <v>0</v>
      </c>
      <c r="H22" s="3">
        <f>Table1[[#This Row],[PRECIO Bruto]]+Table1[[#This Row],[BONO GAS]]+Table1[[#This Row],[AJUSTE RESOL NO. 201-14]]</f>
        <v>252.20000000000002</v>
      </c>
      <c r="I22" s="2">
        <v>44347</v>
      </c>
    </row>
    <row r="23" spans="1:9" x14ac:dyDescent="0.25">
      <c r="A23" s="1" t="s">
        <v>1</v>
      </c>
      <c r="B23" s="4">
        <v>121.47</v>
      </c>
      <c r="C23" s="4">
        <f>63.83+19.43</f>
        <v>83.259999999999991</v>
      </c>
      <c r="D23" s="4">
        <f>12.6+20.19+5.68</f>
        <v>38.47</v>
      </c>
      <c r="E23" s="4">
        <f>SUM(Table1[[#This Row],[Precio de Paridad]:[MARGENES DE COMERCIALIZACION]])</f>
        <v>243.2</v>
      </c>
      <c r="F23" s="4">
        <v>-3.9</v>
      </c>
      <c r="G23" s="4">
        <v>0</v>
      </c>
      <c r="H23" s="3">
        <f>Table1[[#This Row],[PRECIO Bruto]]+Table1[[#This Row],[BONO GAS]]+Table1[[#This Row],[AJUSTE RESOL NO. 201-14]]</f>
        <v>239.29999999999998</v>
      </c>
      <c r="I23" s="2">
        <v>44347</v>
      </c>
    </row>
    <row r="24" spans="1:9" x14ac:dyDescent="0.25">
      <c r="A24" s="1" t="s">
        <v>2</v>
      </c>
      <c r="B24" s="4">
        <v>108.32</v>
      </c>
      <c r="C24" s="4">
        <f>28.06+17.33</f>
        <v>45.39</v>
      </c>
      <c r="D24" s="4">
        <f>10.97+16.64+5.68</f>
        <v>33.29</v>
      </c>
      <c r="E24" s="4">
        <f>SUM(Table1[[#This Row],[Precio de Paridad]:[MARGENES DE COMERCIALIZACION]])</f>
        <v>186.99999999999997</v>
      </c>
      <c r="F24" s="4">
        <v>-2.1</v>
      </c>
      <c r="G24" s="4">
        <v>0</v>
      </c>
      <c r="H24" s="3">
        <f>Table1[[#This Row],[PRECIO Bruto]]+Table1[[#This Row],[BONO GAS]]+Table1[[#This Row],[AJUSTE RESOL NO. 201-14]]</f>
        <v>184.89999999999998</v>
      </c>
      <c r="I24" s="2">
        <v>44347</v>
      </c>
    </row>
    <row r="25" spans="1:9" x14ac:dyDescent="0.25">
      <c r="A25" s="1" t="s">
        <v>3</v>
      </c>
      <c r="B25" s="4">
        <v>117.65</v>
      </c>
      <c r="C25" s="4">
        <f>34.53+18.82</f>
        <v>53.35</v>
      </c>
      <c r="D25" s="4">
        <f>11.1+16.72+5.68</f>
        <v>33.5</v>
      </c>
      <c r="E25" s="4">
        <f>SUM(Table1[[#This Row],[Precio de Paridad]:[MARGENES DE COMERCIALIZACION]])</f>
        <v>204.5</v>
      </c>
      <c r="F25" s="4">
        <v>-2.1</v>
      </c>
      <c r="G25" s="4">
        <v>0</v>
      </c>
      <c r="H25" s="3">
        <f>Table1[[#This Row],[PRECIO Bruto]]+Table1[[#This Row],[BONO GAS]]+Table1[[#This Row],[AJUSTE RESOL NO. 201-14]]</f>
        <v>202.4</v>
      </c>
      <c r="I25" s="2">
        <v>44347</v>
      </c>
    </row>
    <row r="26" spans="1:9" x14ac:dyDescent="0.25">
      <c r="A26" s="1" t="s">
        <v>4</v>
      </c>
      <c r="B26" s="4">
        <v>86.88</v>
      </c>
      <c r="C26" s="4">
        <v>13.9</v>
      </c>
      <c r="D26" s="4">
        <f>7.95+11.89+5.68</f>
        <v>25.52</v>
      </c>
      <c r="E26" s="4">
        <f>SUM(Table1[[#This Row],[Precio de Paridad]:[MARGENES DE COMERCIALIZACION]])</f>
        <v>126.3</v>
      </c>
      <c r="F26" s="4">
        <v>0</v>
      </c>
      <c r="G26" s="4">
        <v>0.8</v>
      </c>
      <c r="H26" s="3">
        <f>Table1[[#This Row],[PRECIO Bruto]]+Table1[[#This Row],[BONO GAS]]+Table1[[#This Row],[AJUSTE RESOL NO. 201-14]]</f>
        <v>127.1</v>
      </c>
      <c r="I26" s="2">
        <v>44347</v>
      </c>
    </row>
    <row r="27" spans="1:9" x14ac:dyDescent="0.25">
      <c r="A27" s="1" t="s">
        <v>0</v>
      </c>
      <c r="B27" s="4">
        <v>122.9</v>
      </c>
      <c r="C27" s="4">
        <f>71.85+19.66</f>
        <v>91.509999999999991</v>
      </c>
      <c r="D27" s="4">
        <f>13.92+21.99+5.68</f>
        <v>41.589999999999996</v>
      </c>
      <c r="E27" s="4">
        <f>SUM(Table1[[#This Row],[Precio de Paridad]:[MARGENES DE COMERCIALIZACION]])</f>
        <v>256</v>
      </c>
      <c r="F27" s="4">
        <v>-3.8</v>
      </c>
      <c r="G27" s="4">
        <v>0</v>
      </c>
      <c r="H27" s="3">
        <f>Table1[[#This Row],[PRECIO Bruto]]+Table1[[#This Row],[BONO GAS]]+Table1[[#This Row],[AJUSTE RESOL NO. 201-14]]</f>
        <v>252.2</v>
      </c>
      <c r="I27" s="2">
        <v>44377</v>
      </c>
    </row>
    <row r="28" spans="1:9" x14ac:dyDescent="0.25">
      <c r="A28" s="1" t="s">
        <v>1</v>
      </c>
      <c r="B28" s="4">
        <v>121.55</v>
      </c>
      <c r="C28" s="4">
        <f>63.83+19.45</f>
        <v>83.28</v>
      </c>
      <c r="D28" s="4">
        <f>12.6+20.19+5.68</f>
        <v>38.47</v>
      </c>
      <c r="E28" s="4">
        <f>SUM(Table1[[#This Row],[Precio de Paridad]:[MARGENES DE COMERCIALIZACION]])</f>
        <v>243.29999999999998</v>
      </c>
      <c r="F28" s="4">
        <v>-4</v>
      </c>
      <c r="G28" s="4">
        <v>0</v>
      </c>
      <c r="H28" s="3">
        <f>Table1[[#This Row],[PRECIO Bruto]]+Table1[[#This Row],[BONO GAS]]+Table1[[#This Row],[AJUSTE RESOL NO. 201-14]]</f>
        <v>239.29999999999998</v>
      </c>
      <c r="I28" s="2">
        <v>44377</v>
      </c>
    </row>
    <row r="29" spans="1:9" x14ac:dyDescent="0.25">
      <c r="A29" s="1" t="s">
        <v>2</v>
      </c>
      <c r="B29" s="4">
        <v>108.32</v>
      </c>
      <c r="C29" s="4">
        <f>28.06+17.33</f>
        <v>45.39</v>
      </c>
      <c r="D29" s="4">
        <f>10.97+16.64+5.68</f>
        <v>33.29</v>
      </c>
      <c r="E29" s="4">
        <f>SUM(Table1[[#This Row],[Precio de Paridad]:[MARGENES DE COMERCIALIZACION]])</f>
        <v>186.99999999999997</v>
      </c>
      <c r="F29" s="4">
        <v>-2.1</v>
      </c>
      <c r="G29" s="4">
        <v>0</v>
      </c>
      <c r="H29" s="3">
        <f>Table1[[#This Row],[PRECIO Bruto]]+Table1[[#This Row],[BONO GAS]]+Table1[[#This Row],[AJUSTE RESOL NO. 201-14]]</f>
        <v>184.89999999999998</v>
      </c>
      <c r="I29" s="2">
        <v>44377</v>
      </c>
    </row>
    <row r="30" spans="1:9" x14ac:dyDescent="0.25">
      <c r="A30" s="1" t="s">
        <v>3</v>
      </c>
      <c r="B30" s="4">
        <v>117.73</v>
      </c>
      <c r="C30" s="4">
        <f>34.53+18.84</f>
        <v>53.370000000000005</v>
      </c>
      <c r="D30" s="4">
        <f>11.1+16.72+5.68</f>
        <v>33.5</v>
      </c>
      <c r="E30" s="4">
        <f>SUM(Table1[[#This Row],[Precio de Paridad]:[MARGENES DE COMERCIALIZACION]])</f>
        <v>204.60000000000002</v>
      </c>
      <c r="F30" s="4">
        <v>-2.2000000000000002</v>
      </c>
      <c r="G30" s="4">
        <v>0</v>
      </c>
      <c r="H30" s="3">
        <f>Table1[[#This Row],[PRECIO Bruto]]+Table1[[#This Row],[BONO GAS]]+Table1[[#This Row],[AJUSTE RESOL NO. 201-14]]</f>
        <v>202.40000000000003</v>
      </c>
      <c r="I30" s="2">
        <v>44377</v>
      </c>
    </row>
    <row r="31" spans="1:9" x14ac:dyDescent="0.25">
      <c r="A31" s="1" t="s">
        <v>4</v>
      </c>
      <c r="B31" s="4">
        <v>86.88</v>
      </c>
      <c r="C31" s="4">
        <v>13.9</v>
      </c>
      <c r="D31" s="4">
        <f>7.95+11.89+5.68</f>
        <v>25.52</v>
      </c>
      <c r="E31" s="4">
        <f>SUM(Table1[[#This Row],[Precio de Paridad]:[MARGENES DE COMERCIALIZACION]])</f>
        <v>126.3</v>
      </c>
      <c r="F31" s="4">
        <v>0</v>
      </c>
      <c r="G31" s="4">
        <v>0.8</v>
      </c>
      <c r="H31" s="3">
        <f>Table1[[#This Row],[PRECIO Bruto]]+Table1[[#This Row],[BONO GAS]]+Table1[[#This Row],[AJUSTE RESOL NO. 201-14]]</f>
        <v>127.1</v>
      </c>
      <c r="I31" s="2">
        <v>44377</v>
      </c>
    </row>
    <row r="32" spans="1:9" x14ac:dyDescent="0.25">
      <c r="A32" s="1" t="s">
        <v>0</v>
      </c>
      <c r="B32" s="4">
        <v>128.41</v>
      </c>
      <c r="C32" s="4">
        <f>71.85+20.55</f>
        <v>92.399999999999991</v>
      </c>
      <c r="D32" s="4">
        <f>14.42+22.49+5.68</f>
        <v>42.589999999999996</v>
      </c>
      <c r="E32" s="4">
        <f>SUM(Table1[[#This Row],[Precio de Paridad]:[MARGENES DE COMERCIALIZACION]])</f>
        <v>263.39999999999998</v>
      </c>
      <c r="F32" s="4">
        <v>-3.7</v>
      </c>
      <c r="G32" s="4">
        <v>0</v>
      </c>
      <c r="H32" s="3">
        <f>Table1[[#This Row],[PRECIO Bruto]]+Table1[[#This Row],[BONO GAS]]+Table1[[#This Row],[AJUSTE RESOL NO. 201-14]]</f>
        <v>259.7</v>
      </c>
      <c r="I32" s="2">
        <v>44408</v>
      </c>
    </row>
    <row r="33" spans="1:9" x14ac:dyDescent="0.25">
      <c r="A33" s="1" t="s">
        <v>1</v>
      </c>
      <c r="B33" s="4">
        <v>119.22</v>
      </c>
      <c r="C33" s="4">
        <f>63.83+19.08</f>
        <v>82.91</v>
      </c>
      <c r="D33" s="4">
        <f>13.6+21.69+5.68</f>
        <v>40.97</v>
      </c>
      <c r="E33" s="4">
        <f>SUM(Table1[[#This Row],[Precio de Paridad]:[MARGENES DE COMERCIALIZACION]])</f>
        <v>243.1</v>
      </c>
      <c r="F33" s="4">
        <v>-3.8</v>
      </c>
      <c r="G33" s="4">
        <v>0</v>
      </c>
      <c r="H33" s="3">
        <f>Table1[[#This Row],[PRECIO Bruto]]+Table1[[#This Row],[BONO GAS]]+Table1[[#This Row],[AJUSTE RESOL NO. 201-14]]</f>
        <v>239.29999999999998</v>
      </c>
      <c r="I33" s="2">
        <v>44408</v>
      </c>
    </row>
    <row r="34" spans="1:9" x14ac:dyDescent="0.25">
      <c r="A34" s="1" t="s">
        <v>2</v>
      </c>
      <c r="B34" s="4">
        <v>106.42</v>
      </c>
      <c r="C34" s="4">
        <f>28.06+17.03</f>
        <v>45.09</v>
      </c>
      <c r="D34" s="4">
        <f>11.87+17.94+5.68</f>
        <v>35.49</v>
      </c>
      <c r="E34" s="4">
        <f>SUM(Table1[[#This Row],[Precio de Paridad]:[MARGENES DE COMERCIALIZACION]])</f>
        <v>187</v>
      </c>
      <c r="F34" s="4">
        <v>-2.1</v>
      </c>
      <c r="G34" s="4">
        <v>0</v>
      </c>
      <c r="H34" s="3">
        <f>Table1[[#This Row],[PRECIO Bruto]]+Table1[[#This Row],[BONO GAS]]+Table1[[#This Row],[AJUSTE RESOL NO. 201-14]]</f>
        <v>184.9</v>
      </c>
      <c r="I34" s="2">
        <v>44408</v>
      </c>
    </row>
    <row r="35" spans="1:9" x14ac:dyDescent="0.25">
      <c r="A35" s="1" t="s">
        <v>3</v>
      </c>
      <c r="B35" s="4">
        <v>122.39</v>
      </c>
      <c r="C35" s="4">
        <f>34.53+19.58</f>
        <v>54.11</v>
      </c>
      <c r="D35" s="4">
        <f>12+18.02+5.68</f>
        <v>35.700000000000003</v>
      </c>
      <c r="E35" s="4">
        <f>SUM(Table1[[#This Row],[Precio de Paridad]:[MARGENES DE COMERCIALIZACION]])</f>
        <v>212.2</v>
      </c>
      <c r="F35" s="4">
        <v>-2.2999999999999998</v>
      </c>
      <c r="G35" s="4">
        <v>0</v>
      </c>
      <c r="H35" s="3">
        <f>Table1[[#This Row],[PRECIO Bruto]]+Table1[[#This Row],[BONO GAS]]+Table1[[#This Row],[AJUSTE RESOL NO. 201-14]]</f>
        <v>209.89999999999998</v>
      </c>
      <c r="I35" s="2">
        <v>44408</v>
      </c>
    </row>
    <row r="36" spans="1:9" x14ac:dyDescent="0.25">
      <c r="A36" s="1" t="s">
        <v>4</v>
      </c>
      <c r="B36" s="4">
        <v>84.72</v>
      </c>
      <c r="C36" s="4">
        <v>13.56</v>
      </c>
      <c r="D36" s="4">
        <f>8.95+13.39+5.68</f>
        <v>28.02</v>
      </c>
      <c r="E36" s="4">
        <f>SUM(Table1[[#This Row],[Precio de Paridad]:[MARGENES DE COMERCIALIZACION]])</f>
        <v>126.3</v>
      </c>
      <c r="F36" s="4">
        <v>0</v>
      </c>
      <c r="G36" s="4">
        <v>0.8</v>
      </c>
      <c r="H36" s="3">
        <f>Table1[[#This Row],[PRECIO Bruto]]+Table1[[#This Row],[BONO GAS]]+Table1[[#This Row],[AJUSTE RESOL NO. 201-14]]</f>
        <v>127.1</v>
      </c>
      <c r="I36" s="2">
        <v>44408</v>
      </c>
    </row>
    <row r="37" spans="1:9" x14ac:dyDescent="0.25">
      <c r="A37" s="1" t="s">
        <v>0</v>
      </c>
      <c r="B37" s="4">
        <v>130.22</v>
      </c>
      <c r="C37" s="4">
        <f>71.85+20.84</f>
        <v>92.69</v>
      </c>
      <c r="D37" s="4">
        <f>14.42+22.49+5.68</f>
        <v>42.589999999999996</v>
      </c>
      <c r="E37" s="4">
        <f>SUM(Table1[[#This Row],[Precio de Paridad]:[MARGENES DE COMERCIALIZACION]])</f>
        <v>265.5</v>
      </c>
      <c r="F37" s="4">
        <v>-3.7</v>
      </c>
      <c r="G37" s="4">
        <v>0</v>
      </c>
      <c r="H37" s="3">
        <f>Table1[[#This Row],[PRECIO Bruto]]+Table1[[#This Row],[BONO GAS]]+Table1[[#This Row],[AJUSTE RESOL NO. 201-14]]</f>
        <v>261.8</v>
      </c>
      <c r="I37" s="2">
        <v>44439</v>
      </c>
    </row>
    <row r="38" spans="1:9" x14ac:dyDescent="0.25">
      <c r="A38" s="1" t="s">
        <v>1</v>
      </c>
      <c r="B38" s="4">
        <v>122.67</v>
      </c>
      <c r="C38" s="4">
        <f>63.83+19.63</f>
        <v>83.46</v>
      </c>
      <c r="D38" s="4">
        <f>13.6+21.69+5.68</f>
        <v>40.97</v>
      </c>
      <c r="E38" s="4">
        <f>SUM(Table1[[#This Row],[Precio de Paridad]:[MARGENES DE COMERCIALIZACION]])</f>
        <v>247.1</v>
      </c>
      <c r="F38" s="4">
        <v>-3.8</v>
      </c>
      <c r="G38" s="4">
        <v>0</v>
      </c>
      <c r="H38" s="3">
        <f>Table1[[#This Row],[PRECIO Bruto]]+Table1[[#This Row],[BONO GAS]]+Table1[[#This Row],[AJUSTE RESOL NO. 201-14]]</f>
        <v>243.29999999999998</v>
      </c>
      <c r="I38" s="2">
        <v>44439</v>
      </c>
    </row>
    <row r="39" spans="1:9" x14ac:dyDescent="0.25">
      <c r="A39" s="1" t="s">
        <v>2</v>
      </c>
      <c r="B39" s="4">
        <v>109.78</v>
      </c>
      <c r="C39" s="4">
        <f>28.06+17.57</f>
        <v>45.629999999999995</v>
      </c>
      <c r="D39" s="4">
        <f>11.87+17.94+5.68</f>
        <v>35.49</v>
      </c>
      <c r="E39" s="4">
        <f>SUM(Table1[[#This Row],[Precio de Paridad]:[MARGENES DE COMERCIALIZACION]])</f>
        <v>190.9</v>
      </c>
      <c r="F39" s="4">
        <v>-2</v>
      </c>
      <c r="G39" s="4">
        <v>0</v>
      </c>
      <c r="H39" s="3">
        <f>Table1[[#This Row],[PRECIO Bruto]]+Table1[[#This Row],[BONO GAS]]+Table1[[#This Row],[AJUSTE RESOL NO. 201-14]]</f>
        <v>188.9</v>
      </c>
      <c r="I39" s="2">
        <v>44439</v>
      </c>
    </row>
    <row r="40" spans="1:9" x14ac:dyDescent="0.25">
      <c r="A40" s="1" t="s">
        <v>3</v>
      </c>
      <c r="B40" s="4">
        <v>124.29</v>
      </c>
      <c r="C40" s="4">
        <f>34.53+19.88</f>
        <v>54.41</v>
      </c>
      <c r="D40" s="4">
        <f>12+18.02+5.68</f>
        <v>35.700000000000003</v>
      </c>
      <c r="E40" s="4">
        <f>SUM(Table1[[#This Row],[Precio de Paridad]:[MARGENES DE COMERCIALIZACION]])</f>
        <v>214.39999999999998</v>
      </c>
      <c r="F40" s="4">
        <v>-2.2000000000000002</v>
      </c>
      <c r="G40" s="4">
        <v>0</v>
      </c>
      <c r="H40" s="3">
        <f>Table1[[#This Row],[PRECIO Bruto]]+Table1[[#This Row],[BONO GAS]]+Table1[[#This Row],[AJUSTE RESOL NO. 201-14]]</f>
        <v>212.2</v>
      </c>
      <c r="I40" s="2">
        <v>44439</v>
      </c>
    </row>
    <row r="41" spans="1:9" x14ac:dyDescent="0.25">
      <c r="A41" s="1" t="s">
        <v>4</v>
      </c>
      <c r="B41" s="4">
        <v>84.72</v>
      </c>
      <c r="C41" s="4">
        <v>13.56</v>
      </c>
      <c r="D41" s="4">
        <f>8.95+13.39+5.68</f>
        <v>28.02</v>
      </c>
      <c r="E41" s="4">
        <f>SUM(Table1[[#This Row],[Precio de Paridad]:[MARGENES DE COMERCIALIZACION]])</f>
        <v>126.3</v>
      </c>
      <c r="F41" s="4">
        <v>0</v>
      </c>
      <c r="G41" s="4">
        <v>0.8</v>
      </c>
      <c r="H41" s="3">
        <f>Table1[[#This Row],[PRECIO Bruto]]+Table1[[#This Row],[BONO GAS]]+Table1[[#This Row],[AJUSTE RESOL NO. 201-14]]</f>
        <v>127.1</v>
      </c>
      <c r="I41" s="2">
        <v>44439</v>
      </c>
    </row>
    <row r="42" spans="1:9" x14ac:dyDescent="0.25">
      <c r="A42" s="1" t="s">
        <v>0</v>
      </c>
      <c r="B42" s="4">
        <v>130.57</v>
      </c>
      <c r="C42" s="4">
        <f>71.85+20.89</f>
        <v>92.74</v>
      </c>
      <c r="D42" s="4">
        <f>14.42+22.49+5.68</f>
        <v>42.589999999999996</v>
      </c>
      <c r="E42" s="4">
        <f>SUM(Table1[[#This Row],[Precio de Paridad]:[MARGENES DE COMERCIALIZACION]])</f>
        <v>265.89999999999998</v>
      </c>
      <c r="F42" s="4">
        <v>-4.0999999999999996</v>
      </c>
      <c r="G42" s="4">
        <v>0</v>
      </c>
      <c r="H42" s="3">
        <f>Table1[[#This Row],[PRECIO Bruto]]+Table1[[#This Row],[BONO GAS]]+Table1[[#This Row],[AJUSTE RESOL NO. 201-14]]</f>
        <v>261.79999999999995</v>
      </c>
      <c r="I42" s="2">
        <v>44469</v>
      </c>
    </row>
    <row r="43" spans="1:9" x14ac:dyDescent="0.25">
      <c r="A43" s="1" t="s">
        <v>1</v>
      </c>
      <c r="B43" s="4">
        <v>122.85</v>
      </c>
      <c r="C43" s="4">
        <f>63.83+19.65</f>
        <v>83.47999999999999</v>
      </c>
      <c r="D43" s="4">
        <f>13.6+21.69+5.68</f>
        <v>40.97</v>
      </c>
      <c r="E43" s="4">
        <f>SUM(Table1[[#This Row],[Precio de Paridad]:[MARGENES DE COMERCIALIZACION]])</f>
        <v>247.29999999999998</v>
      </c>
      <c r="F43" s="4">
        <v>-4</v>
      </c>
      <c r="G43" s="4">
        <v>0</v>
      </c>
      <c r="H43" s="3">
        <f>Table1[[#This Row],[PRECIO Bruto]]+Table1[[#This Row],[BONO GAS]]+Table1[[#This Row],[AJUSTE RESOL NO. 201-14]]</f>
        <v>243.29999999999998</v>
      </c>
      <c r="I43" s="2">
        <v>44469</v>
      </c>
    </row>
    <row r="44" spans="1:9" x14ac:dyDescent="0.25">
      <c r="A44" s="1" t="s">
        <v>2</v>
      </c>
      <c r="B44" s="4">
        <v>110.04</v>
      </c>
      <c r="C44" s="4">
        <f>28.06+17.61</f>
        <v>45.67</v>
      </c>
      <c r="D44" s="4">
        <f>11.87+17.94+5.68</f>
        <v>35.49</v>
      </c>
      <c r="E44" s="4">
        <f>SUM(Table1[[#This Row],[Precio de Paridad]:[MARGENES DE COMERCIALIZACION]])</f>
        <v>191.20000000000002</v>
      </c>
      <c r="F44" s="4">
        <v>-2.2999999999999998</v>
      </c>
      <c r="G44" s="4">
        <v>0</v>
      </c>
      <c r="H44" s="3">
        <f>Table1[[#This Row],[PRECIO Bruto]]+Table1[[#This Row],[BONO GAS]]+Table1[[#This Row],[AJUSTE RESOL NO. 201-14]]</f>
        <v>188.9</v>
      </c>
      <c r="I44" s="2">
        <v>44469</v>
      </c>
    </row>
    <row r="45" spans="1:9" x14ac:dyDescent="0.25">
      <c r="A45" s="1" t="s">
        <v>3</v>
      </c>
      <c r="B45" s="4">
        <v>124.37</v>
      </c>
      <c r="C45" s="4">
        <f>34.53+19.9</f>
        <v>54.43</v>
      </c>
      <c r="D45" s="4">
        <f>12+18.02+5.68</f>
        <v>35.700000000000003</v>
      </c>
      <c r="E45" s="4">
        <f>SUM(Table1[[#This Row],[Precio de Paridad]:[MARGENES DE COMERCIALIZACION]])</f>
        <v>214.5</v>
      </c>
      <c r="F45" s="4">
        <v>-2.2999999999999998</v>
      </c>
      <c r="G45" s="4">
        <v>0</v>
      </c>
      <c r="H45" s="3">
        <f>Table1[[#This Row],[PRECIO Bruto]]+Table1[[#This Row],[BONO GAS]]+Table1[[#This Row],[AJUSTE RESOL NO. 201-14]]</f>
        <v>212.2</v>
      </c>
      <c r="I45" s="2">
        <v>44469</v>
      </c>
    </row>
    <row r="46" spans="1:9" x14ac:dyDescent="0.25">
      <c r="A46" s="1" t="s">
        <v>4</v>
      </c>
      <c r="B46" s="4">
        <v>86.45</v>
      </c>
      <c r="C46" s="4">
        <v>13.83</v>
      </c>
      <c r="D46" s="4">
        <f>8.95+13.39+5.68</f>
        <v>28.02</v>
      </c>
      <c r="E46" s="4">
        <f>SUM(Table1[[#This Row],[Precio de Paridad]:[MARGENES DE COMERCIALIZACION]])</f>
        <v>128.30000000000001</v>
      </c>
      <c r="F46" s="4">
        <v>0</v>
      </c>
      <c r="G46" s="4">
        <v>0.8</v>
      </c>
      <c r="H46" s="3">
        <f>Table1[[#This Row],[PRECIO Bruto]]+Table1[[#This Row],[BONO GAS]]+Table1[[#This Row],[AJUSTE RESOL NO. 201-14]]</f>
        <v>129.10000000000002</v>
      </c>
      <c r="I46" s="2">
        <v>44469</v>
      </c>
    </row>
    <row r="47" spans="1:9" x14ac:dyDescent="0.25">
      <c r="A47" s="1" t="s">
        <v>0</v>
      </c>
      <c r="B47" s="4">
        <v>133.76</v>
      </c>
      <c r="C47" s="4">
        <f>71.85+21.4</f>
        <v>93.25</v>
      </c>
      <c r="D47" s="4">
        <f>14.42+22.49+5.68</f>
        <v>42.589999999999996</v>
      </c>
      <c r="E47" s="4">
        <f>SUM(Table1[[#This Row],[Precio de Paridad]:[MARGENES DE COMERCIALIZACION]])</f>
        <v>269.59999999999997</v>
      </c>
      <c r="F47" s="4">
        <v>-3.8</v>
      </c>
      <c r="G47" s="4">
        <v>0</v>
      </c>
      <c r="H47" s="3">
        <f>Table1[[#This Row],[PRECIO Bruto]]+Table1[[#This Row],[BONO GAS]]+Table1[[#This Row],[AJUSTE RESOL NO. 201-14]]</f>
        <v>265.79999999999995</v>
      </c>
      <c r="I47" s="2">
        <v>44491</v>
      </c>
    </row>
    <row r="48" spans="1:9" x14ac:dyDescent="0.25">
      <c r="A48" s="1" t="s">
        <v>1</v>
      </c>
      <c r="B48" s="4">
        <v>128.1</v>
      </c>
      <c r="C48" s="4">
        <f>63.83+20.5</f>
        <v>84.33</v>
      </c>
      <c r="D48" s="4">
        <f>13.6+21.69+5.68</f>
        <v>40.97</v>
      </c>
      <c r="E48" s="4">
        <f>SUM(Table1[[#This Row],[Precio de Paridad]:[MARGENES DE COMERCIALIZACION]])</f>
        <v>253.4</v>
      </c>
      <c r="F48" s="4">
        <v>-3.6</v>
      </c>
      <c r="G48" s="4">
        <v>0</v>
      </c>
      <c r="H48" s="3">
        <f>Table1[[#This Row],[PRECIO Bruto]]+Table1[[#This Row],[BONO GAS]]+Table1[[#This Row],[AJUSTE RESOL NO. 201-14]]</f>
        <v>249.8</v>
      </c>
      <c r="I48" s="2">
        <v>44491</v>
      </c>
    </row>
    <row r="49" spans="1:9" x14ac:dyDescent="0.25">
      <c r="A49" s="1" t="s">
        <v>2</v>
      </c>
      <c r="B49" s="4">
        <v>110.04</v>
      </c>
      <c r="C49" s="4">
        <f>28.06+17.61</f>
        <v>45.67</v>
      </c>
      <c r="D49" s="4">
        <f>11.87+17.94+5.68</f>
        <v>35.49</v>
      </c>
      <c r="E49" s="4">
        <f>SUM(Table1[[#This Row],[Precio de Paridad]:[MARGENES DE COMERCIALIZACION]])</f>
        <v>191.20000000000002</v>
      </c>
      <c r="F49" s="4">
        <v>-2.2999999999999998</v>
      </c>
      <c r="G49" s="4">
        <v>0</v>
      </c>
      <c r="H49" s="3">
        <f>Table1[[#This Row],[PRECIO Bruto]]+Table1[[#This Row],[BONO GAS]]+Table1[[#This Row],[AJUSTE RESOL NO. 201-14]]</f>
        <v>188.9</v>
      </c>
      <c r="I49" s="2">
        <v>44491</v>
      </c>
    </row>
    <row r="50" spans="1:9" x14ac:dyDescent="0.25">
      <c r="A50" s="1" t="s">
        <v>3</v>
      </c>
      <c r="B50" s="4">
        <v>124.28</v>
      </c>
      <c r="C50" s="4">
        <f>34.53+19.89</f>
        <v>54.42</v>
      </c>
      <c r="D50" s="4">
        <f>12+18.02+5.68</f>
        <v>35.700000000000003</v>
      </c>
      <c r="E50" s="4">
        <f>SUM(Table1[[#This Row],[Precio de Paridad]:[MARGENES DE COMERCIALIZACION]])</f>
        <v>214.39999999999998</v>
      </c>
      <c r="F50" s="4">
        <v>-2.2000000000000002</v>
      </c>
      <c r="G50" s="4">
        <v>0</v>
      </c>
      <c r="H50" s="3">
        <f>Table1[[#This Row],[PRECIO Bruto]]+Table1[[#This Row],[BONO GAS]]+Table1[[#This Row],[AJUSTE RESOL NO. 201-14]]</f>
        <v>212.2</v>
      </c>
      <c r="I50" s="2">
        <v>44491</v>
      </c>
    </row>
    <row r="51" spans="1:9" x14ac:dyDescent="0.25">
      <c r="A51" s="1" t="s">
        <v>4</v>
      </c>
      <c r="B51" s="4">
        <v>90.76</v>
      </c>
      <c r="C51" s="4">
        <v>14.52</v>
      </c>
      <c r="D51" s="4">
        <f>8.95+13.39+5.68</f>
        <v>28.02</v>
      </c>
      <c r="E51" s="4">
        <f>SUM(Table1[[#This Row],[Precio de Paridad]:[MARGENES DE COMERCIALIZACION]])</f>
        <v>133.30000000000001</v>
      </c>
      <c r="F51" s="4">
        <v>0</v>
      </c>
      <c r="G51" s="4">
        <v>0.8</v>
      </c>
      <c r="H51" s="3">
        <f>Table1[[#This Row],[PRECIO Bruto]]+Table1[[#This Row],[BONO GAS]]+Table1[[#This Row],[AJUSTE RESOL NO. 201-14]]</f>
        <v>134.10000000000002</v>
      </c>
      <c r="I51" s="2">
        <v>44491</v>
      </c>
    </row>
  </sheetData>
  <phoneticPr fontId="2" type="noConversion"/>
  <pageMargins left="0.7" right="0.7" top="0.75" bottom="0.75" header="0.3" footer="0.3"/>
  <pageSetup orientation="portrait" r:id="rId1"/>
  <ignoredErrors>
    <ignoredError sqref="C3:C6 D3:D5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AZCONA, BHDLeon</dc:creator>
  <cp:lastModifiedBy>ELIAS AZCONA, BHDLeon</cp:lastModifiedBy>
  <dcterms:created xsi:type="dcterms:W3CDTF">2021-10-22T16:52:08Z</dcterms:created>
  <dcterms:modified xsi:type="dcterms:W3CDTF">2021-10-22T19:00:52Z</dcterms:modified>
</cp:coreProperties>
</file>