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ediwa/Desktop/UGENT/Github finance/Financial-Planning-and-Analysis/"/>
    </mc:Choice>
  </mc:AlternateContent>
  <xr:revisionPtr revIDLastSave="0" documentId="13_ncr:1_{19C14B49-50BB-244F-AF3F-906DF7F3E26E}" xr6:coauthVersionLast="47" xr6:coauthVersionMax="47" xr10:uidLastSave="{00000000-0000-0000-0000-000000000000}"/>
  <bookViews>
    <workbookView xWindow="0" yWindow="500" windowWidth="28800" windowHeight="16260" activeTab="5" xr2:uid="{D714E13E-F220-A449-A120-4F700FCC0D01}"/>
  </bookViews>
  <sheets>
    <sheet name="Assumptions" sheetId="7" r:id="rId1"/>
    <sheet name="Realisation" sheetId="12" r:id="rId2"/>
    <sheet name="Proj. Sales &amp; Prod" sheetId="8" r:id="rId3"/>
    <sheet name="Proj. RM &amp; DL &amp; FG" sheetId="9" r:id="rId4"/>
    <sheet name="Proj. SGA &amp; PL &amp; BS" sheetId="10" r:id="rId5"/>
    <sheet name="Proj. Dash" sheetId="11" r:id="rId6"/>
    <sheet name="Act. Sales &amp; Prod " sheetId="14" r:id="rId7"/>
    <sheet name="Act. RM &amp; DL &amp; FG" sheetId="15" r:id="rId8"/>
    <sheet name="Act. SGA &amp; PL &amp; BS " sheetId="16" r:id="rId9"/>
    <sheet name="Variance analysis" sheetId="13" r:id="rId10"/>
  </sheets>
  <definedNames>
    <definedName name="actual" localSheetId="6">'Act. Sales &amp; Prod '!$G$2</definedName>
    <definedName name="actual">'Proj. Sales &amp; Prod'!$G$2</definedName>
    <definedName name="name">Assumptions!$B$1</definedName>
    <definedName name="unit">Assumptions!$C$5:$C$5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3" l="1"/>
  <c r="E8" i="13"/>
  <c r="F8" i="13"/>
  <c r="G8" i="13"/>
  <c r="H8" i="13"/>
  <c r="D9" i="13"/>
  <c r="E9" i="13"/>
  <c r="F9" i="13"/>
  <c r="G9" i="13"/>
  <c r="H9" i="13"/>
  <c r="D10" i="13"/>
  <c r="E10" i="13"/>
  <c r="F10" i="13"/>
  <c r="G10" i="13"/>
  <c r="H10" i="13"/>
  <c r="D11" i="13"/>
  <c r="E11" i="13"/>
  <c r="F11" i="13"/>
  <c r="G11" i="13"/>
  <c r="H11" i="13"/>
  <c r="D12" i="13"/>
  <c r="E12" i="13"/>
  <c r="F12" i="13"/>
  <c r="G12" i="13"/>
  <c r="H12" i="13"/>
  <c r="D13" i="13"/>
  <c r="E13" i="13"/>
  <c r="F13" i="13"/>
  <c r="G13" i="13"/>
  <c r="H13" i="13"/>
  <c r="D14" i="13"/>
  <c r="E14" i="13"/>
  <c r="F14" i="13"/>
  <c r="G14" i="13"/>
  <c r="H14" i="13"/>
  <c r="D15" i="13"/>
  <c r="E15" i="13"/>
  <c r="F15" i="13"/>
  <c r="G15" i="13"/>
  <c r="H15" i="13"/>
  <c r="D16" i="13"/>
  <c r="E16" i="13"/>
  <c r="F16" i="13"/>
  <c r="G16" i="13"/>
  <c r="H16" i="13"/>
  <c r="D17" i="13"/>
  <c r="E17" i="13"/>
  <c r="F17" i="13"/>
  <c r="G17" i="13"/>
  <c r="H17" i="13"/>
  <c r="D18" i="13"/>
  <c r="E18" i="13"/>
  <c r="F18" i="13"/>
  <c r="G18" i="13"/>
  <c r="H18" i="13"/>
  <c r="D20" i="13"/>
  <c r="E20" i="13"/>
  <c r="F20" i="13"/>
  <c r="G20" i="13"/>
  <c r="H20" i="13"/>
  <c r="D21" i="13"/>
  <c r="E21" i="13"/>
  <c r="F21" i="13"/>
  <c r="G21" i="13"/>
  <c r="H21" i="13"/>
  <c r="D23" i="13"/>
  <c r="E23" i="13"/>
  <c r="F23" i="13"/>
  <c r="G23" i="13"/>
  <c r="H23" i="13"/>
  <c r="D24" i="13"/>
  <c r="E24" i="13"/>
  <c r="F24" i="13"/>
  <c r="G24" i="13"/>
  <c r="H24" i="13"/>
  <c r="D25" i="13"/>
  <c r="E25" i="13"/>
  <c r="F25" i="13"/>
  <c r="G25" i="13"/>
  <c r="H25" i="13"/>
  <c r="D26" i="13"/>
  <c r="E26" i="13"/>
  <c r="F26" i="13"/>
  <c r="G26" i="13"/>
  <c r="H26" i="13"/>
  <c r="D27" i="13"/>
  <c r="E27" i="13"/>
  <c r="F27" i="13"/>
  <c r="G27" i="13"/>
  <c r="H27" i="13"/>
  <c r="C20" i="13"/>
  <c r="C21" i="13"/>
  <c r="C23" i="13"/>
  <c r="C24" i="13"/>
  <c r="C25" i="13"/>
  <c r="C26" i="13"/>
  <c r="C27" i="13"/>
  <c r="C9" i="13"/>
  <c r="C10" i="13"/>
  <c r="C11" i="13"/>
  <c r="C12" i="13"/>
  <c r="C13" i="13"/>
  <c r="C14" i="13"/>
  <c r="C15" i="13"/>
  <c r="C16" i="13"/>
  <c r="C17" i="13"/>
  <c r="C18" i="13"/>
  <c r="C8" i="13"/>
  <c r="C84" i="16"/>
  <c r="D35" i="16"/>
  <c r="E35" i="16"/>
  <c r="F35" i="16"/>
  <c r="G35" i="16"/>
  <c r="H35" i="16"/>
  <c r="D36" i="16"/>
  <c r="E36" i="16"/>
  <c r="F36" i="16"/>
  <c r="G36" i="16"/>
  <c r="H36" i="16"/>
  <c r="C36" i="16"/>
  <c r="C35" i="16"/>
  <c r="B3" i="13"/>
  <c r="D12" i="16"/>
  <c r="E12" i="16"/>
  <c r="E63" i="16" s="1"/>
  <c r="F12" i="16"/>
  <c r="F63" i="16" s="1"/>
  <c r="G12" i="16"/>
  <c r="H12" i="16"/>
  <c r="H63" i="16" s="1"/>
  <c r="C12" i="16"/>
  <c r="D11" i="16"/>
  <c r="E11" i="16"/>
  <c r="E62" i="16" s="1"/>
  <c r="F11" i="16"/>
  <c r="G11" i="16"/>
  <c r="G62" i="16" s="1"/>
  <c r="H11" i="16"/>
  <c r="C11" i="16"/>
  <c r="C62" i="16" s="1"/>
  <c r="D24" i="15"/>
  <c r="E24" i="15"/>
  <c r="F24" i="15"/>
  <c r="G24" i="15"/>
  <c r="H24" i="15"/>
  <c r="C24" i="15"/>
  <c r="D13" i="15"/>
  <c r="E13" i="15"/>
  <c r="F13" i="15"/>
  <c r="G13" i="15"/>
  <c r="H13" i="15"/>
  <c r="C13" i="15"/>
  <c r="C36" i="8"/>
  <c r="H101" i="16"/>
  <c r="G101" i="16"/>
  <c r="F101" i="16"/>
  <c r="E101" i="16"/>
  <c r="D101" i="16"/>
  <c r="C101" i="16"/>
  <c r="F91" i="16"/>
  <c r="E91" i="16"/>
  <c r="H90" i="16"/>
  <c r="H91" i="16" s="1"/>
  <c r="G90" i="16"/>
  <c r="G91" i="16" s="1"/>
  <c r="F90" i="16"/>
  <c r="E90" i="16"/>
  <c r="D90" i="16"/>
  <c r="D91" i="16" s="1"/>
  <c r="C90" i="16"/>
  <c r="C91" i="16" s="1"/>
  <c r="H26" i="16"/>
  <c r="H57" i="16" s="1"/>
  <c r="H81" i="16" s="1"/>
  <c r="G26" i="16"/>
  <c r="G57" i="16" s="1"/>
  <c r="G81" i="16" s="1"/>
  <c r="D26" i="16"/>
  <c r="D57" i="16" s="1"/>
  <c r="D81" i="16" s="1"/>
  <c r="C26" i="16"/>
  <c r="C57" i="16" s="1"/>
  <c r="C81" i="16" s="1"/>
  <c r="H13" i="16"/>
  <c r="G13" i="16"/>
  <c r="F13" i="16"/>
  <c r="E13" i="16"/>
  <c r="D13" i="16"/>
  <c r="C13" i="16"/>
  <c r="G63" i="16"/>
  <c r="D63" i="16"/>
  <c r="C63" i="16"/>
  <c r="H62" i="16"/>
  <c r="F62" i="16"/>
  <c r="D62" i="16"/>
  <c r="H4" i="16"/>
  <c r="G4" i="16"/>
  <c r="F4" i="16"/>
  <c r="F26" i="16" s="1"/>
  <c r="F57" i="16" s="1"/>
  <c r="F81" i="16" s="1"/>
  <c r="E4" i="16"/>
  <c r="E26" i="16" s="1"/>
  <c r="E57" i="16" s="1"/>
  <c r="E81" i="16" s="1"/>
  <c r="D4" i="16"/>
  <c r="C4" i="16"/>
  <c r="G1" i="16"/>
  <c r="D1" i="16"/>
  <c r="B1" i="16"/>
  <c r="H72" i="15"/>
  <c r="G72" i="15"/>
  <c r="F72" i="15"/>
  <c r="E72" i="15"/>
  <c r="D72" i="15"/>
  <c r="C72" i="15"/>
  <c r="H62" i="15"/>
  <c r="G62" i="15"/>
  <c r="F62" i="15"/>
  <c r="E62" i="15"/>
  <c r="D62" i="15"/>
  <c r="C62" i="15"/>
  <c r="H47" i="15" a="1"/>
  <c r="H47" i="15" s="1"/>
  <c r="G47" i="15" a="1"/>
  <c r="G47" i="15" s="1"/>
  <c r="F47" i="15" a="1"/>
  <c r="F47" i="15" s="1"/>
  <c r="E47" i="15" a="1"/>
  <c r="E47" i="15" s="1"/>
  <c r="D47" i="15" a="1"/>
  <c r="D47" i="15" s="1"/>
  <c r="C47" i="15" a="1"/>
  <c r="C47" i="15" s="1"/>
  <c r="H43" i="15" a="1"/>
  <c r="H43" i="15" s="1"/>
  <c r="G43" i="15" a="1"/>
  <c r="G43" i="15" s="1"/>
  <c r="F43" i="15" a="1"/>
  <c r="F43" i="15" s="1"/>
  <c r="D43" i="15" a="1"/>
  <c r="D43" i="15" s="1"/>
  <c r="C43" i="15" a="1"/>
  <c r="C43" i="15" s="1"/>
  <c r="H42" i="15"/>
  <c r="G42" i="15"/>
  <c r="F42" i="15"/>
  <c r="E42" i="15"/>
  <c r="E43" i="15" s="1" a="1"/>
  <c r="E43" i="15" s="1"/>
  <c r="D42" i="15"/>
  <c r="C42" i="15"/>
  <c r="H32" i="15"/>
  <c r="H41" i="15" s="1"/>
  <c r="H46" i="15" s="1"/>
  <c r="H59" i="15" s="1"/>
  <c r="D32" i="15"/>
  <c r="D41" i="15" s="1"/>
  <c r="D46" i="15" s="1"/>
  <c r="D59" i="15" s="1"/>
  <c r="H5" i="15"/>
  <c r="G5" i="15"/>
  <c r="G32" i="15" s="1"/>
  <c r="G41" i="15" s="1"/>
  <c r="G46" i="15" s="1"/>
  <c r="G59" i="15" s="1"/>
  <c r="F5" i="15"/>
  <c r="F32" i="15" s="1"/>
  <c r="F41" i="15" s="1"/>
  <c r="F46" i="15" s="1"/>
  <c r="F59" i="15" s="1"/>
  <c r="E5" i="15"/>
  <c r="E32" i="15" s="1"/>
  <c r="E41" i="15" s="1"/>
  <c r="E46" i="15" s="1"/>
  <c r="E59" i="15" s="1"/>
  <c r="D5" i="15"/>
  <c r="C5" i="15"/>
  <c r="C32" i="15" s="1"/>
  <c r="C41" i="15" s="1"/>
  <c r="C46" i="15" s="1"/>
  <c r="C59" i="15" s="1"/>
  <c r="B2" i="15"/>
  <c r="B28" i="14"/>
  <c r="F16" i="14"/>
  <c r="F27" i="14" s="1"/>
  <c r="H5" i="14"/>
  <c r="H16" i="14" s="1"/>
  <c r="H27" i="14" s="1"/>
  <c r="G5" i="14"/>
  <c r="G16" i="14" s="1"/>
  <c r="G27" i="14" s="1"/>
  <c r="F5" i="14"/>
  <c r="E5" i="14"/>
  <c r="E16" i="14" s="1"/>
  <c r="E27" i="14" s="1"/>
  <c r="D5" i="14"/>
  <c r="D16" i="14" s="1"/>
  <c r="D27" i="14" s="1"/>
  <c r="C5" i="14"/>
  <c r="C16" i="14" s="1"/>
  <c r="C27" i="14" s="1"/>
  <c r="B5" i="14"/>
  <c r="C4" i="14"/>
  <c r="B2" i="14"/>
  <c r="D11" i="10"/>
  <c r="E11" i="10"/>
  <c r="F11" i="10"/>
  <c r="G11" i="10"/>
  <c r="H11" i="10"/>
  <c r="D12" i="10"/>
  <c r="E12" i="10"/>
  <c r="F12" i="10"/>
  <c r="G12" i="10"/>
  <c r="H12" i="10"/>
  <c r="C12" i="10"/>
  <c r="C11" i="10"/>
  <c r="D24" i="9"/>
  <c r="E24" i="9"/>
  <c r="F24" i="9"/>
  <c r="G24" i="9"/>
  <c r="H24" i="9"/>
  <c r="C24" i="9"/>
  <c r="D13" i="9"/>
  <c r="E13" i="9"/>
  <c r="F13" i="9"/>
  <c r="G13" i="9"/>
  <c r="H13" i="9"/>
  <c r="C13" i="9"/>
  <c r="B1" i="10"/>
  <c r="B2" i="9"/>
  <c r="B2" i="8"/>
  <c r="B2" i="12"/>
  <c r="C9" i="7" a="1"/>
  <c r="C9" i="7" s="1"/>
  <c r="C10" i="7" a="1"/>
  <c r="C10" i="7" s="1"/>
  <c r="C7" i="8" s="1"/>
  <c r="D7" i="8" s="1"/>
  <c r="E7" i="8" s="1"/>
  <c r="F7" i="8" s="1"/>
  <c r="G7" i="8" s="1"/>
  <c r="H7" i="8" s="1"/>
  <c r="C6" i="13"/>
  <c r="G1" i="10"/>
  <c r="D1" i="10"/>
  <c r="C8" i="12" a="1"/>
  <c r="C8" i="12" s="1"/>
  <c r="C6" i="14" s="1"/>
  <c r="D6" i="14" s="1"/>
  <c r="E6" i="14" s="1"/>
  <c r="F6" i="14" s="1"/>
  <c r="G6" i="14" s="1"/>
  <c r="H6" i="14" s="1"/>
  <c r="C9" i="12" a="1"/>
  <c r="C9" i="12" s="1"/>
  <c r="D25" i="12"/>
  <c r="E25" i="12" s="1"/>
  <c r="F25" i="12" s="1"/>
  <c r="G25" i="12" s="1"/>
  <c r="H25" i="12" s="1"/>
  <c r="D60" i="7"/>
  <c r="E60" i="7" s="1"/>
  <c r="F60" i="7" s="1"/>
  <c r="G60" i="7" s="1"/>
  <c r="H60" i="7" s="1"/>
  <c r="C10" i="14" l="1"/>
  <c r="C8" i="14"/>
  <c r="C6" i="8"/>
  <c r="D6" i="8" s="1"/>
  <c r="E6" i="8" s="1"/>
  <c r="F6" i="8" s="1"/>
  <c r="G6" i="8" s="1"/>
  <c r="H6" i="8" s="1"/>
  <c r="C7" i="14"/>
  <c r="D63" i="10"/>
  <c r="C28" i="14" l="1"/>
  <c r="C29" i="14" s="1"/>
  <c r="D32" i="14" s="1"/>
  <c r="C6" i="16"/>
  <c r="D10" i="14"/>
  <c r="C36" i="14"/>
  <c r="C11" i="14"/>
  <c r="C12" i="14" s="1"/>
  <c r="C58" i="16" s="1"/>
  <c r="D7" i="14"/>
  <c r="C35" i="14"/>
  <c r="H3" i="11"/>
  <c r="H23" i="11" s="1"/>
  <c r="D3" i="11"/>
  <c r="D23" i="11" s="1"/>
  <c r="E3" i="11"/>
  <c r="E23" i="11" s="1"/>
  <c r="F3" i="11"/>
  <c r="F23" i="11" s="1"/>
  <c r="G3" i="11"/>
  <c r="G23" i="11" s="1"/>
  <c r="C3" i="11"/>
  <c r="C23" i="11" s="1"/>
  <c r="F13" i="10"/>
  <c r="G13" i="10"/>
  <c r="H13" i="10"/>
  <c r="H63" i="10"/>
  <c r="D48" i="7" a="1"/>
  <c r="D48" i="7" s="1"/>
  <c r="E48" i="7" a="1"/>
  <c r="E48" i="7" s="1"/>
  <c r="F48" i="7" a="1"/>
  <c r="F48" i="7" s="1"/>
  <c r="G48" i="7" a="1"/>
  <c r="G48" i="7" s="1"/>
  <c r="H48" i="7" a="1"/>
  <c r="H48" i="7" s="1"/>
  <c r="C48" i="7" a="1"/>
  <c r="C48" i="7" s="1"/>
  <c r="D90" i="10"/>
  <c r="E90" i="10"/>
  <c r="F90" i="10"/>
  <c r="G90" i="10"/>
  <c r="H90" i="10"/>
  <c r="C90" i="10"/>
  <c r="D62" i="10"/>
  <c r="E62" i="10"/>
  <c r="F62" i="10"/>
  <c r="G62" i="10"/>
  <c r="H62" i="10"/>
  <c r="E63" i="10"/>
  <c r="D13" i="10"/>
  <c r="E13" i="10"/>
  <c r="C63" i="10"/>
  <c r="C13" i="10"/>
  <c r="C62" i="10"/>
  <c r="D4" i="10"/>
  <c r="D26" i="10" s="1"/>
  <c r="D57" i="10" s="1"/>
  <c r="D81" i="10" s="1"/>
  <c r="E4" i="10"/>
  <c r="E26" i="10" s="1"/>
  <c r="E57" i="10" s="1"/>
  <c r="E81" i="10" s="1"/>
  <c r="F4" i="10"/>
  <c r="F26" i="10" s="1"/>
  <c r="F57" i="10" s="1"/>
  <c r="F81" i="10" s="1"/>
  <c r="G4" i="10"/>
  <c r="G26" i="10" s="1"/>
  <c r="G57" i="10" s="1"/>
  <c r="G81" i="10" s="1"/>
  <c r="H4" i="10"/>
  <c r="H26" i="10" s="1"/>
  <c r="H57" i="10" s="1"/>
  <c r="H81" i="10" s="1"/>
  <c r="C4" i="10"/>
  <c r="C26" i="10" s="1"/>
  <c r="D72" i="9"/>
  <c r="E72" i="9"/>
  <c r="F72" i="9"/>
  <c r="G72" i="9"/>
  <c r="H72" i="9"/>
  <c r="C72" i="9"/>
  <c r="D62" i="9"/>
  <c r="E62" i="9"/>
  <c r="F62" i="9"/>
  <c r="G62" i="9"/>
  <c r="H62" i="9"/>
  <c r="E47" i="7" a="1"/>
  <c r="E47" i="7" s="1"/>
  <c r="E15" i="16" s="1"/>
  <c r="C62" i="9"/>
  <c r="D47" i="7" a="1"/>
  <c r="D47" i="7" s="1"/>
  <c r="D15" i="16" s="1"/>
  <c r="F47" i="7" a="1"/>
  <c r="F47" i="7" s="1"/>
  <c r="F15" i="16" s="1"/>
  <c r="G47" i="7" a="1"/>
  <c r="G47" i="7" s="1"/>
  <c r="G15" i="16" s="1"/>
  <c r="H47" i="7" a="1"/>
  <c r="H47" i="7" s="1"/>
  <c r="H15" i="16" s="1"/>
  <c r="C47" i="7" a="1"/>
  <c r="C47" i="7" s="1"/>
  <c r="C15" i="16" s="1"/>
  <c r="D47" i="9" a="1"/>
  <c r="D47" i="9" s="1"/>
  <c r="E47" i="9" a="1"/>
  <c r="E47" i="9" s="1"/>
  <c r="F47" i="9" a="1"/>
  <c r="F47" i="9" s="1"/>
  <c r="G47" i="9" a="1"/>
  <c r="G47" i="9" s="1"/>
  <c r="H47" i="9" a="1"/>
  <c r="H47" i="9" s="1"/>
  <c r="C47" i="9" a="1"/>
  <c r="C47" i="9" s="1"/>
  <c r="C42" i="9"/>
  <c r="C43" i="9" s="1" a="1"/>
  <c r="C43" i="9" s="1"/>
  <c r="E42" i="9"/>
  <c r="E43" i="9" s="1" a="1"/>
  <c r="E43" i="9" s="1"/>
  <c r="F42" i="9"/>
  <c r="F43" i="9" s="1" a="1"/>
  <c r="F43" i="9" s="1"/>
  <c r="G42" i="9"/>
  <c r="G43" i="9" s="1" a="1"/>
  <c r="G43" i="9" s="1"/>
  <c r="H42" i="9"/>
  <c r="H43" i="9" s="1" a="1"/>
  <c r="H43" i="9" s="1"/>
  <c r="D42" i="9"/>
  <c r="D43" i="9" s="1" a="1"/>
  <c r="D43" i="9" s="1"/>
  <c r="D35" i="7"/>
  <c r="D52" i="7" s="1"/>
  <c r="D57" i="7" s="1"/>
  <c r="E35" i="7"/>
  <c r="E52" i="7" s="1"/>
  <c r="E57" i="7" s="1"/>
  <c r="F35" i="7"/>
  <c r="F52" i="7" s="1"/>
  <c r="F57" i="7" s="1"/>
  <c r="G35" i="7"/>
  <c r="G52" i="7" s="1"/>
  <c r="G57" i="7" s="1"/>
  <c r="H35" i="7"/>
  <c r="H52" i="7" s="1"/>
  <c r="H57" i="7" s="1"/>
  <c r="C35" i="7"/>
  <c r="C52" i="7" s="1"/>
  <c r="C57" i="7" s="1"/>
  <c r="D5" i="9"/>
  <c r="D32" i="9" s="1"/>
  <c r="D41" i="9" s="1"/>
  <c r="D46" i="9" s="1"/>
  <c r="D59" i="9" s="1"/>
  <c r="E5" i="9"/>
  <c r="E32" i="9" s="1"/>
  <c r="E41" i="9" s="1"/>
  <c r="E46" i="9" s="1"/>
  <c r="E59" i="9" s="1"/>
  <c r="F5" i="9"/>
  <c r="F32" i="9" s="1"/>
  <c r="F41" i="9" s="1"/>
  <c r="F46" i="9" s="1"/>
  <c r="F59" i="9" s="1"/>
  <c r="G5" i="9"/>
  <c r="G32" i="9" s="1"/>
  <c r="G41" i="9" s="1"/>
  <c r="G46" i="9" s="1"/>
  <c r="G59" i="9" s="1"/>
  <c r="H5" i="9"/>
  <c r="H32" i="9" s="1"/>
  <c r="H41" i="9" s="1"/>
  <c r="H46" i="9" s="1"/>
  <c r="H59" i="9" s="1"/>
  <c r="C5" i="9"/>
  <c r="C32" i="9" s="1"/>
  <c r="C41" i="9" s="1"/>
  <c r="C46" i="9" s="1"/>
  <c r="C59" i="9" s="1"/>
  <c r="B28" i="8"/>
  <c r="B5" i="8"/>
  <c r="C4" i="8"/>
  <c r="G5" i="8"/>
  <c r="G16" i="8" s="1"/>
  <c r="G27" i="8" s="1"/>
  <c r="H5" i="8"/>
  <c r="H16" i="8" s="1"/>
  <c r="H27" i="8" s="1"/>
  <c r="D5" i="8"/>
  <c r="D16" i="8" s="1"/>
  <c r="D27" i="8" s="1"/>
  <c r="E5" i="8"/>
  <c r="E16" i="8" s="1"/>
  <c r="E27" i="8" s="1"/>
  <c r="F5" i="8"/>
  <c r="F16" i="8" s="1"/>
  <c r="F27" i="8" s="1"/>
  <c r="C5" i="8"/>
  <c r="C16" i="8" s="1"/>
  <c r="C27" i="8" s="1"/>
  <c r="C30" i="14" l="1"/>
  <c r="C33" i="14" s="1"/>
  <c r="C17" i="15" s="1"/>
  <c r="H66" i="16"/>
  <c r="H19" i="16"/>
  <c r="C14" i="10"/>
  <c r="C67" i="10" s="1"/>
  <c r="C14" i="16"/>
  <c r="E14" i="10"/>
  <c r="E14" i="16"/>
  <c r="G35" i="10"/>
  <c r="G66" i="16"/>
  <c r="G19" i="16"/>
  <c r="E66" i="16"/>
  <c r="E19" i="16"/>
  <c r="H14" i="10"/>
  <c r="H14" i="16"/>
  <c r="D14" i="10"/>
  <c r="D67" i="10" s="1"/>
  <c r="D14" i="16"/>
  <c r="C35" i="10"/>
  <c r="F35" i="10"/>
  <c r="G14" i="10"/>
  <c r="G14" i="16"/>
  <c r="H35" i="10"/>
  <c r="F66" i="16"/>
  <c r="F19" i="16"/>
  <c r="D35" i="10"/>
  <c r="E35" i="10"/>
  <c r="C66" i="16"/>
  <c r="C19" i="16"/>
  <c r="D66" i="16"/>
  <c r="D19" i="16"/>
  <c r="F14" i="10"/>
  <c r="F67" i="10" s="1"/>
  <c r="F14" i="16"/>
  <c r="H51" i="15"/>
  <c r="H48" i="15"/>
  <c r="H49" i="15" s="1"/>
  <c r="H54" i="15" s="1" a="1"/>
  <c r="H54" i="15" s="1"/>
  <c r="G51" i="15"/>
  <c r="G48" i="15"/>
  <c r="G49" i="15" s="1"/>
  <c r="G54" i="15" s="1" a="1"/>
  <c r="G54" i="15" s="1"/>
  <c r="E15" i="10"/>
  <c r="E19" i="10" s="1"/>
  <c r="E51" i="15"/>
  <c r="E48" i="15"/>
  <c r="E49" i="15" s="1"/>
  <c r="E54" i="15" s="1" a="1"/>
  <c r="E54" i="15" s="1"/>
  <c r="F51" i="15"/>
  <c r="F48" i="15"/>
  <c r="F49" i="15" s="1"/>
  <c r="F54" i="15" s="1" a="1"/>
  <c r="F54" i="15" s="1"/>
  <c r="C51" i="15"/>
  <c r="C48" i="15"/>
  <c r="C49" i="15" s="1"/>
  <c r="C54" i="15" s="1" a="1"/>
  <c r="C54" i="15" s="1"/>
  <c r="D51" i="15"/>
  <c r="D48" i="15"/>
  <c r="D49" i="15" s="1"/>
  <c r="D54" i="15" s="1" a="1"/>
  <c r="D54" i="15" s="1"/>
  <c r="E20" i="14"/>
  <c r="C18" i="14"/>
  <c r="C21" i="14" s="1"/>
  <c r="C30" i="16" s="1"/>
  <c r="D19" i="14"/>
  <c r="D84" i="16" s="1"/>
  <c r="D11" i="14"/>
  <c r="D12" i="14" s="1"/>
  <c r="D58" i="16" s="1"/>
  <c r="E7" i="14"/>
  <c r="E8" i="14" s="1"/>
  <c r="D8" i="14"/>
  <c r="E10" i="14"/>
  <c r="B1" i="11"/>
  <c r="H67" i="10"/>
  <c r="G63" i="10"/>
  <c r="E67" i="10"/>
  <c r="F63" i="10"/>
  <c r="H15" i="10"/>
  <c r="H19" i="10" s="1"/>
  <c r="H48" i="9"/>
  <c r="H49" i="9" s="1"/>
  <c r="H51" i="9"/>
  <c r="G15" i="10"/>
  <c r="G19" i="10" s="1"/>
  <c r="G48" i="9"/>
  <c r="G49" i="9" s="1"/>
  <c r="G51" i="9"/>
  <c r="F15" i="10"/>
  <c r="F19" i="10" s="1"/>
  <c r="F51" i="9"/>
  <c r="F48" i="9"/>
  <c r="F49" i="9" s="1"/>
  <c r="C15" i="10"/>
  <c r="C66" i="10" s="1"/>
  <c r="C51" i="9"/>
  <c r="C48" i="9"/>
  <c r="C49" i="9" s="1"/>
  <c r="D15" i="10"/>
  <c r="D19" i="10" s="1"/>
  <c r="D48" i="9"/>
  <c r="D49" i="9" s="1"/>
  <c r="D51" i="9"/>
  <c r="C11" i="8"/>
  <c r="E48" i="9"/>
  <c r="E49" i="9" s="1"/>
  <c r="G67" i="10"/>
  <c r="E51" i="9"/>
  <c r="E66" i="10"/>
  <c r="H66" i="10"/>
  <c r="C91" i="10"/>
  <c r="C101" i="10"/>
  <c r="E16" i="10"/>
  <c r="E70" i="10" s="1"/>
  <c r="C10" i="8"/>
  <c r="C8" i="8"/>
  <c r="C7" i="16" s="1"/>
  <c r="D10" i="8"/>
  <c r="D28" i="14" l="1"/>
  <c r="D29" i="14" s="1"/>
  <c r="E32" i="14" s="1"/>
  <c r="D6" i="16"/>
  <c r="E28" i="14"/>
  <c r="E6" i="16"/>
  <c r="C6" i="15"/>
  <c r="C7" i="15" s="1"/>
  <c r="F16" i="16"/>
  <c r="F67" i="16"/>
  <c r="D16" i="16"/>
  <c r="D67" i="16"/>
  <c r="C67" i="16"/>
  <c r="C16" i="16"/>
  <c r="E36" i="10"/>
  <c r="D36" i="10"/>
  <c r="H36" i="10"/>
  <c r="F36" i="10"/>
  <c r="G36" i="10"/>
  <c r="G16" i="16"/>
  <c r="G67" i="16"/>
  <c r="H67" i="16"/>
  <c r="H16" i="16"/>
  <c r="E67" i="16"/>
  <c r="E16" i="16"/>
  <c r="C59" i="16"/>
  <c r="C8" i="16"/>
  <c r="C54" i="9" a="1"/>
  <c r="C54" i="9" s="1"/>
  <c r="E19" i="14"/>
  <c r="E84" i="16" s="1"/>
  <c r="F20" i="14"/>
  <c r="D18" i="14"/>
  <c r="D21" i="14" s="1"/>
  <c r="D30" i="16" s="1"/>
  <c r="E29" i="14"/>
  <c r="F32" i="14" s="1"/>
  <c r="F10" i="14"/>
  <c r="E11" i="14"/>
  <c r="E12" i="14" s="1"/>
  <c r="E58" i="16" s="1"/>
  <c r="F7" i="14"/>
  <c r="F8" i="14" s="1"/>
  <c r="F66" i="10"/>
  <c r="C6" i="10"/>
  <c r="C7" i="10" s="1"/>
  <c r="C8" i="10" s="1"/>
  <c r="E73" i="15"/>
  <c r="C35" i="8"/>
  <c r="F63" i="15" s="1"/>
  <c r="D54" i="9" a="1"/>
  <c r="D54" i="9" s="1"/>
  <c r="C19" i="10"/>
  <c r="H18" i="11"/>
  <c r="F54" i="9" a="1"/>
  <c r="F54" i="9" s="1"/>
  <c r="C16" i="10"/>
  <c r="C70" i="10" s="1"/>
  <c r="H54" i="9" a="1"/>
  <c r="H54" i="9" s="1"/>
  <c r="E18" i="11"/>
  <c r="H16" i="10"/>
  <c r="H70" i="10" s="1"/>
  <c r="D16" i="10"/>
  <c r="D70" i="10" s="1"/>
  <c r="D66" i="10"/>
  <c r="C18" i="11"/>
  <c r="D11" i="8"/>
  <c r="D12" i="8" s="1"/>
  <c r="G54" i="9" a="1"/>
  <c r="G54" i="9" s="1"/>
  <c r="F16" i="10"/>
  <c r="F70" i="10" s="1"/>
  <c r="C12" i="8"/>
  <c r="G16" i="10"/>
  <c r="G70" i="10" s="1"/>
  <c r="C36" i="10"/>
  <c r="G66" i="10"/>
  <c r="E54" i="9" a="1"/>
  <c r="E54" i="9" s="1"/>
  <c r="D101" i="10"/>
  <c r="D91" i="10"/>
  <c r="C28" i="8"/>
  <c r="E11" i="8"/>
  <c r="D8" i="8"/>
  <c r="D7" i="16" s="1"/>
  <c r="E10" i="8"/>
  <c r="F28" i="14" l="1"/>
  <c r="F6" i="16"/>
  <c r="E30" i="14"/>
  <c r="E33" i="14" s="1"/>
  <c r="G63" i="15"/>
  <c r="H70" i="16"/>
  <c r="E63" i="15"/>
  <c r="D70" i="16"/>
  <c r="D18" i="16"/>
  <c r="D20" i="16" s="1"/>
  <c r="D59" i="16"/>
  <c r="D60" i="16" s="1"/>
  <c r="D8" i="16"/>
  <c r="D19" i="8"/>
  <c r="C60" i="16"/>
  <c r="E70" i="16"/>
  <c r="C70" i="16"/>
  <c r="C18" i="16"/>
  <c r="C20" i="16" s="1"/>
  <c r="G70" i="16"/>
  <c r="F70" i="16"/>
  <c r="F18" i="11"/>
  <c r="F19" i="11" s="1"/>
  <c r="F20" i="11" s="1"/>
  <c r="F73" i="15"/>
  <c r="G73" i="15"/>
  <c r="D63" i="15"/>
  <c r="H63" i="15"/>
  <c r="C63" i="15"/>
  <c r="D73" i="15"/>
  <c r="H73" i="15"/>
  <c r="C73" i="15"/>
  <c r="F19" i="14"/>
  <c r="F84" i="16" s="1"/>
  <c r="G20" i="14"/>
  <c r="E18" i="14"/>
  <c r="E21" i="14" s="1"/>
  <c r="E30" i="16" s="1"/>
  <c r="D30" i="14"/>
  <c r="D33" i="14" s="1"/>
  <c r="F29" i="14"/>
  <c r="G32" i="14" s="1"/>
  <c r="G10" i="14"/>
  <c r="G7" i="14"/>
  <c r="G8" i="14" s="1"/>
  <c r="F11" i="14"/>
  <c r="F12" i="14" s="1"/>
  <c r="F58" i="16" s="1"/>
  <c r="G18" i="11"/>
  <c r="G19" i="11" s="1"/>
  <c r="G20" i="11" s="1"/>
  <c r="D18" i="11"/>
  <c r="C59" i="10"/>
  <c r="C10" i="11"/>
  <c r="C4" i="11"/>
  <c r="C18" i="10"/>
  <c r="C20" i="10" s="1"/>
  <c r="C37" i="10" s="1"/>
  <c r="D58" i="10"/>
  <c r="D18" i="8"/>
  <c r="E20" i="8"/>
  <c r="E12" i="8"/>
  <c r="H19" i="11"/>
  <c r="H20" i="11" s="1"/>
  <c r="D19" i="11"/>
  <c r="D20" i="11" s="1"/>
  <c r="E19" i="8"/>
  <c r="F6" i="11"/>
  <c r="C6" i="11"/>
  <c r="H6" i="11"/>
  <c r="G6" i="11"/>
  <c r="E6" i="11"/>
  <c r="D6" i="11"/>
  <c r="C58" i="10"/>
  <c r="C18" i="8"/>
  <c r="C21" i="8" s="1"/>
  <c r="E19" i="11"/>
  <c r="E20" i="11" s="1"/>
  <c r="F20" i="8"/>
  <c r="G12" i="11"/>
  <c r="C12" i="11"/>
  <c r="H12" i="11"/>
  <c r="F12" i="11"/>
  <c r="E12" i="11"/>
  <c r="D12" i="11"/>
  <c r="C19" i="11"/>
  <c r="C20" i="11" s="1"/>
  <c r="E101" i="10"/>
  <c r="E91" i="10"/>
  <c r="D28" i="8"/>
  <c r="D29" i="8" s="1"/>
  <c r="D6" i="10"/>
  <c r="D7" i="10" s="1"/>
  <c r="C63" i="9"/>
  <c r="D63" i="9"/>
  <c r="E63" i="9"/>
  <c r="F63" i="9"/>
  <c r="G63" i="9"/>
  <c r="H63" i="9"/>
  <c r="C73" i="9"/>
  <c r="D73" i="9"/>
  <c r="E73" i="9"/>
  <c r="F73" i="9"/>
  <c r="G73" i="9"/>
  <c r="H73" i="9"/>
  <c r="C29" i="8"/>
  <c r="F11" i="8"/>
  <c r="E8" i="8"/>
  <c r="E7" i="16" s="1"/>
  <c r="F10" i="8"/>
  <c r="C37" i="16" l="1"/>
  <c r="D37" i="16"/>
  <c r="G28" i="14"/>
  <c r="G6" i="16"/>
  <c r="D17" i="15"/>
  <c r="D6" i="15"/>
  <c r="E17" i="15"/>
  <c r="E6" i="15"/>
  <c r="E58" i="10"/>
  <c r="C30" i="10"/>
  <c r="C31" i="10" s="1"/>
  <c r="C31" i="16"/>
  <c r="E8" i="16"/>
  <c r="E18" i="16" s="1"/>
  <c r="E20" i="16" s="1"/>
  <c r="E59" i="16"/>
  <c r="E60" i="16" s="1"/>
  <c r="C60" i="10"/>
  <c r="C84" i="10"/>
  <c r="D21" i="8"/>
  <c r="C30" i="8"/>
  <c r="C33" i="8" s="1"/>
  <c r="C6" i="9" s="1"/>
  <c r="C7" i="9" s="1"/>
  <c r="C9" i="9" s="1"/>
  <c r="C76" i="15"/>
  <c r="C66" i="15"/>
  <c r="D76" i="15"/>
  <c r="D66" i="15"/>
  <c r="H20" i="14"/>
  <c r="F18" i="14"/>
  <c r="F21" i="14" s="1"/>
  <c r="F30" i="16" s="1"/>
  <c r="G19" i="14"/>
  <c r="G84" i="16" s="1"/>
  <c r="G11" i="14"/>
  <c r="G12" i="14" s="1"/>
  <c r="G58" i="16" s="1"/>
  <c r="H7" i="14"/>
  <c r="H11" i="14" s="1"/>
  <c r="F30" i="14"/>
  <c r="F33" i="14" s="1"/>
  <c r="G29" i="14"/>
  <c r="H32" i="14" s="1"/>
  <c r="H10" i="14"/>
  <c r="H12" i="14" s="1"/>
  <c r="H58" i="16" s="1"/>
  <c r="E18" i="8"/>
  <c r="F19" i="8"/>
  <c r="D84" i="10"/>
  <c r="G20" i="8"/>
  <c r="E21" i="8"/>
  <c r="D30" i="8"/>
  <c r="F12" i="8"/>
  <c r="D4" i="11"/>
  <c r="D10" i="11"/>
  <c r="D8" i="10"/>
  <c r="D18" i="10" s="1"/>
  <c r="D20" i="10" s="1"/>
  <c r="D37" i="10" s="1"/>
  <c r="D59" i="10"/>
  <c r="D60" i="10" s="1"/>
  <c r="F101" i="10"/>
  <c r="F91" i="10"/>
  <c r="E28" i="8"/>
  <c r="E29" i="8" s="1"/>
  <c r="E6" i="10"/>
  <c r="E7" i="10" s="1"/>
  <c r="D32" i="8"/>
  <c r="C76" i="9"/>
  <c r="C66" i="9"/>
  <c r="E32" i="8"/>
  <c r="D76" i="9"/>
  <c r="D66" i="9"/>
  <c r="C17" i="9"/>
  <c r="C18" i="9" s="1"/>
  <c r="H11" i="8"/>
  <c r="G11" i="8"/>
  <c r="F8" i="8"/>
  <c r="F7" i="16" s="1"/>
  <c r="G10" i="8"/>
  <c r="E37" i="16" l="1"/>
  <c r="F17" i="15"/>
  <c r="F6" i="15"/>
  <c r="F58" i="10"/>
  <c r="E84" i="10"/>
  <c r="D30" i="10"/>
  <c r="D31" i="10" s="1"/>
  <c r="D31" i="16"/>
  <c r="F8" i="16"/>
  <c r="F18" i="16" s="1"/>
  <c r="F20" i="16" s="1"/>
  <c r="F59" i="16"/>
  <c r="E30" i="10"/>
  <c r="E31" i="10" s="1"/>
  <c r="E31" i="16"/>
  <c r="E76" i="15"/>
  <c r="E66" i="15"/>
  <c r="C18" i="15"/>
  <c r="I20" i="14"/>
  <c r="G18" i="14"/>
  <c r="G21" i="14" s="1"/>
  <c r="G30" i="16" s="1"/>
  <c r="H19" i="14"/>
  <c r="H84" i="16" s="1"/>
  <c r="I19" i="14"/>
  <c r="H18" i="14"/>
  <c r="H8" i="14"/>
  <c r="G30" i="14"/>
  <c r="G33" i="14" s="1"/>
  <c r="F18" i="8"/>
  <c r="F21" i="8" s="1"/>
  <c r="G19" i="8"/>
  <c r="H20" i="8"/>
  <c r="E30" i="8"/>
  <c r="E33" i="8" s="1"/>
  <c r="D33" i="8"/>
  <c r="G12" i="8"/>
  <c r="E10" i="11"/>
  <c r="E4" i="11"/>
  <c r="E8" i="10"/>
  <c r="E18" i="10" s="1"/>
  <c r="E20" i="10" s="1"/>
  <c r="E37" i="10" s="1"/>
  <c r="E59" i="10"/>
  <c r="E60" i="10" s="1"/>
  <c r="H101" i="10"/>
  <c r="G101" i="10"/>
  <c r="H91" i="10"/>
  <c r="G91" i="10"/>
  <c r="F28" i="8"/>
  <c r="F29" i="8" s="1"/>
  <c r="F6" i="10"/>
  <c r="F7" i="10" s="1"/>
  <c r="F32" i="8"/>
  <c r="E76" i="9"/>
  <c r="E66" i="9"/>
  <c r="C20" i="9"/>
  <c r="D10" i="9"/>
  <c r="C11" i="9"/>
  <c r="C14" i="9" s="1"/>
  <c r="C5" i="11" s="1"/>
  <c r="C7" i="11" s="1"/>
  <c r="G8" i="8"/>
  <c r="G7" i="16" s="1"/>
  <c r="H28" i="14" l="1"/>
  <c r="H6" i="16"/>
  <c r="F37" i="16"/>
  <c r="G17" i="15"/>
  <c r="G6" i="15"/>
  <c r="C22" i="9"/>
  <c r="C25" i="9" s="1"/>
  <c r="C28" i="9" s="1"/>
  <c r="F60" i="16"/>
  <c r="G59" i="16"/>
  <c r="G8" i="16"/>
  <c r="G18" i="16" s="1"/>
  <c r="G20" i="16" s="1"/>
  <c r="F84" i="10"/>
  <c r="G58" i="10"/>
  <c r="F30" i="10"/>
  <c r="F31" i="10" s="1"/>
  <c r="F31" i="16"/>
  <c r="D6" i="9"/>
  <c r="D18" i="15"/>
  <c r="D7" i="15"/>
  <c r="C9" i="15"/>
  <c r="D10" i="15" s="1"/>
  <c r="C20" i="15"/>
  <c r="F76" i="15"/>
  <c r="F66" i="15"/>
  <c r="E17" i="9"/>
  <c r="E18" i="9" s="1"/>
  <c r="E7" i="15"/>
  <c r="E18" i="15"/>
  <c r="H29" i="14"/>
  <c r="H30" i="14" s="1"/>
  <c r="H33" i="14" s="1"/>
  <c r="H21" i="14"/>
  <c r="H30" i="16" s="1"/>
  <c r="D17" i="9"/>
  <c r="D18" i="9" s="1"/>
  <c r="D20" i="9" s="1"/>
  <c r="H19" i="8"/>
  <c r="E6" i="9"/>
  <c r="E7" i="9" s="1"/>
  <c r="C71" i="9"/>
  <c r="C74" i="9" s="1"/>
  <c r="C77" i="9" s="1"/>
  <c r="C11" i="11"/>
  <c r="C14" i="11" s="1"/>
  <c r="C8" i="11"/>
  <c r="C24" i="11" s="1"/>
  <c r="C9" i="11"/>
  <c r="C25" i="11" s="1"/>
  <c r="C26" i="11" s="1"/>
  <c r="G18" i="8"/>
  <c r="G21" i="8" s="1"/>
  <c r="F30" i="8"/>
  <c r="F33" i="8" s="1"/>
  <c r="I20" i="8"/>
  <c r="F4" i="11"/>
  <c r="F10" i="11"/>
  <c r="F8" i="10"/>
  <c r="F18" i="10" s="1"/>
  <c r="F20" i="10" s="1"/>
  <c r="F37" i="10" s="1"/>
  <c r="F59" i="10"/>
  <c r="F60" i="10" s="1"/>
  <c r="D21" i="9"/>
  <c r="C85" i="10"/>
  <c r="G28" i="8"/>
  <c r="G29" i="8" s="1"/>
  <c r="G6" i="10"/>
  <c r="G7" i="10" s="1"/>
  <c r="G32" i="8"/>
  <c r="F76" i="9"/>
  <c r="F66" i="9"/>
  <c r="C61" i="9"/>
  <c r="C64" i="9" s="1"/>
  <c r="C67" i="9" s="1"/>
  <c r="D7" i="9"/>
  <c r="E20" i="9"/>
  <c r="H8" i="8"/>
  <c r="H7" i="16" s="1"/>
  <c r="H10" i="8"/>
  <c r="D21" i="15" l="1"/>
  <c r="C85" i="16"/>
  <c r="G37" i="16"/>
  <c r="H6" i="15"/>
  <c r="H17" i="15"/>
  <c r="C22" i="15"/>
  <c r="C25" i="15" s="1"/>
  <c r="C34" i="10"/>
  <c r="C61" i="10" s="1"/>
  <c r="C65" i="10" s="1"/>
  <c r="G84" i="10"/>
  <c r="G30" i="10"/>
  <c r="G31" i="10" s="1"/>
  <c r="G31" i="16"/>
  <c r="E21" i="9"/>
  <c r="H59" i="16"/>
  <c r="H8" i="16"/>
  <c r="H18" i="16" s="1"/>
  <c r="H20" i="16" s="1"/>
  <c r="C11" i="15"/>
  <c r="G60" i="16"/>
  <c r="D9" i="15"/>
  <c r="E10" i="15" s="1"/>
  <c r="F6" i="9"/>
  <c r="F18" i="15"/>
  <c r="F7" i="15"/>
  <c r="E20" i="15"/>
  <c r="C71" i="15"/>
  <c r="C74" i="15" s="1"/>
  <c r="C77" i="15" s="1"/>
  <c r="D20" i="15"/>
  <c r="G76" i="15"/>
  <c r="G66" i="15"/>
  <c r="E9" i="15"/>
  <c r="F10" i="15" s="1"/>
  <c r="D85" i="10"/>
  <c r="D22" i="9"/>
  <c r="D25" i="9" s="1"/>
  <c r="D71" i="9" s="1"/>
  <c r="D74" i="9" s="1"/>
  <c r="D77" i="9" s="1"/>
  <c r="C79" i="9"/>
  <c r="C34" i="9"/>
  <c r="C37" i="9" s="1"/>
  <c r="D35" i="9"/>
  <c r="F17" i="9"/>
  <c r="F18" i="9" s="1"/>
  <c r="F20" i="9" s="1"/>
  <c r="E22" i="9"/>
  <c r="E25" i="9" s="1"/>
  <c r="E71" i="9" s="1"/>
  <c r="E74" i="9" s="1"/>
  <c r="E77" i="9" s="1"/>
  <c r="G30" i="8"/>
  <c r="G33" i="8" s="1"/>
  <c r="H12" i="8"/>
  <c r="C16" i="11"/>
  <c r="C29" i="11" s="1"/>
  <c r="C30" i="11" s="1"/>
  <c r="C15" i="11"/>
  <c r="C28" i="11" s="1"/>
  <c r="E36" i="9"/>
  <c r="G4" i="11"/>
  <c r="G10" i="11"/>
  <c r="G8" i="10"/>
  <c r="G18" i="10" s="1"/>
  <c r="G20" i="10" s="1"/>
  <c r="G37" i="10" s="1"/>
  <c r="G59" i="10"/>
  <c r="G60" i="10" s="1"/>
  <c r="F21" i="9"/>
  <c r="E85" i="10"/>
  <c r="C38" i="10"/>
  <c r="C44" i="10" s="1"/>
  <c r="C46" i="10" s="1"/>
  <c r="C54" i="10" s="1"/>
  <c r="C83" i="10" s="1"/>
  <c r="H28" i="8"/>
  <c r="H29" i="8" s="1"/>
  <c r="H6" i="10"/>
  <c r="H7" i="10" s="1"/>
  <c r="H10" i="11" s="1"/>
  <c r="H32" i="8"/>
  <c r="G76" i="9"/>
  <c r="G66" i="9"/>
  <c r="F7" i="9"/>
  <c r="D9" i="9"/>
  <c r="E10" i="9" s="1"/>
  <c r="E9" i="9"/>
  <c r="F10" i="9" s="1"/>
  <c r="F21" i="15" l="1"/>
  <c r="E85" i="16"/>
  <c r="E21" i="15"/>
  <c r="D85" i="16"/>
  <c r="H37" i="16"/>
  <c r="H60" i="16"/>
  <c r="C14" i="15"/>
  <c r="C61" i="15" s="1"/>
  <c r="C64" i="15" s="1"/>
  <c r="C67" i="15" s="1"/>
  <c r="C79" i="15" s="1"/>
  <c r="C86" i="16" s="1"/>
  <c r="C87" i="10"/>
  <c r="C93" i="10" s="1"/>
  <c r="C86" i="10"/>
  <c r="E22" i="15"/>
  <c r="E25" i="15" s="1"/>
  <c r="E71" i="15" s="1"/>
  <c r="E74" i="15" s="1"/>
  <c r="E77" i="15" s="1"/>
  <c r="D11" i="15"/>
  <c r="D14" i="15" s="1"/>
  <c r="D61" i="15" s="1"/>
  <c r="D64" i="15" s="1"/>
  <c r="D67" i="15" s="1"/>
  <c r="C96" i="10"/>
  <c r="C98" i="10" s="1"/>
  <c r="H76" i="15"/>
  <c r="H66" i="15"/>
  <c r="G6" i="9"/>
  <c r="G7" i="15"/>
  <c r="G18" i="15"/>
  <c r="E11" i="15"/>
  <c r="E14" i="15" s="1"/>
  <c r="E61" i="15" s="1"/>
  <c r="E64" i="15" s="1"/>
  <c r="E67" i="15" s="1"/>
  <c r="D22" i="15"/>
  <c r="D25" i="15" s="1"/>
  <c r="F20" i="15"/>
  <c r="F9" i="15"/>
  <c r="G10" i="15" s="1"/>
  <c r="H58" i="10"/>
  <c r="I19" i="8"/>
  <c r="D11" i="11"/>
  <c r="D14" i="11" s="1"/>
  <c r="D15" i="11" s="1"/>
  <c r="D28" i="11" s="1"/>
  <c r="G17" i="9"/>
  <c r="G18" i="9" s="1"/>
  <c r="G20" i="9" s="1"/>
  <c r="H18" i="8"/>
  <c r="H21" i="8" s="1"/>
  <c r="E11" i="11"/>
  <c r="E14" i="11" s="1"/>
  <c r="E16" i="11" s="1"/>
  <c r="E29" i="11" s="1"/>
  <c r="E30" i="11" s="1"/>
  <c r="F22" i="9"/>
  <c r="F25" i="9" s="1"/>
  <c r="F71" i="9" s="1"/>
  <c r="F74" i="9" s="1"/>
  <c r="F77" i="9" s="1"/>
  <c r="E11" i="9"/>
  <c r="E14" i="9" s="1"/>
  <c r="E61" i="9" s="1"/>
  <c r="E64" i="9" s="1"/>
  <c r="E67" i="9" s="1"/>
  <c r="E79" i="9" s="1"/>
  <c r="H30" i="8"/>
  <c r="H33" i="8" s="1"/>
  <c r="D11" i="9"/>
  <c r="D14" i="9" s="1"/>
  <c r="D28" i="9" s="1"/>
  <c r="H4" i="11"/>
  <c r="C71" i="10"/>
  <c r="C64" i="10"/>
  <c r="H8" i="10"/>
  <c r="H18" i="10" s="1"/>
  <c r="H20" i="10" s="1"/>
  <c r="H37" i="10" s="1"/>
  <c r="H59" i="10"/>
  <c r="G21" i="9"/>
  <c r="F85" i="10"/>
  <c r="H76" i="9"/>
  <c r="H66" i="9"/>
  <c r="G7" i="9"/>
  <c r="F9" i="9"/>
  <c r="G10" i="9" s="1"/>
  <c r="G21" i="15" l="1"/>
  <c r="F85" i="16"/>
  <c r="C28" i="15"/>
  <c r="C34" i="15"/>
  <c r="C37" i="15" s="1"/>
  <c r="H84" i="10"/>
  <c r="D34" i="10"/>
  <c r="H30" i="10"/>
  <c r="H31" i="10" s="1"/>
  <c r="H31" i="16"/>
  <c r="E79" i="15"/>
  <c r="E86" i="16" s="1"/>
  <c r="E86" i="10"/>
  <c r="F22" i="15"/>
  <c r="F25" i="15" s="1"/>
  <c r="F71" i="15" s="1"/>
  <c r="F74" i="15" s="1"/>
  <c r="F77" i="15" s="1"/>
  <c r="G20" i="15"/>
  <c r="F11" i="15"/>
  <c r="F14" i="15" s="1"/>
  <c r="F61" i="15" s="1"/>
  <c r="F64" i="15" s="1"/>
  <c r="F67" i="15" s="1"/>
  <c r="G9" i="15"/>
  <c r="H10" i="15" s="1"/>
  <c r="H6" i="9"/>
  <c r="H7" i="9" s="1"/>
  <c r="H7" i="15"/>
  <c r="H18" i="15"/>
  <c r="D71" i="15"/>
  <c r="D74" i="15" s="1"/>
  <c r="D77" i="15" s="1"/>
  <c r="D79" i="15" s="1"/>
  <c r="D86" i="16" s="1"/>
  <c r="D28" i="15"/>
  <c r="D34" i="16" s="1"/>
  <c r="E28" i="15"/>
  <c r="E34" i="16" s="1"/>
  <c r="H60" i="10"/>
  <c r="C74" i="10"/>
  <c r="D16" i="11"/>
  <c r="D29" i="11" s="1"/>
  <c r="D30" i="11" s="1"/>
  <c r="E15" i="11"/>
  <c r="E28" i="11" s="1"/>
  <c r="F11" i="11"/>
  <c r="F14" i="11" s="1"/>
  <c r="F15" i="11" s="1"/>
  <c r="F28" i="11" s="1"/>
  <c r="H17" i="9"/>
  <c r="H18" i="9" s="1"/>
  <c r="H20" i="9" s="1"/>
  <c r="G22" i="9"/>
  <c r="G25" i="9" s="1"/>
  <c r="G71" i="9" s="1"/>
  <c r="G74" i="9" s="1"/>
  <c r="G77" i="9" s="1"/>
  <c r="E5" i="11"/>
  <c r="E7" i="11" s="1"/>
  <c r="E9" i="11" s="1"/>
  <c r="E25" i="11" s="1"/>
  <c r="E26" i="11" s="1"/>
  <c r="E28" i="9"/>
  <c r="C68" i="10"/>
  <c r="C35" i="11"/>
  <c r="D61" i="9"/>
  <c r="D64" i="9" s="1"/>
  <c r="D67" i="9" s="1"/>
  <c r="D79" i="9" s="1"/>
  <c r="D5" i="11"/>
  <c r="D7" i="11" s="1"/>
  <c r="F11" i="9"/>
  <c r="F14" i="9" s="1"/>
  <c r="H21" i="9"/>
  <c r="G85" i="10"/>
  <c r="D38" i="10"/>
  <c r="D44" i="10" s="1"/>
  <c r="D46" i="10" s="1"/>
  <c r="D54" i="10" s="1"/>
  <c r="D83" i="10" s="1"/>
  <c r="D61" i="10"/>
  <c r="F36" i="9"/>
  <c r="E35" i="9"/>
  <c r="D34" i="9"/>
  <c r="D37" i="9" s="1"/>
  <c r="G9" i="9"/>
  <c r="H10" i="9" s="1"/>
  <c r="H21" i="15" l="1"/>
  <c r="G85" i="16"/>
  <c r="D35" i="15"/>
  <c r="C96" i="16" s="1"/>
  <c r="C98" i="16" s="1"/>
  <c r="C34" i="16"/>
  <c r="E36" i="15"/>
  <c r="G11" i="15"/>
  <c r="G14" i="15" s="1"/>
  <c r="G61" i="15" s="1"/>
  <c r="G64" i="15" s="1"/>
  <c r="G67" i="15" s="1"/>
  <c r="D96" i="10"/>
  <c r="D98" i="10" s="1"/>
  <c r="D86" i="10"/>
  <c r="D61" i="16"/>
  <c r="D38" i="16"/>
  <c r="H85" i="10"/>
  <c r="E34" i="10"/>
  <c r="E38" i="10" s="1"/>
  <c r="E44" i="10" s="1"/>
  <c r="E46" i="10" s="1"/>
  <c r="E54" i="10" s="1"/>
  <c r="E83" i="10" s="1"/>
  <c r="E87" i="10" s="1"/>
  <c r="E93" i="10" s="1"/>
  <c r="F28" i="15"/>
  <c r="G36" i="15"/>
  <c r="E34" i="15"/>
  <c r="F35" i="15"/>
  <c r="E96" i="16" s="1"/>
  <c r="E35" i="15"/>
  <c r="F36" i="15"/>
  <c r="D34" i="15"/>
  <c r="D37" i="15" s="1"/>
  <c r="H20" i="15"/>
  <c r="G22" i="15"/>
  <c r="G25" i="15" s="1"/>
  <c r="H9" i="15"/>
  <c r="H11" i="15" s="1"/>
  <c r="H14" i="15" s="1"/>
  <c r="H61" i="15" s="1"/>
  <c r="H64" i="15" s="1"/>
  <c r="H67" i="15" s="1"/>
  <c r="F79" i="15"/>
  <c r="F86" i="16" s="1"/>
  <c r="D65" i="10"/>
  <c r="C76" i="10"/>
  <c r="E8" i="11"/>
  <c r="E24" i="11" s="1"/>
  <c r="F16" i="11"/>
  <c r="F29" i="11" s="1"/>
  <c r="F30" i="11" s="1"/>
  <c r="E34" i="9"/>
  <c r="E37" i="9" s="1"/>
  <c r="F35" i="9"/>
  <c r="G36" i="9"/>
  <c r="E61" i="10"/>
  <c r="G11" i="9"/>
  <c r="G14" i="9" s="1"/>
  <c r="G5" i="11" s="1"/>
  <c r="G7" i="11" s="1"/>
  <c r="G11" i="11"/>
  <c r="G14" i="11" s="1"/>
  <c r="G15" i="11" s="1"/>
  <c r="G28" i="11" s="1"/>
  <c r="F61" i="9"/>
  <c r="F64" i="9" s="1"/>
  <c r="F67" i="9" s="1"/>
  <c r="F79" i="9" s="1"/>
  <c r="F5" i="11"/>
  <c r="F7" i="11" s="1"/>
  <c r="F28" i="9"/>
  <c r="H22" i="9"/>
  <c r="H25" i="9" s="1"/>
  <c r="D87" i="10"/>
  <c r="D93" i="10" s="1"/>
  <c r="D9" i="11"/>
  <c r="D25" i="11" s="1"/>
  <c r="D26" i="11" s="1"/>
  <c r="D8" i="11"/>
  <c r="D24" i="11" s="1"/>
  <c r="D64" i="10"/>
  <c r="D71" i="10"/>
  <c r="H9" i="9"/>
  <c r="H11" i="9" s="1"/>
  <c r="H14" i="9" s="1"/>
  <c r="H22" i="15" l="1"/>
  <c r="H25" i="15" s="1"/>
  <c r="H85" i="16"/>
  <c r="G35" i="15"/>
  <c r="F96" i="16" s="1"/>
  <c r="F34" i="16"/>
  <c r="C61" i="16"/>
  <c r="C38" i="16"/>
  <c r="D96" i="16"/>
  <c r="D98" i="16" s="1"/>
  <c r="D44" i="16"/>
  <c r="H36" i="15"/>
  <c r="F86" i="10"/>
  <c r="E96" i="10"/>
  <c r="E98" i="10" s="1"/>
  <c r="E98" i="16"/>
  <c r="F34" i="15"/>
  <c r="F37" i="15" s="1"/>
  <c r="E61" i="16"/>
  <c r="E38" i="16"/>
  <c r="F34" i="10"/>
  <c r="F38" i="10" s="1"/>
  <c r="F44" i="10" s="1"/>
  <c r="F46" i="10" s="1"/>
  <c r="F54" i="10" s="1"/>
  <c r="F83" i="10" s="1"/>
  <c r="D65" i="16"/>
  <c r="D71" i="16" s="1"/>
  <c r="D74" i="16" s="1"/>
  <c r="D64" i="16"/>
  <c r="D68" i="16" s="1"/>
  <c r="H71" i="15"/>
  <c r="H74" i="15" s="1"/>
  <c r="H77" i="15" s="1"/>
  <c r="H79" i="15" s="1"/>
  <c r="H86" i="16" s="1"/>
  <c r="H28" i="15"/>
  <c r="H34" i="16" s="1"/>
  <c r="E37" i="15"/>
  <c r="G71" i="15"/>
  <c r="G74" i="15" s="1"/>
  <c r="G77" i="15" s="1"/>
  <c r="G79" i="15" s="1"/>
  <c r="G86" i="16" s="1"/>
  <c r="G28" i="15"/>
  <c r="G34" i="16" s="1"/>
  <c r="C77" i="10"/>
  <c r="E65" i="10"/>
  <c r="D74" i="10"/>
  <c r="G61" i="9"/>
  <c r="G64" i="9" s="1"/>
  <c r="G67" i="9" s="1"/>
  <c r="G79" i="9" s="1"/>
  <c r="F61" i="10"/>
  <c r="F87" i="10"/>
  <c r="F93" i="10" s="1"/>
  <c r="E64" i="10"/>
  <c r="F34" i="9"/>
  <c r="F37" i="9" s="1"/>
  <c r="G16" i="11"/>
  <c r="G29" i="11" s="1"/>
  <c r="G30" i="11" s="1"/>
  <c r="G28" i="9"/>
  <c r="G35" i="9"/>
  <c r="H36" i="9"/>
  <c r="H61" i="9"/>
  <c r="H64" i="9" s="1"/>
  <c r="H67" i="9" s="1"/>
  <c r="H5" i="11"/>
  <c r="H7" i="11" s="1"/>
  <c r="D68" i="10"/>
  <c r="D35" i="11"/>
  <c r="H71" i="9"/>
  <c r="H74" i="9" s="1"/>
  <c r="H77" i="9" s="1"/>
  <c r="H11" i="11"/>
  <c r="H14" i="11" s="1"/>
  <c r="G8" i="11"/>
  <c r="G24" i="11" s="1"/>
  <c r="G9" i="11"/>
  <c r="G25" i="11" s="1"/>
  <c r="G26" i="11" s="1"/>
  <c r="F9" i="11"/>
  <c r="F25" i="11" s="1"/>
  <c r="F26" i="11" s="1"/>
  <c r="F8" i="11"/>
  <c r="F24" i="11" s="1"/>
  <c r="H28" i="9"/>
  <c r="C44" i="16" l="1"/>
  <c r="C65" i="16"/>
  <c r="C71" i="16" s="1"/>
  <c r="C74" i="16" s="1"/>
  <c r="C76" i="16" s="1"/>
  <c r="C77" i="16" s="1"/>
  <c r="C104" i="16" s="1"/>
  <c r="C64" i="16"/>
  <c r="C68" i="16" s="1"/>
  <c r="E44" i="16"/>
  <c r="D46" i="16"/>
  <c r="F96" i="10"/>
  <c r="F98" i="10" s="1"/>
  <c r="F98" i="16"/>
  <c r="D76" i="16"/>
  <c r="D77" i="16" s="1"/>
  <c r="D104" i="16" s="1"/>
  <c r="F61" i="16"/>
  <c r="F38" i="16"/>
  <c r="E64" i="16"/>
  <c r="E68" i="16" s="1"/>
  <c r="E65" i="16"/>
  <c r="E71" i="16" s="1"/>
  <c r="E74" i="16" s="1"/>
  <c r="I35" i="9"/>
  <c r="G34" i="10"/>
  <c r="G38" i="10" s="1"/>
  <c r="G44" i="10" s="1"/>
  <c r="G46" i="10" s="1"/>
  <c r="G54" i="10" s="1"/>
  <c r="G83" i="10" s="1"/>
  <c r="G86" i="10"/>
  <c r="H34" i="15"/>
  <c r="I35" i="15"/>
  <c r="H96" i="16" s="1"/>
  <c r="H35" i="15"/>
  <c r="G96" i="16" s="1"/>
  <c r="I36" i="15"/>
  <c r="G34" i="15"/>
  <c r="G37" i="15" s="1"/>
  <c r="F65" i="10"/>
  <c r="E71" i="10"/>
  <c r="E68" i="10"/>
  <c r="D76" i="10"/>
  <c r="C104" i="10"/>
  <c r="C103" i="10" s="1"/>
  <c r="C105" i="10" s="1"/>
  <c r="C107" i="10" s="1"/>
  <c r="F64" i="10"/>
  <c r="G87" i="10"/>
  <c r="G93" i="10" s="1"/>
  <c r="G34" i="9"/>
  <c r="G37" i="9" s="1"/>
  <c r="I36" i="9"/>
  <c r="H96" i="10" s="1"/>
  <c r="H98" i="10" s="1"/>
  <c r="H35" i="9"/>
  <c r="H79" i="9"/>
  <c r="H15" i="11"/>
  <c r="H28" i="11" s="1"/>
  <c r="H16" i="11"/>
  <c r="H29" i="11" s="1"/>
  <c r="H30" i="11" s="1"/>
  <c r="H8" i="11"/>
  <c r="H24" i="11" s="1"/>
  <c r="H9" i="11"/>
  <c r="H25" i="11" s="1"/>
  <c r="H26" i="11" s="1"/>
  <c r="H34" i="9"/>
  <c r="H34" i="10"/>
  <c r="C46" i="16" l="1"/>
  <c r="F44" i="16"/>
  <c r="D54" i="16"/>
  <c r="E46" i="16"/>
  <c r="G61" i="16"/>
  <c r="G38" i="16"/>
  <c r="E76" i="16"/>
  <c r="E77" i="16" s="1"/>
  <c r="E104" i="16" s="1"/>
  <c r="G96" i="10"/>
  <c r="G98" i="10" s="1"/>
  <c r="G98" i="16"/>
  <c r="H61" i="16"/>
  <c r="H38" i="16"/>
  <c r="H86" i="10"/>
  <c r="G61" i="10"/>
  <c r="H98" i="16"/>
  <c r="F64" i="16"/>
  <c r="F68" i="16" s="1"/>
  <c r="F65" i="16"/>
  <c r="F71" i="16" s="1"/>
  <c r="F74" i="16" s="1"/>
  <c r="H37" i="15"/>
  <c r="E74" i="10"/>
  <c r="G65" i="10"/>
  <c r="D77" i="10"/>
  <c r="E35" i="11"/>
  <c r="F71" i="10"/>
  <c r="F35" i="11" s="1"/>
  <c r="F68" i="10"/>
  <c r="H37" i="9"/>
  <c r="H38" i="10"/>
  <c r="H44" i="10" s="1"/>
  <c r="H46" i="10" s="1"/>
  <c r="H54" i="10" s="1"/>
  <c r="H83" i="10" s="1"/>
  <c r="H87" i="10" s="1"/>
  <c r="H93" i="10" s="1"/>
  <c r="H61" i="10"/>
  <c r="C54" i="16" l="1"/>
  <c r="F46" i="16"/>
  <c r="G44" i="16"/>
  <c r="D83" i="16"/>
  <c r="D87" i="16" s="1"/>
  <c r="D93" i="16" s="1"/>
  <c r="D103" i="16" s="1"/>
  <c r="D105" i="16" s="1"/>
  <c r="D107" i="16" s="1"/>
  <c r="E54" i="16"/>
  <c r="H44" i="16"/>
  <c r="F76" i="16"/>
  <c r="F77" i="16" s="1"/>
  <c r="F104" i="16" s="1"/>
  <c r="H65" i="16"/>
  <c r="H71" i="16" s="1"/>
  <c r="H74" i="16" s="1"/>
  <c r="H64" i="16"/>
  <c r="H68" i="16" s="1"/>
  <c r="G64" i="10"/>
  <c r="G65" i="16"/>
  <c r="G71" i="16" s="1"/>
  <c r="G74" i="16" s="1"/>
  <c r="G64" i="16"/>
  <c r="G68" i="16" s="1"/>
  <c r="D104" i="10"/>
  <c r="D103" i="10" s="1"/>
  <c r="D105" i="10" s="1"/>
  <c r="D107" i="10" s="1"/>
  <c r="E76" i="10"/>
  <c r="H65" i="10"/>
  <c r="G71" i="10"/>
  <c r="F74" i="10"/>
  <c r="G68" i="10"/>
  <c r="G35" i="11"/>
  <c r="H64" i="10"/>
  <c r="C83" i="16" l="1"/>
  <c r="C87" i="16" s="1"/>
  <c r="C93" i="16" s="1"/>
  <c r="C103" i="16" s="1"/>
  <c r="C105" i="16" s="1"/>
  <c r="C107" i="16" s="1"/>
  <c r="E83" i="16"/>
  <c r="E87" i="16" s="1"/>
  <c r="E93" i="16" s="1"/>
  <c r="E103" i="16" s="1"/>
  <c r="E105" i="16" s="1"/>
  <c r="E107" i="16" s="1"/>
  <c r="G46" i="16"/>
  <c r="H46" i="16"/>
  <c r="F54" i="16"/>
  <c r="G76" i="16"/>
  <c r="G77" i="16" s="1"/>
  <c r="G104" i="16" s="1"/>
  <c r="H76" i="16"/>
  <c r="H77" i="16" s="1"/>
  <c r="H104" i="16" s="1"/>
  <c r="H71" i="10"/>
  <c r="H74" i="10" s="1"/>
  <c r="F76" i="10"/>
  <c r="G74" i="10"/>
  <c r="E77" i="10"/>
  <c r="H68" i="10"/>
  <c r="C57" i="10"/>
  <c r="C81" i="10" s="1"/>
  <c r="H54" i="16" l="1"/>
  <c r="F83" i="16"/>
  <c r="F87" i="16" s="1"/>
  <c r="F93" i="16" s="1"/>
  <c r="F103" i="16" s="1"/>
  <c r="F105" i="16" s="1"/>
  <c r="F107" i="16" s="1"/>
  <c r="G54" i="16"/>
  <c r="H35" i="11"/>
  <c r="H76" i="10"/>
  <c r="G76" i="10"/>
  <c r="E104" i="10"/>
  <c r="E103" i="10" s="1"/>
  <c r="E105" i="10" s="1"/>
  <c r="E107" i="10" s="1"/>
  <c r="F77" i="10"/>
  <c r="H83" i="16" l="1"/>
  <c r="H87" i="16" s="1"/>
  <c r="H93" i="16" s="1"/>
  <c r="H103" i="16" s="1"/>
  <c r="H105" i="16" s="1"/>
  <c r="H107" i="16" s="1"/>
  <c r="G83" i="16"/>
  <c r="G87" i="16" s="1"/>
  <c r="G93" i="16" s="1"/>
  <c r="G103" i="16" s="1"/>
  <c r="G105" i="16" s="1"/>
  <c r="G107" i="16" s="1"/>
  <c r="F104" i="10"/>
  <c r="F103" i="10" s="1"/>
  <c r="F105" i="10" s="1"/>
  <c r="F107" i="10" s="1"/>
  <c r="G77" i="10"/>
  <c r="H77" i="10"/>
  <c r="G104" i="10" l="1"/>
  <c r="G103" i="10" s="1"/>
  <c r="G105" i="10" s="1"/>
  <c r="G107" i="10" s="1"/>
  <c r="H104" i="10"/>
  <c r="H103" i="10" s="1"/>
  <c r="H105" i="10" s="1"/>
  <c r="H107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<sst xmlns="http://schemas.openxmlformats.org/spreadsheetml/2006/main" count="402" uniqueCount="215">
  <si>
    <t>Unit settings</t>
  </si>
  <si>
    <t>6-MONTHS PLAN</t>
  </si>
  <si>
    <t>Sales assumptions</t>
  </si>
  <si>
    <t>Product A price per unit</t>
  </si>
  <si>
    <t>Product B price per unit</t>
  </si>
  <si>
    <t>Collection of sales in cash</t>
  </si>
  <si>
    <t>Sum must equal 100%"</t>
  </si>
  <si>
    <t>Sales collected in the month after sales</t>
  </si>
  <si>
    <t>Sales collected two months after sales</t>
  </si>
  <si>
    <t>Commission on sold unit</t>
  </si>
  <si>
    <t>Production &amp; Raw Material assumptions</t>
  </si>
  <si>
    <t>Desired ending inventory as % of sales</t>
  </si>
  <si>
    <t>Raw material needed per unit A (in kg)</t>
  </si>
  <si>
    <t>Raw material needed per unit B (in kg)</t>
  </si>
  <si>
    <t>Desired RM ending inventory for both A &amp; B</t>
  </si>
  <si>
    <t>Cost of RM for A per kg</t>
  </si>
  <si>
    <t>Cost of RM for B per kg</t>
  </si>
  <si>
    <t xml:space="preserve">RM paid cash </t>
  </si>
  <si>
    <t>RM paid in the month after purchase</t>
  </si>
  <si>
    <t>RM paid two months after purchase</t>
  </si>
  <si>
    <t>Direct labor assumptions</t>
  </si>
  <si>
    <t>DL hours need for A (in hour)</t>
  </si>
  <si>
    <t>Cost of DL (in 1 euro)</t>
  </si>
  <si>
    <t>Number of workers</t>
  </si>
  <si>
    <t>DL hours need for B</t>
  </si>
  <si>
    <t>Cost of DL (in euro)</t>
  </si>
  <si>
    <t>Overhead rate for variable costs</t>
  </si>
  <si>
    <t>Depreciation costs</t>
  </si>
  <si>
    <t>Property taxes</t>
  </si>
  <si>
    <t xml:space="preserve"> ! No additional investment in equipment</t>
  </si>
  <si>
    <t>Finished goods assumptions</t>
  </si>
  <si>
    <t>Assumed hours per unit produced for A</t>
  </si>
  <si>
    <t>Assumed hours per unit produced for B</t>
  </si>
  <si>
    <t>S&amp;A assumptions</t>
  </si>
  <si>
    <t xml:space="preserve"> Advertising </t>
  </si>
  <si>
    <t xml:space="preserve"> Executive salaries 5M, growth @ 5% per month</t>
  </si>
  <si>
    <t xml:space="preserve"> Insurance </t>
  </si>
  <si>
    <t>Selling quantity product A</t>
  </si>
  <si>
    <t>Selling quantity product B</t>
  </si>
  <si>
    <t>Total budget sales in quantity</t>
  </si>
  <si>
    <t>Total sales of A in euro</t>
  </si>
  <si>
    <t>Total sales of B in euro</t>
  </si>
  <si>
    <t>Total sales in euro</t>
  </si>
  <si>
    <t>Months</t>
  </si>
  <si>
    <t>Sales collection schedules</t>
  </si>
  <si>
    <t>Account receivables, beginning</t>
  </si>
  <si>
    <t>Sales collected in cash or within the same month</t>
  </si>
  <si>
    <t>Total cash collections</t>
  </si>
  <si>
    <t>Production budgeting</t>
  </si>
  <si>
    <t xml:space="preserve">+ desired finished goods ending inventory </t>
  </si>
  <si>
    <t>Total needs</t>
  </si>
  <si>
    <t>- finished goods, beginning balance</t>
  </si>
  <si>
    <t>Total required production needs</t>
  </si>
  <si>
    <t>Required production of A as %</t>
  </si>
  <si>
    <t>Required production of B as %</t>
  </si>
  <si>
    <t>Raw material budgeting</t>
  </si>
  <si>
    <t>Required production of A</t>
  </si>
  <si>
    <t>RM needs (in kg)</t>
  </si>
  <si>
    <t>+ desired RM ending inventory</t>
  </si>
  <si>
    <t>- RM, beginning balance</t>
  </si>
  <si>
    <t>RM to be purchased for A</t>
  </si>
  <si>
    <t xml:space="preserve">Cost of RM for A per kg </t>
  </si>
  <si>
    <t>Costs of RM</t>
  </si>
  <si>
    <t>Required production of B</t>
  </si>
  <si>
    <t>RM to be purchased for B</t>
  </si>
  <si>
    <t xml:space="preserve">Cost of RM for B per kg </t>
  </si>
  <si>
    <t xml:space="preserve">Total cost of RM </t>
  </si>
  <si>
    <t>RM payment schedule</t>
  </si>
  <si>
    <t>Accounts payable, beggining balance</t>
  </si>
  <si>
    <t>RM paid cash or within the month of purchase</t>
  </si>
  <si>
    <t>Total cash disbursement for RM</t>
  </si>
  <si>
    <t>Direct labor budgeting</t>
  </si>
  <si>
    <t xml:space="preserve">Direct labor costs per worker (in 1 euro) </t>
  </si>
  <si>
    <t>Total DL costs</t>
  </si>
  <si>
    <t>Overhead budgeting</t>
  </si>
  <si>
    <t>Total variable overhead costs</t>
  </si>
  <si>
    <t>Total fixed overhead costs</t>
  </si>
  <si>
    <t>Total overhead costs</t>
  </si>
  <si>
    <t>- depreciation</t>
  </si>
  <si>
    <t>Cash disbursement for manuf. overhead</t>
  </si>
  <si>
    <t>Predetermined overhead rate</t>
  </si>
  <si>
    <t>Finished good inventory</t>
  </si>
  <si>
    <t>Product A</t>
  </si>
  <si>
    <t>RM cost per unit</t>
  </si>
  <si>
    <t>DL cost per unit</t>
  </si>
  <si>
    <t>Overhead cost per unit</t>
  </si>
  <si>
    <t>Unit cost of production for A</t>
  </si>
  <si>
    <t>Finished goods, Ending balance in unit</t>
  </si>
  <si>
    <t>Finished good inventory costs</t>
  </si>
  <si>
    <t>Product B</t>
  </si>
  <si>
    <t>Unit cost of production for B</t>
  </si>
  <si>
    <t>Finished good, Ending inventory in unit</t>
  </si>
  <si>
    <t>Total finished goods cost</t>
  </si>
  <si>
    <t>Selling, general &amp; administrative expenses</t>
  </si>
  <si>
    <t>Budgeted sales in unit</t>
  </si>
  <si>
    <t>Commission costs</t>
  </si>
  <si>
    <t xml:space="preserve"> Total variable S&amp;A expenses </t>
  </si>
  <si>
    <t xml:space="preserve"> Fixed S&amp;A expenses </t>
  </si>
  <si>
    <t xml:space="preserve"> Executive salaries </t>
  </si>
  <si>
    <t xml:space="preserve"> Property taxes </t>
  </si>
  <si>
    <t xml:space="preserve"> Depreciation of PPE</t>
  </si>
  <si>
    <t xml:space="preserve"> Total fixed S&amp;A expenses </t>
  </si>
  <si>
    <t xml:space="preserve"> Total S&amp;A expenses </t>
  </si>
  <si>
    <t xml:space="preserve"> Less depreciation </t>
  </si>
  <si>
    <t xml:space="preserve"> Cash disbursements for S&amp;A expenses </t>
  </si>
  <si>
    <t>Cash budgeting</t>
  </si>
  <si>
    <t xml:space="preserve"> Cash balance, beginning  </t>
  </si>
  <si>
    <t xml:space="preserve">Add receipts: </t>
  </si>
  <si>
    <t>Cash from sales</t>
  </si>
  <si>
    <t xml:space="preserve">Total cash available </t>
  </si>
  <si>
    <t xml:space="preserve">Less disbursements: </t>
  </si>
  <si>
    <t>Total costs of RM</t>
  </si>
  <si>
    <t>Total costs of DM</t>
  </si>
  <si>
    <t xml:space="preserve">Total costs of Overhead </t>
  </si>
  <si>
    <t xml:space="preserve">Total Selling and administration expenses </t>
  </si>
  <si>
    <t>Total operating expenses</t>
  </si>
  <si>
    <t xml:space="preserve">Equipement piurchases </t>
  </si>
  <si>
    <t>Capital expenditures</t>
  </si>
  <si>
    <t xml:space="preserve">Dividends </t>
  </si>
  <si>
    <t xml:space="preserve">Total disbursements </t>
  </si>
  <si>
    <t xml:space="preserve">Excess(deficiency) of cash available over disb. </t>
  </si>
  <si>
    <t xml:space="preserve">Financing </t>
  </si>
  <si>
    <t xml:space="preserve">Borrowings </t>
  </si>
  <si>
    <t xml:space="preserve">Repayments </t>
  </si>
  <si>
    <t xml:space="preserve">Interest </t>
  </si>
  <si>
    <t>Total financing cash</t>
  </si>
  <si>
    <t xml:space="preserve">Cash balance, ending </t>
  </si>
  <si>
    <t>Sales</t>
  </si>
  <si>
    <t>Costs of good solds</t>
  </si>
  <si>
    <t>Gross profit</t>
  </si>
  <si>
    <t>- S&amp;A expenses</t>
  </si>
  <si>
    <t>Operating income</t>
  </si>
  <si>
    <t>- Interest expenses</t>
  </si>
  <si>
    <t>Income before tax</t>
  </si>
  <si>
    <t>- income tax @ 25%</t>
  </si>
  <si>
    <t>Net income</t>
  </si>
  <si>
    <t xml:space="preserve">Balance Sheet budgeting </t>
  </si>
  <si>
    <t>ASSETS</t>
  </si>
  <si>
    <t xml:space="preserve"> Cash </t>
  </si>
  <si>
    <t xml:space="preserve"> Accounts receivable </t>
  </si>
  <si>
    <t xml:space="preserve"> Raw materials inventory </t>
  </si>
  <si>
    <t xml:space="preserve"> Finished goods inventory </t>
  </si>
  <si>
    <t xml:space="preserve"> Total current assets </t>
  </si>
  <si>
    <t xml:space="preserve"> Property, plant and equipment, net</t>
  </si>
  <si>
    <t xml:space="preserve"> Insurance</t>
  </si>
  <si>
    <t>Total fixed</t>
  </si>
  <si>
    <t xml:space="preserve">Total assets </t>
  </si>
  <si>
    <t>LIABILITIES</t>
  </si>
  <si>
    <t>Accounts payables</t>
  </si>
  <si>
    <t>Interest payables</t>
  </si>
  <si>
    <t>Current liabilities</t>
  </si>
  <si>
    <t>Long term debt</t>
  </si>
  <si>
    <t>Non current liabilities</t>
  </si>
  <si>
    <t>Capital</t>
  </si>
  <si>
    <t xml:space="preserve"> Retained earnings </t>
  </si>
  <si>
    <t xml:space="preserve"> Total owners' equity </t>
  </si>
  <si>
    <t xml:space="preserve"> Total liabilities and owners'equity </t>
  </si>
  <si>
    <t>Variables selling expenses</t>
  </si>
  <si>
    <t>Variable administrative expenses</t>
  </si>
  <si>
    <t>- Commission</t>
  </si>
  <si>
    <t>Net sales</t>
  </si>
  <si>
    <t>Contribution margin</t>
  </si>
  <si>
    <t>Fixed selling costs</t>
  </si>
  <si>
    <t>Fixed administrative costs</t>
  </si>
  <si>
    <t>Net operating margin</t>
  </si>
  <si>
    <r>
      <t xml:space="preserve">Profit &amp; Loss budgeting
</t>
    </r>
    <r>
      <rPr>
        <b/>
        <sz val="16"/>
        <color theme="2" tint="-0.499984740745262"/>
        <rFont val="Arial"/>
        <family val="2"/>
      </rPr>
      <t>Contribution P&amp;L</t>
    </r>
  </si>
  <si>
    <t>Cost-Volume-Profit analysis</t>
  </si>
  <si>
    <t>Per unit contribution margin</t>
  </si>
  <si>
    <t>Contribution margin A</t>
  </si>
  <si>
    <t>- Costs of goods sold</t>
  </si>
  <si>
    <t>- Variables S&amp;A expenses</t>
  </si>
  <si>
    <t>Sales B</t>
  </si>
  <si>
    <t>Net Sales A</t>
  </si>
  <si>
    <t>Contribution margin B</t>
  </si>
  <si>
    <t>Total fixed costs</t>
  </si>
  <si>
    <t xml:space="preserve">Fixed cost @ A </t>
  </si>
  <si>
    <t>Fixed cost @ B</t>
  </si>
  <si>
    <r>
      <t xml:space="preserve">Break-even quantity B (in million)
</t>
    </r>
    <r>
      <rPr>
        <sz val="12"/>
        <color theme="2" tint="-0.249977111117893"/>
        <rFont val="Arial"/>
        <family val="2"/>
      </rPr>
      <t>Fixed Cost / (Unit CM)</t>
    </r>
  </si>
  <si>
    <r>
      <t xml:space="preserve">Break-even quantity A (in million)
</t>
    </r>
    <r>
      <rPr>
        <sz val="12"/>
        <color theme="2" tint="-0.249977111117893"/>
        <rFont val="Arial"/>
        <family val="2"/>
      </rPr>
      <t xml:space="preserve">          Fixed Cost / (Unit CM)</t>
    </r>
  </si>
  <si>
    <r>
      <t xml:space="preserve">Break-even euro A (in million)
          </t>
    </r>
    <r>
      <rPr>
        <sz val="12"/>
        <color theme="2" tint="-0.249977111117893"/>
        <rFont val="Arial"/>
        <family val="2"/>
      </rPr>
      <t>Fixed Cost / (Unit CM ratio)</t>
    </r>
  </si>
  <si>
    <t>Margin of safety A</t>
  </si>
  <si>
    <r>
      <t xml:space="preserve">Break-even euro B (in million)
          </t>
    </r>
    <r>
      <rPr>
        <sz val="12"/>
        <color theme="2" tint="-0.249977111117893"/>
        <rFont val="Arial"/>
        <family val="2"/>
      </rPr>
      <t>Fixed Cost / (Unit CM ratio)</t>
    </r>
  </si>
  <si>
    <t>Margin of safety B</t>
  </si>
  <si>
    <t>Leverage</t>
  </si>
  <si>
    <t>Break-even analysis</t>
  </si>
  <si>
    <t>Degree of Operating leverage (DOL)</t>
  </si>
  <si>
    <t>! Percent change in Op. inc = DOL x percent change in sales</t>
  </si>
  <si>
    <t>! Break-even = Qty x Price - Qty x Var. costs  - Fixed costs = Qty x (Price - Var cost) - Fixed cost = Qty x unit CM - Fixed cost</t>
  </si>
  <si>
    <t>Contribution ratio A @ sales</t>
  </si>
  <si>
    <t>Contribution ratio B @ sales</t>
  </si>
  <si>
    <t xml:space="preserve"> S&amp;A assumptions </t>
  </si>
  <si>
    <t xml:space="preserve">Sales </t>
  </si>
  <si>
    <t xml:space="preserve"> Production &amp; Raw </t>
  </si>
  <si>
    <t>! Suppliers increased their price due to disruption of the supply chain that made RM scare</t>
  </si>
  <si>
    <t xml:space="preserve"> Cost of RM for A per kg actual</t>
  </si>
  <si>
    <t xml:space="preserve"> Cost of RM for B per kg actual</t>
  </si>
  <si>
    <t xml:space="preserve">  Advertising  actual</t>
  </si>
  <si>
    <t xml:space="preserve">  Executive salaries actual</t>
  </si>
  <si>
    <t>! All other items remained constant</t>
  </si>
  <si>
    <t xml:space="preserve"> Actual Sales growth per month </t>
  </si>
  <si>
    <t xml:space="preserve"> Budgeted sales growth</t>
  </si>
  <si>
    <t xml:space="preserve"> Cost of RM for A per kg budgeted</t>
  </si>
  <si>
    <t xml:space="preserve"> Cost of RM for B per kg budgeted</t>
  </si>
  <si>
    <t xml:space="preserve">  Advertising  budgeted</t>
  </si>
  <si>
    <t xml:space="preserve">  Executive salaries budgeted</t>
  </si>
  <si>
    <t>Variance analysis</t>
  </si>
  <si>
    <t>! Sales growth of A gradually decreased from 5% to 3%  instead</t>
  </si>
  <si>
    <t xml:space="preserve"> Expected Sales of prod. A growth per month</t>
  </si>
  <si>
    <t xml:space="preserve"> Expected Sales of prod. B growth per month</t>
  </si>
  <si>
    <t>Company Incognito projects the following figures for the next 6 months. You are tasked to make projection analysis based on these assumptions and establish the projected financial statements.</t>
  </si>
  <si>
    <t>Compagny Incognito, by eliediwambuena</t>
  </si>
  <si>
    <t>Costs of RM A</t>
  </si>
  <si>
    <t xml:space="preserve">After the six months periods, Company Incognito has realized the following figures. You are tasked to do a budget analysis and explain all the changes that happened. </t>
  </si>
  <si>
    <t xml:space="preserve">
Assume that the actual budget is equal to the flexible budget.</t>
  </si>
  <si>
    <t>Profit &amp; Loss budgeting
Contribution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</si>
</sst>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0.000"/>
    <numFmt numFmtId="167" formatCode="0.0%"/>
    <numFmt numFmtId="168" formatCode="#,##0.0"/>
    <numFmt numFmtId="169" formatCode="&quot;€&quot;\ #,##0.00;[Red]&quot;€&quot;\ #,##0.00"/>
    <numFmt numFmtId="170" formatCode="0.00_);\(0.00\)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theme="2" tint="-0.249977111117893"/>
      <name val="Arial"/>
      <family val="2"/>
    </font>
    <font>
      <sz val="12"/>
      <color theme="2" tint="-0.499984740745262"/>
      <name val="Arial"/>
      <family val="2"/>
    </font>
    <font>
      <b/>
      <sz val="16"/>
      <color theme="2" tint="-0.499984740745262"/>
      <name val="Arial"/>
      <family val="2"/>
    </font>
    <font>
      <sz val="16"/>
      <color theme="1"/>
      <name val="Arial"/>
      <family val="2"/>
    </font>
    <font>
      <sz val="14"/>
      <color rgb="FF000000"/>
      <name val="Arial"/>
      <family val="2"/>
    </font>
    <font>
      <sz val="12"/>
      <color rgb="FFC00000"/>
      <name val="Arial"/>
      <family val="2"/>
    </font>
    <font>
      <sz val="11"/>
      <color theme="1"/>
      <name val="Arial"/>
      <family val="2"/>
    </font>
    <font>
      <b/>
      <sz val="12"/>
      <color theme="4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3">
    <xf numFmtId="0" fontId="0" fillId="0" borderId="0" xfId="0"/>
    <xf numFmtId="165" fontId="3" fillId="2" borderId="0" xfId="0" applyNumberFormat="1" applyFont="1" applyFill="1"/>
    <xf numFmtId="43" fontId="3" fillId="2" borderId="0" xfId="0" applyNumberFormat="1" applyFont="1" applyFill="1"/>
    <xf numFmtId="165" fontId="4" fillId="2" borderId="0" xfId="0" applyNumberFormat="1" applyFont="1" applyFill="1"/>
    <xf numFmtId="165" fontId="3" fillId="2" borderId="0" xfId="0" quotePrefix="1" applyNumberFormat="1" applyFont="1" applyFill="1"/>
    <xf numFmtId="0" fontId="5" fillId="2" borderId="0" xfId="0" applyFont="1" applyFill="1"/>
    <xf numFmtId="165" fontId="8" fillId="2" borderId="0" xfId="0" applyNumberFormat="1" applyFont="1" applyFill="1"/>
    <xf numFmtId="0" fontId="6" fillId="2" borderId="1" xfId="0" applyFont="1" applyFill="1" applyBorder="1"/>
    <xf numFmtId="0" fontId="5" fillId="2" borderId="1" xfId="0" applyFont="1" applyFill="1" applyBorder="1"/>
    <xf numFmtId="0" fontId="9" fillId="2" borderId="0" xfId="0" applyFont="1" applyFill="1" applyAlignment="1">
      <alignment horizontal="center"/>
    </xf>
    <xf numFmtId="0" fontId="9" fillId="2" borderId="1" xfId="0" applyFont="1" applyFill="1" applyBorder="1"/>
    <xf numFmtId="10" fontId="8" fillId="2" borderId="0" xfId="0" applyNumberFormat="1" applyFont="1" applyFill="1" applyAlignment="1">
      <alignment horizontal="center"/>
    </xf>
    <xf numFmtId="165" fontId="3" fillId="2" borderId="1" xfId="0" applyNumberFormat="1" applyFont="1" applyFill="1" applyBorder="1"/>
    <xf numFmtId="165" fontId="5" fillId="2" borderId="0" xfId="0" applyNumberFormat="1" applyFont="1" applyFill="1"/>
    <xf numFmtId="0" fontId="5" fillId="2" borderId="0" xfId="0" applyFont="1" applyFill="1" applyAlignment="1">
      <alignment horizontal="right"/>
    </xf>
    <xf numFmtId="10" fontId="8" fillId="2" borderId="0" xfId="0" applyNumberFormat="1" applyFont="1" applyFill="1" applyAlignment="1">
      <alignment horizontal="right"/>
    </xf>
    <xf numFmtId="10" fontId="3" fillId="2" borderId="0" xfId="0" applyNumberFormat="1" applyFont="1" applyFill="1"/>
    <xf numFmtId="10" fontId="5" fillId="2" borderId="0" xfId="0" applyNumberFormat="1" applyFont="1" applyFill="1"/>
    <xf numFmtId="10" fontId="8" fillId="2" borderId="0" xfId="0" applyNumberFormat="1" applyFont="1" applyFill="1" applyAlignment="1">
      <alignment horizontal="center" wrapText="1"/>
    </xf>
    <xf numFmtId="164" fontId="5" fillId="2" borderId="1" xfId="0" applyNumberFormat="1" applyFont="1" applyFill="1" applyBorder="1"/>
    <xf numFmtId="2" fontId="5" fillId="2" borderId="0" xfId="0" applyNumberFormat="1" applyFont="1" applyFill="1"/>
    <xf numFmtId="165" fontId="8" fillId="2" borderId="1" xfId="0" applyNumberFormat="1" applyFont="1" applyFill="1" applyBorder="1"/>
    <xf numFmtId="9" fontId="5" fillId="2" borderId="0" xfId="0" applyNumberFormat="1" applyFont="1" applyFill="1"/>
    <xf numFmtId="0" fontId="5" fillId="2" borderId="0" xfId="0" quotePrefix="1" applyFont="1" applyFill="1"/>
    <xf numFmtId="166" fontId="5" fillId="2" borderId="0" xfId="0" applyNumberFormat="1" applyFont="1" applyFill="1"/>
    <xf numFmtId="0" fontId="5" fillId="2" borderId="1" xfId="0" quotePrefix="1" applyFont="1" applyFill="1" applyBorder="1"/>
    <xf numFmtId="2" fontId="5" fillId="2" borderId="1" xfId="0" applyNumberFormat="1" applyFont="1" applyFill="1" applyBorder="1"/>
    <xf numFmtId="43" fontId="5" fillId="2" borderId="0" xfId="0" applyNumberFormat="1" applyFont="1" applyFill="1"/>
    <xf numFmtId="167" fontId="5" fillId="2" borderId="0" xfId="0" applyNumberFormat="1" applyFont="1" applyFill="1"/>
    <xf numFmtId="165" fontId="3" fillId="2" borderId="1" xfId="0" quotePrefix="1" applyNumberFormat="1" applyFont="1" applyFill="1" applyBorder="1"/>
    <xf numFmtId="0" fontId="11" fillId="2" borderId="1" xfId="0" applyFont="1" applyFill="1" applyBorder="1"/>
    <xf numFmtId="0" fontId="11" fillId="2" borderId="0" xfId="0" applyFont="1" applyFill="1"/>
    <xf numFmtId="168" fontId="12" fillId="2" borderId="0" xfId="0" applyNumberFormat="1" applyFont="1" applyFill="1" applyAlignment="1">
      <alignment horizontal="right"/>
    </xf>
    <xf numFmtId="4" fontId="5" fillId="2" borderId="1" xfId="0" applyNumberFormat="1" applyFont="1" applyFill="1" applyBorder="1"/>
    <xf numFmtId="169" fontId="3" fillId="2" borderId="0" xfId="0" applyNumberFormat="1" applyFont="1" applyFill="1" applyAlignment="1">
      <alignment horizontal="right"/>
    </xf>
    <xf numFmtId="169" fontId="2" fillId="2" borderId="0" xfId="0" applyNumberFormat="1" applyFont="1" applyFill="1" applyAlignment="1">
      <alignment horizontal="right"/>
    </xf>
    <xf numFmtId="165" fontId="13" fillId="2" borderId="0" xfId="0" applyNumberFormat="1" applyFont="1" applyFill="1" applyAlignment="1">
      <alignment horizontal="center"/>
    </xf>
    <xf numFmtId="165" fontId="14" fillId="2" borderId="0" xfId="0" quotePrefix="1" applyNumberFormat="1" applyFont="1" applyFill="1"/>
    <xf numFmtId="4" fontId="12" fillId="2" borderId="0" xfId="0" applyNumberFormat="1" applyFont="1" applyFill="1" applyAlignment="1">
      <alignment horizontal="right"/>
    </xf>
    <xf numFmtId="0" fontId="5" fillId="2" borderId="2" xfId="0" applyFont="1" applyFill="1" applyBorder="1"/>
    <xf numFmtId="2" fontId="5" fillId="2" borderId="2" xfId="0" applyNumberFormat="1" applyFont="1" applyFill="1" applyBorder="1"/>
    <xf numFmtId="0" fontId="5" fillId="2" borderId="2" xfId="0" quotePrefix="1" applyFont="1" applyFill="1" applyBorder="1"/>
    <xf numFmtId="0" fontId="16" fillId="2" borderId="0" xfId="0" applyFont="1" applyFill="1"/>
    <xf numFmtId="0" fontId="16" fillId="2" borderId="2" xfId="0" applyFont="1" applyFill="1" applyBorder="1"/>
    <xf numFmtId="2" fontId="16" fillId="2" borderId="0" xfId="0" applyNumberFormat="1" applyFont="1" applyFill="1"/>
    <xf numFmtId="2" fontId="16" fillId="2" borderId="2" xfId="0" applyNumberFormat="1" applyFont="1" applyFill="1" applyBorder="1"/>
    <xf numFmtId="166" fontId="16" fillId="2" borderId="0" xfId="0" applyNumberFormat="1" applyFont="1" applyFill="1"/>
    <xf numFmtId="0" fontId="11" fillId="2" borderId="1" xfId="0" applyFont="1" applyFill="1" applyBorder="1" applyAlignment="1">
      <alignment wrapText="1"/>
    </xf>
    <xf numFmtId="0" fontId="18" fillId="2" borderId="0" xfId="0" applyFont="1" applyFill="1"/>
    <xf numFmtId="0" fontId="11" fillId="2" borderId="2" xfId="0" applyFont="1" applyFill="1" applyBorder="1"/>
    <xf numFmtId="0" fontId="15" fillId="2" borderId="0" xfId="0" applyFont="1" applyFill="1"/>
    <xf numFmtId="43" fontId="15" fillId="2" borderId="0" xfId="0" applyNumberFormat="1" applyFont="1" applyFill="1"/>
    <xf numFmtId="0" fontId="15" fillId="2" borderId="0" xfId="0" quotePrefix="1" applyFont="1" applyFill="1"/>
    <xf numFmtId="2" fontId="15" fillId="2" borderId="0" xfId="0" applyNumberFormat="1" applyFont="1" applyFill="1"/>
    <xf numFmtId="0" fontId="5" fillId="2" borderId="0" xfId="0" applyFont="1" applyFill="1" applyAlignment="1">
      <alignment wrapText="1"/>
    </xf>
    <xf numFmtId="43" fontId="5" fillId="2" borderId="0" xfId="0" applyNumberFormat="1" applyFont="1" applyFill="1" applyAlignment="1">
      <alignment vertical="center"/>
    </xf>
    <xf numFmtId="9" fontId="15" fillId="2" borderId="0" xfId="2" applyFont="1" applyFill="1"/>
    <xf numFmtId="167" fontId="15" fillId="2" borderId="0" xfId="2" applyNumberFormat="1" applyFont="1" applyFill="1"/>
    <xf numFmtId="0" fontId="5" fillId="2" borderId="0" xfId="0" applyFont="1" applyFill="1" applyAlignment="1">
      <alignment horizontal="left" wrapText="1"/>
    </xf>
    <xf numFmtId="0" fontId="9" fillId="2" borderId="2" xfId="0" applyFont="1" applyFill="1" applyBorder="1"/>
    <xf numFmtId="43" fontId="5" fillId="2" borderId="2" xfId="0" applyNumberFormat="1" applyFont="1" applyFill="1" applyBorder="1"/>
    <xf numFmtId="0" fontId="19" fillId="3" borderId="1" xfId="0" applyFont="1" applyFill="1" applyBorder="1"/>
    <xf numFmtId="0" fontId="8" fillId="3" borderId="1" xfId="0" applyFont="1" applyFill="1" applyBorder="1"/>
    <xf numFmtId="165" fontId="8" fillId="3" borderId="0" xfId="0" applyNumberFormat="1" applyFont="1" applyFill="1"/>
    <xf numFmtId="0" fontId="8" fillId="3" borderId="0" xfId="0" applyFont="1" applyFill="1" applyAlignment="1">
      <alignment horizontal="right"/>
    </xf>
    <xf numFmtId="10" fontId="8" fillId="3" borderId="0" xfId="0" applyNumberFormat="1" applyFont="1" applyFill="1" applyAlignment="1">
      <alignment horizontal="right"/>
    </xf>
    <xf numFmtId="0" fontId="8" fillId="3" borderId="0" xfId="0" applyFont="1" applyFill="1"/>
    <xf numFmtId="10" fontId="8" fillId="3" borderId="0" xfId="0" applyNumberFormat="1" applyFont="1" applyFill="1" applyAlignment="1">
      <alignment horizontal="center"/>
    </xf>
    <xf numFmtId="165" fontId="8" fillId="3" borderId="1" xfId="0" applyNumberFormat="1" applyFont="1" applyFill="1" applyBorder="1"/>
    <xf numFmtId="165" fontId="3" fillId="3" borderId="0" xfId="0" applyNumberFormat="1" applyFont="1" applyFill="1"/>
    <xf numFmtId="4" fontId="7" fillId="3" borderId="0" xfId="0" applyNumberFormat="1" applyFont="1" applyFill="1" applyAlignment="1">
      <alignment horizontal="right"/>
    </xf>
    <xf numFmtId="0" fontId="20" fillId="2" borderId="0" xfId="0" applyFont="1" applyFill="1"/>
    <xf numFmtId="170" fontId="5" fillId="2" borderId="1" xfId="0" applyNumberFormat="1" applyFont="1" applyFill="1" applyBorder="1"/>
    <xf numFmtId="170" fontId="5" fillId="2" borderId="0" xfId="0" applyNumberFormat="1" applyFont="1" applyFill="1"/>
    <xf numFmtId="170" fontId="3" fillId="2" borderId="0" xfId="0" applyNumberFormat="1" applyFont="1" applyFill="1"/>
    <xf numFmtId="170" fontId="3" fillId="2" borderId="1" xfId="0" applyNumberFormat="1" applyFont="1" applyFill="1" applyBorder="1"/>
    <xf numFmtId="170" fontId="5" fillId="2" borderId="2" xfId="0" applyNumberFormat="1" applyFont="1" applyFill="1" applyBorder="1"/>
    <xf numFmtId="1" fontId="5" fillId="2" borderId="1" xfId="0" applyNumberFormat="1" applyFont="1" applyFill="1" applyBorder="1"/>
    <xf numFmtId="170" fontId="3" fillId="2" borderId="0" xfId="1" applyNumberFormat="1" applyFont="1" applyFill="1" applyBorder="1" applyAlignment="1"/>
    <xf numFmtId="170" fontId="3" fillId="2" borderId="0" xfId="0" applyNumberFormat="1" applyFont="1" applyFill="1" applyAlignment="1">
      <alignment horizontal="center"/>
    </xf>
    <xf numFmtId="0" fontId="9" fillId="2" borderId="0" xfId="0" applyFont="1" applyFill="1"/>
    <xf numFmtId="0" fontId="21" fillId="2" borderId="0" xfId="0" applyFont="1" applyFill="1"/>
    <xf numFmtId="0" fontId="5" fillId="4" borderId="0" xfId="0" applyFont="1" applyFill="1"/>
    <xf numFmtId="0" fontId="9" fillId="4" borderId="0" xfId="0" applyFont="1" applyFill="1"/>
    <xf numFmtId="10" fontId="8" fillId="5" borderId="0" xfId="0" applyNumberFormat="1" applyFont="1" applyFill="1" applyAlignment="1" applyProtection="1">
      <alignment horizontal="right"/>
      <protection locked="0"/>
    </xf>
    <xf numFmtId="165" fontId="8" fillId="5" borderId="0" xfId="0" applyNumberFormat="1" applyFont="1" applyFill="1"/>
    <xf numFmtId="2" fontId="5" fillId="5" borderId="0" xfId="0" applyNumberFormat="1" applyFont="1" applyFill="1" applyAlignment="1">
      <alignment horizontal="right"/>
    </xf>
    <xf numFmtId="0" fontId="22" fillId="2" borderId="0" xfId="0" applyFont="1" applyFill="1"/>
    <xf numFmtId="0" fontId="9" fillId="2" borderId="0" xfId="0" applyFont="1" applyFill="1" applyProtection="1">
      <protection locked="0"/>
    </xf>
    <xf numFmtId="1" fontId="5" fillId="2" borderId="2" xfId="0" applyNumberFormat="1" applyFont="1" applyFill="1" applyBorder="1"/>
    <xf numFmtId="0" fontId="9" fillId="2" borderId="0" xfId="0" applyFont="1" applyFill="1" applyAlignment="1">
      <alignment horizontal="center"/>
    </xf>
    <xf numFmtId="10" fontId="8" fillId="2" borderId="0" xfId="0" applyNumberFormat="1" applyFont="1" applyFill="1" applyAlignment="1">
      <alignment horizontal="center" wrapText="1"/>
    </xf>
    <xf numFmtId="0" fontId="10" fillId="2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3">
    <dxf>
      <font>
        <color theme="4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Contribution</a:t>
            </a:r>
            <a:r>
              <a:rPr lang="en-US" baseline="0"/>
              <a:t> margin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'Proj. Dash'!$B$4</c:f>
              <c:strCache>
                <c:ptCount val="1"/>
                <c:pt idx="0">
                  <c:v>Net Sales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Dash'!$C$4:$H$4</c:f>
              <c:numCache>
                <c:formatCode>_(* #,##0.00_);_(* \(#,##0.00\);_(* "-"??_);_(@_)</c:formatCode>
                <c:ptCount val="6"/>
                <c:pt idx="0">
                  <c:v>23.999700000000001</c:v>
                </c:pt>
                <c:pt idx="1">
                  <c:v>25.199685000000002</c:v>
                </c:pt>
                <c:pt idx="2">
                  <c:v>26.459669250000005</c:v>
                </c:pt>
                <c:pt idx="3">
                  <c:v>27.782652712500006</c:v>
                </c:pt>
                <c:pt idx="4">
                  <c:v>29.171785348125006</c:v>
                </c:pt>
                <c:pt idx="5">
                  <c:v>30.63037461553126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08-6F4B-A81C-7770F24AA8EA}"/>
            </c:ext>
          </c:extLst>
        </c:ser>
        <c:ser>
          <c:idx val="1"/>
          <c:order val="1"/>
          <c:tx>
            <c:strRef>
              <c:f>'Proj. Dash'!$B$5</c:f>
              <c:strCache>
                <c:ptCount val="1"/>
                <c:pt idx="0">
                  <c:v>- Costs of goods sold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Dash'!$C$5:$H$5</c:f>
              <c:numCache>
                <c:formatCode>_(* #,##0.00_);_(* \(#,##0.00\);_(* "-"??_);_(@_)</c:formatCode>
                <c:ptCount val="6"/>
                <c:pt idx="0">
                  <c:v>10.042346341463416</c:v>
                </c:pt>
                <c:pt idx="1">
                  <c:v>9.5342963414634152</c:v>
                </c:pt>
                <c:pt idx="2">
                  <c:v>10.017843841463421</c:v>
                </c:pt>
                <c:pt idx="3">
                  <c:v>10.519254082317076</c:v>
                </c:pt>
                <c:pt idx="4">
                  <c:v>11.04291520106708</c:v>
                </c:pt>
                <c:pt idx="5">
                  <c:v>11.592759375754579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08-6F4B-A81C-7770F24AA8EA}"/>
            </c:ext>
          </c:extLst>
        </c:ser>
        <c:ser>
          <c:idx val="2"/>
          <c:order val="2"/>
          <c:tx>
            <c:strRef>
              <c:f>'Proj. Dash'!$B$6</c:f>
              <c:strCache>
                <c:ptCount val="1"/>
                <c:pt idx="0">
                  <c:v>- Variables S&amp;A expenses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Dash'!$C$6:$H$6</c:f>
              <c:numCache>
                <c:formatCode>0.00</c:formatCode>
                <c:ptCount val="6"/>
                <c:pt idx="0">
                  <c:v>6.5853658536585371</c:v>
                </c:pt>
                <c:pt idx="1">
                  <c:v>7.1341463414634152</c:v>
                </c:pt>
                <c:pt idx="2">
                  <c:v>7.6920731707317076</c:v>
                </c:pt>
                <c:pt idx="3">
                  <c:v>8.2596036585365873</c:v>
                </c:pt>
                <c:pt idx="4">
                  <c:v>8.8372179878048787</c:v>
                </c:pt>
                <c:pt idx="5">
                  <c:v>9.4254203506097571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08-6F4B-A81C-7770F24AA8EA}"/>
            </c:ext>
          </c:extLst>
        </c:ser>
        <c:ser>
          <c:idx val="3"/>
          <c:order val="3"/>
          <c:tx>
            <c:strRef>
              <c:f>'Proj. Dash'!$B$7</c:f>
              <c:strCache>
                <c:ptCount val="1"/>
                <c:pt idx="0">
                  <c:v>Contribution margin 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Dash'!$C$7:$H$7</c:f>
              <c:numCache>
                <c:formatCode>0.00</c:formatCode>
                <c:ptCount val="6"/>
                <c:pt idx="0">
                  <c:v>7.3719878048780494</c:v>
                </c:pt>
                <c:pt idx="1">
                  <c:v>8.5312423170731719</c:v>
                </c:pt>
                <c:pt idx="2">
                  <c:v>8.7497522378048771</c:v>
                </c:pt>
                <c:pt idx="3">
                  <c:v>9.003794971646343</c:v>
                </c:pt>
                <c:pt idx="4">
                  <c:v>9.2916521592530472</c:v>
                </c:pt>
                <c:pt idx="5">
                  <c:v>9.612194889166922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08-6F4B-A81C-7770F24AA8EA}"/>
            </c:ext>
          </c:extLst>
        </c:ser>
        <c:ser>
          <c:idx val="6"/>
          <c:order val="5"/>
          <c:tx>
            <c:strRef>
              <c:f>'Proj. Dash'!$B$10</c:f>
              <c:strCache>
                <c:ptCount val="1"/>
                <c:pt idx="0">
                  <c:v>Sales B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Dash'!$C$10:$H$10</c:f>
              <c:numCache>
                <c:formatCode>0.00</c:formatCode>
                <c:ptCount val="6"/>
                <c:pt idx="0">
                  <c:v>4.3998900000000001</c:v>
                </c:pt>
                <c:pt idx="1">
                  <c:v>4.6198845000000013</c:v>
                </c:pt>
                <c:pt idx="2">
                  <c:v>4.8508787250000012</c:v>
                </c:pt>
                <c:pt idx="3">
                  <c:v>5.0934226612500018</c:v>
                </c:pt>
                <c:pt idx="4">
                  <c:v>5.3480937943125015</c:v>
                </c:pt>
                <c:pt idx="5">
                  <c:v>5.6154984840281266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08-6F4B-A81C-7770F24AA8EA}"/>
            </c:ext>
          </c:extLst>
        </c:ser>
        <c:ser>
          <c:idx val="7"/>
          <c:order val="6"/>
          <c:tx>
            <c:strRef>
              <c:f>'Proj. Dash'!$B$11</c:f>
              <c:strCache>
                <c:ptCount val="1"/>
                <c:pt idx="0">
                  <c:v>- Costs of goods sold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Dash'!$C$11:$H$11</c:f>
              <c:numCache>
                <c:formatCode>0.00</c:formatCode>
                <c:ptCount val="6"/>
                <c:pt idx="0">
                  <c:v>0.4436286585365854</c:v>
                </c:pt>
                <c:pt idx="1">
                  <c:v>0.42189540853658547</c:v>
                </c:pt>
                <c:pt idx="2">
                  <c:v>0.44258049603658556</c:v>
                </c:pt>
                <c:pt idx="3">
                  <c:v>0.46489947205792698</c:v>
                </c:pt>
                <c:pt idx="4">
                  <c:v>0.48730053102667709</c:v>
                </c:pt>
                <c:pt idx="5">
                  <c:v>0.51082164294386456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08-6F4B-A81C-7770F24AA8EA}"/>
            </c:ext>
          </c:extLst>
        </c:ser>
        <c:ser>
          <c:idx val="8"/>
          <c:order val="7"/>
          <c:tx>
            <c:strRef>
              <c:f>'Proj. Dash'!$B$12</c:f>
              <c:strCache>
                <c:ptCount val="1"/>
                <c:pt idx="0">
                  <c:v>- Variables S&amp;A expenses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Dash'!$C$12:$H$12</c:f>
              <c:numCache>
                <c:formatCode>0.00</c:formatCode>
                <c:ptCount val="6"/>
                <c:pt idx="0">
                  <c:v>2.4146341463414642</c:v>
                </c:pt>
                <c:pt idx="1">
                  <c:v>2.6158536585365861</c:v>
                </c:pt>
                <c:pt idx="2">
                  <c:v>2.8204268292682935</c:v>
                </c:pt>
                <c:pt idx="3">
                  <c:v>3.0285213414634158</c:v>
                </c:pt>
                <c:pt idx="4">
                  <c:v>3.2403132621951229</c:v>
                </c:pt>
                <c:pt idx="5">
                  <c:v>3.4559874618902451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808-6F4B-A81C-7770F24AA8EA}"/>
            </c:ext>
          </c:extLst>
        </c:ser>
        <c:ser>
          <c:idx val="9"/>
          <c:order val="8"/>
          <c:tx>
            <c:strRef>
              <c:f>'Proj. Dash'!$B$13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Dash'!$C$13:$H$13</c:f>
              <c:numCache>
                <c:formatCode>0.00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9-9808-6F4B-A81C-7770F24AA8EA}"/>
            </c:ext>
          </c:extLst>
        </c:ser>
        <c:ser>
          <c:idx val="10"/>
          <c:order val="9"/>
          <c:tx>
            <c:strRef>
              <c:f>'Proj. Dash'!$B$14</c:f>
              <c:strCache>
                <c:ptCount val="1"/>
                <c:pt idx="0">
                  <c:v>Contribution margin B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Dash'!$C$14:$H$14</c:f>
              <c:numCache>
                <c:formatCode>0.00</c:formatCode>
                <c:ptCount val="6"/>
                <c:pt idx="0">
                  <c:v>1.5416271951219507</c:v>
                </c:pt>
                <c:pt idx="1">
                  <c:v>1.5821354329268296</c:v>
                </c:pt>
                <c:pt idx="2">
                  <c:v>1.5878713996951221</c:v>
                </c:pt>
                <c:pt idx="3">
                  <c:v>1.6000018477286591</c:v>
                </c:pt>
                <c:pt idx="4">
                  <c:v>1.6204800010907014</c:v>
                </c:pt>
                <c:pt idx="5">
                  <c:v>1.6486893791940167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808-6F4B-A81C-7770F24AA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6878591"/>
        <c:axId val="956880591"/>
      </c:barChart>
      <c:lineChart>
        <c:grouping val="standard"/>
        <c:varyColors val="0"/>
        <c:ser>
          <c:idx val="5"/>
          <c:order val="4"/>
          <c:tx>
            <c:strRef>
              <c:f>'Proj. Dash'!$B$9</c:f>
              <c:strCache>
                <c:ptCount val="1"/>
                <c:pt idx="0">
                  <c:v>Contribution ratio A @ sales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Dash'!$C$9:$H$9</c:f>
              <c:numCache>
                <c:formatCode>0.0%</c:formatCode>
                <c:ptCount val="6"/>
                <c:pt idx="0">
                  <c:v>0.30716999816156237</c:v>
                </c:pt>
                <c:pt idx="1">
                  <c:v>0.33854559360853803</c:v>
                </c:pt>
                <c:pt idx="2">
                  <c:v>0.33068260056972842</c:v>
                </c:pt>
                <c:pt idx="3">
                  <c:v>0.32407974374582826</c:v>
                </c:pt>
                <c:pt idx="4">
                  <c:v>0.3185150325346906</c:v>
                </c:pt>
                <c:pt idx="5">
                  <c:v>0.31381251485879702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08-6F4B-A81C-7770F24AA8EA}"/>
            </c:ext>
          </c:extLst>
        </c:ser>
        <c:ser>
          <c:idx val="12"/>
          <c:order val="10"/>
          <c:tx>
            <c:strRef>
              <c:f>'Proj. Dash'!$B$16</c:f>
              <c:strCache>
                <c:ptCount val="1"/>
                <c:pt idx="0">
                  <c:v>Contribution ratio B @ sales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Dash'!$C$16:$H$16</c:f>
              <c:numCache>
                <c:formatCode>0.0%</c:formatCode>
                <c:ptCount val="6"/>
                <c:pt idx="0">
                  <c:v>0.35037857653758403</c:v>
                </c:pt>
                <c:pt idx="1">
                  <c:v>0.34246211846353064</c:v>
                </c:pt>
                <c:pt idx="2">
                  <c:v>0.32733685785870098</c:v>
                </c:pt>
                <c:pt idx="3">
                  <c:v>0.31413097913535309</c:v>
                </c:pt>
                <c:pt idx="4">
                  <c:v>0.30300141759181964</c:v>
                </c:pt>
                <c:pt idx="5">
                  <c:v>0.29359626467415123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808-6F4B-A81C-7770F24AA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5558207"/>
        <c:axId val="955555919"/>
      </c:lineChart>
      <c:catAx>
        <c:axId val="95687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56880591"/>
        <c:crosses val="autoZero"/>
        <c:auto val="1"/>
        <c:lblAlgn val="ctr"/>
        <c:lblOffset val="100"/>
        <c:noMultiLvlLbl val="0"/>
      </c:catAx>
      <c:valAx>
        <c:axId val="95688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56878591"/>
        <c:crosses val="autoZero"/>
        <c:crossBetween val="between"/>
      </c:valAx>
      <c:valAx>
        <c:axId val="955555919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55558207"/>
        <c:crosses val="max"/>
        <c:crossBetween val="between"/>
      </c:valAx>
      <c:catAx>
        <c:axId val="9555582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555559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Break-even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'Proj. Dash'!$B$24</c:f>
              <c:strCache>
                <c:ptCount val="1"/>
                <c:pt idx="0">
                  <c:v>Break-even quantity A (in million)
          Fixed Cost / (Unit CM)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'Proj. Dash'!$C$24:$H$24</c:f>
              <c:numCache>
                <c:formatCode>_(* #,##0.00_);_(* \(#,##0.00\);_(* "-"??_);_(@_)</c:formatCode>
                <c:ptCount val="6"/>
                <c:pt idx="0">
                  <c:v>0.29961141632051452</c:v>
                </c:pt>
                <c:pt idx="1">
                  <c:v>0.37152033457741201</c:v>
                </c:pt>
                <c:pt idx="2">
                  <c:v>0.38035436999241534</c:v>
                </c:pt>
                <c:pt idx="3">
                  <c:v>0.38810377579722349</c:v>
                </c:pt>
                <c:pt idx="4">
                  <c:v>0.39488425775776781</c:v>
                </c:pt>
                <c:pt idx="5">
                  <c:v>0.40080164509610772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BC4-D149-AE9D-DDBA271450EA}"/>
            </c:ext>
          </c:extLst>
        </c:ser>
        <c:ser>
          <c:idx val="1"/>
          <c:order val="1"/>
          <c:tx>
            <c:strRef>
              <c:f>'Proj. Dash'!$B$25</c:f>
              <c:strCache>
                <c:ptCount val="1"/>
                <c:pt idx="0">
                  <c:v>Break-even euro A (in million)
          Fixed Cost / (Unit CM ratio)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'Proj. Dash'!$C$25:$H$25</c:f>
              <c:numCache>
                <c:formatCode>_(* #,##0.00_);_(* \(#,##0.00\);_(* "-"??_);_(@_)</c:formatCode>
                <c:ptCount val="6"/>
                <c:pt idx="0">
                  <c:v>2.3968613694224845</c:v>
                </c:pt>
                <c:pt idx="1">
                  <c:v>2.1747259935993939</c:v>
                </c:pt>
                <c:pt idx="2">
                  <c:v>2.2264367740260909</c:v>
                </c:pt>
                <c:pt idx="3">
                  <c:v>2.2717985824391773</c:v>
                </c:pt>
                <c:pt idx="4">
                  <c:v>2.3114887124168546</c:v>
                </c:pt>
                <c:pt idx="5">
                  <c:v>2.3461266443446482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BC4-D149-AE9D-DDBA271450EA}"/>
            </c:ext>
          </c:extLst>
        </c:ser>
        <c:ser>
          <c:idx val="4"/>
          <c:order val="2"/>
          <c:tx>
            <c:strRef>
              <c:f>'Proj. Dash'!$B$28</c:f>
              <c:strCache>
                <c:ptCount val="1"/>
                <c:pt idx="0">
                  <c:v>Break-even quantity B (in million)
Fixed Cost / (Unit CM)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'Proj. Dash'!$C$28:$H$28</c:f>
              <c:numCache>
                <c:formatCode>_(* #,##0.00_);_(* \(#,##0.00\);_(* "-"??_);_(@_)</c:formatCode>
                <c:ptCount val="6"/>
                <c:pt idx="0">
                  <c:v>0.14094311371050058</c:v>
                </c:pt>
                <c:pt idx="1">
                  <c:v>0.7345521602092504</c:v>
                </c:pt>
                <c:pt idx="2">
                  <c:v>0.76849362626866191</c:v>
                </c:pt>
                <c:pt idx="3">
                  <c:v>0.80080063927356804</c:v>
                </c:pt>
                <c:pt idx="4">
                  <c:v>0.8302148910936783</c:v>
                </c:pt>
                <c:pt idx="5">
                  <c:v>0.85681024990700505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BC4-D149-AE9D-DDBA271450EA}"/>
            </c:ext>
          </c:extLst>
        </c:ser>
        <c:ser>
          <c:idx val="5"/>
          <c:order val="3"/>
          <c:tx>
            <c:strRef>
              <c:f>'Proj. Dash'!$B$29</c:f>
              <c:strCache>
                <c:ptCount val="1"/>
                <c:pt idx="0">
                  <c:v>Break-even euro B (in million)
          Fixed Cost / (Unit CM ratio)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'Proj. Dash'!$C$29:$H$29</c:f>
              <c:numCache>
                <c:formatCode>_(* #,##0.00_);_(* \(#,##0.00\);_(* "-"??_);_(@_)</c:formatCode>
                <c:ptCount val="6"/>
                <c:pt idx="0">
                  <c:v>0.56375836053063122</c:v>
                </c:pt>
                <c:pt idx="1">
                  <c:v>0.57679036957461283</c:v>
                </c:pt>
                <c:pt idx="2">
                  <c:v>0.60344213348302633</c:v>
                </c:pt>
                <c:pt idx="3">
                  <c:v>0.62881048032124598</c:v>
                </c:pt>
                <c:pt idx="4">
                  <c:v>0.65190735226189744</c:v>
                </c:pt>
                <c:pt idx="5">
                  <c:v>0.6727907526109459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BC4-D149-AE9D-DDBA271450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956365055"/>
        <c:axId val="950207007"/>
      </c:barChart>
      <c:catAx>
        <c:axId val="95636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50207007"/>
        <c:crosses val="autoZero"/>
        <c:auto val="1"/>
        <c:lblAlgn val="ctr"/>
        <c:lblOffset val="100"/>
        <c:noMultiLvlLbl val="0"/>
      </c:catAx>
      <c:valAx>
        <c:axId val="950207007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95636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299086</xdr:colOff>
      <xdr:row>24</xdr:row>
      <xdr:rowOff>290177</xdr:rowOff>
    </xdr:from>
    <xdr:to>
      <xdr:col>16</xdr:col>
      <xdr:colOff>355600</xdr:colOff>
      <xdr:row>36</xdr:row>
      <xdr:rowOff>101601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379667</xdr:colOff>
      <xdr:row>2</xdr:row>
      <xdr:rowOff>38101</xdr:rowOff>
    </xdr:from>
    <xdr:to>
      <xdr:col>17</xdr:col>
      <xdr:colOff>609600</xdr:colOff>
      <xdr:row>24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BC53-5F7E-45C5-B156-167649FA9FEE}">
  <sheetPr>
    <tabColor theme="7"/>
  </sheetPr>
  <dimension ref="B1:O63"/>
  <sheetViews>
    <sheetView topLeftCell="A19" workbookViewId="0">
      <selection activeCell="C23" sqref="C23"/>
    </sheetView>
  </sheetViews>
  <sheetFormatPr baseColWidth="10" defaultColWidth="9" defaultRowHeight="16" x14ac:dyDescent="0.2"/>
  <cols>
    <col min="1" max="1" width="9" style="5"/>
    <col min="2" max="2" width="41.1640625" style="5" customWidth="1"/>
    <col min="3" max="3" width="9.1640625" style="5" bestFit="1" customWidth="1"/>
    <col min="4" max="4" width="12" style="5" customWidth="1"/>
    <col min="5" max="5" width="9" style="5"/>
    <col min="6" max="6" width="9.1640625" style="5" bestFit="1" customWidth="1"/>
    <col min="7" max="16384" width="9" style="5"/>
  </cols>
  <sheetData>
    <row r="1" spans="2:14" ht="20" x14ac:dyDescent="0.2">
      <c r="B1" s="31" t="s">
        <v>210</v>
      </c>
    </row>
    <row r="2" spans="2:14" ht="20" x14ac:dyDescent="0.2">
      <c r="B2" s="31"/>
    </row>
    <row r="3" spans="2:14" x14ac:dyDescent="0.2">
      <c r="B3" s="87" t="s">
        <v>209</v>
      </c>
    </row>
    <row r="5" spans="2:14" x14ac:dyDescent="0.2">
      <c r="B5" s="5" t="s">
        <v>0</v>
      </c>
      <c r="C5" s="5">
        <v>1000000</v>
      </c>
    </row>
    <row r="7" spans="2:14" x14ac:dyDescent="0.2">
      <c r="C7" s="90" t="s">
        <v>1</v>
      </c>
      <c r="D7" s="90"/>
      <c r="E7" s="90"/>
      <c r="F7" s="90"/>
      <c r="G7" s="90"/>
      <c r="H7" s="90"/>
    </row>
    <row r="8" spans="2:14" ht="18" x14ac:dyDescent="0.2">
      <c r="B8" s="7" t="s">
        <v>2</v>
      </c>
      <c r="C8" s="8">
        <v>1</v>
      </c>
      <c r="D8" s="8">
        <v>2</v>
      </c>
      <c r="E8" s="8">
        <v>3</v>
      </c>
      <c r="F8" s="8">
        <v>4</v>
      </c>
      <c r="G8" s="8">
        <v>5</v>
      </c>
      <c r="H8" s="8">
        <v>6</v>
      </c>
    </row>
    <row r="9" spans="2:14" x14ac:dyDescent="0.2">
      <c r="B9" s="85" t="s">
        <v>207</v>
      </c>
      <c r="C9" s="86" cm="1">
        <f t="array" ref="C9">3000000/unit</f>
        <v>3</v>
      </c>
      <c r="D9" s="84">
        <v>0.05</v>
      </c>
      <c r="E9" s="84">
        <v>0.05</v>
      </c>
      <c r="F9" s="84">
        <v>0.05</v>
      </c>
      <c r="G9" s="84">
        <v>0.05</v>
      </c>
      <c r="H9" s="84">
        <v>0.05</v>
      </c>
      <c r="J9" s="15"/>
      <c r="K9" s="15"/>
      <c r="L9" s="15"/>
      <c r="M9" s="15"/>
      <c r="N9" s="15"/>
    </row>
    <row r="10" spans="2:14" x14ac:dyDescent="0.2">
      <c r="B10" s="85" t="s">
        <v>208</v>
      </c>
      <c r="C10" s="86" cm="1">
        <f t="array" ref="C10">1100000/unit</f>
        <v>1.1000000000000001</v>
      </c>
      <c r="D10" s="84">
        <v>0.05</v>
      </c>
      <c r="E10" s="84">
        <v>0.05</v>
      </c>
      <c r="F10" s="84">
        <v>0.05</v>
      </c>
      <c r="G10" s="84">
        <v>0.05</v>
      </c>
      <c r="H10" s="84">
        <v>0.05</v>
      </c>
    </row>
    <row r="11" spans="2:14" x14ac:dyDescent="0.2">
      <c r="B11" s="6"/>
      <c r="C11" s="14"/>
      <c r="D11" s="15"/>
      <c r="E11" s="15"/>
      <c r="F11" s="15"/>
      <c r="G11" s="15"/>
      <c r="H11" s="15"/>
    </row>
    <row r="12" spans="2:14" x14ac:dyDescent="0.2">
      <c r="B12" s="6" t="s">
        <v>3</v>
      </c>
      <c r="C12" s="34">
        <v>8</v>
      </c>
      <c r="D12" s="34">
        <v>8</v>
      </c>
      <c r="E12" s="34">
        <v>8</v>
      </c>
      <c r="F12" s="34">
        <v>8</v>
      </c>
      <c r="G12" s="34">
        <v>8</v>
      </c>
      <c r="H12" s="34">
        <v>8</v>
      </c>
    </row>
    <row r="13" spans="2:14" x14ac:dyDescent="0.2">
      <c r="B13" s="6" t="s">
        <v>4</v>
      </c>
      <c r="C13" s="35">
        <v>4</v>
      </c>
      <c r="D13" s="35">
        <v>4</v>
      </c>
      <c r="E13" s="35">
        <v>4</v>
      </c>
      <c r="F13" s="35">
        <v>4</v>
      </c>
      <c r="G13" s="35">
        <v>4</v>
      </c>
      <c r="H13" s="35">
        <v>4</v>
      </c>
    </row>
    <row r="14" spans="2:14" x14ac:dyDescent="0.2">
      <c r="B14" s="6"/>
      <c r="D14" s="11"/>
      <c r="E14" s="11"/>
      <c r="F14" s="11"/>
      <c r="G14" s="11"/>
      <c r="H14" s="11"/>
    </row>
    <row r="15" spans="2:14" x14ac:dyDescent="0.2">
      <c r="B15" s="6" t="s">
        <v>5</v>
      </c>
      <c r="C15" s="16">
        <v>0.9</v>
      </c>
      <c r="D15" s="91" t="s">
        <v>6</v>
      </c>
      <c r="E15" s="11"/>
      <c r="F15" s="11"/>
      <c r="G15" s="11"/>
      <c r="H15" s="11"/>
    </row>
    <row r="16" spans="2:14" x14ac:dyDescent="0.2">
      <c r="B16" s="6" t="s">
        <v>7</v>
      </c>
      <c r="C16" s="17">
        <v>0.05</v>
      </c>
      <c r="D16" s="91"/>
      <c r="E16" s="11"/>
      <c r="F16" s="11"/>
      <c r="G16" s="11"/>
      <c r="H16" s="11"/>
    </row>
    <row r="17" spans="2:9" x14ac:dyDescent="0.2">
      <c r="B17" s="6" t="s">
        <v>8</v>
      </c>
      <c r="C17" s="17">
        <v>0.05</v>
      </c>
      <c r="D17" s="91"/>
      <c r="E17" s="11"/>
      <c r="F17" s="11"/>
      <c r="G17" s="11"/>
      <c r="H17" s="11"/>
    </row>
    <row r="18" spans="2:9" x14ac:dyDescent="0.2">
      <c r="B18" s="6"/>
      <c r="C18" s="17"/>
      <c r="D18" s="18"/>
      <c r="E18" s="11"/>
      <c r="F18" s="11"/>
      <c r="G18" s="11"/>
      <c r="H18" s="11"/>
    </row>
    <row r="19" spans="2:9" x14ac:dyDescent="0.2">
      <c r="B19" s="6" t="s">
        <v>9</v>
      </c>
      <c r="C19" s="17">
        <v>1E-4</v>
      </c>
      <c r="D19" s="17">
        <v>1E-4</v>
      </c>
      <c r="E19" s="17">
        <v>1E-4</v>
      </c>
      <c r="F19" s="17">
        <v>1E-4</v>
      </c>
      <c r="G19" s="17">
        <v>1E-4</v>
      </c>
      <c r="H19" s="17">
        <v>1E-4</v>
      </c>
    </row>
    <row r="20" spans="2:9" x14ac:dyDescent="0.2">
      <c r="B20" s="6"/>
      <c r="D20" s="11"/>
      <c r="E20" s="11"/>
      <c r="F20" s="11"/>
      <c r="G20" s="11"/>
      <c r="H20" s="11"/>
    </row>
    <row r="21" spans="2:9" x14ac:dyDescent="0.2">
      <c r="B21" s="21" t="s">
        <v>10</v>
      </c>
      <c r="C21" s="8">
        <v>1</v>
      </c>
      <c r="D21" s="8">
        <v>2</v>
      </c>
      <c r="E21" s="8">
        <v>3</v>
      </c>
      <c r="F21" s="8">
        <v>4</v>
      </c>
      <c r="G21" s="8">
        <v>5</v>
      </c>
      <c r="H21" s="8">
        <v>6</v>
      </c>
    </row>
    <row r="22" spans="2:9" x14ac:dyDescent="0.2">
      <c r="B22" s="6" t="s">
        <v>11</v>
      </c>
      <c r="C22" s="22">
        <v>0.01</v>
      </c>
      <c r="D22" s="22">
        <v>0.01</v>
      </c>
      <c r="E22" s="22">
        <v>0.01</v>
      </c>
      <c r="F22" s="22">
        <v>0.01</v>
      </c>
      <c r="G22" s="22">
        <v>0.01</v>
      </c>
      <c r="H22" s="22">
        <v>0.01</v>
      </c>
      <c r="I22" s="22"/>
    </row>
    <row r="23" spans="2:9" x14ac:dyDescent="0.2">
      <c r="B23" s="6" t="s">
        <v>12</v>
      </c>
      <c r="C23" s="5">
        <v>1.5</v>
      </c>
      <c r="D23" s="5">
        <v>1.5</v>
      </c>
      <c r="E23" s="5">
        <v>1.5</v>
      </c>
      <c r="F23" s="5">
        <v>1.5</v>
      </c>
      <c r="G23" s="5">
        <v>1.5</v>
      </c>
      <c r="H23" s="5">
        <v>1.5</v>
      </c>
    </row>
    <row r="24" spans="2:9" x14ac:dyDescent="0.2">
      <c r="B24" s="6" t="s">
        <v>13</v>
      </c>
      <c r="C24" s="5">
        <v>0.5</v>
      </c>
      <c r="D24" s="5">
        <v>0.5</v>
      </c>
      <c r="E24" s="5">
        <v>0.5</v>
      </c>
      <c r="F24" s="5">
        <v>0.5</v>
      </c>
      <c r="G24" s="5">
        <v>0.5</v>
      </c>
      <c r="H24" s="5">
        <v>0.5</v>
      </c>
    </row>
    <row r="25" spans="2:9" x14ac:dyDescent="0.2">
      <c r="B25" s="6" t="s">
        <v>14</v>
      </c>
      <c r="C25" s="22">
        <v>0.1</v>
      </c>
      <c r="D25" s="22">
        <v>0.1</v>
      </c>
      <c r="E25" s="22">
        <v>0.1</v>
      </c>
      <c r="F25" s="22">
        <v>0.1</v>
      </c>
      <c r="G25" s="22">
        <v>0.1</v>
      </c>
      <c r="H25" s="22">
        <v>0.1</v>
      </c>
    </row>
    <row r="26" spans="2:9" x14ac:dyDescent="0.2">
      <c r="B26" s="6" t="s">
        <v>15</v>
      </c>
      <c r="C26" s="5">
        <v>2</v>
      </c>
      <c r="D26" s="5">
        <v>2</v>
      </c>
      <c r="E26" s="5">
        <v>2</v>
      </c>
      <c r="F26" s="5">
        <v>2</v>
      </c>
      <c r="G26" s="5">
        <v>2</v>
      </c>
      <c r="H26" s="5">
        <v>2</v>
      </c>
    </row>
    <row r="27" spans="2:9" x14ac:dyDescent="0.2">
      <c r="B27" s="6" t="s">
        <v>16</v>
      </c>
      <c r="C27" s="5">
        <v>0.7</v>
      </c>
      <c r="D27" s="5">
        <v>0.7</v>
      </c>
      <c r="E27" s="5">
        <v>0.7</v>
      </c>
      <c r="F27" s="5">
        <v>0.7</v>
      </c>
      <c r="G27" s="5">
        <v>0.7</v>
      </c>
      <c r="H27" s="5">
        <v>0.7</v>
      </c>
    </row>
    <row r="28" spans="2:9" x14ac:dyDescent="0.2">
      <c r="B28" s="6"/>
      <c r="D28" s="11"/>
      <c r="E28" s="11"/>
      <c r="F28" s="11"/>
      <c r="G28" s="11"/>
      <c r="H28" s="11"/>
    </row>
    <row r="29" spans="2:9" x14ac:dyDescent="0.2">
      <c r="B29" s="6" t="s">
        <v>17</v>
      </c>
      <c r="C29" s="22">
        <v>0.8</v>
      </c>
      <c r="D29" s="11"/>
      <c r="E29" s="11"/>
      <c r="F29" s="11"/>
      <c r="G29" s="11"/>
      <c r="H29" s="11"/>
    </row>
    <row r="30" spans="2:9" x14ac:dyDescent="0.2">
      <c r="B30" s="6" t="s">
        <v>18</v>
      </c>
      <c r="C30" s="22">
        <v>0.1</v>
      </c>
      <c r="D30" s="11"/>
      <c r="E30" s="11"/>
      <c r="F30" s="11"/>
      <c r="G30" s="11"/>
      <c r="H30" s="11"/>
    </row>
    <row r="31" spans="2:9" x14ac:dyDescent="0.2">
      <c r="B31" s="6" t="s">
        <v>19</v>
      </c>
      <c r="C31" s="22">
        <v>0.1</v>
      </c>
      <c r="D31" s="11"/>
      <c r="E31" s="11"/>
      <c r="F31" s="11"/>
      <c r="G31" s="11"/>
      <c r="H31" s="11"/>
    </row>
    <row r="32" spans="2:9" x14ac:dyDescent="0.2">
      <c r="B32" s="6"/>
      <c r="D32" s="11"/>
      <c r="E32" s="11"/>
      <c r="F32" s="11"/>
      <c r="G32" s="11"/>
      <c r="H32" s="11"/>
    </row>
    <row r="33" spans="2:8" x14ac:dyDescent="0.2">
      <c r="B33" s="6"/>
      <c r="D33" s="11"/>
      <c r="E33" s="11"/>
      <c r="F33" s="11"/>
      <c r="G33" s="11"/>
      <c r="H33" s="11"/>
    </row>
    <row r="34" spans="2:8" x14ac:dyDescent="0.2">
      <c r="B34" s="6"/>
      <c r="D34" s="11"/>
      <c r="E34" s="11"/>
      <c r="F34" s="11"/>
      <c r="G34" s="11"/>
      <c r="H34" s="11"/>
    </row>
    <row r="35" spans="2:8" x14ac:dyDescent="0.2">
      <c r="B35" s="21" t="s">
        <v>20</v>
      </c>
      <c r="C35" s="8">
        <f>C21</f>
        <v>1</v>
      </c>
      <c r="D35" s="8">
        <f t="shared" ref="D35:H35" si="0">D21</f>
        <v>2</v>
      </c>
      <c r="E35" s="8">
        <f t="shared" si="0"/>
        <v>3</v>
      </c>
      <c r="F35" s="8">
        <f t="shared" si="0"/>
        <v>4</v>
      </c>
      <c r="G35" s="8">
        <f t="shared" si="0"/>
        <v>5</v>
      </c>
      <c r="H35" s="8">
        <f t="shared" si="0"/>
        <v>6</v>
      </c>
    </row>
    <row r="36" spans="2:8" x14ac:dyDescent="0.2">
      <c r="B36" s="6" t="s">
        <v>21</v>
      </c>
      <c r="C36" s="5">
        <v>144</v>
      </c>
      <c r="D36" s="5">
        <v>144</v>
      </c>
      <c r="E36" s="5">
        <v>144</v>
      </c>
      <c r="F36" s="5">
        <v>150</v>
      </c>
      <c r="G36" s="5">
        <v>150</v>
      </c>
      <c r="H36" s="5">
        <v>150</v>
      </c>
    </row>
    <row r="37" spans="2:8" x14ac:dyDescent="0.2">
      <c r="B37" s="6" t="s">
        <v>22</v>
      </c>
      <c r="C37" s="5">
        <v>10</v>
      </c>
      <c r="D37" s="5">
        <v>10</v>
      </c>
      <c r="E37" s="5">
        <v>10</v>
      </c>
      <c r="F37" s="5">
        <v>10</v>
      </c>
      <c r="G37" s="5">
        <v>10</v>
      </c>
      <c r="H37" s="5">
        <v>10</v>
      </c>
    </row>
    <row r="38" spans="2:8" x14ac:dyDescent="0.2">
      <c r="B38" s="6" t="s">
        <v>23</v>
      </c>
      <c r="C38" s="5">
        <v>20</v>
      </c>
      <c r="D38" s="5">
        <v>20</v>
      </c>
      <c r="E38" s="5">
        <v>20</v>
      </c>
      <c r="F38" s="5">
        <v>21</v>
      </c>
      <c r="G38" s="5">
        <v>21</v>
      </c>
      <c r="H38" s="5">
        <v>21</v>
      </c>
    </row>
    <row r="40" spans="2:8" x14ac:dyDescent="0.2">
      <c r="B40" s="6" t="s">
        <v>24</v>
      </c>
      <c r="C40" s="5">
        <v>64</v>
      </c>
      <c r="D40" s="5">
        <v>64</v>
      </c>
      <c r="E40" s="5">
        <v>64</v>
      </c>
      <c r="F40" s="5">
        <v>64</v>
      </c>
      <c r="G40" s="5">
        <v>64</v>
      </c>
      <c r="H40" s="5">
        <v>64</v>
      </c>
    </row>
    <row r="41" spans="2:8" x14ac:dyDescent="0.2">
      <c r="B41" s="6" t="s">
        <v>25</v>
      </c>
      <c r="C41" s="5">
        <v>10</v>
      </c>
      <c r="D41" s="5">
        <v>10</v>
      </c>
      <c r="E41" s="5">
        <v>10</v>
      </c>
      <c r="F41" s="5">
        <v>10</v>
      </c>
      <c r="G41" s="5">
        <v>10</v>
      </c>
      <c r="H41" s="5">
        <v>10</v>
      </c>
    </row>
    <row r="42" spans="2:8" x14ac:dyDescent="0.2">
      <c r="B42" s="6" t="s">
        <v>23</v>
      </c>
      <c r="C42" s="5">
        <v>5</v>
      </c>
      <c r="D42" s="5">
        <v>5</v>
      </c>
      <c r="E42" s="5">
        <v>5</v>
      </c>
      <c r="F42" s="5">
        <v>5</v>
      </c>
      <c r="G42" s="5">
        <v>5</v>
      </c>
      <c r="H42" s="5">
        <v>5</v>
      </c>
    </row>
    <row r="43" spans="2:8" x14ac:dyDescent="0.2">
      <c r="B43" s="6"/>
      <c r="D43" s="11"/>
      <c r="E43" s="11"/>
      <c r="F43" s="11"/>
      <c r="G43" s="11"/>
      <c r="H43" s="11"/>
    </row>
    <row r="44" spans="2:8" x14ac:dyDescent="0.2">
      <c r="B44" s="6"/>
      <c r="D44" s="11"/>
      <c r="E44" s="11"/>
      <c r="F44" s="11"/>
      <c r="G44" s="11"/>
      <c r="H44" s="11"/>
    </row>
    <row r="45" spans="2:8" x14ac:dyDescent="0.2">
      <c r="B45" s="6" t="s">
        <v>26</v>
      </c>
      <c r="C45" s="5">
        <v>5</v>
      </c>
      <c r="D45" s="5">
        <v>5</v>
      </c>
      <c r="E45" s="5">
        <v>5</v>
      </c>
      <c r="F45" s="5">
        <v>5</v>
      </c>
      <c r="G45" s="5">
        <v>5</v>
      </c>
      <c r="H45" s="5">
        <v>5</v>
      </c>
    </row>
    <row r="46" spans="2:8" x14ac:dyDescent="0.2">
      <c r="B46" s="6"/>
    </row>
    <row r="47" spans="2:8" x14ac:dyDescent="0.2">
      <c r="B47" s="6" t="s">
        <v>27</v>
      </c>
      <c r="C47" s="5" cm="1">
        <f t="array" ref="C47">1200/unit</f>
        <v>1.1999999999999999E-3</v>
      </c>
      <c r="D47" s="5" cm="1">
        <f t="array" ref="D47">1200/unit</f>
        <v>1.1999999999999999E-3</v>
      </c>
      <c r="E47" s="5" cm="1">
        <f t="array" ref="E47">1200/unit</f>
        <v>1.1999999999999999E-3</v>
      </c>
      <c r="F47" s="5" cm="1">
        <f t="array" ref="F47">1200/unit</f>
        <v>1.1999999999999999E-3</v>
      </c>
      <c r="G47" s="5" cm="1">
        <f t="array" ref="G47">1200/unit</f>
        <v>1.1999999999999999E-3</v>
      </c>
      <c r="H47" s="5" cm="1">
        <f t="array" ref="H47">1200/unit</f>
        <v>1.1999999999999999E-3</v>
      </c>
    </row>
    <row r="48" spans="2:8" x14ac:dyDescent="0.2">
      <c r="B48" s="6" t="s">
        <v>28</v>
      </c>
      <c r="C48" s="5" cm="1">
        <f t="array" ref="C48">5000/unit</f>
        <v>5.0000000000000001E-3</v>
      </c>
      <c r="D48" s="5" cm="1">
        <f t="array" ref="D48">5000/unit</f>
        <v>5.0000000000000001E-3</v>
      </c>
      <c r="E48" s="5" cm="1">
        <f t="array" ref="E48">5000/unit</f>
        <v>5.0000000000000001E-3</v>
      </c>
      <c r="F48" s="5" cm="1">
        <f t="array" ref="F48">5000/unit</f>
        <v>5.0000000000000001E-3</v>
      </c>
      <c r="G48" s="5" cm="1">
        <f t="array" ref="G48">5000/unit</f>
        <v>5.0000000000000001E-3</v>
      </c>
      <c r="H48" s="5" cm="1">
        <f t="array" ref="H48">5000/unit</f>
        <v>5.0000000000000001E-3</v>
      </c>
    </row>
    <row r="49" spans="2:15" x14ac:dyDescent="0.2">
      <c r="B49" s="37" t="s">
        <v>29</v>
      </c>
    </row>
    <row r="50" spans="2:15" x14ac:dyDescent="0.2">
      <c r="B50" s="6"/>
      <c r="D50" s="11"/>
      <c r="E50" s="11"/>
      <c r="F50" s="11"/>
      <c r="G50" s="11"/>
      <c r="H50" s="11"/>
    </row>
    <row r="51" spans="2:15" x14ac:dyDescent="0.2">
      <c r="B51" s="6"/>
      <c r="D51" s="11"/>
      <c r="E51" s="11"/>
      <c r="F51" s="11"/>
      <c r="G51" s="11"/>
      <c r="H51" s="11"/>
    </row>
    <row r="52" spans="2:15" x14ac:dyDescent="0.2">
      <c r="B52" s="21" t="s">
        <v>30</v>
      </c>
      <c r="C52" s="8">
        <f>C35</f>
        <v>1</v>
      </c>
      <c r="D52" s="8">
        <f t="shared" ref="D52:H52" si="1">D35</f>
        <v>2</v>
      </c>
      <c r="E52" s="8">
        <f t="shared" si="1"/>
        <v>3</v>
      </c>
      <c r="F52" s="8">
        <f t="shared" si="1"/>
        <v>4</v>
      </c>
      <c r="G52" s="8">
        <f t="shared" si="1"/>
        <v>5</v>
      </c>
      <c r="H52" s="8">
        <f t="shared" si="1"/>
        <v>6</v>
      </c>
    </row>
    <row r="53" spans="2:15" x14ac:dyDescent="0.2">
      <c r="B53" s="6" t="s">
        <v>31</v>
      </c>
      <c r="C53" s="5">
        <v>0.25</v>
      </c>
      <c r="D53" s="5">
        <v>0.25</v>
      </c>
      <c r="E53" s="5">
        <v>0.25</v>
      </c>
      <c r="F53" s="5">
        <v>0.25</v>
      </c>
      <c r="G53" s="5">
        <v>0.25</v>
      </c>
      <c r="H53" s="5">
        <v>0.25</v>
      </c>
    </row>
    <row r="54" spans="2:15" x14ac:dyDescent="0.2">
      <c r="B54" s="6" t="s">
        <v>32</v>
      </c>
      <c r="C54" s="5">
        <v>0.08</v>
      </c>
      <c r="D54" s="5">
        <v>0.08</v>
      </c>
      <c r="E54" s="5">
        <v>0.08</v>
      </c>
      <c r="F54" s="5">
        <v>0.08</v>
      </c>
      <c r="G54" s="5">
        <v>0.08</v>
      </c>
      <c r="H54" s="5">
        <v>0.08</v>
      </c>
    </row>
    <row r="55" spans="2:15" x14ac:dyDescent="0.2">
      <c r="B55" s="6"/>
      <c r="D55" s="11"/>
      <c r="E55" s="11"/>
      <c r="F55" s="11"/>
      <c r="G55" s="11"/>
      <c r="H55" s="11"/>
    </row>
    <row r="56" spans="2:15" x14ac:dyDescent="0.2">
      <c r="B56" s="6"/>
      <c r="D56" s="11"/>
      <c r="E56" s="11"/>
      <c r="F56" s="11"/>
      <c r="G56" s="11"/>
      <c r="H56" s="11"/>
    </row>
    <row r="57" spans="2:15" x14ac:dyDescent="0.2">
      <c r="B57" s="21" t="s">
        <v>33</v>
      </c>
      <c r="C57" s="8">
        <f>C52</f>
        <v>1</v>
      </c>
      <c r="D57" s="8">
        <f t="shared" ref="D57:H57" si="2">D52</f>
        <v>2</v>
      </c>
      <c r="E57" s="8">
        <f t="shared" si="2"/>
        <v>3</v>
      </c>
      <c r="F57" s="8">
        <f t="shared" si="2"/>
        <v>4</v>
      </c>
      <c r="G57" s="8">
        <f t="shared" si="2"/>
        <v>5</v>
      </c>
      <c r="H57" s="8">
        <f t="shared" si="2"/>
        <v>6</v>
      </c>
    </row>
    <row r="59" spans="2:15" x14ac:dyDescent="0.2">
      <c r="B59" s="1" t="s">
        <v>34</v>
      </c>
      <c r="C59" s="38">
        <v>4</v>
      </c>
      <c r="D59" s="38">
        <v>4.5</v>
      </c>
      <c r="E59" s="38">
        <v>5</v>
      </c>
      <c r="F59" s="38">
        <v>5.5</v>
      </c>
      <c r="G59" s="38">
        <v>6</v>
      </c>
      <c r="H59" s="38">
        <v>6.5</v>
      </c>
      <c r="J59" s="38"/>
      <c r="K59" s="38"/>
      <c r="L59" s="38"/>
      <c r="M59" s="38"/>
      <c r="N59" s="38"/>
      <c r="O59" s="38"/>
    </row>
    <row r="60" spans="2:15" x14ac:dyDescent="0.2">
      <c r="B60" s="1" t="s">
        <v>35</v>
      </c>
      <c r="C60" s="38">
        <v>5</v>
      </c>
      <c r="D60" s="38">
        <f>C60*1.05</f>
        <v>5.25</v>
      </c>
      <c r="E60" s="38">
        <f t="shared" ref="E60" si="3">D60*1.05</f>
        <v>5.5125000000000002</v>
      </c>
      <c r="F60" s="38">
        <f t="shared" ref="F60" si="4">E60*1.05</f>
        <v>5.7881250000000009</v>
      </c>
      <c r="G60" s="38">
        <f t="shared" ref="G60" si="5">F60*1.05</f>
        <v>6.0775312500000007</v>
      </c>
      <c r="H60" s="38">
        <f t="shared" ref="H60" si="6">G60*1.05</f>
        <v>6.3814078125000009</v>
      </c>
      <c r="J60" s="38"/>
      <c r="K60" s="38"/>
      <c r="L60" s="38"/>
      <c r="M60" s="38"/>
      <c r="N60" s="38"/>
      <c r="O60" s="38"/>
    </row>
    <row r="61" spans="2:15" x14ac:dyDescent="0.2">
      <c r="B61" s="1" t="s">
        <v>36</v>
      </c>
      <c r="C61" s="38">
        <v>1</v>
      </c>
      <c r="D61" s="38">
        <v>1</v>
      </c>
      <c r="E61" s="38">
        <v>1</v>
      </c>
      <c r="F61" s="38">
        <v>1</v>
      </c>
      <c r="G61" s="38">
        <v>1</v>
      </c>
      <c r="H61" s="38">
        <v>1</v>
      </c>
    </row>
    <row r="62" spans="2:15" x14ac:dyDescent="0.2">
      <c r="B62" s="1"/>
      <c r="C62" s="32"/>
    </row>
    <row r="63" spans="2:15" x14ac:dyDescent="0.2">
      <c r="B63" s="1"/>
      <c r="C63" s="32"/>
    </row>
  </sheetData>
  <sheetProtection selectLockedCells="1"/>
  <mergeCells count="2">
    <mergeCell ref="C7:H7"/>
    <mergeCell ref="D15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89EE-C691-C34F-A84B-77D6838FD9BD}">
  <sheetPr>
    <tabColor rgb="FFC00000"/>
  </sheetPr>
  <dimension ref="B2:J27"/>
  <sheetViews>
    <sheetView zoomScaleNormal="100" workbookViewId="0">
      <selection activeCell="E5" sqref="E5"/>
    </sheetView>
  </sheetViews>
  <sheetFormatPr baseColWidth="10" defaultRowHeight="16" outlineLevelCol="1" x14ac:dyDescent="0.2"/>
  <cols>
    <col min="1" max="1" width="10.83203125" style="5"/>
    <col min="2" max="2" width="40" style="5" customWidth="1"/>
    <col min="3" max="8" width="10.83203125" style="5"/>
    <col min="9" max="9" width="17.5" style="5" hidden="1" customWidth="1" outlineLevel="1"/>
    <col min="10" max="10" width="10.83203125" style="5" collapsed="1"/>
    <col min="11" max="16384" width="10.83203125" style="5"/>
  </cols>
  <sheetData>
    <row r="2" spans="2:9" ht="20" x14ac:dyDescent="0.2">
      <c r="B2" s="31" t="str">
        <f>name</f>
        <v>Compagny Incognito, by eliediwambuena</v>
      </c>
    </row>
    <row r="3" spans="2:9" ht="13" customHeight="1" x14ac:dyDescent="0.2"/>
    <row r="4" spans="2:9" ht="29" customHeight="1" x14ac:dyDescent="0.2">
      <c r="B4" s="87" t="s">
        <v>212</v>
      </c>
    </row>
    <row r="5" spans="2:9" ht="20" customHeight="1" x14ac:dyDescent="0.2">
      <c r="B5" s="87" t="s">
        <v>213</v>
      </c>
    </row>
    <row r="7" spans="2:9" ht="18" x14ac:dyDescent="0.2">
      <c r="B7" s="61" t="s">
        <v>191</v>
      </c>
      <c r="C7" s="62">
        <v>1</v>
      </c>
      <c r="D7" s="62">
        <v>2</v>
      </c>
      <c r="E7" s="62">
        <v>3</v>
      </c>
      <c r="F7" s="62">
        <v>4</v>
      </c>
      <c r="G7" s="62">
        <v>5</v>
      </c>
      <c r="H7" s="62">
        <v>6</v>
      </c>
      <c r="I7" s="39" t="s">
        <v>205</v>
      </c>
    </row>
    <row r="8" spans="2:9" x14ac:dyDescent="0.2">
      <c r="B8" s="63" t="s">
        <v>199</v>
      </c>
      <c r="C8" s="64" cm="1">
        <f t="array" ref="C8">3000000/unit</f>
        <v>3</v>
      </c>
      <c r="D8" s="65">
        <v>0.05</v>
      </c>
      <c r="E8" s="65">
        <v>0.04</v>
      </c>
      <c r="F8" s="65">
        <v>0.03</v>
      </c>
      <c r="G8" s="65">
        <v>0.03</v>
      </c>
      <c r="H8" s="65">
        <v>0.03</v>
      </c>
      <c r="I8" s="5" t="b">
        <v>1</v>
      </c>
    </row>
    <row r="9" spans="2:9" x14ac:dyDescent="0.2">
      <c r="B9" s="63" t="s">
        <v>200</v>
      </c>
      <c r="C9" s="14" cm="1">
        <f t="array" ref="C9">3000000/unit</f>
        <v>3</v>
      </c>
      <c r="D9" s="15">
        <v>0.05</v>
      </c>
      <c r="E9" s="15">
        <v>0.05</v>
      </c>
      <c r="F9" s="15">
        <v>0.05</v>
      </c>
      <c r="G9" s="15">
        <v>0.05</v>
      </c>
      <c r="H9" s="15">
        <v>0.05</v>
      </c>
      <c r="I9" s="5" t="b">
        <v>0</v>
      </c>
    </row>
    <row r="10" spans="2:9" x14ac:dyDescent="0.2">
      <c r="B10" s="63"/>
      <c r="C10" s="64"/>
      <c r="D10" s="65"/>
      <c r="E10" s="65"/>
      <c r="F10" s="65"/>
      <c r="G10" s="65"/>
      <c r="H10" s="65"/>
    </row>
    <row r="11" spans="2:9" x14ac:dyDescent="0.2">
      <c r="B11" s="63" t="s">
        <v>206</v>
      </c>
      <c r="C11" s="64"/>
      <c r="D11" s="65"/>
      <c r="E11" s="65"/>
      <c r="F11" s="65"/>
      <c r="G11" s="65"/>
      <c r="H11" s="65"/>
    </row>
    <row r="12" spans="2:9" x14ac:dyDescent="0.2">
      <c r="B12" s="63"/>
      <c r="C12" s="66"/>
      <c r="D12" s="67"/>
      <c r="E12" s="67"/>
      <c r="F12" s="67"/>
      <c r="G12" s="67"/>
      <c r="H12" s="67"/>
    </row>
    <row r="13" spans="2:9" x14ac:dyDescent="0.2">
      <c r="B13" s="68" t="s">
        <v>192</v>
      </c>
      <c r="C13" s="62">
        <v>1</v>
      </c>
      <c r="D13" s="62">
        <v>2</v>
      </c>
      <c r="E13" s="62">
        <v>3</v>
      </c>
      <c r="F13" s="62">
        <v>4</v>
      </c>
      <c r="G13" s="62">
        <v>5</v>
      </c>
      <c r="H13" s="62">
        <v>6</v>
      </c>
      <c r="I13" s="39" t="s">
        <v>205</v>
      </c>
    </row>
    <row r="14" spans="2:9" x14ac:dyDescent="0.2">
      <c r="B14" s="63" t="s">
        <v>194</v>
      </c>
      <c r="C14" s="66">
        <v>2</v>
      </c>
      <c r="D14" s="66">
        <v>2.5</v>
      </c>
      <c r="E14" s="66">
        <v>2.5</v>
      </c>
      <c r="F14" s="66">
        <v>2.5</v>
      </c>
      <c r="G14" s="66">
        <v>2.5</v>
      </c>
      <c r="H14" s="66">
        <v>2.5</v>
      </c>
      <c r="I14" s="5" t="b">
        <v>1</v>
      </c>
    </row>
    <row r="15" spans="2:9" x14ac:dyDescent="0.2">
      <c r="B15" s="63" t="s">
        <v>201</v>
      </c>
      <c r="C15" s="5">
        <v>2</v>
      </c>
      <c r="D15" s="5">
        <v>2</v>
      </c>
      <c r="E15" s="5">
        <v>2</v>
      </c>
      <c r="F15" s="5">
        <v>2</v>
      </c>
      <c r="G15" s="5">
        <v>2</v>
      </c>
      <c r="H15" s="5">
        <v>2</v>
      </c>
      <c r="I15" s="5" t="b">
        <v>0</v>
      </c>
    </row>
    <row r="16" spans="2:9" x14ac:dyDescent="0.2">
      <c r="B16" s="63" t="s">
        <v>195</v>
      </c>
      <c r="C16" s="66">
        <v>0.7</v>
      </c>
      <c r="D16" s="66">
        <v>0.88</v>
      </c>
      <c r="E16" s="66">
        <v>0.88</v>
      </c>
      <c r="F16" s="66">
        <v>0.88</v>
      </c>
      <c r="G16" s="66">
        <v>0.88</v>
      </c>
      <c r="H16" s="66">
        <v>0.88</v>
      </c>
      <c r="I16" s="5" t="b">
        <v>1</v>
      </c>
    </row>
    <row r="17" spans="2:9" x14ac:dyDescent="0.2">
      <c r="B17" s="63" t="s">
        <v>202</v>
      </c>
      <c r="C17" s="5">
        <v>0.7</v>
      </c>
      <c r="D17" s="5">
        <v>0.7</v>
      </c>
      <c r="E17" s="5">
        <v>0.7</v>
      </c>
      <c r="F17" s="5">
        <v>0.7</v>
      </c>
      <c r="G17" s="5">
        <v>0.7</v>
      </c>
      <c r="H17" s="5">
        <v>0.7</v>
      </c>
      <c r="I17" s="5" t="b">
        <v>0</v>
      </c>
    </row>
    <row r="18" spans="2:9" x14ac:dyDescent="0.2">
      <c r="B18" s="63"/>
      <c r="C18" s="66"/>
      <c r="D18" s="66"/>
      <c r="E18" s="66"/>
      <c r="F18" s="66"/>
      <c r="G18" s="66"/>
      <c r="H18" s="66"/>
    </row>
    <row r="19" spans="2:9" x14ac:dyDescent="0.2">
      <c r="B19" s="63" t="s">
        <v>193</v>
      </c>
      <c r="C19" s="66"/>
      <c r="D19" s="66"/>
      <c r="E19" s="66"/>
      <c r="F19" s="66"/>
      <c r="G19" s="66"/>
      <c r="H19" s="66"/>
    </row>
    <row r="20" spans="2:9" x14ac:dyDescent="0.2">
      <c r="B20" s="63"/>
      <c r="C20" s="66"/>
      <c r="D20" s="67"/>
      <c r="E20" s="67"/>
      <c r="F20" s="67"/>
      <c r="G20" s="67"/>
      <c r="H20" s="67"/>
    </row>
    <row r="21" spans="2:9" x14ac:dyDescent="0.2">
      <c r="B21" s="68" t="s">
        <v>190</v>
      </c>
      <c r="C21" s="62">
        <v>1</v>
      </c>
      <c r="D21" s="62">
        <v>2</v>
      </c>
      <c r="E21" s="62">
        <v>3</v>
      </c>
      <c r="F21" s="62">
        <v>4</v>
      </c>
      <c r="G21" s="62">
        <v>5</v>
      </c>
      <c r="H21" s="62">
        <v>6</v>
      </c>
      <c r="I21" s="39" t="s">
        <v>205</v>
      </c>
    </row>
    <row r="22" spans="2:9" x14ac:dyDescent="0.2">
      <c r="B22" s="69" t="s">
        <v>196</v>
      </c>
      <c r="C22" s="70">
        <v>4</v>
      </c>
      <c r="D22" s="70">
        <v>4.2</v>
      </c>
      <c r="E22" s="70">
        <v>4.4000000000000004</v>
      </c>
      <c r="F22" s="70">
        <v>4.5999999999999996</v>
      </c>
      <c r="G22" s="70">
        <v>4.8</v>
      </c>
      <c r="H22" s="70">
        <v>5</v>
      </c>
      <c r="I22" s="5" t="b">
        <v>1</v>
      </c>
    </row>
    <row r="23" spans="2:9" x14ac:dyDescent="0.2">
      <c r="B23" s="69" t="s">
        <v>203</v>
      </c>
      <c r="C23" s="38">
        <v>4</v>
      </c>
      <c r="D23" s="38">
        <v>4.5</v>
      </c>
      <c r="E23" s="38">
        <v>5</v>
      </c>
      <c r="F23" s="38">
        <v>5.5</v>
      </c>
      <c r="G23" s="38">
        <v>6</v>
      </c>
      <c r="H23" s="38">
        <v>6.5</v>
      </c>
      <c r="I23" s="5" t="b">
        <v>0</v>
      </c>
    </row>
    <row r="24" spans="2:9" x14ac:dyDescent="0.2">
      <c r="B24" s="69" t="s">
        <v>197</v>
      </c>
      <c r="C24" s="70">
        <v>5</v>
      </c>
      <c r="D24" s="70">
        <v>5.0999999999999996</v>
      </c>
      <c r="E24" s="70">
        <v>5.25</v>
      </c>
      <c r="F24" s="70">
        <v>5.3</v>
      </c>
      <c r="G24" s="70">
        <v>5.4</v>
      </c>
      <c r="H24" s="70">
        <v>5.5</v>
      </c>
      <c r="I24" s="5" t="b">
        <v>1</v>
      </c>
    </row>
    <row r="25" spans="2:9" x14ac:dyDescent="0.2">
      <c r="B25" s="69" t="s">
        <v>204</v>
      </c>
      <c r="C25" s="38">
        <v>5</v>
      </c>
      <c r="D25" s="38">
        <f>C25*1.05</f>
        <v>5.25</v>
      </c>
      <c r="E25" s="38">
        <f t="shared" ref="E25:H25" si="0">D25*1.05</f>
        <v>5.5125000000000002</v>
      </c>
      <c r="F25" s="38">
        <f t="shared" si="0"/>
        <v>5.7881250000000009</v>
      </c>
      <c r="G25" s="38">
        <f t="shared" si="0"/>
        <v>6.0775312500000007</v>
      </c>
      <c r="H25" s="38">
        <f t="shared" si="0"/>
        <v>6.3814078125000009</v>
      </c>
      <c r="I25" s="5" t="b">
        <v>0</v>
      </c>
    </row>
    <row r="26" spans="2:9" x14ac:dyDescent="0.2">
      <c r="B26" s="69"/>
      <c r="C26" s="70"/>
      <c r="D26" s="70"/>
      <c r="E26" s="70"/>
      <c r="F26" s="70"/>
      <c r="G26" s="70"/>
      <c r="H26" s="70"/>
    </row>
    <row r="27" spans="2:9" x14ac:dyDescent="0.2">
      <c r="B27" s="71" t="s">
        <v>198</v>
      </c>
    </row>
  </sheetData>
  <sheetProtection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6C78-20CB-4B1D-BC24-F85E6A8135DA}">
  <sheetPr>
    <tabColor rgb="FF00B050"/>
  </sheetPr>
  <dimension ref="B2:I36"/>
  <sheetViews>
    <sheetView topLeftCell="A2" zoomScaleNormal="100" workbookViewId="0">
      <selection activeCell="C37" sqref="C37"/>
    </sheetView>
  </sheetViews>
  <sheetFormatPr baseColWidth="10" defaultColWidth="9" defaultRowHeight="16" x14ac:dyDescent="0.2"/>
  <cols>
    <col min="1" max="1" width="9" style="5"/>
    <col min="2" max="2" width="46.5" style="5" customWidth="1"/>
    <col min="3" max="8" width="13.6640625" style="5" customWidth="1"/>
    <col min="9" max="9" width="14.6640625" style="5" customWidth="1"/>
    <col min="10" max="16384" width="9" style="5"/>
  </cols>
  <sheetData>
    <row r="2" spans="2:8" ht="20" x14ac:dyDescent="0.2">
      <c r="B2" s="48" t="str">
        <f>name</f>
        <v>Compagny Incognito, by eliediwambuena</v>
      </c>
      <c r="D2" s="71"/>
      <c r="G2" s="88"/>
    </row>
    <row r="4" spans="2:8" x14ac:dyDescent="0.2">
      <c r="C4" s="90" t="str">
        <f>Assumptions!C7</f>
        <v>6-MONTHS PLAN</v>
      </c>
      <c r="D4" s="90"/>
      <c r="E4" s="90"/>
      <c r="F4" s="90"/>
      <c r="G4" s="90"/>
      <c r="H4" s="90"/>
    </row>
    <row r="5" spans="2:8" ht="20" x14ac:dyDescent="0.2">
      <c r="B5" s="30" t="str">
        <f>"Sales budgeting  (in "&amp;Assumptions!C5&amp; ")"</f>
        <v>Sales budgeting  (in 1000000)</v>
      </c>
      <c r="C5" s="8">
        <f>Assumptions!C8</f>
        <v>1</v>
      </c>
      <c r="D5" s="8">
        <f>Assumptions!D8</f>
        <v>2</v>
      </c>
      <c r="E5" s="8">
        <f>Assumptions!E8</f>
        <v>3</v>
      </c>
      <c r="F5" s="8">
        <f>Assumptions!F8</f>
        <v>4</v>
      </c>
      <c r="G5" s="8">
        <f>Assumptions!G8</f>
        <v>5</v>
      </c>
      <c r="H5" s="8">
        <f>Assumptions!H8</f>
        <v>6</v>
      </c>
    </row>
    <row r="6" spans="2:8" x14ac:dyDescent="0.2">
      <c r="B6" s="1" t="s">
        <v>37</v>
      </c>
      <c r="C6" s="78">
        <f>Assumptions!C9</f>
        <v>3</v>
      </c>
      <c r="D6" s="74">
        <f>C6*(1+Assumptions!D9)</f>
        <v>3.1500000000000004</v>
      </c>
      <c r="E6" s="74">
        <f>D6*(1+Assumptions!E9)</f>
        <v>3.3075000000000006</v>
      </c>
      <c r="F6" s="74">
        <f>E6*(1+Assumptions!F9)</f>
        <v>3.4728750000000006</v>
      </c>
      <c r="G6" s="74">
        <f>F6*(1+Assumptions!G9)</f>
        <v>3.6465187500000007</v>
      </c>
      <c r="H6" s="74">
        <f>G6*(1+Assumptions!H9)</f>
        <v>3.8288446875000011</v>
      </c>
    </row>
    <row r="7" spans="2:8" x14ac:dyDescent="0.2">
      <c r="B7" s="12" t="s">
        <v>38</v>
      </c>
      <c r="C7" s="75">
        <f>Assumptions!C10</f>
        <v>1.1000000000000001</v>
      </c>
      <c r="D7" s="75">
        <f>C7*(1+Assumptions!D10)</f>
        <v>1.1550000000000002</v>
      </c>
      <c r="E7" s="75">
        <f>D7*(1+Assumptions!E10)</f>
        <v>1.2127500000000002</v>
      </c>
      <c r="F7" s="75">
        <f>E7*(1+Assumptions!F10)</f>
        <v>1.2733875000000003</v>
      </c>
      <c r="G7" s="75">
        <f>F7*(1+Assumptions!G10)</f>
        <v>1.3370568750000005</v>
      </c>
      <c r="H7" s="75">
        <f>G7*(1+Assumptions!H10)</f>
        <v>1.4039097187500005</v>
      </c>
    </row>
    <row r="8" spans="2:8" x14ac:dyDescent="0.2">
      <c r="B8" s="5" t="s">
        <v>39</v>
      </c>
      <c r="C8" s="73">
        <f>SUM(C6:C7)</f>
        <v>4.0999999999999996</v>
      </c>
      <c r="D8" s="73">
        <f t="shared" ref="D8:H8" si="0">SUM(D6:D7)</f>
        <v>4.3050000000000006</v>
      </c>
      <c r="E8" s="73">
        <f t="shared" si="0"/>
        <v>4.5202500000000008</v>
      </c>
      <c r="F8" s="73">
        <f t="shared" si="0"/>
        <v>4.7462625000000012</v>
      </c>
      <c r="G8" s="73">
        <f t="shared" si="0"/>
        <v>4.9835756250000012</v>
      </c>
      <c r="H8" s="73">
        <f t="shared" si="0"/>
        <v>5.2327544062500015</v>
      </c>
    </row>
    <row r="9" spans="2:8" x14ac:dyDescent="0.2">
      <c r="C9" s="73"/>
      <c r="D9" s="73"/>
      <c r="E9" s="73"/>
      <c r="F9" s="73"/>
      <c r="G9" s="73"/>
      <c r="H9" s="79"/>
    </row>
    <row r="10" spans="2:8" x14ac:dyDescent="0.2">
      <c r="B10" s="5" t="s">
        <v>40</v>
      </c>
      <c r="C10" s="73">
        <f>C6*Assumptions!C12</f>
        <v>24</v>
      </c>
      <c r="D10" s="73">
        <f>D6*Assumptions!D12</f>
        <v>25.200000000000003</v>
      </c>
      <c r="E10" s="73">
        <f>E6*Assumptions!E12</f>
        <v>26.460000000000004</v>
      </c>
      <c r="F10" s="73">
        <f>F6*Assumptions!F12</f>
        <v>27.783000000000005</v>
      </c>
      <c r="G10" s="73">
        <f>G6*Assumptions!G12</f>
        <v>29.172150000000006</v>
      </c>
      <c r="H10" s="73">
        <f>H6*Assumptions!H12</f>
        <v>30.630757500000009</v>
      </c>
    </row>
    <row r="11" spans="2:8" x14ac:dyDescent="0.2">
      <c r="B11" s="8" t="s">
        <v>41</v>
      </c>
      <c r="C11" s="72">
        <f>C7*Assumptions!C13</f>
        <v>4.4000000000000004</v>
      </c>
      <c r="D11" s="72">
        <f>D7*Assumptions!D13</f>
        <v>4.620000000000001</v>
      </c>
      <c r="E11" s="72">
        <f>E7*Assumptions!E13</f>
        <v>4.8510000000000009</v>
      </c>
      <c r="F11" s="72">
        <f>F7*Assumptions!F13</f>
        <v>5.0935500000000014</v>
      </c>
      <c r="G11" s="72">
        <f>G7*Assumptions!G13</f>
        <v>5.3482275000000019</v>
      </c>
      <c r="H11" s="72">
        <f>H7*Assumptions!H13</f>
        <v>5.6156388750000019</v>
      </c>
    </row>
    <row r="12" spans="2:8" x14ac:dyDescent="0.2">
      <c r="B12" s="5" t="s">
        <v>42</v>
      </c>
      <c r="C12" s="73">
        <f t="shared" ref="C12:H12" si="1">SUM(C10:C11)</f>
        <v>28.4</v>
      </c>
      <c r="D12" s="73">
        <f t="shared" si="1"/>
        <v>29.820000000000004</v>
      </c>
      <c r="E12" s="73">
        <f t="shared" si="1"/>
        <v>31.311000000000007</v>
      </c>
      <c r="F12" s="73">
        <f t="shared" si="1"/>
        <v>32.876550000000009</v>
      </c>
      <c r="G12" s="73">
        <f t="shared" si="1"/>
        <v>34.520377500000009</v>
      </c>
      <c r="H12" s="73">
        <f t="shared" si="1"/>
        <v>36.24639637500001</v>
      </c>
    </row>
    <row r="13" spans="2:8" x14ac:dyDescent="0.2">
      <c r="C13" s="13"/>
      <c r="D13" s="13"/>
      <c r="E13" s="13"/>
      <c r="F13" s="13"/>
      <c r="G13" s="13"/>
      <c r="H13" s="13"/>
    </row>
    <row r="14" spans="2:8" x14ac:dyDescent="0.2">
      <c r="D14" s="1"/>
      <c r="E14" s="1"/>
      <c r="F14" s="1"/>
      <c r="G14" s="1"/>
      <c r="H14" s="1"/>
    </row>
    <row r="15" spans="2:8" ht="18" x14ac:dyDescent="0.2">
      <c r="C15" s="92" t="s">
        <v>43</v>
      </c>
      <c r="D15" s="92"/>
      <c r="E15" s="92"/>
      <c r="F15" s="92"/>
      <c r="G15" s="92"/>
      <c r="H15" s="92"/>
    </row>
    <row r="16" spans="2:8" x14ac:dyDescent="0.2">
      <c r="B16" s="10" t="s">
        <v>44</v>
      </c>
      <c r="C16" s="8">
        <f>C5</f>
        <v>1</v>
      </c>
      <c r="D16" s="8">
        <f t="shared" ref="D16:H16" si="2">D5</f>
        <v>2</v>
      </c>
      <c r="E16" s="8">
        <f t="shared" si="2"/>
        <v>3</v>
      </c>
      <c r="F16" s="8">
        <f t="shared" si="2"/>
        <v>4</v>
      </c>
      <c r="G16" s="8">
        <f t="shared" si="2"/>
        <v>5</v>
      </c>
      <c r="H16" s="8">
        <f t="shared" si="2"/>
        <v>6</v>
      </c>
    </row>
    <row r="17" spans="2:9" x14ac:dyDescent="0.2">
      <c r="B17" s="5" t="s">
        <v>45</v>
      </c>
      <c r="C17" s="73"/>
      <c r="D17" s="73"/>
      <c r="E17" s="73"/>
      <c r="F17" s="73"/>
      <c r="G17" s="73"/>
      <c r="H17" s="73"/>
    </row>
    <row r="18" spans="2:9" x14ac:dyDescent="0.2">
      <c r="B18" s="5" t="s">
        <v>46</v>
      </c>
      <c r="C18" s="73">
        <f>C12*Assumptions!$C$15</f>
        <v>25.56</v>
      </c>
      <c r="D18" s="73">
        <f>D12*Assumptions!$C$15</f>
        <v>26.838000000000005</v>
      </c>
      <c r="E18" s="73">
        <f>E12*Assumptions!$C$15</f>
        <v>28.179900000000007</v>
      </c>
      <c r="F18" s="73">
        <f>F12*Assumptions!$C$15</f>
        <v>29.588895000000008</v>
      </c>
      <c r="G18" s="73">
        <f>G12*Assumptions!$C$15</f>
        <v>31.06833975000001</v>
      </c>
      <c r="H18" s="73">
        <f>H12*Assumptions!$C$15</f>
        <v>32.621756737500007</v>
      </c>
    </row>
    <row r="19" spans="2:9" x14ac:dyDescent="0.2">
      <c r="B19" s="5" t="s">
        <v>7</v>
      </c>
      <c r="C19" s="73"/>
      <c r="D19" s="74">
        <f>C12*Assumptions!$C$16</f>
        <v>1.42</v>
      </c>
      <c r="E19" s="74">
        <f>D12*Assumptions!$C$16</f>
        <v>1.4910000000000003</v>
      </c>
      <c r="F19" s="74">
        <f>E12*Assumptions!$C$16</f>
        <v>1.5655500000000004</v>
      </c>
      <c r="G19" s="74">
        <f>F12*Assumptions!$C$16</f>
        <v>1.6438275000000004</v>
      </c>
      <c r="H19" s="74">
        <f>G12*Assumptions!$C$16</f>
        <v>1.7260188750000005</v>
      </c>
      <c r="I19" s="2">
        <f>H12*Assumptions!$C$16</f>
        <v>1.8123198187500007</v>
      </c>
    </row>
    <row r="20" spans="2:9" x14ac:dyDescent="0.2">
      <c r="B20" s="8" t="s">
        <v>8</v>
      </c>
      <c r="C20" s="72"/>
      <c r="D20" s="75"/>
      <c r="E20" s="72">
        <f>C12*Assumptions!$C$17</f>
        <v>1.42</v>
      </c>
      <c r="F20" s="72">
        <f>D12*Assumptions!$C$17</f>
        <v>1.4910000000000003</v>
      </c>
      <c r="G20" s="72">
        <f>E12*Assumptions!$C$17</f>
        <v>1.5655500000000004</v>
      </c>
      <c r="H20" s="72">
        <f>F12*Assumptions!$C$17</f>
        <v>1.6438275000000004</v>
      </c>
      <c r="I20" s="19">
        <f>G12*Assumptions!$C$17</f>
        <v>1.7260188750000005</v>
      </c>
    </row>
    <row r="21" spans="2:9" x14ac:dyDescent="0.2">
      <c r="B21" s="5" t="s">
        <v>47</v>
      </c>
      <c r="C21" s="73">
        <f>SUM(C17:C20)</f>
        <v>25.56</v>
      </c>
      <c r="D21" s="73">
        <f t="shared" ref="D21:H21" si="3">SUM(D17:D20)</f>
        <v>28.258000000000003</v>
      </c>
      <c r="E21" s="73">
        <f t="shared" si="3"/>
        <v>31.090900000000005</v>
      </c>
      <c r="F21" s="73">
        <f t="shared" si="3"/>
        <v>32.645445000000009</v>
      </c>
      <c r="G21" s="73">
        <f t="shared" si="3"/>
        <v>34.277717250000009</v>
      </c>
      <c r="H21" s="73">
        <f t="shared" si="3"/>
        <v>35.991603112500009</v>
      </c>
    </row>
    <row r="22" spans="2:9" x14ac:dyDescent="0.2">
      <c r="D22" s="1"/>
      <c r="H22" s="1"/>
    </row>
    <row r="23" spans="2:9" x14ac:dyDescent="0.2">
      <c r="D23" s="1"/>
      <c r="H23" s="1"/>
    </row>
    <row r="26" spans="2:9" ht="18" x14ac:dyDescent="0.2">
      <c r="C26" s="92" t="s">
        <v>43</v>
      </c>
      <c r="D26" s="92"/>
      <c r="E26" s="92"/>
      <c r="F26" s="92"/>
      <c r="G26" s="92"/>
      <c r="H26" s="92"/>
    </row>
    <row r="27" spans="2:9" ht="20" x14ac:dyDescent="0.2">
      <c r="B27" s="30" t="s">
        <v>48</v>
      </c>
      <c r="C27" s="8">
        <f>C16</f>
        <v>1</v>
      </c>
      <c r="D27" s="8">
        <f t="shared" ref="D27:H27" si="4">D16</f>
        <v>2</v>
      </c>
      <c r="E27" s="8">
        <f t="shared" si="4"/>
        <v>3</v>
      </c>
      <c r="F27" s="8">
        <f t="shared" si="4"/>
        <v>4</v>
      </c>
      <c r="G27" s="8">
        <f t="shared" si="4"/>
        <v>5</v>
      </c>
      <c r="H27" s="8">
        <f t="shared" si="4"/>
        <v>6</v>
      </c>
    </row>
    <row r="28" spans="2:9" x14ac:dyDescent="0.2">
      <c r="B28" s="5" t="str">
        <f>B8</f>
        <v>Total budget sales in quantity</v>
      </c>
      <c r="C28" s="73">
        <f t="shared" ref="C28:H28" si="5">C8</f>
        <v>4.0999999999999996</v>
      </c>
      <c r="D28" s="73">
        <f t="shared" si="5"/>
        <v>4.3050000000000006</v>
      </c>
      <c r="E28" s="73">
        <f t="shared" si="5"/>
        <v>4.5202500000000008</v>
      </c>
      <c r="F28" s="73">
        <f t="shared" si="5"/>
        <v>4.7462625000000012</v>
      </c>
      <c r="G28" s="73">
        <f t="shared" si="5"/>
        <v>4.9835756250000012</v>
      </c>
      <c r="H28" s="73">
        <f t="shared" si="5"/>
        <v>5.2327544062500015</v>
      </c>
    </row>
    <row r="29" spans="2:9" x14ac:dyDescent="0.2">
      <c r="B29" s="25" t="s">
        <v>49</v>
      </c>
      <c r="C29" s="72">
        <f>C28*Assumptions!C22</f>
        <v>4.0999999999999995E-2</v>
      </c>
      <c r="D29" s="72">
        <f>D28*Assumptions!D22</f>
        <v>4.3050000000000005E-2</v>
      </c>
      <c r="E29" s="72">
        <f>E28*Assumptions!E22</f>
        <v>4.5202500000000007E-2</v>
      </c>
      <c r="F29" s="72">
        <f>F28*Assumptions!F22</f>
        <v>4.7462625000000015E-2</v>
      </c>
      <c r="G29" s="72">
        <f>G28*Assumptions!G22</f>
        <v>4.9835756250000016E-2</v>
      </c>
      <c r="H29" s="72">
        <f>H28*Assumptions!H22</f>
        <v>5.2327544062500016E-2</v>
      </c>
    </row>
    <row r="30" spans="2:9" x14ac:dyDescent="0.2">
      <c r="B30" s="5" t="s">
        <v>50</v>
      </c>
      <c r="C30" s="73">
        <f>SUM(C28:C29)</f>
        <v>4.141</v>
      </c>
      <c r="D30" s="73">
        <f t="shared" ref="D30:H30" si="6">SUM(D28:D29)</f>
        <v>4.3480500000000006</v>
      </c>
      <c r="E30" s="73">
        <f t="shared" si="6"/>
        <v>4.565452500000001</v>
      </c>
      <c r="F30" s="73">
        <f t="shared" si="6"/>
        <v>4.7937251250000008</v>
      </c>
      <c r="G30" s="73">
        <f t="shared" si="6"/>
        <v>5.0334113812500014</v>
      </c>
      <c r="H30" s="73">
        <f t="shared" si="6"/>
        <v>5.2850819503125015</v>
      </c>
    </row>
    <row r="31" spans="2:9" x14ac:dyDescent="0.2">
      <c r="C31" s="73"/>
      <c r="D31" s="73"/>
      <c r="E31" s="73"/>
      <c r="F31" s="73"/>
      <c r="G31" s="73"/>
      <c r="H31" s="73"/>
    </row>
    <row r="32" spans="2:9" x14ac:dyDescent="0.2">
      <c r="B32" s="25" t="s">
        <v>51</v>
      </c>
      <c r="C32" s="72"/>
      <c r="D32" s="72">
        <f>-C29</f>
        <v>-4.0999999999999995E-2</v>
      </c>
      <c r="E32" s="72">
        <f t="shared" ref="E32:H32" si="7">-D29</f>
        <v>-4.3050000000000005E-2</v>
      </c>
      <c r="F32" s="72">
        <f t="shared" si="7"/>
        <v>-4.5202500000000007E-2</v>
      </c>
      <c r="G32" s="72">
        <f t="shared" si="7"/>
        <v>-4.7462625000000015E-2</v>
      </c>
      <c r="H32" s="72">
        <f t="shared" si="7"/>
        <v>-4.9835756250000016E-2</v>
      </c>
    </row>
    <row r="33" spans="2:8" x14ac:dyDescent="0.2">
      <c r="B33" s="5" t="s">
        <v>52</v>
      </c>
      <c r="C33" s="73">
        <f>C30+C32</f>
        <v>4.141</v>
      </c>
      <c r="D33" s="73">
        <f t="shared" ref="D33:H33" si="8">D30+D32</f>
        <v>4.3070500000000003</v>
      </c>
      <c r="E33" s="73">
        <f t="shared" si="8"/>
        <v>4.522402500000001</v>
      </c>
      <c r="F33" s="73">
        <f t="shared" si="8"/>
        <v>4.7485226250000006</v>
      </c>
      <c r="G33" s="73">
        <f t="shared" si="8"/>
        <v>4.9859487562500018</v>
      </c>
      <c r="H33" s="73">
        <f t="shared" si="8"/>
        <v>5.2352461940625012</v>
      </c>
    </row>
    <row r="35" spans="2:8" x14ac:dyDescent="0.2">
      <c r="B35" s="5" t="s">
        <v>53</v>
      </c>
      <c r="C35" s="28">
        <f>C6/C8</f>
        <v>0.73170731707317083</v>
      </c>
      <c r="D35" s="28"/>
      <c r="E35" s="28"/>
      <c r="F35" s="28"/>
      <c r="G35" s="28"/>
      <c r="H35" s="28"/>
    </row>
    <row r="36" spans="2:8" x14ac:dyDescent="0.2">
      <c r="B36" s="5" t="s">
        <v>54</v>
      </c>
      <c r="C36" s="28">
        <f>C7/C8</f>
        <v>0.26829268292682934</v>
      </c>
      <c r="D36" s="28"/>
      <c r="E36" s="28"/>
      <c r="F36" s="28"/>
      <c r="G36" s="28"/>
      <c r="H36" s="28"/>
    </row>
  </sheetData>
  <sheetProtection selectLockedCells="1"/>
  <mergeCells count="3">
    <mergeCell ref="C26:H26"/>
    <mergeCell ref="C4:H4"/>
    <mergeCell ref="C15:H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F288-712E-4841-8E56-76748DBC85BD}">
  <sheetPr>
    <tabColor rgb="FF00B050"/>
  </sheetPr>
  <dimension ref="B2:I79"/>
  <sheetViews>
    <sheetView workbookViewId="0">
      <selection activeCell="C6" sqref="C6"/>
    </sheetView>
  </sheetViews>
  <sheetFormatPr baseColWidth="10" defaultColWidth="9" defaultRowHeight="16" x14ac:dyDescent="0.2"/>
  <cols>
    <col min="1" max="1" width="9" style="5"/>
    <col min="2" max="2" width="48.1640625" style="5" customWidth="1"/>
    <col min="3" max="3" width="16.1640625" style="5" customWidth="1"/>
    <col min="4" max="4" width="18.5" style="5" customWidth="1"/>
    <col min="5" max="5" width="15.5" style="5" customWidth="1"/>
    <col min="6" max="8" width="11.6640625" style="5" customWidth="1"/>
    <col min="9" max="16384" width="9" style="5"/>
  </cols>
  <sheetData>
    <row r="2" spans="2:8" ht="20" x14ac:dyDescent="0.2">
      <c r="B2" s="48" t="str">
        <f>name</f>
        <v>Compagny Incognito, by eliediwambuena</v>
      </c>
      <c r="G2" s="80"/>
    </row>
    <row r="4" spans="2:8" ht="18" x14ac:dyDescent="0.2">
      <c r="C4" s="92" t="s">
        <v>43</v>
      </c>
      <c r="D4" s="92"/>
      <c r="E4" s="92"/>
      <c r="F4" s="92"/>
      <c r="G4" s="92"/>
      <c r="H4" s="92"/>
    </row>
    <row r="5" spans="2:8" ht="20" x14ac:dyDescent="0.2">
      <c r="B5" s="30" t="s">
        <v>55</v>
      </c>
      <c r="C5" s="8">
        <f>Assumptions!C8</f>
        <v>1</v>
      </c>
      <c r="D5" s="8">
        <f>Assumptions!D8</f>
        <v>2</v>
      </c>
      <c r="E5" s="8">
        <f>Assumptions!E8</f>
        <v>3</v>
      </c>
      <c r="F5" s="8">
        <f>Assumptions!F8</f>
        <v>4</v>
      </c>
      <c r="G5" s="8">
        <f>Assumptions!G8</f>
        <v>5</v>
      </c>
      <c r="H5" s="8">
        <f>Assumptions!H8</f>
        <v>6</v>
      </c>
    </row>
    <row r="6" spans="2:8" x14ac:dyDescent="0.2">
      <c r="B6" s="1" t="s">
        <v>56</v>
      </c>
      <c r="C6" s="74">
        <f>'Proj. Sales &amp; Prod'!$C$35*'Proj. Sales &amp; Prod'!C33</f>
        <v>3.0300000000000002</v>
      </c>
      <c r="D6" s="74">
        <f>'Proj. Sales &amp; Prod'!$C$35*'Proj. Sales &amp; Prod'!D33</f>
        <v>3.1515000000000004</v>
      </c>
      <c r="E6" s="74">
        <f>'Proj. Sales &amp; Prod'!$C$35*'Proj. Sales &amp; Prod'!E33</f>
        <v>3.3090750000000013</v>
      </c>
      <c r="F6" s="74">
        <f>'Proj. Sales &amp; Prod'!$C$35*'Proj. Sales &amp; Prod'!F33</f>
        <v>3.4745287500000011</v>
      </c>
      <c r="G6" s="74">
        <f>'Proj. Sales &amp; Prod'!$C$35*'Proj. Sales &amp; Prod'!G33</f>
        <v>3.648255187500002</v>
      </c>
      <c r="H6" s="74">
        <f>'Proj. Sales &amp; Prod'!$C$35*'Proj. Sales &amp; Prod'!H33</f>
        <v>3.8306679468750016</v>
      </c>
    </row>
    <row r="7" spans="2:8" x14ac:dyDescent="0.2">
      <c r="B7" s="1" t="s">
        <v>57</v>
      </c>
      <c r="C7" s="74">
        <f>C6*Assumptions!C23</f>
        <v>4.5449999999999999</v>
      </c>
      <c r="D7" s="74">
        <f>D6*Assumptions!D23</f>
        <v>4.7272500000000006</v>
      </c>
      <c r="E7" s="74">
        <f>E6*Assumptions!E23</f>
        <v>4.9636125000000018</v>
      </c>
      <c r="F7" s="74">
        <f>F6*Assumptions!F23</f>
        <v>5.2117931250000016</v>
      </c>
      <c r="G7" s="74">
        <f>G6*Assumptions!G23</f>
        <v>5.472382781250003</v>
      </c>
      <c r="H7" s="74">
        <f>H6*Assumptions!H23</f>
        <v>5.7460019203125023</v>
      </c>
    </row>
    <row r="8" spans="2:8" x14ac:dyDescent="0.2">
      <c r="B8" s="1"/>
      <c r="C8" s="74"/>
      <c r="D8" s="74"/>
      <c r="E8" s="74"/>
      <c r="F8" s="74"/>
      <c r="G8" s="74"/>
      <c r="H8" s="74"/>
    </row>
    <row r="9" spans="2:8" x14ac:dyDescent="0.2">
      <c r="B9" s="4" t="s">
        <v>58</v>
      </c>
      <c r="C9" s="74">
        <f>C7*Assumptions!C25</f>
        <v>0.45450000000000002</v>
      </c>
      <c r="D9" s="74">
        <f>D7*Assumptions!D25</f>
        <v>0.47272500000000006</v>
      </c>
      <c r="E9" s="74">
        <f>E7*Assumptions!E25</f>
        <v>0.4963612500000002</v>
      </c>
      <c r="F9" s="74">
        <f>F7*Assumptions!F25</f>
        <v>0.52117931250000016</v>
      </c>
      <c r="G9" s="74">
        <f>G7*Assumptions!G25</f>
        <v>0.54723827812500037</v>
      </c>
      <c r="H9" s="74">
        <f>H7*Assumptions!H25</f>
        <v>0.57460019203125023</v>
      </c>
    </row>
    <row r="10" spans="2:8" x14ac:dyDescent="0.2">
      <c r="B10" s="29" t="s">
        <v>59</v>
      </c>
      <c r="C10" s="75"/>
      <c r="D10" s="75">
        <f>-C9</f>
        <v>-0.45450000000000002</v>
      </c>
      <c r="E10" s="75">
        <f t="shared" ref="E10:H10" si="0">-D9</f>
        <v>-0.47272500000000006</v>
      </c>
      <c r="F10" s="75">
        <f t="shared" si="0"/>
        <v>-0.4963612500000002</v>
      </c>
      <c r="G10" s="75">
        <f t="shared" si="0"/>
        <v>-0.52117931250000016</v>
      </c>
      <c r="H10" s="75">
        <f t="shared" si="0"/>
        <v>-0.54723827812500037</v>
      </c>
    </row>
    <row r="11" spans="2:8" x14ac:dyDescent="0.2">
      <c r="B11" s="1" t="s">
        <v>60</v>
      </c>
      <c r="C11" s="74">
        <f>SUM(C7:C10)</f>
        <v>4.9995000000000003</v>
      </c>
      <c r="D11" s="74">
        <f t="shared" ref="D11:H11" si="1">SUM(D7:D10)</f>
        <v>4.7454749999999999</v>
      </c>
      <c r="E11" s="74">
        <f t="shared" si="1"/>
        <v>4.9872487500000027</v>
      </c>
      <c r="F11" s="74">
        <f t="shared" si="1"/>
        <v>5.2366111875000012</v>
      </c>
      <c r="G11" s="74">
        <f t="shared" si="1"/>
        <v>5.4984417468750033</v>
      </c>
      <c r="H11" s="74">
        <f t="shared" si="1"/>
        <v>5.7733638342187525</v>
      </c>
    </row>
    <row r="12" spans="2:8" x14ac:dyDescent="0.2">
      <c r="B12" s="1"/>
      <c r="C12" s="74"/>
      <c r="D12" s="74"/>
      <c r="E12" s="74"/>
      <c r="F12" s="74"/>
      <c r="G12" s="74"/>
      <c r="H12" s="74"/>
    </row>
    <row r="13" spans="2:8" x14ac:dyDescent="0.2">
      <c r="B13" s="12" t="s">
        <v>61</v>
      </c>
      <c r="C13" s="75">
        <f>Assumptions!C26</f>
        <v>2</v>
      </c>
      <c r="D13" s="75">
        <f>Assumptions!D26</f>
        <v>2</v>
      </c>
      <c r="E13" s="75">
        <f>Assumptions!E26</f>
        <v>2</v>
      </c>
      <c r="F13" s="75">
        <f>Assumptions!F26</f>
        <v>2</v>
      </c>
      <c r="G13" s="75">
        <f>Assumptions!G26</f>
        <v>2</v>
      </c>
      <c r="H13" s="75">
        <f>Assumptions!H26</f>
        <v>2</v>
      </c>
    </row>
    <row r="14" spans="2:8" x14ac:dyDescent="0.2">
      <c r="B14" s="1" t="s">
        <v>62</v>
      </c>
      <c r="C14" s="74">
        <f>C13*C11</f>
        <v>9.9990000000000006</v>
      </c>
      <c r="D14" s="74">
        <f t="shared" ref="D14:H14" si="2">D13*D11</f>
        <v>9.4909499999999998</v>
      </c>
      <c r="E14" s="74">
        <f t="shared" si="2"/>
        <v>9.9744975000000053</v>
      </c>
      <c r="F14" s="74">
        <f t="shared" si="2"/>
        <v>10.473222375000002</v>
      </c>
      <c r="G14" s="74">
        <f t="shared" si="2"/>
        <v>10.996883493750007</v>
      </c>
      <c r="H14" s="74">
        <f t="shared" si="2"/>
        <v>11.546727668437505</v>
      </c>
    </row>
    <row r="15" spans="2:8" x14ac:dyDescent="0.2">
      <c r="B15" s="1"/>
      <c r="C15" s="74"/>
      <c r="D15" s="74"/>
      <c r="E15" s="74"/>
      <c r="F15" s="74"/>
      <c r="G15" s="74"/>
      <c r="H15" s="74"/>
    </row>
    <row r="16" spans="2:8" x14ac:dyDescent="0.2">
      <c r="B16" s="1"/>
      <c r="C16" s="74"/>
      <c r="D16" s="74"/>
      <c r="E16" s="74"/>
      <c r="F16" s="74"/>
      <c r="G16" s="74"/>
      <c r="H16" s="74"/>
    </row>
    <row r="17" spans="2:8" x14ac:dyDescent="0.2">
      <c r="B17" s="1" t="s">
        <v>63</v>
      </c>
      <c r="C17" s="74">
        <f>'Proj. Sales &amp; Prod'!$C$36*'Proj. Sales &amp; Prod'!C33</f>
        <v>1.1110000000000002</v>
      </c>
      <c r="D17" s="74">
        <f>'Proj. Sales &amp; Prod'!$C$36*'Proj. Sales &amp; Prod'!D33</f>
        <v>1.1555500000000003</v>
      </c>
      <c r="E17" s="74">
        <f>'Proj. Sales &amp; Prod'!$C$36*'Proj. Sales &amp; Prod'!E33</f>
        <v>1.2133275000000006</v>
      </c>
      <c r="F17" s="74">
        <f>'Proj. Sales &amp; Prod'!$C$36*'Proj. Sales &amp; Prod'!F33</f>
        <v>1.2739938750000004</v>
      </c>
      <c r="G17" s="74">
        <f>'Proj. Sales &amp; Prod'!$C$36*'Proj. Sales &amp; Prod'!G33</f>
        <v>1.3376935687500009</v>
      </c>
      <c r="H17" s="74">
        <f>'Proj. Sales &amp; Prod'!$C$36*'Proj. Sales &amp; Prod'!H33</f>
        <v>1.4045782471875008</v>
      </c>
    </row>
    <row r="18" spans="2:8" x14ac:dyDescent="0.2">
      <c r="B18" s="1" t="s">
        <v>57</v>
      </c>
      <c r="C18" s="74">
        <f>Assumptions!C24*C17</f>
        <v>0.5555000000000001</v>
      </c>
      <c r="D18" s="74">
        <f>Assumptions!D24*D17</f>
        <v>0.57777500000000015</v>
      </c>
      <c r="E18" s="74">
        <f>Assumptions!E24*E17</f>
        <v>0.60666375000000028</v>
      </c>
      <c r="F18" s="74">
        <f>Assumptions!F24*F17</f>
        <v>0.63699693750000019</v>
      </c>
      <c r="G18" s="74">
        <f>Assumptions!G24*G17</f>
        <v>0.66884678437500045</v>
      </c>
      <c r="H18" s="74">
        <f>Assumptions!H24*H17</f>
        <v>0.7022891235937504</v>
      </c>
    </row>
    <row r="19" spans="2:8" x14ac:dyDescent="0.2">
      <c r="B19" s="1"/>
      <c r="C19" s="74"/>
      <c r="D19" s="74"/>
      <c r="E19" s="74"/>
      <c r="F19" s="74"/>
      <c r="G19" s="74"/>
      <c r="H19" s="74"/>
    </row>
    <row r="20" spans="2:8" x14ac:dyDescent="0.2">
      <c r="B20" s="1" t="s">
        <v>58</v>
      </c>
      <c r="C20" s="74">
        <f>C18*Assumptions!C25</f>
        <v>5.5550000000000016E-2</v>
      </c>
      <c r="D20" s="74">
        <f>D18*Assumptions!D25</f>
        <v>5.7777500000000016E-2</v>
      </c>
      <c r="E20" s="74">
        <f>E18*Assumptions!E25</f>
        <v>6.0666375000000029E-2</v>
      </c>
      <c r="F20" s="74">
        <f>F18*Assumptions!F25</f>
        <v>6.3699693750000022E-2</v>
      </c>
      <c r="G20" s="74">
        <f>G18*Assumptions!G25</f>
        <v>6.6884678437500053E-2</v>
      </c>
      <c r="H20" s="74">
        <f>H18*Assumptions!H25</f>
        <v>7.0228912359375048E-2</v>
      </c>
    </row>
    <row r="21" spans="2:8" x14ac:dyDescent="0.2">
      <c r="B21" s="12" t="s">
        <v>59</v>
      </c>
      <c r="C21" s="75"/>
      <c r="D21" s="75">
        <f>-C20</f>
        <v>-5.5550000000000016E-2</v>
      </c>
      <c r="E21" s="75">
        <f t="shared" ref="E21:H21" si="3">-D20</f>
        <v>-5.7777500000000016E-2</v>
      </c>
      <c r="F21" s="75">
        <f t="shared" si="3"/>
        <v>-6.0666375000000029E-2</v>
      </c>
      <c r="G21" s="75">
        <f t="shared" si="3"/>
        <v>-6.3699693750000022E-2</v>
      </c>
      <c r="H21" s="75">
        <f t="shared" si="3"/>
        <v>-6.6884678437500053E-2</v>
      </c>
    </row>
    <row r="22" spans="2:8" x14ac:dyDescent="0.2">
      <c r="B22" s="1" t="s">
        <v>64</v>
      </c>
      <c r="C22" s="74">
        <f>SUM(C18:C21)</f>
        <v>0.61105000000000009</v>
      </c>
      <c r="D22" s="74">
        <f t="shared" ref="D22:H22" si="4">SUM(D18:D21)</f>
        <v>0.5800025000000002</v>
      </c>
      <c r="E22" s="74">
        <f t="shared" si="4"/>
        <v>0.60955262500000029</v>
      </c>
      <c r="F22" s="74">
        <f t="shared" si="4"/>
        <v>0.64003025625000021</v>
      </c>
      <c r="G22" s="74">
        <f t="shared" si="4"/>
        <v>0.67203176906250039</v>
      </c>
      <c r="H22" s="74">
        <f t="shared" si="4"/>
        <v>0.70563335751562539</v>
      </c>
    </row>
    <row r="23" spans="2:8" x14ac:dyDescent="0.2">
      <c r="B23" s="1"/>
      <c r="C23" s="74"/>
      <c r="D23" s="74"/>
      <c r="E23" s="74"/>
      <c r="F23" s="74"/>
      <c r="G23" s="74"/>
      <c r="H23" s="74"/>
    </row>
    <row r="24" spans="2:8" x14ac:dyDescent="0.2">
      <c r="B24" s="12" t="s">
        <v>65</v>
      </c>
      <c r="C24" s="75">
        <f>Assumptions!C27</f>
        <v>0.7</v>
      </c>
      <c r="D24" s="75">
        <f>Assumptions!D27</f>
        <v>0.7</v>
      </c>
      <c r="E24" s="75">
        <f>Assumptions!E27</f>
        <v>0.7</v>
      </c>
      <c r="F24" s="75">
        <f>Assumptions!F27</f>
        <v>0.7</v>
      </c>
      <c r="G24" s="75">
        <f>Assumptions!G27</f>
        <v>0.7</v>
      </c>
      <c r="H24" s="75">
        <f>Assumptions!H27</f>
        <v>0.7</v>
      </c>
    </row>
    <row r="25" spans="2:8" x14ac:dyDescent="0.2">
      <c r="B25" s="1" t="s">
        <v>62</v>
      </c>
      <c r="C25" s="74">
        <f>C22*C24</f>
        <v>0.42773500000000003</v>
      </c>
      <c r="D25" s="74">
        <f t="shared" ref="D25:H25" si="5">D22*D24</f>
        <v>0.40600175000000011</v>
      </c>
      <c r="E25" s="74">
        <f t="shared" si="5"/>
        <v>0.42668683750000019</v>
      </c>
      <c r="F25" s="74">
        <f t="shared" si="5"/>
        <v>0.44802117937500013</v>
      </c>
      <c r="G25" s="74">
        <f t="shared" si="5"/>
        <v>0.47042223834375024</v>
      </c>
      <c r="H25" s="74">
        <f t="shared" si="5"/>
        <v>0.49394335026093772</v>
      </c>
    </row>
    <row r="26" spans="2:8" x14ac:dyDescent="0.2">
      <c r="B26" s="1"/>
      <c r="C26" s="74"/>
      <c r="D26" s="74"/>
      <c r="E26" s="74"/>
      <c r="F26" s="74"/>
      <c r="G26" s="74"/>
      <c r="H26" s="74"/>
    </row>
    <row r="27" spans="2:8" x14ac:dyDescent="0.2">
      <c r="B27" s="1"/>
      <c r="C27" s="74"/>
      <c r="D27" s="74"/>
      <c r="E27" s="74"/>
      <c r="F27" s="74"/>
      <c r="G27" s="74"/>
      <c r="H27" s="74"/>
    </row>
    <row r="28" spans="2:8" x14ac:dyDescent="0.2">
      <c r="B28" s="1" t="s">
        <v>66</v>
      </c>
      <c r="C28" s="74">
        <f>C25+C14</f>
        <v>10.426735000000001</v>
      </c>
      <c r="D28" s="74">
        <f t="shared" ref="D28:H28" si="6">D25+D14</f>
        <v>9.8969517499999995</v>
      </c>
      <c r="E28" s="74">
        <f t="shared" si="6"/>
        <v>10.401184337500005</v>
      </c>
      <c r="F28" s="74">
        <f t="shared" si="6"/>
        <v>10.921243554375003</v>
      </c>
      <c r="G28" s="74">
        <f t="shared" si="6"/>
        <v>11.467305732093758</v>
      </c>
      <c r="H28" s="74">
        <f t="shared" si="6"/>
        <v>12.040671018698443</v>
      </c>
    </row>
    <row r="29" spans="2:8" x14ac:dyDescent="0.2">
      <c r="B29" s="1"/>
      <c r="C29" s="1"/>
      <c r="D29" s="1"/>
      <c r="E29" s="1"/>
      <c r="F29" s="1"/>
      <c r="G29" s="1"/>
      <c r="H29" s="1"/>
    </row>
    <row r="30" spans="2:8" x14ac:dyDescent="0.2">
      <c r="B30" s="1"/>
      <c r="C30" s="1"/>
      <c r="D30" s="1"/>
      <c r="E30" s="1"/>
      <c r="F30" s="1"/>
      <c r="G30" s="1"/>
      <c r="H30" s="1"/>
    </row>
    <row r="31" spans="2:8" ht="18" x14ac:dyDescent="0.2">
      <c r="C31" s="92" t="s">
        <v>43</v>
      </c>
      <c r="D31" s="92"/>
      <c r="E31" s="92"/>
      <c r="F31" s="92"/>
      <c r="G31" s="92"/>
      <c r="H31" s="92"/>
    </row>
    <row r="32" spans="2:8" x14ac:dyDescent="0.2">
      <c r="B32" s="10" t="s">
        <v>67</v>
      </c>
      <c r="C32" s="8">
        <f>C5</f>
        <v>1</v>
      </c>
      <c r="D32" s="8">
        <f t="shared" ref="D32:H32" si="7">D5</f>
        <v>2</v>
      </c>
      <c r="E32" s="8">
        <f t="shared" si="7"/>
        <v>3</v>
      </c>
      <c r="F32" s="8">
        <f t="shared" si="7"/>
        <v>4</v>
      </c>
      <c r="G32" s="10">
        <f t="shared" si="7"/>
        <v>5</v>
      </c>
      <c r="H32" s="8">
        <f t="shared" si="7"/>
        <v>6</v>
      </c>
    </row>
    <row r="33" spans="2:9" x14ac:dyDescent="0.2">
      <c r="B33" s="1" t="s">
        <v>68</v>
      </c>
      <c r="C33" s="1"/>
      <c r="D33" s="1"/>
      <c r="E33" s="1"/>
      <c r="F33" s="1"/>
      <c r="G33" s="1"/>
      <c r="H33" s="1"/>
    </row>
    <row r="34" spans="2:9" x14ac:dyDescent="0.2">
      <c r="B34" s="1" t="s">
        <v>69</v>
      </c>
      <c r="C34" s="74">
        <f>C28*Assumptions!$C$29</f>
        <v>8.3413880000000002</v>
      </c>
      <c r="D34" s="74">
        <f>D28*Assumptions!$C$29</f>
        <v>7.9175614000000003</v>
      </c>
      <c r="E34" s="74">
        <f>E28*Assumptions!$C$29</f>
        <v>8.3209474700000055</v>
      </c>
      <c r="F34" s="74">
        <f>F28*Assumptions!$C$29</f>
        <v>8.7369948435000033</v>
      </c>
      <c r="G34" s="74">
        <f>G28*Assumptions!$C$29</f>
        <v>9.1738445856750062</v>
      </c>
      <c r="H34" s="74">
        <f>H28*Assumptions!$C$29</f>
        <v>9.6325368149587547</v>
      </c>
      <c r="I34" s="73"/>
    </row>
    <row r="35" spans="2:9" x14ac:dyDescent="0.2">
      <c r="B35" s="1" t="s">
        <v>18</v>
      </c>
      <c r="C35" s="74"/>
      <c r="D35" s="74">
        <f>C28*Assumptions!$C$30</f>
        <v>1.0426735</v>
      </c>
      <c r="E35" s="74">
        <f>D28*Assumptions!$C$30</f>
        <v>0.98969517500000004</v>
      </c>
      <c r="F35" s="74">
        <f>E28*Assumptions!$C$30</f>
        <v>1.0401184337500007</v>
      </c>
      <c r="G35" s="74">
        <f>F28*Assumptions!$C$30</f>
        <v>1.0921243554375004</v>
      </c>
      <c r="H35" s="74">
        <f>G28*Assumptions!$C$30</f>
        <v>1.1467305732093758</v>
      </c>
      <c r="I35" s="74">
        <f>H28*Assumptions!$C$30</f>
        <v>1.2040671018698443</v>
      </c>
    </row>
    <row r="36" spans="2:9" x14ac:dyDescent="0.2">
      <c r="B36" s="12" t="s">
        <v>19</v>
      </c>
      <c r="C36" s="75"/>
      <c r="D36" s="75"/>
      <c r="E36" s="75">
        <f>C28*Assumptions!$C$31</f>
        <v>1.0426735</v>
      </c>
      <c r="F36" s="75">
        <f>D28*Assumptions!$C$31</f>
        <v>0.98969517500000004</v>
      </c>
      <c r="G36" s="75">
        <f>E28*Assumptions!$C$31</f>
        <v>1.0401184337500007</v>
      </c>
      <c r="H36" s="75">
        <f>F28*Assumptions!$C$31</f>
        <v>1.0921243554375004</v>
      </c>
      <c r="I36" s="75">
        <f>G28*Assumptions!$C$31</f>
        <v>1.1467305732093758</v>
      </c>
    </row>
    <row r="37" spans="2:9" x14ac:dyDescent="0.2">
      <c r="B37" s="1" t="s">
        <v>70</v>
      </c>
      <c r="C37" s="74">
        <f>SUM(C33:C36)</f>
        <v>8.3413880000000002</v>
      </c>
      <c r="D37" s="74">
        <f t="shared" ref="D37:H37" si="8">SUM(D33:D36)</f>
        <v>8.9602348999999997</v>
      </c>
      <c r="E37" s="74">
        <f t="shared" si="8"/>
        <v>10.353316145000004</v>
      </c>
      <c r="F37" s="74">
        <f t="shared" si="8"/>
        <v>10.766808452250004</v>
      </c>
      <c r="G37" s="74">
        <f t="shared" si="8"/>
        <v>11.306087374862507</v>
      </c>
      <c r="H37" s="74">
        <f t="shared" si="8"/>
        <v>11.87139174360563</v>
      </c>
      <c r="I37" s="73"/>
    </row>
    <row r="38" spans="2:9" x14ac:dyDescent="0.2">
      <c r="B38" s="1"/>
      <c r="C38" s="1"/>
      <c r="D38" s="1"/>
      <c r="E38" s="1"/>
      <c r="F38" s="1"/>
      <c r="G38" s="1"/>
      <c r="H38" s="1"/>
    </row>
    <row r="39" spans="2:9" x14ac:dyDescent="0.2">
      <c r="B39" s="1"/>
      <c r="C39" s="1"/>
      <c r="D39" s="1"/>
      <c r="E39" s="1"/>
      <c r="F39" s="1"/>
      <c r="G39" s="1"/>
      <c r="H39" s="1"/>
    </row>
    <row r="40" spans="2:9" ht="18" x14ac:dyDescent="0.2">
      <c r="B40" s="1"/>
      <c r="C40" s="92" t="s">
        <v>43</v>
      </c>
      <c r="D40" s="92"/>
      <c r="E40" s="92"/>
      <c r="F40" s="92"/>
      <c r="G40" s="92"/>
      <c r="H40" s="92"/>
    </row>
    <row r="41" spans="2:9" ht="20" x14ac:dyDescent="0.2">
      <c r="B41" s="30" t="s">
        <v>71</v>
      </c>
      <c r="C41" s="8">
        <f>C32</f>
        <v>1</v>
      </c>
      <c r="D41" s="8">
        <f t="shared" ref="D41:H41" si="9">D32</f>
        <v>2</v>
      </c>
      <c r="E41" s="8">
        <f t="shared" si="9"/>
        <v>3</v>
      </c>
      <c r="F41" s="8">
        <f t="shared" si="9"/>
        <v>4</v>
      </c>
      <c r="G41" s="10">
        <f t="shared" si="9"/>
        <v>5</v>
      </c>
      <c r="H41" s="8">
        <f t="shared" si="9"/>
        <v>6</v>
      </c>
    </row>
    <row r="42" spans="2:9" x14ac:dyDescent="0.2">
      <c r="B42" s="5" t="s">
        <v>72</v>
      </c>
      <c r="C42" s="73">
        <f>Assumptions!C36*Assumptions!C37+Assumptions!C40*Assumptions!C41</f>
        <v>2080</v>
      </c>
      <c r="D42" s="73">
        <f>Assumptions!D36*Assumptions!D37+Assumptions!D40*Assumptions!D41</f>
        <v>2080</v>
      </c>
      <c r="E42" s="73">
        <f>Assumptions!E36*Assumptions!E37+Assumptions!E40*Assumptions!E41</f>
        <v>2080</v>
      </c>
      <c r="F42" s="73">
        <f>Assumptions!F36*Assumptions!F37+Assumptions!F40*Assumptions!F41</f>
        <v>2140</v>
      </c>
      <c r="G42" s="73">
        <f>Assumptions!G36*Assumptions!G37+Assumptions!G40*Assumptions!G41</f>
        <v>2140</v>
      </c>
      <c r="H42" s="73">
        <f>Assumptions!H36*Assumptions!H37+Assumptions!H40*Assumptions!H41</f>
        <v>2140</v>
      </c>
    </row>
    <row r="43" spans="2:9" x14ac:dyDescent="0.2">
      <c r="B43" s="5" t="s">
        <v>73</v>
      </c>
      <c r="C43" s="73" cm="1">
        <f t="array" ref="C43">C42*(Assumptions!C38+Assumptions!C42)/unit</f>
        <v>5.1999999999999998E-2</v>
      </c>
      <c r="D43" s="73" cm="1">
        <f t="array" ref="D43">D42*(Assumptions!D38+Assumptions!D42)/unit</f>
        <v>5.1999999999999998E-2</v>
      </c>
      <c r="E43" s="73" cm="1">
        <f t="array" ref="E43">E42*(Assumptions!E38+Assumptions!E42)/unit</f>
        <v>5.1999999999999998E-2</v>
      </c>
      <c r="F43" s="73" cm="1">
        <f t="array" ref="F43">F42*(Assumptions!F38+Assumptions!F42)/unit</f>
        <v>5.5640000000000002E-2</v>
      </c>
      <c r="G43" s="73" cm="1">
        <f t="array" ref="G43">G42*(Assumptions!G38+Assumptions!G42)/unit</f>
        <v>5.5640000000000002E-2</v>
      </c>
      <c r="H43" s="73" cm="1">
        <f t="array" ref="H43">H42*(Assumptions!H38+Assumptions!H42)/unit</f>
        <v>5.5640000000000002E-2</v>
      </c>
    </row>
    <row r="46" spans="2:9" ht="20" x14ac:dyDescent="0.2">
      <c r="B46" s="30" t="s">
        <v>74</v>
      </c>
      <c r="C46" s="8">
        <f>C41</f>
        <v>1</v>
      </c>
      <c r="D46" s="8">
        <f t="shared" ref="D46:H46" si="10">D41</f>
        <v>2</v>
      </c>
      <c r="E46" s="8">
        <f t="shared" si="10"/>
        <v>3</v>
      </c>
      <c r="F46" s="8">
        <f t="shared" si="10"/>
        <v>4</v>
      </c>
      <c r="G46" s="8">
        <f t="shared" si="10"/>
        <v>5</v>
      </c>
      <c r="H46" s="8">
        <f t="shared" si="10"/>
        <v>6</v>
      </c>
    </row>
    <row r="47" spans="2:9" x14ac:dyDescent="0.2">
      <c r="B47" s="5" t="s">
        <v>75</v>
      </c>
      <c r="C47" s="73" cm="1">
        <f t="array" ref="C47">(Assumptions!C36+Assumptions!C40)*Assumptions!C45/unit</f>
        <v>1.0399999999999999E-3</v>
      </c>
      <c r="D47" s="73" cm="1">
        <f t="array" ref="D47">(Assumptions!D36+Assumptions!D40)*Assumptions!D45/unit</f>
        <v>1.0399999999999999E-3</v>
      </c>
      <c r="E47" s="73" cm="1">
        <f t="array" ref="E47">(Assumptions!E36+Assumptions!E40)*Assumptions!E45/unit</f>
        <v>1.0399999999999999E-3</v>
      </c>
      <c r="F47" s="73" cm="1">
        <f t="array" ref="F47">(Assumptions!F36+Assumptions!F40)*Assumptions!F45/unit</f>
        <v>1.07E-3</v>
      </c>
      <c r="G47" s="73" cm="1">
        <f t="array" ref="G47">(Assumptions!G36+Assumptions!G40)*Assumptions!G45/unit</f>
        <v>1.07E-3</v>
      </c>
      <c r="H47" s="73" cm="1">
        <f t="array" ref="H47">(Assumptions!H36+Assumptions!H40)*Assumptions!H45/unit</f>
        <v>1.07E-3</v>
      </c>
    </row>
    <row r="48" spans="2:9" x14ac:dyDescent="0.2">
      <c r="B48" s="8" t="s">
        <v>76</v>
      </c>
      <c r="C48" s="72">
        <f>Assumptions!C47+Assumptions!C48</f>
        <v>6.1999999999999998E-3</v>
      </c>
      <c r="D48" s="72">
        <f>Assumptions!D47+Assumptions!D48</f>
        <v>6.1999999999999998E-3</v>
      </c>
      <c r="E48" s="72">
        <f>Assumptions!E47+Assumptions!E48</f>
        <v>6.1999999999999998E-3</v>
      </c>
      <c r="F48" s="72">
        <f>Assumptions!F47+Assumptions!F48</f>
        <v>6.1999999999999998E-3</v>
      </c>
      <c r="G48" s="72">
        <f>Assumptions!G47+Assumptions!G48</f>
        <v>6.1999999999999998E-3</v>
      </c>
      <c r="H48" s="72">
        <f>Assumptions!H47+Assumptions!H48</f>
        <v>6.1999999999999998E-3</v>
      </c>
    </row>
    <row r="49" spans="2:8" x14ac:dyDescent="0.2">
      <c r="B49" s="5" t="s">
        <v>77</v>
      </c>
      <c r="C49" s="73">
        <f>SUM(C47:C48)</f>
        <v>7.2399999999999999E-3</v>
      </c>
      <c r="D49" s="73">
        <f t="shared" ref="D49:H49" si="11">SUM(D47:D48)</f>
        <v>7.2399999999999999E-3</v>
      </c>
      <c r="E49" s="73">
        <f t="shared" si="11"/>
        <v>7.2399999999999999E-3</v>
      </c>
      <c r="F49" s="73">
        <f t="shared" si="11"/>
        <v>7.2699999999999996E-3</v>
      </c>
      <c r="G49" s="73">
        <f t="shared" si="11"/>
        <v>7.2699999999999996E-3</v>
      </c>
      <c r="H49" s="73">
        <f t="shared" si="11"/>
        <v>7.2699999999999996E-3</v>
      </c>
    </row>
    <row r="50" spans="2:8" x14ac:dyDescent="0.2">
      <c r="C50" s="73"/>
      <c r="D50" s="73"/>
      <c r="E50" s="73"/>
      <c r="F50" s="73"/>
      <c r="G50" s="73"/>
      <c r="H50" s="73"/>
    </row>
    <row r="51" spans="2:8" x14ac:dyDescent="0.2">
      <c r="B51" s="25" t="s">
        <v>78</v>
      </c>
      <c r="C51" s="72">
        <f>-Assumptions!C47</f>
        <v>-1.1999999999999999E-3</v>
      </c>
      <c r="D51" s="72">
        <f>-Assumptions!D47</f>
        <v>-1.1999999999999999E-3</v>
      </c>
      <c r="E51" s="72">
        <f>-Assumptions!E47</f>
        <v>-1.1999999999999999E-3</v>
      </c>
      <c r="F51" s="72">
        <f>-Assumptions!F47</f>
        <v>-1.1999999999999999E-3</v>
      </c>
      <c r="G51" s="72">
        <f>-Assumptions!G47</f>
        <v>-1.1999999999999999E-3</v>
      </c>
      <c r="H51" s="72">
        <f>-Assumptions!H47</f>
        <v>-1.1999999999999999E-3</v>
      </c>
    </row>
    <row r="52" spans="2:8" x14ac:dyDescent="0.2">
      <c r="B52" s="5" t="s">
        <v>79</v>
      </c>
      <c r="C52" s="73"/>
      <c r="D52" s="73"/>
      <c r="E52" s="73"/>
      <c r="F52" s="73"/>
      <c r="G52" s="73"/>
      <c r="H52" s="73"/>
    </row>
    <row r="53" spans="2:8" x14ac:dyDescent="0.2">
      <c r="C53" s="73"/>
      <c r="D53" s="73"/>
      <c r="E53" s="73"/>
      <c r="F53" s="73"/>
      <c r="G53" s="73"/>
      <c r="H53" s="73"/>
    </row>
    <row r="54" spans="2:8" x14ac:dyDescent="0.2">
      <c r="B54" s="5" t="s">
        <v>80</v>
      </c>
      <c r="C54" s="73" cm="1">
        <f t="array" ref="C54">C49*unit/(Assumptions!C36+Assumptions!C40)</f>
        <v>34.807692307692307</v>
      </c>
      <c r="D54" s="73" cm="1">
        <f t="array" ref="D54">D49*unit/(Assumptions!D36+Assumptions!D40)</f>
        <v>34.807692307692307</v>
      </c>
      <c r="E54" s="73" cm="1">
        <f t="array" ref="E54">E49*unit/(Assumptions!E36+Assumptions!E40)</f>
        <v>34.807692307692307</v>
      </c>
      <c r="F54" s="73" cm="1">
        <f t="array" ref="F54">F49*unit/(Assumptions!F36+Assumptions!F40)</f>
        <v>33.971962616822431</v>
      </c>
      <c r="G54" s="73" cm="1">
        <f t="array" ref="G54">G49*unit/(Assumptions!G36+Assumptions!G40)</f>
        <v>33.971962616822431</v>
      </c>
      <c r="H54" s="73" cm="1">
        <f t="array" ref="H54">H49*unit/(Assumptions!H36+Assumptions!H40)</f>
        <v>33.971962616822431</v>
      </c>
    </row>
    <row r="59" spans="2:8" ht="20" x14ac:dyDescent="0.2">
      <c r="B59" s="30" t="s">
        <v>81</v>
      </c>
      <c r="C59" s="8">
        <f>C46</f>
        <v>1</v>
      </c>
      <c r="D59" s="8">
        <f t="shared" ref="D59:H59" si="12">D46</f>
        <v>2</v>
      </c>
      <c r="E59" s="8">
        <f t="shared" si="12"/>
        <v>3</v>
      </c>
      <c r="F59" s="8">
        <f t="shared" si="12"/>
        <v>4</v>
      </c>
      <c r="G59" s="8">
        <f t="shared" si="12"/>
        <v>5</v>
      </c>
      <c r="H59" s="8">
        <f t="shared" si="12"/>
        <v>6</v>
      </c>
    </row>
    <row r="60" spans="2:8" x14ac:dyDescent="0.2">
      <c r="B60" s="9" t="s">
        <v>82</v>
      </c>
    </row>
    <row r="61" spans="2:8" x14ac:dyDescent="0.2">
      <c r="B61" s="5" t="s">
        <v>83</v>
      </c>
      <c r="C61" s="73">
        <f>C14/C11</f>
        <v>2</v>
      </c>
      <c r="D61" s="73">
        <f t="shared" ref="D61:H61" si="13">D14/D11</f>
        <v>2</v>
      </c>
      <c r="E61" s="73">
        <f t="shared" si="13"/>
        <v>2</v>
      </c>
      <c r="F61" s="73">
        <f t="shared" si="13"/>
        <v>2</v>
      </c>
      <c r="G61" s="73">
        <f t="shared" si="13"/>
        <v>2</v>
      </c>
      <c r="H61" s="73">
        <f t="shared" si="13"/>
        <v>2</v>
      </c>
    </row>
    <row r="62" spans="2:8" x14ac:dyDescent="0.2">
      <c r="B62" s="5" t="s">
        <v>84</v>
      </c>
      <c r="C62" s="73">
        <f>Assumptions!C37*Assumptions!C53</f>
        <v>2.5</v>
      </c>
      <c r="D62" s="73">
        <f>Assumptions!D37*Assumptions!D53</f>
        <v>2.5</v>
      </c>
      <c r="E62" s="73">
        <f>Assumptions!E37*Assumptions!E53</f>
        <v>2.5</v>
      </c>
      <c r="F62" s="73">
        <f>Assumptions!F37*Assumptions!F53</f>
        <v>2.5</v>
      </c>
      <c r="G62" s="73">
        <f>Assumptions!G37*Assumptions!G53</f>
        <v>2.5</v>
      </c>
      <c r="H62" s="73">
        <f>Assumptions!H37*Assumptions!H53</f>
        <v>2.5</v>
      </c>
    </row>
    <row r="63" spans="2:8" x14ac:dyDescent="0.2">
      <c r="B63" s="8" t="s">
        <v>85</v>
      </c>
      <c r="C63" s="72">
        <f>C54*Assumptions!C53*'Proj. Sales &amp; Prod'!$C$35</f>
        <v>6.3672607879924961</v>
      </c>
      <c r="D63" s="72">
        <f>D54*Assumptions!D53*'Proj. Sales &amp; Prod'!$C$35</f>
        <v>6.3672607879924961</v>
      </c>
      <c r="E63" s="72">
        <f>E54*Assumptions!E53*'Proj. Sales &amp; Prod'!$C$35</f>
        <v>6.3672607879924961</v>
      </c>
      <c r="F63" s="72">
        <f>F54*Assumptions!F53*'Proj. Sales &amp; Prod'!$C$35</f>
        <v>6.2143834055162994</v>
      </c>
      <c r="G63" s="72">
        <f>G54*Assumptions!G53*'Proj. Sales &amp; Prod'!$C$35</f>
        <v>6.2143834055162994</v>
      </c>
      <c r="H63" s="72">
        <f>H54*Assumptions!H53*'Proj. Sales &amp; Prod'!$C$35</f>
        <v>6.2143834055162994</v>
      </c>
    </row>
    <row r="64" spans="2:8" x14ac:dyDescent="0.2">
      <c r="B64" s="5" t="s">
        <v>86</v>
      </c>
      <c r="C64" s="73">
        <f>SUM(C61:C63)</f>
        <v>10.867260787992496</v>
      </c>
      <c r="D64" s="73">
        <f t="shared" ref="D64:H64" si="14">SUM(D61:D63)</f>
        <v>10.867260787992496</v>
      </c>
      <c r="E64" s="73">
        <f t="shared" si="14"/>
        <v>10.867260787992496</v>
      </c>
      <c r="F64" s="73">
        <f t="shared" si="14"/>
        <v>10.714383405516299</v>
      </c>
      <c r="G64" s="73">
        <f t="shared" si="14"/>
        <v>10.714383405516299</v>
      </c>
      <c r="H64" s="73">
        <f t="shared" si="14"/>
        <v>10.714383405516299</v>
      </c>
    </row>
    <row r="65" spans="2:8" x14ac:dyDescent="0.2">
      <c r="C65" s="73"/>
      <c r="D65" s="73"/>
      <c r="E65" s="73"/>
      <c r="F65" s="73"/>
      <c r="G65" s="73"/>
      <c r="H65" s="73"/>
    </row>
    <row r="66" spans="2:8" x14ac:dyDescent="0.2">
      <c r="B66" s="25" t="s">
        <v>87</v>
      </c>
      <c r="C66" s="72">
        <f>'Proj. Sales &amp; Prod'!C29*'Proj. Sales &amp; Prod'!$C$35</f>
        <v>0.03</v>
      </c>
      <c r="D66" s="72">
        <f>'Proj. Sales &amp; Prod'!D29*'Proj. Sales &amp; Prod'!$C$35</f>
        <v>3.1500000000000007E-2</v>
      </c>
      <c r="E66" s="72">
        <f>'Proj. Sales &amp; Prod'!E29*'Proj. Sales &amp; Prod'!$C$35</f>
        <v>3.3075000000000007E-2</v>
      </c>
      <c r="F66" s="72">
        <f>'Proj. Sales &amp; Prod'!F29*'Proj. Sales &amp; Prod'!$C$35</f>
        <v>3.4728750000000017E-2</v>
      </c>
      <c r="G66" s="72">
        <f>'Proj. Sales &amp; Prod'!G29*'Proj. Sales &amp; Prod'!$C$35</f>
        <v>3.6465187500000017E-2</v>
      </c>
      <c r="H66" s="72">
        <f>'Proj. Sales &amp; Prod'!H29*'Proj. Sales &amp; Prod'!$C$35</f>
        <v>3.8288446875000014E-2</v>
      </c>
    </row>
    <row r="67" spans="2:8" x14ac:dyDescent="0.2">
      <c r="B67" s="23" t="s">
        <v>88</v>
      </c>
      <c r="C67" s="73">
        <f>C66*C64</f>
        <v>0.32601782363977488</v>
      </c>
      <c r="D67" s="73">
        <f t="shared" ref="D67:H67" si="15">D66*D64</f>
        <v>0.34231871482176368</v>
      </c>
      <c r="E67" s="73">
        <f t="shared" si="15"/>
        <v>0.3594346505628519</v>
      </c>
      <c r="F67" s="73">
        <f t="shared" si="15"/>
        <v>0.37209714269432437</v>
      </c>
      <c r="G67" s="73">
        <f t="shared" si="15"/>
        <v>0.39070199982904058</v>
      </c>
      <c r="H67" s="73">
        <f t="shared" si="15"/>
        <v>0.41023709982049256</v>
      </c>
    </row>
    <row r="68" spans="2:8" x14ac:dyDescent="0.2">
      <c r="C68" s="73"/>
      <c r="D68" s="73"/>
      <c r="E68" s="73"/>
      <c r="F68" s="73"/>
      <c r="G68" s="73"/>
      <c r="H68" s="73"/>
    </row>
    <row r="69" spans="2:8" x14ac:dyDescent="0.2">
      <c r="C69" s="73"/>
      <c r="D69" s="73"/>
      <c r="E69" s="73"/>
      <c r="F69" s="73"/>
      <c r="G69" s="73"/>
      <c r="H69" s="73"/>
    </row>
    <row r="70" spans="2:8" x14ac:dyDescent="0.2">
      <c r="B70" s="9" t="s">
        <v>89</v>
      </c>
      <c r="C70" s="73"/>
      <c r="D70" s="73"/>
      <c r="E70" s="73"/>
      <c r="F70" s="73"/>
      <c r="G70" s="73"/>
      <c r="H70" s="73"/>
    </row>
    <row r="71" spans="2:8" x14ac:dyDescent="0.2">
      <c r="B71" s="5" t="s">
        <v>83</v>
      </c>
      <c r="C71" s="73">
        <f>C25/C22</f>
        <v>0.7</v>
      </c>
      <c r="D71" s="73">
        <f t="shared" ref="D71:H71" si="16">D25/D22</f>
        <v>0.7</v>
      </c>
      <c r="E71" s="73">
        <f t="shared" si="16"/>
        <v>0.7</v>
      </c>
      <c r="F71" s="73">
        <f t="shared" si="16"/>
        <v>0.7</v>
      </c>
      <c r="G71" s="73">
        <f t="shared" si="16"/>
        <v>0.7</v>
      </c>
      <c r="H71" s="73">
        <f t="shared" si="16"/>
        <v>0.7</v>
      </c>
    </row>
    <row r="72" spans="2:8" x14ac:dyDescent="0.2">
      <c r="B72" s="5" t="s">
        <v>84</v>
      </c>
      <c r="C72" s="73">
        <f>Assumptions!C41*Assumptions!C54</f>
        <v>0.8</v>
      </c>
      <c r="D72" s="73">
        <f>Assumptions!D41*Assumptions!D54</f>
        <v>0.8</v>
      </c>
      <c r="E72" s="73">
        <f>Assumptions!E41*Assumptions!E54</f>
        <v>0.8</v>
      </c>
      <c r="F72" s="73">
        <f>Assumptions!F41*Assumptions!F54</f>
        <v>0.8</v>
      </c>
      <c r="G72" s="73">
        <f>Assumptions!G41*Assumptions!G54</f>
        <v>0.8</v>
      </c>
      <c r="H72" s="73">
        <f>Assumptions!H41*Assumptions!H54</f>
        <v>0.8</v>
      </c>
    </row>
    <row r="73" spans="2:8" x14ac:dyDescent="0.2">
      <c r="B73" s="8" t="s">
        <v>85</v>
      </c>
      <c r="C73" s="72">
        <f>C54*Assumptions!C54*'Proj. Sales &amp; Prod'!$C$36</f>
        <v>0.74709193245778627</v>
      </c>
      <c r="D73" s="72">
        <f>D54*Assumptions!D54*'Proj. Sales &amp; Prod'!$C$36</f>
        <v>0.74709193245778627</v>
      </c>
      <c r="E73" s="72">
        <f>E54*Assumptions!E54*'Proj. Sales &amp; Prod'!$C$36</f>
        <v>0.74709193245778627</v>
      </c>
      <c r="F73" s="72">
        <f>F54*Assumptions!F54*'Proj. Sales &amp; Prod'!$C$36</f>
        <v>0.72915431958057919</v>
      </c>
      <c r="G73" s="72">
        <f>G54*Assumptions!G54*'Proj. Sales &amp; Prod'!$C$36</f>
        <v>0.72915431958057919</v>
      </c>
      <c r="H73" s="72">
        <f>H54*Assumptions!H54*'Proj. Sales &amp; Prod'!$C$36</f>
        <v>0.72915431958057919</v>
      </c>
    </row>
    <row r="74" spans="2:8" x14ac:dyDescent="0.2">
      <c r="B74" s="5" t="s">
        <v>90</v>
      </c>
      <c r="C74" s="73">
        <f>SUM(C71:C73)</f>
        <v>2.2470919324577863</v>
      </c>
      <c r="D74" s="73">
        <f t="shared" ref="D74:H74" si="17">SUM(D71:D73)</f>
        <v>2.2470919324577863</v>
      </c>
      <c r="E74" s="73">
        <f t="shared" si="17"/>
        <v>2.2470919324577863</v>
      </c>
      <c r="F74" s="73">
        <f t="shared" si="17"/>
        <v>2.2291543195805792</v>
      </c>
      <c r="G74" s="73">
        <f t="shared" si="17"/>
        <v>2.2291543195805792</v>
      </c>
      <c r="H74" s="73">
        <f t="shared" si="17"/>
        <v>2.2291543195805792</v>
      </c>
    </row>
    <row r="75" spans="2:8" x14ac:dyDescent="0.2">
      <c r="C75" s="73"/>
      <c r="D75" s="73"/>
      <c r="E75" s="73"/>
      <c r="F75" s="73"/>
      <c r="G75" s="73"/>
      <c r="H75" s="73"/>
    </row>
    <row r="76" spans="2:8" x14ac:dyDescent="0.2">
      <c r="B76" s="8" t="s">
        <v>91</v>
      </c>
      <c r="C76" s="72">
        <f>'Proj. Sales &amp; Prod'!C29*'Proj. Sales &amp; Prod'!$C$36</f>
        <v>1.1000000000000001E-2</v>
      </c>
      <c r="D76" s="72">
        <f>'Proj. Sales &amp; Prod'!D29*'Proj. Sales &amp; Prod'!$C$36</f>
        <v>1.1550000000000005E-2</v>
      </c>
      <c r="E76" s="72">
        <f>'Proj. Sales &amp; Prod'!E29*'Proj. Sales &amp; Prod'!$C$36</f>
        <v>1.2127500000000005E-2</v>
      </c>
      <c r="F76" s="72">
        <f>'Proj. Sales &amp; Prod'!F29*'Proj. Sales &amp; Prod'!$C$36</f>
        <v>1.2733875000000007E-2</v>
      </c>
      <c r="G76" s="72">
        <f>'Proj. Sales &amp; Prod'!G29*'Proj. Sales &amp; Prod'!$C$36</f>
        <v>1.3370568750000008E-2</v>
      </c>
      <c r="H76" s="72">
        <f>'Proj. Sales &amp; Prod'!H29*'Proj. Sales &amp; Prod'!$C$36</f>
        <v>1.4039097187500007E-2</v>
      </c>
    </row>
    <row r="77" spans="2:8" x14ac:dyDescent="0.2">
      <c r="B77" s="23" t="s">
        <v>88</v>
      </c>
      <c r="C77" s="73">
        <f>C76*C74</f>
        <v>2.4718011257035651E-2</v>
      </c>
      <c r="D77" s="73">
        <f t="shared" ref="D77:H77" si="18">D76*D74</f>
        <v>2.5953911819887442E-2</v>
      </c>
      <c r="E77" s="73">
        <f t="shared" si="18"/>
        <v>2.7251607410881812E-2</v>
      </c>
      <c r="F77" s="73">
        <f t="shared" si="18"/>
        <v>2.8385772461249164E-2</v>
      </c>
      <c r="G77" s="73">
        <f t="shared" si="18"/>
        <v>2.9805061084311621E-2</v>
      </c>
      <c r="H77" s="73">
        <f t="shared" si="18"/>
        <v>3.1295314138527201E-2</v>
      </c>
    </row>
    <row r="78" spans="2:8" x14ac:dyDescent="0.2">
      <c r="C78" s="73"/>
      <c r="D78" s="73"/>
      <c r="E78" s="73"/>
      <c r="F78" s="73"/>
      <c r="G78" s="73"/>
      <c r="H78" s="73"/>
    </row>
    <row r="79" spans="2:8" x14ac:dyDescent="0.2">
      <c r="B79" s="5" t="s">
        <v>92</v>
      </c>
      <c r="C79" s="73">
        <f>C67+C77</f>
        <v>0.35073583489681054</v>
      </c>
      <c r="D79" s="73">
        <f t="shared" ref="D79:H79" si="19">D67+D77</f>
        <v>0.36827262664165111</v>
      </c>
      <c r="E79" s="73">
        <f t="shared" si="19"/>
        <v>0.38668625797373368</v>
      </c>
      <c r="F79" s="73">
        <f t="shared" si="19"/>
        <v>0.40048291515557355</v>
      </c>
      <c r="G79" s="73">
        <f t="shared" si="19"/>
        <v>0.42050706091335222</v>
      </c>
      <c r="H79" s="73">
        <f t="shared" si="19"/>
        <v>0.44153241395901976</v>
      </c>
    </row>
  </sheetData>
  <sheetProtection selectLockedCells="1"/>
  <mergeCells count="3">
    <mergeCell ref="C40:H40"/>
    <mergeCell ref="C4:H4"/>
    <mergeCell ref="C31:H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BEAB-3621-4947-BF85-A369AA8BFA0C}">
  <sheetPr>
    <tabColor rgb="FF00B050"/>
  </sheetPr>
  <dimension ref="B1:H112"/>
  <sheetViews>
    <sheetView topLeftCell="A46" workbookViewId="0">
      <selection activeCell="B57" sqref="B57:H77"/>
    </sheetView>
  </sheetViews>
  <sheetFormatPr baseColWidth="10" defaultColWidth="9" defaultRowHeight="16" outlineLevelRow="1" x14ac:dyDescent="0.2"/>
  <cols>
    <col min="1" max="1" width="9" style="5"/>
    <col min="2" max="2" width="57.1640625" style="5" customWidth="1"/>
    <col min="3" max="6" width="14.5" style="5" customWidth="1"/>
    <col min="7" max="8" width="9.6640625" style="5" bestFit="1" customWidth="1"/>
    <col min="9" max="16384" width="9" style="5"/>
  </cols>
  <sheetData>
    <row r="1" spans="2:8" ht="20" x14ac:dyDescent="0.2">
      <c r="B1" s="31" t="str">
        <f>name</f>
        <v>Compagny Incognito, by eliediwambuena</v>
      </c>
      <c r="D1" s="82">
        <f>'Proj. Sales &amp; Prod'!D2</f>
        <v>0</v>
      </c>
      <c r="E1" s="82"/>
      <c r="F1" s="82"/>
      <c r="G1" s="83">
        <f>'Proj. Sales &amp; Prod'!G2</f>
        <v>0</v>
      </c>
    </row>
    <row r="4" spans="2:8" ht="20" x14ac:dyDescent="0.2">
      <c r="B4" s="30" t="s">
        <v>93</v>
      </c>
      <c r="C4" s="8">
        <f>Assumptions!C8</f>
        <v>1</v>
      </c>
      <c r="D4" s="8">
        <f>Assumptions!D8</f>
        <v>2</v>
      </c>
      <c r="E4" s="8">
        <f>Assumptions!E8</f>
        <v>3</v>
      </c>
      <c r="F4" s="8">
        <f>Assumptions!F8</f>
        <v>4</v>
      </c>
      <c r="G4" s="8">
        <f>Assumptions!G8</f>
        <v>5</v>
      </c>
      <c r="H4" s="8">
        <f>Assumptions!H8</f>
        <v>6</v>
      </c>
    </row>
    <row r="6" spans="2:8" x14ac:dyDescent="0.2">
      <c r="B6" s="1" t="s">
        <v>94</v>
      </c>
      <c r="C6" s="73">
        <f>'Proj. Sales &amp; Prod'!C8</f>
        <v>4.0999999999999996</v>
      </c>
      <c r="D6" s="73">
        <f>'Proj. Sales &amp; Prod'!D8</f>
        <v>4.3050000000000006</v>
      </c>
      <c r="E6" s="73">
        <f>'Proj. Sales &amp; Prod'!E8</f>
        <v>4.5202500000000008</v>
      </c>
      <c r="F6" s="73">
        <f>'Proj. Sales &amp; Prod'!F8</f>
        <v>4.7462625000000012</v>
      </c>
      <c r="G6" s="73">
        <f>'Proj. Sales &amp; Prod'!G8</f>
        <v>4.9835756250000012</v>
      </c>
      <c r="H6" s="73">
        <f>'Proj. Sales &amp; Prod'!H8</f>
        <v>5.2327544062500015</v>
      </c>
    </row>
    <row r="7" spans="2:8" x14ac:dyDescent="0.2">
      <c r="B7" s="12" t="s">
        <v>95</v>
      </c>
      <c r="C7" s="76">
        <f>C6*Assumptions!C19</f>
        <v>4.0999999999999999E-4</v>
      </c>
      <c r="D7" s="76">
        <f>D6*Assumptions!D19</f>
        <v>4.3050000000000006E-4</v>
      </c>
      <c r="E7" s="76">
        <f>E6*Assumptions!E19</f>
        <v>4.520250000000001E-4</v>
      </c>
      <c r="F7" s="76">
        <f>F6*Assumptions!F19</f>
        <v>4.7462625000000016E-4</v>
      </c>
      <c r="G7" s="76">
        <f>G6*Assumptions!G19</f>
        <v>4.9835756250000019E-4</v>
      </c>
      <c r="H7" s="76">
        <f>H6*Assumptions!H19</f>
        <v>5.2327544062500016E-4</v>
      </c>
    </row>
    <row r="8" spans="2:8" x14ac:dyDescent="0.2">
      <c r="B8" s="1" t="s">
        <v>96</v>
      </c>
      <c r="C8" s="73">
        <f>C7</f>
        <v>4.0999999999999999E-4</v>
      </c>
      <c r="D8" s="73">
        <f t="shared" ref="D8:H8" si="0">D7</f>
        <v>4.3050000000000006E-4</v>
      </c>
      <c r="E8" s="73">
        <f t="shared" si="0"/>
        <v>4.520250000000001E-4</v>
      </c>
      <c r="F8" s="73">
        <f t="shared" si="0"/>
        <v>4.7462625000000016E-4</v>
      </c>
      <c r="G8" s="73">
        <f t="shared" si="0"/>
        <v>4.9835756250000019E-4</v>
      </c>
      <c r="H8" s="73">
        <f t="shared" si="0"/>
        <v>5.2327544062500016E-4</v>
      </c>
    </row>
    <row r="9" spans="2:8" x14ac:dyDescent="0.2">
      <c r="B9" s="1"/>
      <c r="C9" s="73"/>
      <c r="D9" s="73"/>
      <c r="E9" s="73"/>
      <c r="F9" s="73"/>
      <c r="G9" s="73"/>
      <c r="H9" s="73"/>
    </row>
    <row r="10" spans="2:8" x14ac:dyDescent="0.2">
      <c r="B10" s="3" t="s">
        <v>97</v>
      </c>
      <c r="C10" s="73"/>
      <c r="D10" s="73"/>
      <c r="E10" s="73"/>
      <c r="F10" s="73"/>
      <c r="G10" s="73"/>
      <c r="H10" s="73"/>
    </row>
    <row r="11" spans="2:8" x14ac:dyDescent="0.2">
      <c r="B11" s="1" t="s">
        <v>34</v>
      </c>
      <c r="C11" s="73">
        <f>Assumptions!C59</f>
        <v>4</v>
      </c>
      <c r="D11" s="73">
        <f>Assumptions!D59</f>
        <v>4.5</v>
      </c>
      <c r="E11" s="73">
        <f>Assumptions!E59</f>
        <v>5</v>
      </c>
      <c r="F11" s="73">
        <f>Assumptions!F59</f>
        <v>5.5</v>
      </c>
      <c r="G11" s="73">
        <f>Assumptions!G59</f>
        <v>6</v>
      </c>
      <c r="H11" s="73">
        <f>Assumptions!H59</f>
        <v>6.5</v>
      </c>
    </row>
    <row r="12" spans="2:8" x14ac:dyDescent="0.2">
      <c r="B12" s="1" t="s">
        <v>98</v>
      </c>
      <c r="C12" s="73">
        <f>Assumptions!C60</f>
        <v>5</v>
      </c>
      <c r="D12" s="73">
        <f>Assumptions!D60</f>
        <v>5.25</v>
      </c>
      <c r="E12" s="73">
        <f>Assumptions!E60</f>
        <v>5.5125000000000002</v>
      </c>
      <c r="F12" s="73">
        <f>Assumptions!F60</f>
        <v>5.7881250000000009</v>
      </c>
      <c r="G12" s="73">
        <f>Assumptions!G60</f>
        <v>6.0775312500000007</v>
      </c>
      <c r="H12" s="73">
        <f>Assumptions!H60</f>
        <v>6.3814078125000009</v>
      </c>
    </row>
    <row r="13" spans="2:8" x14ac:dyDescent="0.2">
      <c r="B13" s="1" t="s">
        <v>36</v>
      </c>
      <c r="C13" s="73">
        <f>Assumptions!C61</f>
        <v>1</v>
      </c>
      <c r="D13" s="73">
        <f>Assumptions!D61</f>
        <v>1</v>
      </c>
      <c r="E13" s="73">
        <f>Assumptions!E61</f>
        <v>1</v>
      </c>
      <c r="F13" s="73">
        <f>Assumptions!F61</f>
        <v>1</v>
      </c>
      <c r="G13" s="73">
        <f>Assumptions!G61</f>
        <v>1</v>
      </c>
      <c r="H13" s="73">
        <f>Assumptions!H61</f>
        <v>1</v>
      </c>
    </row>
    <row r="14" spans="2:8" x14ac:dyDescent="0.2">
      <c r="B14" s="1" t="s">
        <v>99</v>
      </c>
      <c r="C14" s="73">
        <f>Assumptions!C48</f>
        <v>5.0000000000000001E-3</v>
      </c>
      <c r="D14" s="73">
        <f>Assumptions!D48</f>
        <v>5.0000000000000001E-3</v>
      </c>
      <c r="E14" s="73">
        <f>Assumptions!E48</f>
        <v>5.0000000000000001E-3</v>
      </c>
      <c r="F14" s="73">
        <f>Assumptions!F48</f>
        <v>5.0000000000000001E-3</v>
      </c>
      <c r="G14" s="73">
        <f>Assumptions!G48</f>
        <v>5.0000000000000001E-3</v>
      </c>
      <c r="H14" s="73">
        <f>Assumptions!H48</f>
        <v>5.0000000000000001E-3</v>
      </c>
    </row>
    <row r="15" spans="2:8" x14ac:dyDescent="0.2">
      <c r="B15" s="12" t="s">
        <v>100</v>
      </c>
      <c r="C15" s="76">
        <f>Assumptions!C47</f>
        <v>1.1999999999999999E-3</v>
      </c>
      <c r="D15" s="76">
        <f>Assumptions!D47</f>
        <v>1.1999999999999999E-3</v>
      </c>
      <c r="E15" s="76">
        <f>Assumptions!E47</f>
        <v>1.1999999999999999E-3</v>
      </c>
      <c r="F15" s="76">
        <f>Assumptions!F47</f>
        <v>1.1999999999999999E-3</v>
      </c>
      <c r="G15" s="76">
        <f>Assumptions!G47</f>
        <v>1.1999999999999999E-3</v>
      </c>
      <c r="H15" s="76">
        <f>Assumptions!H47</f>
        <v>1.1999999999999999E-3</v>
      </c>
    </row>
    <row r="16" spans="2:8" x14ac:dyDescent="0.2">
      <c r="B16" s="1" t="s">
        <v>101</v>
      </c>
      <c r="C16" s="73">
        <f>SUM(C11:C15)</f>
        <v>10.006200000000002</v>
      </c>
      <c r="D16" s="73">
        <f t="shared" ref="D16:H16" si="1">SUM(D11:D15)</f>
        <v>10.756200000000002</v>
      </c>
      <c r="E16" s="73">
        <f t="shared" si="1"/>
        <v>11.518700000000001</v>
      </c>
      <c r="F16" s="73">
        <f t="shared" si="1"/>
        <v>12.294325000000002</v>
      </c>
      <c r="G16" s="73">
        <f t="shared" si="1"/>
        <v>13.083731250000001</v>
      </c>
      <c r="H16" s="73">
        <f t="shared" si="1"/>
        <v>13.887607812500002</v>
      </c>
    </row>
    <row r="17" spans="2:8" x14ac:dyDescent="0.2">
      <c r="B17" s="1"/>
      <c r="C17" s="73"/>
      <c r="D17" s="73"/>
      <c r="E17" s="73"/>
      <c r="F17" s="73"/>
      <c r="G17" s="73"/>
      <c r="H17" s="73"/>
    </row>
    <row r="18" spans="2:8" x14ac:dyDescent="0.2">
      <c r="B18" s="1" t="s">
        <v>102</v>
      </c>
      <c r="C18" s="73">
        <f>C16+C8</f>
        <v>10.006610000000002</v>
      </c>
      <c r="D18" s="73">
        <f t="shared" ref="D18:H18" si="2">D16+D8</f>
        <v>10.756630500000002</v>
      </c>
      <c r="E18" s="73">
        <f t="shared" si="2"/>
        <v>11.519152025</v>
      </c>
      <c r="F18" s="73">
        <f t="shared" si="2"/>
        <v>12.294799626250002</v>
      </c>
      <c r="G18" s="73">
        <f t="shared" si="2"/>
        <v>13.084229607562502</v>
      </c>
      <c r="H18" s="73">
        <f t="shared" si="2"/>
        <v>13.888131087940627</v>
      </c>
    </row>
    <row r="19" spans="2:8" x14ac:dyDescent="0.2">
      <c r="B19" s="12" t="s">
        <v>103</v>
      </c>
      <c r="C19" s="76">
        <f>-C15</f>
        <v>-1.1999999999999999E-3</v>
      </c>
      <c r="D19" s="76">
        <f t="shared" ref="D19:H19" si="3">-D15</f>
        <v>-1.1999999999999999E-3</v>
      </c>
      <c r="E19" s="76">
        <f t="shared" si="3"/>
        <v>-1.1999999999999999E-3</v>
      </c>
      <c r="F19" s="76">
        <f t="shared" si="3"/>
        <v>-1.1999999999999999E-3</v>
      </c>
      <c r="G19" s="76">
        <f t="shared" si="3"/>
        <v>-1.1999999999999999E-3</v>
      </c>
      <c r="H19" s="76">
        <f t="shared" si="3"/>
        <v>-1.1999999999999999E-3</v>
      </c>
    </row>
    <row r="20" spans="2:8" x14ac:dyDescent="0.2">
      <c r="B20" s="1" t="s">
        <v>104</v>
      </c>
      <c r="C20" s="73">
        <f>SUM(C18:C19)</f>
        <v>10.005410000000001</v>
      </c>
      <c r="D20" s="73">
        <f t="shared" ref="D20:H20" si="4">SUM(D18:D19)</f>
        <v>10.755430500000001</v>
      </c>
      <c r="E20" s="73">
        <f t="shared" si="4"/>
        <v>11.517952025</v>
      </c>
      <c r="F20" s="73">
        <f t="shared" si="4"/>
        <v>12.293599626250002</v>
      </c>
      <c r="G20" s="73">
        <f t="shared" si="4"/>
        <v>13.083029607562501</v>
      </c>
      <c r="H20" s="73">
        <f t="shared" si="4"/>
        <v>13.886931087940626</v>
      </c>
    </row>
    <row r="26" spans="2:8" ht="20" x14ac:dyDescent="0.2">
      <c r="B26" s="30" t="s">
        <v>105</v>
      </c>
      <c r="C26" s="77">
        <f>C4</f>
        <v>1</v>
      </c>
      <c r="D26" s="77">
        <f t="shared" ref="D26:H26" si="5">D4</f>
        <v>2</v>
      </c>
      <c r="E26" s="77">
        <f t="shared" si="5"/>
        <v>3</v>
      </c>
      <c r="F26" s="77">
        <f t="shared" si="5"/>
        <v>4</v>
      </c>
      <c r="G26" s="77">
        <f t="shared" si="5"/>
        <v>5</v>
      </c>
      <c r="H26" s="77">
        <f t="shared" si="5"/>
        <v>6</v>
      </c>
    </row>
    <row r="27" spans="2:8" x14ac:dyDescent="0.2">
      <c r="B27" s="1" t="s">
        <v>106</v>
      </c>
      <c r="C27" s="73"/>
      <c r="D27" s="73"/>
      <c r="E27" s="73"/>
      <c r="F27" s="73"/>
      <c r="G27" s="73"/>
      <c r="H27" s="73"/>
    </row>
    <row r="28" spans="2:8" x14ac:dyDescent="0.2">
      <c r="B28" s="1"/>
      <c r="C28" s="73"/>
      <c r="D28" s="73"/>
      <c r="E28" s="73"/>
      <c r="F28" s="73"/>
      <c r="G28" s="73"/>
      <c r="H28" s="73"/>
    </row>
    <row r="29" spans="2:8" x14ac:dyDescent="0.2">
      <c r="B29" s="3" t="s">
        <v>107</v>
      </c>
      <c r="C29" s="73"/>
      <c r="D29" s="73"/>
      <c r="E29" s="73"/>
      <c r="F29" s="73"/>
      <c r="G29" s="73"/>
      <c r="H29" s="73"/>
    </row>
    <row r="30" spans="2:8" x14ac:dyDescent="0.2">
      <c r="B30" s="1" t="s">
        <v>108</v>
      </c>
      <c r="C30" s="73">
        <f>'Proj. Sales &amp; Prod'!C21</f>
        <v>25.56</v>
      </c>
      <c r="D30" s="73">
        <f>'Proj. Sales &amp; Prod'!D21</f>
        <v>28.258000000000003</v>
      </c>
      <c r="E30" s="73">
        <f>'Proj. Sales &amp; Prod'!E21</f>
        <v>31.090900000000005</v>
      </c>
      <c r="F30" s="73">
        <f>'Proj. Sales &amp; Prod'!F21</f>
        <v>32.645445000000009</v>
      </c>
      <c r="G30" s="73">
        <f>'Proj. Sales &amp; Prod'!G21</f>
        <v>34.277717250000009</v>
      </c>
      <c r="H30" s="73">
        <f>'Proj. Sales &amp; Prod'!H21</f>
        <v>35.991603112500009</v>
      </c>
    </row>
    <row r="31" spans="2:8" x14ac:dyDescent="0.2">
      <c r="B31" s="1" t="s">
        <v>109</v>
      </c>
      <c r="C31" s="73">
        <f>C30</f>
        <v>25.56</v>
      </c>
      <c r="D31" s="73">
        <f t="shared" ref="D31:H31" si="6">D30</f>
        <v>28.258000000000003</v>
      </c>
      <c r="E31" s="73">
        <f t="shared" si="6"/>
        <v>31.090900000000005</v>
      </c>
      <c r="F31" s="73">
        <f t="shared" si="6"/>
        <v>32.645445000000009</v>
      </c>
      <c r="G31" s="73">
        <f t="shared" si="6"/>
        <v>34.277717250000009</v>
      </c>
      <c r="H31" s="73">
        <f t="shared" si="6"/>
        <v>35.991603112500009</v>
      </c>
    </row>
    <row r="32" spans="2:8" x14ac:dyDescent="0.2">
      <c r="B32" s="1"/>
      <c r="C32" s="73"/>
      <c r="D32" s="73"/>
      <c r="E32" s="73"/>
      <c r="F32" s="73"/>
      <c r="G32" s="73"/>
      <c r="H32" s="73"/>
    </row>
    <row r="33" spans="2:8" x14ac:dyDescent="0.2">
      <c r="B33" s="3" t="s">
        <v>110</v>
      </c>
      <c r="C33" s="73"/>
      <c r="D33" s="73"/>
      <c r="E33" s="73"/>
      <c r="F33" s="73"/>
      <c r="G33" s="73"/>
      <c r="H33" s="73"/>
    </row>
    <row r="34" spans="2:8" x14ac:dyDescent="0.2">
      <c r="B34" s="1" t="s">
        <v>111</v>
      </c>
      <c r="C34" s="73">
        <f>'Proj. RM &amp; DL &amp; FG'!C28</f>
        <v>10.426735000000001</v>
      </c>
      <c r="D34" s="73">
        <f>'Proj. RM &amp; DL &amp; FG'!D28</f>
        <v>9.8969517499999995</v>
      </c>
      <c r="E34" s="73">
        <f>'Proj. RM &amp; DL &amp; FG'!E28</f>
        <v>10.401184337500005</v>
      </c>
      <c r="F34" s="73">
        <f>'Proj. RM &amp; DL &amp; FG'!F28</f>
        <v>10.921243554375003</v>
      </c>
      <c r="G34" s="73">
        <f>'Proj. RM &amp; DL &amp; FG'!G28</f>
        <v>11.467305732093758</v>
      </c>
      <c r="H34" s="73">
        <f>'Proj. RM &amp; DL &amp; FG'!H28</f>
        <v>12.040671018698443</v>
      </c>
    </row>
    <row r="35" spans="2:8" x14ac:dyDescent="0.2">
      <c r="B35" s="1" t="s">
        <v>112</v>
      </c>
      <c r="C35" s="73">
        <f>'Proj. RM &amp; DL &amp; FG'!C43</f>
        <v>5.1999999999999998E-2</v>
      </c>
      <c r="D35" s="73">
        <f>'Proj. RM &amp; DL &amp; FG'!D43</f>
        <v>5.1999999999999998E-2</v>
      </c>
      <c r="E35" s="73">
        <f>'Proj. RM &amp; DL &amp; FG'!E43</f>
        <v>5.1999999999999998E-2</v>
      </c>
      <c r="F35" s="73">
        <f>'Proj. RM &amp; DL &amp; FG'!F43</f>
        <v>5.5640000000000002E-2</v>
      </c>
      <c r="G35" s="73">
        <f>'Proj. RM &amp; DL &amp; FG'!G43</f>
        <v>5.5640000000000002E-2</v>
      </c>
      <c r="H35" s="73">
        <f>'Proj. RM &amp; DL &amp; FG'!H43</f>
        <v>5.5640000000000002E-2</v>
      </c>
    </row>
    <row r="36" spans="2:8" x14ac:dyDescent="0.2">
      <c r="B36" s="1" t="s">
        <v>113</v>
      </c>
      <c r="C36" s="73">
        <f>'Proj. RM &amp; DL &amp; FG'!C49</f>
        <v>7.2399999999999999E-3</v>
      </c>
      <c r="D36" s="73">
        <f>'Proj. RM &amp; DL &amp; FG'!D49</f>
        <v>7.2399999999999999E-3</v>
      </c>
      <c r="E36" s="73">
        <f>'Proj. RM &amp; DL &amp; FG'!E49</f>
        <v>7.2399999999999999E-3</v>
      </c>
      <c r="F36" s="73">
        <f>'Proj. RM &amp; DL &amp; FG'!F49</f>
        <v>7.2699999999999996E-3</v>
      </c>
      <c r="G36" s="73">
        <f>'Proj. RM &amp; DL &amp; FG'!G49</f>
        <v>7.2699999999999996E-3</v>
      </c>
      <c r="H36" s="73">
        <f>'Proj. RM &amp; DL &amp; FG'!H49</f>
        <v>7.2699999999999996E-3</v>
      </c>
    </row>
    <row r="37" spans="2:8" x14ac:dyDescent="0.2">
      <c r="B37" s="12" t="s">
        <v>114</v>
      </c>
      <c r="C37" s="72">
        <f>C20</f>
        <v>10.005410000000001</v>
      </c>
      <c r="D37" s="72">
        <f t="shared" ref="D37:H37" si="7">D20</f>
        <v>10.755430500000001</v>
      </c>
      <c r="E37" s="72">
        <f t="shared" si="7"/>
        <v>11.517952025</v>
      </c>
      <c r="F37" s="72">
        <f t="shared" si="7"/>
        <v>12.293599626250002</v>
      </c>
      <c r="G37" s="72">
        <f t="shared" si="7"/>
        <v>13.083029607562501</v>
      </c>
      <c r="H37" s="72">
        <f t="shared" si="7"/>
        <v>13.886931087940626</v>
      </c>
    </row>
    <row r="38" spans="2:8" x14ac:dyDescent="0.2">
      <c r="B38" s="1" t="s">
        <v>115</v>
      </c>
      <c r="C38" s="73">
        <f>SUM(C34:C37)</f>
        <v>20.491385000000001</v>
      </c>
      <c r="D38" s="73">
        <f t="shared" ref="D38:H38" si="8">SUM(D34:D37)</f>
        <v>20.711622249999998</v>
      </c>
      <c r="E38" s="73">
        <f t="shared" si="8"/>
        <v>21.978376362500004</v>
      </c>
      <c r="F38" s="73">
        <f t="shared" si="8"/>
        <v>23.277753180625005</v>
      </c>
      <c r="G38" s="73">
        <f t="shared" si="8"/>
        <v>24.61324533965626</v>
      </c>
      <c r="H38" s="73">
        <f t="shared" si="8"/>
        <v>25.99051210663907</v>
      </c>
    </row>
    <row r="39" spans="2:8" x14ac:dyDescent="0.2">
      <c r="B39" s="1"/>
      <c r="C39" s="73"/>
      <c r="D39" s="73"/>
      <c r="E39" s="73"/>
      <c r="F39" s="73"/>
      <c r="G39" s="73"/>
      <c r="H39" s="73"/>
    </row>
    <row r="40" spans="2:8" x14ac:dyDescent="0.2">
      <c r="B40" s="12" t="s">
        <v>116</v>
      </c>
      <c r="C40" s="72"/>
      <c r="D40" s="72"/>
      <c r="E40" s="72"/>
      <c r="F40" s="72"/>
      <c r="G40" s="72"/>
      <c r="H40" s="72"/>
    </row>
    <row r="41" spans="2:8" x14ac:dyDescent="0.2">
      <c r="B41" s="1" t="s">
        <v>117</v>
      </c>
      <c r="C41" s="73"/>
      <c r="D41" s="73"/>
      <c r="E41" s="73"/>
      <c r="F41" s="73"/>
      <c r="G41" s="73"/>
      <c r="H41" s="73"/>
    </row>
    <row r="42" spans="2:8" x14ac:dyDescent="0.2">
      <c r="B42" s="1"/>
      <c r="C42" s="73"/>
      <c r="D42" s="73"/>
      <c r="E42" s="73"/>
      <c r="F42" s="73"/>
      <c r="G42" s="73"/>
      <c r="H42" s="73"/>
    </row>
    <row r="43" spans="2:8" x14ac:dyDescent="0.2">
      <c r="B43" s="12" t="s">
        <v>118</v>
      </c>
      <c r="C43" s="72"/>
      <c r="D43" s="72"/>
      <c r="E43" s="72"/>
      <c r="F43" s="72"/>
      <c r="G43" s="72"/>
      <c r="H43" s="72"/>
    </row>
    <row r="44" spans="2:8" x14ac:dyDescent="0.2">
      <c r="B44" s="1" t="s">
        <v>119</v>
      </c>
      <c r="C44" s="73">
        <f>C38+C40+C43</f>
        <v>20.491385000000001</v>
      </c>
      <c r="D44" s="73">
        <f t="shared" ref="D44:H44" si="9">D38+D40+D43</f>
        <v>20.711622249999998</v>
      </c>
      <c r="E44" s="73">
        <f t="shared" si="9"/>
        <v>21.978376362500004</v>
      </c>
      <c r="F44" s="73">
        <f t="shared" si="9"/>
        <v>23.277753180625005</v>
      </c>
      <c r="G44" s="73">
        <f t="shared" si="9"/>
        <v>24.61324533965626</v>
      </c>
      <c r="H44" s="73">
        <f t="shared" si="9"/>
        <v>25.99051210663907</v>
      </c>
    </row>
    <row r="45" spans="2:8" x14ac:dyDescent="0.2">
      <c r="B45" s="1"/>
      <c r="C45" s="73"/>
      <c r="D45" s="73"/>
      <c r="E45" s="73"/>
      <c r="F45" s="73"/>
      <c r="G45" s="73"/>
      <c r="H45" s="73"/>
    </row>
    <row r="46" spans="2:8" x14ac:dyDescent="0.2">
      <c r="B46" s="1" t="s">
        <v>120</v>
      </c>
      <c r="C46" s="73">
        <f>C31-C44</f>
        <v>5.0686149999999977</v>
      </c>
      <c r="D46" s="73">
        <f t="shared" ref="D46:H46" si="10">D31-D44</f>
        <v>7.5463777500000049</v>
      </c>
      <c r="E46" s="73">
        <f t="shared" si="10"/>
        <v>9.1125236375000007</v>
      </c>
      <c r="F46" s="73">
        <f t="shared" si="10"/>
        <v>9.3676918193750041</v>
      </c>
      <c r="G46" s="73">
        <f t="shared" si="10"/>
        <v>9.6644719103437495</v>
      </c>
      <c r="H46" s="73">
        <f t="shared" si="10"/>
        <v>10.001091005860939</v>
      </c>
    </row>
    <row r="47" spans="2:8" x14ac:dyDescent="0.2">
      <c r="C47" s="73"/>
      <c r="D47" s="73"/>
      <c r="E47" s="73"/>
      <c r="F47" s="73"/>
      <c r="G47" s="73"/>
      <c r="H47" s="73"/>
    </row>
    <row r="48" spans="2:8" x14ac:dyDescent="0.2">
      <c r="B48" s="1" t="s">
        <v>121</v>
      </c>
      <c r="C48" s="73"/>
      <c r="D48" s="73"/>
      <c r="E48" s="73"/>
      <c r="F48" s="73"/>
      <c r="G48" s="73"/>
      <c r="H48" s="73"/>
    </row>
    <row r="49" spans="2:8" x14ac:dyDescent="0.2">
      <c r="B49" s="1" t="s">
        <v>122</v>
      </c>
      <c r="C49" s="73"/>
      <c r="D49" s="73"/>
      <c r="E49" s="73"/>
      <c r="F49" s="73"/>
      <c r="G49" s="73"/>
      <c r="H49" s="73"/>
    </row>
    <row r="50" spans="2:8" x14ac:dyDescent="0.2">
      <c r="B50" s="1" t="s">
        <v>123</v>
      </c>
      <c r="C50" s="73"/>
      <c r="D50" s="73"/>
      <c r="E50" s="73"/>
      <c r="F50" s="73"/>
      <c r="G50" s="73"/>
      <c r="H50" s="73"/>
    </row>
    <row r="51" spans="2:8" x14ac:dyDescent="0.2">
      <c r="B51" s="12" t="s">
        <v>124</v>
      </c>
      <c r="C51" s="72"/>
      <c r="D51" s="72"/>
      <c r="E51" s="72"/>
      <c r="F51" s="72"/>
      <c r="G51" s="72"/>
      <c r="H51" s="72"/>
    </row>
    <row r="52" spans="2:8" x14ac:dyDescent="0.2">
      <c r="B52" s="1" t="s">
        <v>125</v>
      </c>
      <c r="C52" s="73"/>
      <c r="D52" s="73"/>
      <c r="E52" s="73"/>
      <c r="F52" s="73"/>
      <c r="G52" s="73"/>
      <c r="H52" s="73"/>
    </row>
    <row r="53" spans="2:8" x14ac:dyDescent="0.2">
      <c r="C53" s="73"/>
      <c r="D53" s="73"/>
      <c r="E53" s="73"/>
      <c r="F53" s="73"/>
      <c r="G53" s="73"/>
      <c r="H53" s="73"/>
    </row>
    <row r="54" spans="2:8" x14ac:dyDescent="0.2">
      <c r="B54" s="1" t="s">
        <v>126</v>
      </c>
      <c r="C54" s="73">
        <f>C46+C52</f>
        <v>5.0686149999999977</v>
      </c>
      <c r="D54" s="73">
        <f t="shared" ref="D54:H54" si="11">D46+D52</f>
        <v>7.5463777500000049</v>
      </c>
      <c r="E54" s="73">
        <f t="shared" si="11"/>
        <v>9.1125236375000007</v>
      </c>
      <c r="F54" s="73">
        <f t="shared" si="11"/>
        <v>9.3676918193750041</v>
      </c>
      <c r="G54" s="73">
        <f t="shared" si="11"/>
        <v>9.6644719103437495</v>
      </c>
      <c r="H54" s="73">
        <f t="shared" si="11"/>
        <v>10.001091005860939</v>
      </c>
    </row>
    <row r="57" spans="2:8" ht="42" x14ac:dyDescent="0.2">
      <c r="B57" s="47" t="s">
        <v>165</v>
      </c>
      <c r="C57" s="8">
        <f>C26</f>
        <v>1</v>
      </c>
      <c r="D57" s="8">
        <f t="shared" ref="D57:H57" si="12">D26</f>
        <v>2</v>
      </c>
      <c r="E57" s="8">
        <f t="shared" si="12"/>
        <v>3</v>
      </c>
      <c r="F57" s="8">
        <f t="shared" si="12"/>
        <v>4</v>
      </c>
      <c r="G57" s="8">
        <f t="shared" si="12"/>
        <v>5</v>
      </c>
      <c r="H57" s="8">
        <f t="shared" si="12"/>
        <v>6</v>
      </c>
    </row>
    <row r="58" spans="2:8" x14ac:dyDescent="0.2">
      <c r="B58" s="5" t="s">
        <v>127</v>
      </c>
      <c r="C58" s="5">
        <f>'Proj. Sales &amp; Prod'!C12</f>
        <v>28.4</v>
      </c>
      <c r="D58" s="5">
        <f>'Proj. Sales &amp; Prod'!D12</f>
        <v>29.820000000000004</v>
      </c>
      <c r="E58" s="5">
        <f>'Proj. Sales &amp; Prod'!E12</f>
        <v>31.311000000000007</v>
      </c>
      <c r="F58" s="5">
        <f>'Proj. Sales &amp; Prod'!F12</f>
        <v>32.876550000000009</v>
      </c>
      <c r="G58" s="5">
        <f>'Proj. Sales &amp; Prod'!G12</f>
        <v>34.520377500000009</v>
      </c>
      <c r="H58" s="5">
        <f>'Proj. Sales &amp; Prod'!H12</f>
        <v>36.24639637500001</v>
      </c>
    </row>
    <row r="59" spans="2:8" x14ac:dyDescent="0.2">
      <c r="B59" s="41" t="s">
        <v>159</v>
      </c>
      <c r="C59" s="40">
        <f>-C7</f>
        <v>-4.0999999999999999E-4</v>
      </c>
      <c r="D59" s="40">
        <f t="shared" ref="D59:H59" si="13">-D7</f>
        <v>-4.3050000000000006E-4</v>
      </c>
      <c r="E59" s="40">
        <f t="shared" si="13"/>
        <v>-4.520250000000001E-4</v>
      </c>
      <c r="F59" s="40">
        <f t="shared" si="13"/>
        <v>-4.7462625000000016E-4</v>
      </c>
      <c r="G59" s="40">
        <f t="shared" si="13"/>
        <v>-4.9835756250000019E-4</v>
      </c>
      <c r="H59" s="40">
        <f t="shared" si="13"/>
        <v>-5.2327544062500016E-4</v>
      </c>
    </row>
    <row r="60" spans="2:8" x14ac:dyDescent="0.2">
      <c r="B60" s="5" t="s">
        <v>160</v>
      </c>
      <c r="C60" s="20">
        <f>C58-C59</f>
        <v>28.400409999999997</v>
      </c>
      <c r="D60" s="20">
        <f t="shared" ref="D60:H60" si="14">D58-D59</f>
        <v>29.820430500000004</v>
      </c>
      <c r="E60" s="20">
        <f t="shared" si="14"/>
        <v>31.311452025000008</v>
      </c>
      <c r="F60" s="20">
        <f t="shared" si="14"/>
        <v>32.877024626250012</v>
      </c>
      <c r="G60" s="20">
        <f t="shared" si="14"/>
        <v>34.520875857562508</v>
      </c>
      <c r="H60" s="20">
        <f t="shared" si="14"/>
        <v>36.246919650440638</v>
      </c>
    </row>
    <row r="61" spans="2:8" x14ac:dyDescent="0.2">
      <c r="B61" s="5" t="s">
        <v>128</v>
      </c>
      <c r="C61" s="20">
        <f>C34+C35+C36</f>
        <v>10.485975</v>
      </c>
      <c r="D61" s="20">
        <f t="shared" ref="D61:H61" si="15">D34+D35+D36</f>
        <v>9.9561917499999986</v>
      </c>
      <c r="E61" s="20">
        <f t="shared" si="15"/>
        <v>10.460424337500005</v>
      </c>
      <c r="F61" s="20">
        <f t="shared" si="15"/>
        <v>10.984153554375004</v>
      </c>
      <c r="G61" s="20">
        <f t="shared" si="15"/>
        <v>11.530215732093758</v>
      </c>
      <c r="H61" s="20">
        <f t="shared" si="15"/>
        <v>12.103581018698444</v>
      </c>
    </row>
    <row r="62" spans="2:8" outlineLevel="1" x14ac:dyDescent="0.2">
      <c r="B62" s="42" t="s">
        <v>157</v>
      </c>
      <c r="C62" s="44">
        <f>C11</f>
        <v>4</v>
      </c>
      <c r="D62" s="44">
        <f t="shared" ref="D62:H62" si="16">D11</f>
        <v>4.5</v>
      </c>
      <c r="E62" s="44">
        <f t="shared" si="16"/>
        <v>5</v>
      </c>
      <c r="F62" s="44">
        <f t="shared" si="16"/>
        <v>5.5</v>
      </c>
      <c r="G62" s="44">
        <f t="shared" si="16"/>
        <v>6</v>
      </c>
      <c r="H62" s="44">
        <f t="shared" si="16"/>
        <v>6.5</v>
      </c>
    </row>
    <row r="63" spans="2:8" outlineLevel="1" x14ac:dyDescent="0.2">
      <c r="B63" s="42" t="s">
        <v>158</v>
      </c>
      <c r="C63" s="44">
        <f>C12</f>
        <v>5</v>
      </c>
      <c r="D63" s="44">
        <f>D12</f>
        <v>5.25</v>
      </c>
      <c r="E63" s="44">
        <f t="shared" ref="E63:H63" si="17">E12</f>
        <v>5.5125000000000002</v>
      </c>
      <c r="F63" s="44">
        <f t="shared" si="17"/>
        <v>5.7881250000000009</v>
      </c>
      <c r="G63" s="44">
        <f t="shared" si="17"/>
        <v>6.0775312500000007</v>
      </c>
      <c r="H63" s="44">
        <f t="shared" si="17"/>
        <v>6.3814078125000009</v>
      </c>
    </row>
    <row r="64" spans="2:8" outlineLevel="1" x14ac:dyDescent="0.2">
      <c r="B64" s="43" t="s">
        <v>161</v>
      </c>
      <c r="C64" s="45">
        <f>C60-SUM(C61:C63)</f>
        <v>8.9144349999999974</v>
      </c>
      <c r="D64" s="45">
        <f t="shared" ref="D64:H64" si="18">D60-SUM(D61:D63)</f>
        <v>10.114238750000005</v>
      </c>
      <c r="E64" s="45">
        <f t="shared" si="18"/>
        <v>10.338527687500005</v>
      </c>
      <c r="F64" s="45">
        <f t="shared" si="18"/>
        <v>10.604746071875006</v>
      </c>
      <c r="G64" s="45">
        <f t="shared" si="18"/>
        <v>10.91312887546875</v>
      </c>
      <c r="H64" s="45">
        <f t="shared" si="18"/>
        <v>11.261930819242195</v>
      </c>
    </row>
    <row r="65" spans="2:8" x14ac:dyDescent="0.2">
      <c r="B65" s="5" t="s">
        <v>129</v>
      </c>
      <c r="C65" s="20">
        <f>C60-C61</f>
        <v>17.914434999999997</v>
      </c>
      <c r="D65" s="20">
        <f t="shared" ref="D65:H65" si="19">D60-D61</f>
        <v>19.864238750000005</v>
      </c>
      <c r="E65" s="20">
        <f t="shared" si="19"/>
        <v>20.851027687500004</v>
      </c>
      <c r="F65" s="20">
        <f t="shared" si="19"/>
        <v>21.892871071875007</v>
      </c>
      <c r="G65" s="20">
        <f t="shared" si="19"/>
        <v>22.99066012546875</v>
      </c>
      <c r="H65" s="20">
        <f t="shared" si="19"/>
        <v>24.143338631742196</v>
      </c>
    </row>
    <row r="66" spans="2:8" outlineLevel="1" x14ac:dyDescent="0.2">
      <c r="B66" s="42" t="s">
        <v>162</v>
      </c>
      <c r="C66" s="46">
        <f>C15</f>
        <v>1.1999999999999999E-3</v>
      </c>
      <c r="D66" s="46">
        <f t="shared" ref="D66:H66" si="20">D15</f>
        <v>1.1999999999999999E-3</v>
      </c>
      <c r="E66" s="46">
        <f t="shared" si="20"/>
        <v>1.1999999999999999E-3</v>
      </c>
      <c r="F66" s="46">
        <f t="shared" si="20"/>
        <v>1.1999999999999999E-3</v>
      </c>
      <c r="G66" s="46">
        <f t="shared" si="20"/>
        <v>1.1999999999999999E-3</v>
      </c>
      <c r="H66" s="46">
        <f t="shared" si="20"/>
        <v>1.1999999999999999E-3</v>
      </c>
    </row>
    <row r="67" spans="2:8" outlineLevel="1" x14ac:dyDescent="0.2">
      <c r="B67" s="42" t="s">
        <v>163</v>
      </c>
      <c r="C67" s="44">
        <f>C13+C14</f>
        <v>1.0049999999999999</v>
      </c>
      <c r="D67" s="44">
        <f t="shared" ref="D67:H67" si="21">D13+D14</f>
        <v>1.0049999999999999</v>
      </c>
      <c r="E67" s="44">
        <f t="shared" si="21"/>
        <v>1.0049999999999999</v>
      </c>
      <c r="F67" s="44">
        <f t="shared" si="21"/>
        <v>1.0049999999999999</v>
      </c>
      <c r="G67" s="44">
        <f t="shared" si="21"/>
        <v>1.0049999999999999</v>
      </c>
      <c r="H67" s="44">
        <f t="shared" si="21"/>
        <v>1.0049999999999999</v>
      </c>
    </row>
    <row r="68" spans="2:8" outlineLevel="1" x14ac:dyDescent="0.2">
      <c r="B68" s="42" t="s">
        <v>164</v>
      </c>
      <c r="C68" s="44">
        <f>C64-SUM(C66:C67)</f>
        <v>7.9082349999999977</v>
      </c>
      <c r="D68" s="44">
        <f t="shared" ref="D68:H68" si="22">D64-SUM(D66:D67)</f>
        <v>9.1080387500000057</v>
      </c>
      <c r="E68" s="44">
        <f t="shared" si="22"/>
        <v>9.3323276875000047</v>
      </c>
      <c r="F68" s="44">
        <f t="shared" si="22"/>
        <v>9.5985460718750062</v>
      </c>
      <c r="G68" s="44">
        <f t="shared" si="22"/>
        <v>9.9069288754687506</v>
      </c>
      <c r="H68" s="44">
        <f t="shared" si="22"/>
        <v>10.255730819242196</v>
      </c>
    </row>
    <row r="70" spans="2:8" x14ac:dyDescent="0.2">
      <c r="B70" s="25" t="s">
        <v>130</v>
      </c>
      <c r="C70" s="33">
        <f t="shared" ref="C70:H70" si="23">C16</f>
        <v>10.006200000000002</v>
      </c>
      <c r="D70" s="33">
        <f t="shared" si="23"/>
        <v>10.756200000000002</v>
      </c>
      <c r="E70" s="33">
        <f t="shared" si="23"/>
        <v>11.518700000000001</v>
      </c>
      <c r="F70" s="33">
        <f t="shared" si="23"/>
        <v>12.294325000000002</v>
      </c>
      <c r="G70" s="33">
        <f t="shared" si="23"/>
        <v>13.083731250000001</v>
      </c>
      <c r="H70" s="33">
        <f t="shared" si="23"/>
        <v>13.887607812500002</v>
      </c>
    </row>
    <row r="71" spans="2:8" x14ac:dyDescent="0.2">
      <c r="B71" s="23" t="s">
        <v>131</v>
      </c>
      <c r="C71" s="20">
        <f t="shared" ref="C71:H71" si="24">C65-C70</f>
        <v>7.9082349999999959</v>
      </c>
      <c r="D71" s="20">
        <f t="shared" si="24"/>
        <v>9.108038750000004</v>
      </c>
      <c r="E71" s="20">
        <f t="shared" si="24"/>
        <v>9.332327687500003</v>
      </c>
      <c r="F71" s="20">
        <f t="shared" si="24"/>
        <v>9.5985460718750044</v>
      </c>
      <c r="G71" s="20">
        <f t="shared" si="24"/>
        <v>9.9069288754687488</v>
      </c>
      <c r="H71" s="20">
        <f t="shared" si="24"/>
        <v>10.255730819242194</v>
      </c>
    </row>
    <row r="73" spans="2:8" x14ac:dyDescent="0.2">
      <c r="B73" s="25" t="s">
        <v>132</v>
      </c>
      <c r="C73" s="8"/>
      <c r="D73" s="8"/>
      <c r="E73" s="8"/>
      <c r="F73" s="8"/>
      <c r="G73" s="8"/>
      <c r="H73" s="8"/>
    </row>
    <row r="74" spans="2:8" x14ac:dyDescent="0.2">
      <c r="B74" s="5" t="s">
        <v>133</v>
      </c>
      <c r="C74" s="20">
        <f>C71-C73</f>
        <v>7.9082349999999959</v>
      </c>
      <c r="D74" s="20">
        <f t="shared" ref="D74:H74" si="25">D71-D73</f>
        <v>9.108038750000004</v>
      </c>
      <c r="E74" s="20">
        <f t="shared" si="25"/>
        <v>9.332327687500003</v>
      </c>
      <c r="F74" s="20">
        <f t="shared" si="25"/>
        <v>9.5985460718750044</v>
      </c>
      <c r="G74" s="20">
        <f t="shared" si="25"/>
        <v>9.9069288754687488</v>
      </c>
      <c r="H74" s="20">
        <f t="shared" si="25"/>
        <v>10.255730819242194</v>
      </c>
    </row>
    <row r="76" spans="2:8" x14ac:dyDescent="0.2">
      <c r="B76" s="25" t="s">
        <v>134</v>
      </c>
      <c r="C76" s="26">
        <f>-C74*0.25</f>
        <v>-1.977058749999999</v>
      </c>
      <c r="D76" s="26">
        <f t="shared" ref="D76:H76" si="26">-D74*0.25</f>
        <v>-2.277009687500001</v>
      </c>
      <c r="E76" s="26">
        <f t="shared" si="26"/>
        <v>-2.3330819218750007</v>
      </c>
      <c r="F76" s="26">
        <f t="shared" si="26"/>
        <v>-2.3996365179687511</v>
      </c>
      <c r="G76" s="26">
        <f t="shared" si="26"/>
        <v>-2.4767322188671872</v>
      </c>
      <c r="H76" s="26">
        <f t="shared" si="26"/>
        <v>-2.5639327048105485</v>
      </c>
    </row>
    <row r="77" spans="2:8" x14ac:dyDescent="0.2">
      <c r="B77" s="5" t="s">
        <v>135</v>
      </c>
      <c r="C77" s="20">
        <f>SUM(C74:C76)</f>
        <v>5.9311762499999965</v>
      </c>
      <c r="D77" s="20">
        <f t="shared" ref="D77:H77" si="27">SUM(D74:D76)</f>
        <v>6.8310290625000025</v>
      </c>
      <c r="E77" s="20">
        <f t="shared" si="27"/>
        <v>6.9992457656250018</v>
      </c>
      <c r="F77" s="20">
        <f t="shared" si="27"/>
        <v>7.1989095539062529</v>
      </c>
      <c r="G77" s="20">
        <f t="shared" si="27"/>
        <v>7.4301966566015611</v>
      </c>
      <c r="H77" s="20">
        <f t="shared" si="27"/>
        <v>7.691798114431645</v>
      </c>
    </row>
    <row r="81" spans="2:8" ht="20" x14ac:dyDescent="0.2">
      <c r="B81" s="30" t="s">
        <v>136</v>
      </c>
      <c r="C81" s="77">
        <f t="shared" ref="C81:H81" si="28">C57</f>
        <v>1</v>
      </c>
      <c r="D81" s="77">
        <f t="shared" si="28"/>
        <v>2</v>
      </c>
      <c r="E81" s="77">
        <f t="shared" si="28"/>
        <v>3</v>
      </c>
      <c r="F81" s="77">
        <f t="shared" si="28"/>
        <v>4</v>
      </c>
      <c r="G81" s="77">
        <f t="shared" si="28"/>
        <v>5</v>
      </c>
      <c r="H81" s="77">
        <f t="shared" si="28"/>
        <v>6</v>
      </c>
    </row>
    <row r="82" spans="2:8" x14ac:dyDescent="0.2">
      <c r="B82" s="36" t="s">
        <v>137</v>
      </c>
      <c r="C82" s="73"/>
      <c r="D82" s="73"/>
      <c r="E82" s="73"/>
      <c r="F82" s="73"/>
      <c r="G82" s="73"/>
      <c r="H82" s="73"/>
    </row>
    <row r="83" spans="2:8" x14ac:dyDescent="0.2">
      <c r="B83" s="6" t="s">
        <v>138</v>
      </c>
      <c r="C83" s="73">
        <f t="shared" ref="C83:H83" si="29">C54</f>
        <v>5.0686149999999977</v>
      </c>
      <c r="D83" s="73">
        <f t="shared" si="29"/>
        <v>7.5463777500000049</v>
      </c>
      <c r="E83" s="73">
        <f t="shared" si="29"/>
        <v>9.1125236375000007</v>
      </c>
      <c r="F83" s="73">
        <f t="shared" si="29"/>
        <v>9.3676918193750041</v>
      </c>
      <c r="G83" s="73">
        <f t="shared" si="29"/>
        <v>9.6644719103437495</v>
      </c>
      <c r="H83" s="73">
        <f t="shared" si="29"/>
        <v>10.001091005860939</v>
      </c>
    </row>
    <row r="84" spans="2:8" x14ac:dyDescent="0.2">
      <c r="B84" s="6" t="s">
        <v>139</v>
      </c>
      <c r="C84" s="73">
        <f>'Proj. Sales &amp; Prod'!D19+'Proj. Sales &amp; Prod'!D20</f>
        <v>1.42</v>
      </c>
      <c r="D84" s="73">
        <f>'Proj. Sales &amp; Prod'!E19+'Proj. Sales &amp; Prod'!E20</f>
        <v>2.9110000000000005</v>
      </c>
      <c r="E84" s="73">
        <f>'Proj. Sales &amp; Prod'!F19+'Proj. Sales &amp; Prod'!F20</f>
        <v>3.0565500000000005</v>
      </c>
      <c r="F84" s="73">
        <f>'Proj. Sales &amp; Prod'!G19+'Proj. Sales &amp; Prod'!G20</f>
        <v>3.2093775000000009</v>
      </c>
      <c r="G84" s="73">
        <f>'Proj. Sales &amp; Prod'!H19+'Proj. Sales &amp; Prod'!H20</f>
        <v>3.3698463750000007</v>
      </c>
      <c r="H84" s="73">
        <f>'Proj. Sales &amp; Prod'!I19+'Proj. Sales &amp; Prod'!I20</f>
        <v>3.538338693750001</v>
      </c>
    </row>
    <row r="85" spans="2:8" x14ac:dyDescent="0.2">
      <c r="B85" s="6" t="s">
        <v>140</v>
      </c>
      <c r="C85" s="73">
        <f>'Proj. RM &amp; DL &amp; FG'!C20</f>
        <v>5.5550000000000016E-2</v>
      </c>
      <c r="D85" s="73">
        <f>'Proj. RM &amp; DL &amp; FG'!D20</f>
        <v>5.7777500000000016E-2</v>
      </c>
      <c r="E85" s="73">
        <f>'Proj. RM &amp; DL &amp; FG'!E20</f>
        <v>6.0666375000000029E-2</v>
      </c>
      <c r="F85" s="73">
        <f>'Proj. RM &amp; DL &amp; FG'!F20</f>
        <v>6.3699693750000022E-2</v>
      </c>
      <c r="G85" s="73">
        <f>'Proj. RM &amp; DL &amp; FG'!G20</f>
        <v>6.6884678437500053E-2</v>
      </c>
      <c r="H85" s="73">
        <f>'Proj. RM &amp; DL &amp; FG'!H20</f>
        <v>7.0228912359375048E-2</v>
      </c>
    </row>
    <row r="86" spans="2:8" x14ac:dyDescent="0.2">
      <c r="B86" s="21" t="s">
        <v>141</v>
      </c>
      <c r="C86" s="72">
        <f>'Proj. RM &amp; DL &amp; FG'!C79</f>
        <v>0.35073583489681054</v>
      </c>
      <c r="D86" s="72">
        <f>'Proj. RM &amp; DL &amp; FG'!D79</f>
        <v>0.36827262664165111</v>
      </c>
      <c r="E86" s="72">
        <f>'Proj. RM &amp; DL &amp; FG'!E79</f>
        <v>0.38668625797373368</v>
      </c>
      <c r="F86" s="72">
        <f>'Proj. RM &amp; DL &amp; FG'!F79</f>
        <v>0.40048291515557355</v>
      </c>
      <c r="G86" s="72">
        <f>'Proj. RM &amp; DL &amp; FG'!G79</f>
        <v>0.42050706091335222</v>
      </c>
      <c r="H86" s="72">
        <f>'Proj. RM &amp; DL &amp; FG'!H79</f>
        <v>0.44153241395901976</v>
      </c>
    </row>
    <row r="87" spans="2:8" x14ac:dyDescent="0.2">
      <c r="B87" s="6" t="s">
        <v>142</v>
      </c>
      <c r="C87" s="73">
        <f>SUM(C83:C86)</f>
        <v>6.8949008348968084</v>
      </c>
      <c r="D87" s="73">
        <f t="shared" ref="D87:H87" si="30">SUM(D83:D86)</f>
        <v>10.883427876641658</v>
      </c>
      <c r="E87" s="73">
        <f t="shared" si="30"/>
        <v>12.616426270473736</v>
      </c>
      <c r="F87" s="73">
        <f t="shared" si="30"/>
        <v>13.041251928280577</v>
      </c>
      <c r="G87" s="73">
        <f t="shared" si="30"/>
        <v>13.521710024694602</v>
      </c>
      <c r="H87" s="73">
        <f t="shared" si="30"/>
        <v>14.051191025929336</v>
      </c>
    </row>
    <row r="88" spans="2:8" x14ac:dyDescent="0.2">
      <c r="B88" s="6"/>
      <c r="C88" s="73"/>
      <c r="D88" s="73"/>
      <c r="E88" s="73"/>
      <c r="F88" s="73"/>
      <c r="G88" s="73"/>
      <c r="H88" s="73"/>
    </row>
    <row r="89" spans="2:8" x14ac:dyDescent="0.2">
      <c r="B89" s="6" t="s">
        <v>143</v>
      </c>
      <c r="C89" s="73"/>
      <c r="D89" s="73"/>
      <c r="E89" s="73"/>
      <c r="F89" s="73"/>
      <c r="G89" s="73"/>
      <c r="H89" s="73"/>
    </row>
    <row r="90" spans="2:8" x14ac:dyDescent="0.2">
      <c r="B90" s="21" t="s">
        <v>144</v>
      </c>
      <c r="C90" s="72">
        <f>Assumptions!C61</f>
        <v>1</v>
      </c>
      <c r="D90" s="72">
        <f>Assumptions!D61</f>
        <v>1</v>
      </c>
      <c r="E90" s="72">
        <f>Assumptions!E61</f>
        <v>1</v>
      </c>
      <c r="F90" s="72">
        <f>Assumptions!F61</f>
        <v>1</v>
      </c>
      <c r="G90" s="72">
        <f>Assumptions!G61</f>
        <v>1</v>
      </c>
      <c r="H90" s="72">
        <f>Assumptions!H61</f>
        <v>1</v>
      </c>
    </row>
    <row r="91" spans="2:8" x14ac:dyDescent="0.2">
      <c r="B91" s="5" t="s">
        <v>145</v>
      </c>
      <c r="C91" s="73">
        <f t="shared" ref="C91:H91" si="31">SUM(C89:C90)</f>
        <v>1</v>
      </c>
      <c r="D91" s="73">
        <f t="shared" si="31"/>
        <v>1</v>
      </c>
      <c r="E91" s="73">
        <f t="shared" si="31"/>
        <v>1</v>
      </c>
      <c r="F91" s="73">
        <f t="shared" si="31"/>
        <v>1</v>
      </c>
      <c r="G91" s="73">
        <f t="shared" si="31"/>
        <v>1</v>
      </c>
      <c r="H91" s="73">
        <f t="shared" si="31"/>
        <v>1</v>
      </c>
    </row>
    <row r="92" spans="2:8" x14ac:dyDescent="0.2">
      <c r="C92" s="73"/>
      <c r="D92" s="73"/>
      <c r="E92" s="73"/>
      <c r="F92" s="73"/>
      <c r="G92" s="73"/>
      <c r="H92" s="73"/>
    </row>
    <row r="93" spans="2:8" x14ac:dyDescent="0.2">
      <c r="B93" s="6" t="s">
        <v>146</v>
      </c>
      <c r="C93" s="74">
        <f>C87+C91</f>
        <v>7.8949008348968084</v>
      </c>
      <c r="D93" s="74">
        <f t="shared" ref="D93:H93" si="32">D87+D91</f>
        <v>11.883427876641658</v>
      </c>
      <c r="E93" s="74">
        <f t="shared" si="32"/>
        <v>13.616426270473736</v>
      </c>
      <c r="F93" s="74">
        <f t="shared" si="32"/>
        <v>14.041251928280577</v>
      </c>
      <c r="G93" s="74">
        <f t="shared" si="32"/>
        <v>14.521710024694602</v>
      </c>
      <c r="H93" s="74">
        <f t="shared" si="32"/>
        <v>15.051191025929336</v>
      </c>
    </row>
    <row r="94" spans="2:8" x14ac:dyDescent="0.2">
      <c r="B94" s="6"/>
      <c r="C94" s="74"/>
      <c r="D94" s="74"/>
      <c r="E94" s="74"/>
      <c r="F94" s="74"/>
      <c r="G94" s="74"/>
      <c r="H94" s="74"/>
    </row>
    <row r="95" spans="2:8" x14ac:dyDescent="0.2">
      <c r="B95" s="36" t="s">
        <v>147</v>
      </c>
      <c r="C95" s="74"/>
      <c r="D95" s="74"/>
      <c r="E95" s="74"/>
      <c r="F95" s="74"/>
      <c r="G95" s="74"/>
      <c r="H95" s="74"/>
    </row>
    <row r="96" spans="2:8" x14ac:dyDescent="0.2">
      <c r="B96" s="6" t="s">
        <v>148</v>
      </c>
      <c r="C96" s="74">
        <f>'Proj. RM &amp; DL &amp; FG'!D35+'Proj. RM &amp; DL &amp; FG'!D36</f>
        <v>1.0426735</v>
      </c>
      <c r="D96" s="74">
        <f>'Proj. RM &amp; DL &amp; FG'!E35+'Proj. RM &amp; DL &amp; FG'!E36</f>
        <v>2.0323686749999998</v>
      </c>
      <c r="E96" s="74">
        <f>'Proj. RM &amp; DL &amp; FG'!F35+'Proj. RM &amp; DL &amp; FG'!F36</f>
        <v>2.0298136087500005</v>
      </c>
      <c r="F96" s="74">
        <f>'Proj. RM &amp; DL &amp; FG'!G35+'Proj. RM &amp; DL &amp; FG'!G36</f>
        <v>2.1322427891875009</v>
      </c>
      <c r="G96" s="74">
        <f>'Proj. RM &amp; DL &amp; FG'!H35+'Proj. RM &amp; DL &amp; FG'!H36</f>
        <v>2.2388549286468762</v>
      </c>
      <c r="H96" s="74">
        <f>'Proj. RM &amp; DL &amp; FG'!I35+'Proj. RM &amp; DL &amp; FG'!I36</f>
        <v>2.3507976750792201</v>
      </c>
    </row>
    <row r="97" spans="2:8" x14ac:dyDescent="0.2">
      <c r="B97" s="21" t="s">
        <v>149</v>
      </c>
      <c r="C97" s="75"/>
      <c r="D97" s="75"/>
      <c r="E97" s="75"/>
      <c r="F97" s="75"/>
      <c r="G97" s="75"/>
      <c r="H97" s="75"/>
    </row>
    <row r="98" spans="2:8" x14ac:dyDescent="0.2">
      <c r="B98" s="6" t="s">
        <v>150</v>
      </c>
      <c r="C98" s="74">
        <f>SUM(C96:C97)</f>
        <v>1.0426735</v>
      </c>
      <c r="D98" s="74">
        <f t="shared" ref="D98:H98" si="33">SUM(D96:D97)</f>
        <v>2.0323686749999998</v>
      </c>
      <c r="E98" s="74">
        <f t="shared" si="33"/>
        <v>2.0298136087500005</v>
      </c>
      <c r="F98" s="74">
        <f t="shared" si="33"/>
        <v>2.1322427891875009</v>
      </c>
      <c r="G98" s="74">
        <f t="shared" si="33"/>
        <v>2.2388549286468762</v>
      </c>
      <c r="H98" s="74">
        <f t="shared" si="33"/>
        <v>2.3507976750792201</v>
      </c>
    </row>
    <row r="99" spans="2:8" x14ac:dyDescent="0.2">
      <c r="B99" s="6"/>
      <c r="C99" s="74"/>
      <c r="D99" s="74"/>
      <c r="E99" s="74"/>
      <c r="F99" s="74"/>
      <c r="G99" s="74"/>
      <c r="H99" s="74"/>
    </row>
    <row r="100" spans="2:8" x14ac:dyDescent="0.2">
      <c r="B100" s="21" t="s">
        <v>151</v>
      </c>
      <c r="C100" s="75"/>
      <c r="D100" s="75"/>
      <c r="E100" s="75"/>
      <c r="F100" s="75"/>
      <c r="G100" s="75"/>
      <c r="H100" s="75"/>
    </row>
    <row r="101" spans="2:8" x14ac:dyDescent="0.2">
      <c r="B101" s="6" t="s">
        <v>152</v>
      </c>
      <c r="C101" s="74">
        <f>C100</f>
        <v>0</v>
      </c>
      <c r="D101" s="74">
        <f t="shared" ref="D101:H101" si="34">D100</f>
        <v>0</v>
      </c>
      <c r="E101" s="74">
        <f t="shared" si="34"/>
        <v>0</v>
      </c>
      <c r="F101" s="74">
        <f t="shared" si="34"/>
        <v>0</v>
      </c>
      <c r="G101" s="74">
        <f t="shared" si="34"/>
        <v>0</v>
      </c>
      <c r="H101" s="74">
        <f t="shared" si="34"/>
        <v>0</v>
      </c>
    </row>
    <row r="102" spans="2:8" x14ac:dyDescent="0.2">
      <c r="B102" s="6"/>
      <c r="C102" s="74"/>
      <c r="D102" s="74"/>
      <c r="E102" s="74"/>
      <c r="F102" s="74"/>
      <c r="G102" s="74"/>
      <c r="H102" s="74"/>
    </row>
    <row r="103" spans="2:8" x14ac:dyDescent="0.2">
      <c r="B103" s="6" t="s">
        <v>153</v>
      </c>
      <c r="C103" s="74">
        <f>C93-C98-C104</f>
        <v>0.92105108489681164</v>
      </c>
      <c r="D103" s="74">
        <f>D93-D98-D104</f>
        <v>3.0200301391416549</v>
      </c>
      <c r="E103" s="74">
        <f t="shared" ref="E103:H103" si="35">E93-E98-E104</f>
        <v>4.5873668960987342</v>
      </c>
      <c r="F103" s="74">
        <f t="shared" si="35"/>
        <v>4.710099585186823</v>
      </c>
      <c r="G103" s="74">
        <f t="shared" si="35"/>
        <v>4.8526584394461647</v>
      </c>
      <c r="H103" s="74">
        <f t="shared" si="35"/>
        <v>5.008595236418472</v>
      </c>
    </row>
    <row r="104" spans="2:8" x14ac:dyDescent="0.2">
      <c r="B104" s="21" t="s">
        <v>154</v>
      </c>
      <c r="C104" s="75">
        <f>C77</f>
        <v>5.9311762499999965</v>
      </c>
      <c r="D104" s="75">
        <f t="shared" ref="D104:H104" si="36">D77</f>
        <v>6.8310290625000025</v>
      </c>
      <c r="E104" s="75">
        <f t="shared" si="36"/>
        <v>6.9992457656250018</v>
      </c>
      <c r="F104" s="75">
        <f t="shared" si="36"/>
        <v>7.1989095539062529</v>
      </c>
      <c r="G104" s="75">
        <f t="shared" si="36"/>
        <v>7.4301966566015611</v>
      </c>
      <c r="H104" s="75">
        <f t="shared" si="36"/>
        <v>7.691798114431645</v>
      </c>
    </row>
    <row r="105" spans="2:8" x14ac:dyDescent="0.2">
      <c r="B105" s="6" t="s">
        <v>155</v>
      </c>
      <c r="C105" s="74">
        <f>SUM(C103:C104)</f>
        <v>6.8522273348968081</v>
      </c>
      <c r="D105" s="74">
        <f t="shared" ref="D105:H105" si="37">SUM(D103:D104)</f>
        <v>9.8510592016416574</v>
      </c>
      <c r="E105" s="74">
        <f t="shared" si="37"/>
        <v>11.586612661723736</v>
      </c>
      <c r="F105" s="74">
        <f t="shared" si="37"/>
        <v>11.909009139093076</v>
      </c>
      <c r="G105" s="74">
        <f t="shared" si="37"/>
        <v>12.282855096047726</v>
      </c>
      <c r="H105" s="74">
        <f t="shared" si="37"/>
        <v>12.700393350850117</v>
      </c>
    </row>
    <row r="106" spans="2:8" x14ac:dyDescent="0.2">
      <c r="B106" s="6"/>
      <c r="C106" s="74"/>
      <c r="D106" s="74"/>
      <c r="E106" s="74"/>
      <c r="F106" s="74"/>
      <c r="G106" s="74"/>
      <c r="H106" s="74"/>
    </row>
    <row r="107" spans="2:8" x14ac:dyDescent="0.2">
      <c r="B107" s="6" t="s">
        <v>156</v>
      </c>
      <c r="C107" s="74">
        <f>C105+C101+C98</f>
        <v>7.8949008348968084</v>
      </c>
      <c r="D107" s="74">
        <f t="shared" ref="D107:H107" si="38">D105+D101+D98</f>
        <v>11.883427876641658</v>
      </c>
      <c r="E107" s="74">
        <f t="shared" si="38"/>
        <v>13.616426270473736</v>
      </c>
      <c r="F107" s="74">
        <f t="shared" si="38"/>
        <v>14.041251928280577</v>
      </c>
      <c r="G107" s="74">
        <f t="shared" si="38"/>
        <v>14.521710024694602</v>
      </c>
      <c r="H107" s="74">
        <f t="shared" si="38"/>
        <v>15.051191025929338</v>
      </c>
    </row>
    <row r="108" spans="2:8" x14ac:dyDescent="0.2">
      <c r="B108" s="1"/>
      <c r="C108" s="1"/>
      <c r="D108" s="1"/>
      <c r="E108" s="1"/>
      <c r="F108" s="1"/>
      <c r="G108" s="1"/>
      <c r="H108" s="1"/>
    </row>
    <row r="109" spans="2:8" x14ac:dyDescent="0.2">
      <c r="B109" s="1"/>
      <c r="C109" s="1"/>
      <c r="D109" s="1"/>
      <c r="E109" s="1"/>
      <c r="F109" s="1"/>
      <c r="G109" s="1"/>
      <c r="H109" s="1"/>
    </row>
    <row r="110" spans="2:8" x14ac:dyDescent="0.2">
      <c r="B110" s="1"/>
      <c r="C110" s="1"/>
      <c r="D110" s="1"/>
      <c r="E110" s="1"/>
      <c r="F110" s="1"/>
      <c r="G110" s="1"/>
      <c r="H110" s="1"/>
    </row>
    <row r="111" spans="2:8" x14ac:dyDescent="0.2">
      <c r="B111" s="1"/>
      <c r="C111" s="1"/>
      <c r="D111" s="1"/>
      <c r="E111" s="1"/>
      <c r="F111" s="1"/>
      <c r="G111" s="1"/>
      <c r="H111" s="1"/>
    </row>
    <row r="112" spans="2:8" x14ac:dyDescent="0.2">
      <c r="B112" s="6"/>
      <c r="C112" s="1"/>
      <c r="D112" s="1"/>
      <c r="E112" s="1"/>
      <c r="F112" s="1"/>
      <c r="G112" s="1"/>
      <c r="H112" s="1"/>
    </row>
  </sheetData>
  <sheetProtection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EAE0-C113-6145-B183-0FCD62427E4B}">
  <sheetPr>
    <tabColor theme="4" tint="-0.499984740745262"/>
  </sheetPr>
  <dimension ref="B1:H37"/>
  <sheetViews>
    <sheetView tabSelected="1" zoomScaleNormal="100" workbookViewId="0">
      <selection activeCell="C40" sqref="C40"/>
    </sheetView>
  </sheetViews>
  <sheetFormatPr baseColWidth="10" defaultRowHeight="16" outlineLevelRow="1" x14ac:dyDescent="0.2"/>
  <cols>
    <col min="1" max="1" width="6.33203125" style="5" customWidth="1"/>
    <col min="2" max="2" width="37.5" style="5" customWidth="1"/>
    <col min="3" max="3" width="13.33203125" style="5" customWidth="1"/>
    <col min="4" max="16384" width="10.83203125" style="5"/>
  </cols>
  <sheetData>
    <row r="1" spans="2:8" x14ac:dyDescent="0.2">
      <c r="B1" s="5" t="str">
        <f>Assumptions!B1</f>
        <v>Compagny Incognito, by eliediwambuena</v>
      </c>
    </row>
    <row r="3" spans="2:8" ht="20" x14ac:dyDescent="0.2">
      <c r="B3" s="49" t="s">
        <v>166</v>
      </c>
      <c r="C3" s="39">
        <f>Assumptions!C8</f>
        <v>1</v>
      </c>
      <c r="D3" s="39">
        <f>Assumptions!D8</f>
        <v>2</v>
      </c>
      <c r="E3" s="39">
        <f>Assumptions!E8</f>
        <v>3</v>
      </c>
      <c r="F3" s="39">
        <f>Assumptions!F8</f>
        <v>4</v>
      </c>
      <c r="G3" s="39">
        <f>Assumptions!G8</f>
        <v>5</v>
      </c>
      <c r="H3" s="39">
        <f>Assumptions!H8</f>
        <v>6</v>
      </c>
    </row>
    <row r="4" spans="2:8" s="50" customFormat="1" outlineLevel="1" x14ac:dyDescent="0.2">
      <c r="B4" s="50" t="s">
        <v>172</v>
      </c>
      <c r="C4" s="51">
        <f>'Proj. Sales &amp; Prod'!C10-'Proj. SGA &amp; PL &amp; BS'!C7*'Proj. Sales &amp; Prod'!$C$35</f>
        <v>23.999700000000001</v>
      </c>
      <c r="D4" s="51">
        <f>'Proj. Sales &amp; Prod'!D10-'Proj. SGA &amp; PL &amp; BS'!D7*'Proj. Sales &amp; Prod'!$C$35</f>
        <v>25.199685000000002</v>
      </c>
      <c r="E4" s="51">
        <f>'Proj. Sales &amp; Prod'!E10-'Proj. SGA &amp; PL &amp; BS'!E7*'Proj. Sales &amp; Prod'!$C$35</f>
        <v>26.459669250000005</v>
      </c>
      <c r="F4" s="51">
        <f>'Proj. Sales &amp; Prod'!F10-'Proj. SGA &amp; PL &amp; BS'!F7*'Proj. Sales &amp; Prod'!$C$35</f>
        <v>27.782652712500006</v>
      </c>
      <c r="G4" s="51">
        <f>'Proj. Sales &amp; Prod'!G10-'Proj. SGA &amp; PL &amp; BS'!G7*'Proj. Sales &amp; Prod'!$C$35</f>
        <v>29.171785348125006</v>
      </c>
      <c r="H4" s="51">
        <f>'Proj. Sales &amp; Prod'!H10-'Proj. SGA &amp; PL &amp; BS'!H7*'Proj. Sales &amp; Prod'!$C$35</f>
        <v>30.63037461553126</v>
      </c>
    </row>
    <row r="5" spans="2:8" s="50" customFormat="1" outlineLevel="1" x14ac:dyDescent="0.2">
      <c r="B5" s="52" t="s">
        <v>169</v>
      </c>
      <c r="C5" s="51">
        <f>'Proj. RM &amp; DL &amp; FG'!C14+('Proj. RM &amp; DL &amp; FG'!C43+'Proj. RM &amp; DL &amp; FG'!C49)*'Proj. Sales &amp; Prod'!$C$35</f>
        <v>10.042346341463416</v>
      </c>
      <c r="D5" s="51">
        <f>'Proj. RM &amp; DL &amp; FG'!D14+('Proj. RM &amp; DL &amp; FG'!D43+'Proj. RM &amp; DL &amp; FG'!D49)*'Proj. Sales &amp; Prod'!$C$35</f>
        <v>9.5342963414634152</v>
      </c>
      <c r="E5" s="51">
        <f>'Proj. RM &amp; DL &amp; FG'!E14+('Proj. RM &amp; DL &amp; FG'!E43+'Proj. RM &amp; DL &amp; FG'!E49)*'Proj. Sales &amp; Prod'!$C$35</f>
        <v>10.017843841463421</v>
      </c>
      <c r="F5" s="51">
        <f>'Proj. RM &amp; DL &amp; FG'!F14+('Proj. RM &amp; DL &amp; FG'!F43+'Proj. RM &amp; DL &amp; FG'!F49)*'Proj. Sales &amp; Prod'!$C$35</f>
        <v>10.519254082317076</v>
      </c>
      <c r="G5" s="51">
        <f>'Proj. RM &amp; DL &amp; FG'!G14+('Proj. RM &amp; DL &amp; FG'!G43+'Proj. RM &amp; DL &amp; FG'!G49)*'Proj. Sales &amp; Prod'!$C$35</f>
        <v>11.04291520106708</v>
      </c>
      <c r="H5" s="51">
        <f>'Proj. RM &amp; DL &amp; FG'!H14+('Proj. RM &amp; DL &amp; FG'!H43+'Proj. RM &amp; DL &amp; FG'!H49)*'Proj. Sales &amp; Prod'!$C$35</f>
        <v>11.592759375754579</v>
      </c>
    </row>
    <row r="6" spans="2:8" s="50" customFormat="1" outlineLevel="1" x14ac:dyDescent="0.2">
      <c r="B6" s="52" t="s">
        <v>170</v>
      </c>
      <c r="C6" s="53">
        <f>('Proj. SGA &amp; PL &amp; BS'!C11+'Proj. SGA &amp; PL &amp; BS'!C12)*'Proj. Sales &amp; Prod'!$C$35</f>
        <v>6.5853658536585371</v>
      </c>
      <c r="D6" s="53">
        <f>('Proj. SGA &amp; PL &amp; BS'!D11+'Proj. SGA &amp; PL &amp; BS'!D12)*'Proj. Sales &amp; Prod'!$C$35</f>
        <v>7.1341463414634152</v>
      </c>
      <c r="E6" s="53">
        <f>('Proj. SGA &amp; PL &amp; BS'!E11+'Proj. SGA &amp; PL &amp; BS'!E12)*'Proj. Sales &amp; Prod'!$C$35</f>
        <v>7.6920731707317076</v>
      </c>
      <c r="F6" s="53">
        <f>('Proj. SGA &amp; PL &amp; BS'!F11+'Proj. SGA &amp; PL &amp; BS'!F12)*'Proj. Sales &amp; Prod'!$C$35</f>
        <v>8.2596036585365873</v>
      </c>
      <c r="G6" s="53">
        <f>('Proj. SGA &amp; PL &amp; BS'!G11+'Proj. SGA &amp; PL &amp; BS'!G12)*'Proj. Sales &amp; Prod'!$C$35</f>
        <v>8.8372179878048787</v>
      </c>
      <c r="H6" s="53">
        <f>('Proj. SGA &amp; PL &amp; BS'!H11+'Proj. SGA &amp; PL &amp; BS'!H12)*'Proj. Sales &amp; Prod'!$C$35</f>
        <v>9.4254203506097571</v>
      </c>
    </row>
    <row r="7" spans="2:8" x14ac:dyDescent="0.2">
      <c r="B7" s="5" t="s">
        <v>168</v>
      </c>
      <c r="C7" s="20">
        <f t="shared" ref="C7:H7" si="0">C4-SUM(C5:C6)</f>
        <v>7.3719878048780494</v>
      </c>
      <c r="D7" s="20">
        <f t="shared" si="0"/>
        <v>8.5312423170731719</v>
      </c>
      <c r="E7" s="20">
        <f t="shared" si="0"/>
        <v>8.7497522378048771</v>
      </c>
      <c r="F7" s="20">
        <f t="shared" si="0"/>
        <v>9.003794971646343</v>
      </c>
      <c r="G7" s="20">
        <f t="shared" si="0"/>
        <v>9.2916521592530472</v>
      </c>
      <c r="H7" s="20">
        <f t="shared" si="0"/>
        <v>9.612194889166922</v>
      </c>
    </row>
    <row r="8" spans="2:8" x14ac:dyDescent="0.2">
      <c r="B8" s="5" t="s">
        <v>167</v>
      </c>
      <c r="C8" s="20">
        <f>C7/'Proj. Sales &amp; Prod'!C6</f>
        <v>2.4573292682926833</v>
      </c>
      <c r="D8" s="20">
        <f>D7/'Proj. Sales &amp; Prod'!D6</f>
        <v>2.708330894308943</v>
      </c>
      <c r="E8" s="20">
        <f>E7/'Proj. Sales &amp; Prod'!E6</f>
        <v>2.6454277362977705</v>
      </c>
      <c r="F8" s="20">
        <f>F7/'Proj. Sales &amp; Prod'!F6</f>
        <v>2.5926055419922518</v>
      </c>
      <c r="G8" s="20">
        <f>G7/'Proj. Sales &amp; Prod'!G6</f>
        <v>2.5480884087742717</v>
      </c>
      <c r="H8" s="20">
        <f>H7/'Proj. Sales &amp; Prod'!H6</f>
        <v>2.5104687376188903</v>
      </c>
    </row>
    <row r="9" spans="2:8" x14ac:dyDescent="0.2">
      <c r="B9" s="56" t="s">
        <v>188</v>
      </c>
      <c r="C9" s="57">
        <f>C7/C4</f>
        <v>0.30716999816156237</v>
      </c>
      <c r="D9" s="57">
        <f t="shared" ref="D9:H9" si="1">D7/D4</f>
        <v>0.33854559360853803</v>
      </c>
      <c r="E9" s="57">
        <f t="shared" si="1"/>
        <v>0.33068260056972842</v>
      </c>
      <c r="F9" s="57">
        <f t="shared" si="1"/>
        <v>0.32407974374582826</v>
      </c>
      <c r="G9" s="57">
        <f t="shared" si="1"/>
        <v>0.3185150325346906</v>
      </c>
      <c r="H9" s="57">
        <f t="shared" si="1"/>
        <v>0.31381251485879702</v>
      </c>
    </row>
    <row r="10" spans="2:8" outlineLevel="1" x14ac:dyDescent="0.2">
      <c r="B10" s="50" t="s">
        <v>171</v>
      </c>
      <c r="C10" s="53">
        <f>'Proj. Sales &amp; Prod'!C11-'Proj. SGA &amp; PL &amp; BS'!C7*'Proj. Sales &amp; Prod'!$C$36</f>
        <v>4.3998900000000001</v>
      </c>
      <c r="D10" s="53">
        <f>'Proj. Sales &amp; Prod'!D11-'Proj. SGA &amp; PL &amp; BS'!D7*'Proj. Sales &amp; Prod'!$C$36</f>
        <v>4.6198845000000013</v>
      </c>
      <c r="E10" s="53">
        <f>'Proj. Sales &amp; Prod'!E11-'Proj. SGA &amp; PL &amp; BS'!E7*'Proj. Sales &amp; Prod'!$C$36</f>
        <v>4.8508787250000012</v>
      </c>
      <c r="F10" s="53">
        <f>'Proj. Sales &amp; Prod'!F11-'Proj. SGA &amp; PL &amp; BS'!F7*'Proj. Sales &amp; Prod'!$C$36</f>
        <v>5.0934226612500018</v>
      </c>
      <c r="G10" s="53">
        <f>'Proj. Sales &amp; Prod'!G11-'Proj. SGA &amp; PL &amp; BS'!G7*'Proj. Sales &amp; Prod'!$C$36</f>
        <v>5.3480937943125015</v>
      </c>
      <c r="H10" s="53">
        <f>'Proj. Sales &amp; Prod'!H11-'Proj. SGA &amp; PL &amp; BS'!H7*'Proj. Sales &amp; Prod'!$C$36</f>
        <v>5.6154984840281266</v>
      </c>
    </row>
    <row r="11" spans="2:8" outlineLevel="1" x14ac:dyDescent="0.2">
      <c r="B11" s="52" t="s">
        <v>169</v>
      </c>
      <c r="C11" s="53">
        <f>'Proj. RM &amp; DL &amp; FG'!C25+('Proj. RM &amp; DL &amp; FG'!C43+'Proj. RM &amp; DL &amp; FG'!C49)*'Proj. Sales &amp; Prod'!$C$36</f>
        <v>0.4436286585365854</v>
      </c>
      <c r="D11" s="53">
        <f>'Proj. RM &amp; DL &amp; FG'!D25+('Proj. RM &amp; DL &amp; FG'!D43+'Proj. RM &amp; DL &amp; FG'!D49)*'Proj. Sales &amp; Prod'!$C$36</f>
        <v>0.42189540853658547</v>
      </c>
      <c r="E11" s="53">
        <f>'Proj. RM &amp; DL &amp; FG'!E25+('Proj. RM &amp; DL &amp; FG'!E43+'Proj. RM &amp; DL &amp; FG'!E49)*'Proj. Sales &amp; Prod'!$C$36</f>
        <v>0.44258049603658556</v>
      </c>
      <c r="F11" s="53">
        <f>'Proj. RM &amp; DL &amp; FG'!F25+('Proj. RM &amp; DL &amp; FG'!F43+'Proj. RM &amp; DL &amp; FG'!F49)*'Proj. Sales &amp; Prod'!$C$36</f>
        <v>0.46489947205792698</v>
      </c>
      <c r="G11" s="53">
        <f>'Proj. RM &amp; DL &amp; FG'!G25+('Proj. RM &amp; DL &amp; FG'!G43+'Proj. RM &amp; DL &amp; FG'!G49)*'Proj. Sales &amp; Prod'!$C$36</f>
        <v>0.48730053102667709</v>
      </c>
      <c r="H11" s="53">
        <f>'Proj. RM &amp; DL &amp; FG'!H25+('Proj. RM &amp; DL &amp; FG'!H43+'Proj. RM &amp; DL &amp; FG'!H49)*'Proj. Sales &amp; Prod'!$C$36</f>
        <v>0.51082164294386456</v>
      </c>
    </row>
    <row r="12" spans="2:8" outlineLevel="1" x14ac:dyDescent="0.2">
      <c r="B12" s="52" t="s">
        <v>170</v>
      </c>
      <c r="C12" s="53">
        <f>('Proj. SGA &amp; PL &amp; BS'!C11+'Proj. SGA &amp; PL &amp; BS'!C12)*'Proj. Sales &amp; Prod'!$C$36</f>
        <v>2.4146341463414642</v>
      </c>
      <c r="D12" s="53">
        <f>('Proj. SGA &amp; PL &amp; BS'!D11+'Proj. SGA &amp; PL &amp; BS'!D12)*'Proj. Sales &amp; Prod'!$C$36</f>
        <v>2.6158536585365861</v>
      </c>
      <c r="E12" s="53">
        <f>('Proj. SGA &amp; PL &amp; BS'!E11+'Proj. SGA &amp; PL &amp; BS'!E12)*'Proj. Sales &amp; Prod'!$C$36</f>
        <v>2.8204268292682935</v>
      </c>
      <c r="F12" s="53">
        <f>('Proj. SGA &amp; PL &amp; BS'!F11+'Proj. SGA &amp; PL &amp; BS'!F12)*'Proj. Sales &amp; Prod'!$C$36</f>
        <v>3.0285213414634158</v>
      </c>
      <c r="G12" s="53">
        <f>('Proj. SGA &amp; PL &amp; BS'!G11+'Proj. SGA &amp; PL &amp; BS'!G12)*'Proj. Sales &amp; Prod'!$C$36</f>
        <v>3.2403132621951229</v>
      </c>
      <c r="H12" s="53">
        <f>('Proj. SGA &amp; PL &amp; BS'!H11+'Proj. SGA &amp; PL &amp; BS'!H12)*'Proj. Sales &amp; Prod'!$C$36</f>
        <v>3.4559874618902451</v>
      </c>
    </row>
    <row r="13" spans="2:8" outlineLevel="1" x14ac:dyDescent="0.2">
      <c r="B13" s="52"/>
      <c r="C13" s="53"/>
      <c r="D13" s="53"/>
      <c r="E13" s="53"/>
      <c r="F13" s="53"/>
      <c r="G13" s="53"/>
      <c r="H13" s="53"/>
    </row>
    <row r="14" spans="2:8" x14ac:dyDescent="0.2">
      <c r="B14" s="5" t="s">
        <v>173</v>
      </c>
      <c r="C14" s="20">
        <f t="shared" ref="C14:H14" si="2">C10-SUM(C11:C12)</f>
        <v>1.5416271951219507</v>
      </c>
      <c r="D14" s="20">
        <f t="shared" si="2"/>
        <v>1.5821354329268296</v>
      </c>
      <c r="E14" s="20">
        <f t="shared" si="2"/>
        <v>1.5878713996951221</v>
      </c>
      <c r="F14" s="20">
        <f t="shared" si="2"/>
        <v>1.6000018477286591</v>
      </c>
      <c r="G14" s="20">
        <f t="shared" si="2"/>
        <v>1.6204800010907014</v>
      </c>
      <c r="H14" s="20">
        <f t="shared" si="2"/>
        <v>1.6486893791940167</v>
      </c>
    </row>
    <row r="15" spans="2:8" x14ac:dyDescent="0.2">
      <c r="B15" s="5" t="s">
        <v>167</v>
      </c>
      <c r="C15" s="27">
        <f>C14/'Proj. Sales &amp; Prod'!C7</f>
        <v>1.4014792682926822</v>
      </c>
      <c r="D15" s="27">
        <f>D14/'Proj. Sales &amp; Prod'!D7</f>
        <v>1.3698142276422764</v>
      </c>
      <c r="E15" s="27">
        <f>E14/'Proj. Sales &amp; Prod'!E7</f>
        <v>1.3093146977490182</v>
      </c>
      <c r="F15" s="27">
        <f>F14/'Proj. Sales &amp; Prod'!F7</f>
        <v>1.2564925034434991</v>
      </c>
      <c r="G15" s="27">
        <f>G14/'Proj. Sales &amp; Prod'!G7</f>
        <v>1.2119753702255194</v>
      </c>
      <c r="H15" s="27">
        <f>H14/'Proj. Sales &amp; Prod'!H7</f>
        <v>1.1743556990701374</v>
      </c>
    </row>
    <row r="16" spans="2:8" x14ac:dyDescent="0.2">
      <c r="B16" s="50" t="s">
        <v>189</v>
      </c>
      <c r="C16" s="57">
        <f>C14/C10</f>
        <v>0.35037857653758403</v>
      </c>
      <c r="D16" s="57">
        <f t="shared" ref="D16:H16" si="3">D14/D10</f>
        <v>0.34246211846353064</v>
      </c>
      <c r="E16" s="57">
        <f t="shared" si="3"/>
        <v>0.32733685785870098</v>
      </c>
      <c r="F16" s="57">
        <f t="shared" si="3"/>
        <v>0.31413097913535309</v>
      </c>
      <c r="G16" s="57">
        <f t="shared" si="3"/>
        <v>0.30300141759181964</v>
      </c>
      <c r="H16" s="57">
        <f t="shared" si="3"/>
        <v>0.29359626467415123</v>
      </c>
    </row>
    <row r="17" spans="2:8" x14ac:dyDescent="0.2">
      <c r="B17" s="50"/>
    </row>
    <row r="18" spans="2:8" x14ac:dyDescent="0.2">
      <c r="B18" s="5" t="s">
        <v>174</v>
      </c>
      <c r="C18" s="20">
        <f>'Proj. SGA &amp; PL &amp; BS'!C66+'Proj. SGA &amp; PL &amp; BS'!C67</f>
        <v>1.0062</v>
      </c>
      <c r="D18" s="20">
        <f>'Proj. SGA &amp; PL &amp; BS'!D66+'Proj. SGA &amp; PL &amp; BS'!D67</f>
        <v>1.0062</v>
      </c>
      <c r="E18" s="20">
        <f>'Proj. SGA &amp; PL &amp; BS'!E66+'Proj. SGA &amp; PL &amp; BS'!E67</f>
        <v>1.0062</v>
      </c>
      <c r="F18" s="20">
        <f>'Proj. SGA &amp; PL &amp; BS'!F66+'Proj. SGA &amp; PL &amp; BS'!F67</f>
        <v>1.0062</v>
      </c>
      <c r="G18" s="20">
        <f>'Proj. SGA &amp; PL &amp; BS'!G66+'Proj. SGA &amp; PL &amp; BS'!G67</f>
        <v>1.0062</v>
      </c>
      <c r="H18" s="20">
        <f>'Proj. SGA &amp; PL &amp; BS'!H66+'Proj. SGA &amp; PL &amp; BS'!H67</f>
        <v>1.0062</v>
      </c>
    </row>
    <row r="19" spans="2:8" x14ac:dyDescent="0.2">
      <c r="B19" s="5" t="s">
        <v>175</v>
      </c>
      <c r="C19" s="20">
        <f>C18*'Proj. Sales &amp; Prod'!$C$35</f>
        <v>0.73624390243902449</v>
      </c>
      <c r="D19" s="20">
        <f>D18*'Proj. Sales &amp; Prod'!$C$35</f>
        <v>0.73624390243902449</v>
      </c>
      <c r="E19" s="20">
        <f>E18*'Proj. Sales &amp; Prod'!$C$35</f>
        <v>0.73624390243902449</v>
      </c>
      <c r="F19" s="20">
        <f>F18*'Proj. Sales &amp; Prod'!$C$35</f>
        <v>0.73624390243902449</v>
      </c>
      <c r="G19" s="20">
        <f>G18*'Proj. Sales &amp; Prod'!$C$35</f>
        <v>0.73624390243902449</v>
      </c>
      <c r="H19" s="20">
        <f>H18*'Proj. Sales &amp; Prod'!$C$35</f>
        <v>0.73624390243902449</v>
      </c>
    </row>
    <row r="20" spans="2:8" x14ac:dyDescent="0.2">
      <c r="B20" s="5" t="s">
        <v>176</v>
      </c>
      <c r="C20" s="20">
        <f>C19*'Proj. Sales &amp; Prod'!$C$36</f>
        <v>0.19752885187388466</v>
      </c>
      <c r="D20" s="20">
        <f>D19*'Proj. Sales &amp; Prod'!$C$36</f>
        <v>0.19752885187388466</v>
      </c>
      <c r="E20" s="20">
        <f>E19*'Proj. Sales &amp; Prod'!$C$36</f>
        <v>0.19752885187388466</v>
      </c>
      <c r="F20" s="20">
        <f>F19*'Proj. Sales &amp; Prod'!$C$36</f>
        <v>0.19752885187388466</v>
      </c>
      <c r="G20" s="20">
        <f>G19*'Proj. Sales &amp; Prod'!$C$36</f>
        <v>0.19752885187388466</v>
      </c>
      <c r="H20" s="20">
        <f>H19*'Proj. Sales &amp; Prod'!$C$36</f>
        <v>0.19752885187388466</v>
      </c>
    </row>
    <row r="21" spans="2:8" x14ac:dyDescent="0.2">
      <c r="C21" s="27"/>
    </row>
    <row r="22" spans="2:8" x14ac:dyDescent="0.2">
      <c r="C22" s="27"/>
    </row>
    <row r="23" spans="2:8" x14ac:dyDescent="0.2">
      <c r="B23" s="59" t="s">
        <v>184</v>
      </c>
      <c r="C23" s="60">
        <f>C3</f>
        <v>1</v>
      </c>
      <c r="D23" s="60">
        <f t="shared" ref="D23:H23" si="4">D3</f>
        <v>2</v>
      </c>
      <c r="E23" s="60">
        <f t="shared" si="4"/>
        <v>3</v>
      </c>
      <c r="F23" s="60">
        <f t="shared" si="4"/>
        <v>4</v>
      </c>
      <c r="G23" s="60">
        <f t="shared" si="4"/>
        <v>5</v>
      </c>
      <c r="H23" s="60">
        <f t="shared" si="4"/>
        <v>6</v>
      </c>
    </row>
    <row r="24" spans="2:8" ht="34" x14ac:dyDescent="0.2">
      <c r="B24" s="54" t="s">
        <v>178</v>
      </c>
      <c r="C24" s="55">
        <f>C19/C8</f>
        <v>0.29961141632051452</v>
      </c>
      <c r="D24" s="55">
        <f>D18/D8</f>
        <v>0.37152033457741201</v>
      </c>
      <c r="E24" s="55">
        <f>E18/E8</f>
        <v>0.38035436999241534</v>
      </c>
      <c r="F24" s="55">
        <f>F18/F8</f>
        <v>0.38810377579722349</v>
      </c>
      <c r="G24" s="55">
        <f>G18/G8</f>
        <v>0.39488425775776781</v>
      </c>
      <c r="H24" s="55">
        <f>H18/H8</f>
        <v>0.40080164509610772</v>
      </c>
    </row>
    <row r="25" spans="2:8" ht="34" x14ac:dyDescent="0.2">
      <c r="B25" s="54" t="s">
        <v>179</v>
      </c>
      <c r="C25" s="55">
        <f>C19/C9</f>
        <v>2.3968613694224845</v>
      </c>
      <c r="D25" s="55">
        <f t="shared" ref="D25:H25" si="5">D19/D9</f>
        <v>2.1747259935993939</v>
      </c>
      <c r="E25" s="55">
        <f t="shared" si="5"/>
        <v>2.2264367740260909</v>
      </c>
      <c r="F25" s="55">
        <f t="shared" si="5"/>
        <v>2.2717985824391773</v>
      </c>
      <c r="G25" s="55">
        <f t="shared" si="5"/>
        <v>2.3114887124168546</v>
      </c>
      <c r="H25" s="55">
        <f t="shared" si="5"/>
        <v>2.3461266443446482</v>
      </c>
    </row>
    <row r="26" spans="2:8" ht="17" x14ac:dyDescent="0.2">
      <c r="B26" s="58" t="s">
        <v>180</v>
      </c>
      <c r="C26" s="55">
        <f>C4-C25</f>
        <v>21.602838630577516</v>
      </c>
      <c r="D26" s="55">
        <f t="shared" ref="D26:H26" si="6">D4-D25</f>
        <v>23.024959006400607</v>
      </c>
      <c r="E26" s="55">
        <f t="shared" si="6"/>
        <v>24.233232475973914</v>
      </c>
      <c r="F26" s="55">
        <f t="shared" si="6"/>
        <v>25.510854130060828</v>
      </c>
      <c r="G26" s="55">
        <f t="shared" si="6"/>
        <v>26.860296635708153</v>
      </c>
      <c r="H26" s="55">
        <f t="shared" si="6"/>
        <v>28.284247971186613</v>
      </c>
    </row>
    <row r="27" spans="2:8" x14ac:dyDescent="0.2">
      <c r="B27" s="54"/>
      <c r="C27" s="55"/>
      <c r="D27" s="55"/>
      <c r="E27" s="55"/>
      <c r="F27" s="55"/>
      <c r="G27" s="55"/>
      <c r="H27" s="55"/>
    </row>
    <row r="28" spans="2:8" ht="34" x14ac:dyDescent="0.2">
      <c r="B28" s="54" t="s">
        <v>177</v>
      </c>
      <c r="C28" s="55">
        <f>C20/C15</f>
        <v>0.14094311371050058</v>
      </c>
      <c r="D28" s="55">
        <f t="shared" ref="D28:H28" si="7">D18/D15</f>
        <v>0.7345521602092504</v>
      </c>
      <c r="E28" s="55">
        <f t="shared" si="7"/>
        <v>0.76849362626866191</v>
      </c>
      <c r="F28" s="55">
        <f t="shared" si="7"/>
        <v>0.80080063927356804</v>
      </c>
      <c r="G28" s="55">
        <f t="shared" si="7"/>
        <v>0.8302148910936783</v>
      </c>
      <c r="H28" s="55">
        <f t="shared" si="7"/>
        <v>0.85681024990700505</v>
      </c>
    </row>
    <row r="29" spans="2:8" ht="34" x14ac:dyDescent="0.2">
      <c r="B29" s="54" t="s">
        <v>181</v>
      </c>
      <c r="C29" s="55">
        <f>C20/C16</f>
        <v>0.56375836053063122</v>
      </c>
      <c r="D29" s="55">
        <f t="shared" ref="D29:H29" si="8">D20/D16</f>
        <v>0.57679036957461283</v>
      </c>
      <c r="E29" s="55">
        <f t="shared" si="8"/>
        <v>0.60344213348302633</v>
      </c>
      <c r="F29" s="55">
        <f t="shared" si="8"/>
        <v>0.62881048032124598</v>
      </c>
      <c r="G29" s="55">
        <f t="shared" si="8"/>
        <v>0.65190735226189744</v>
      </c>
      <c r="H29" s="55">
        <f t="shared" si="8"/>
        <v>0.6727907526109459</v>
      </c>
    </row>
    <row r="30" spans="2:8" ht="17" x14ac:dyDescent="0.2">
      <c r="B30" s="58" t="s">
        <v>182</v>
      </c>
      <c r="C30" s="55">
        <f>C10-C29</f>
        <v>3.836131639469369</v>
      </c>
      <c r="D30" s="55">
        <f t="shared" ref="D30:H30" si="9">D10-D29</f>
        <v>4.0430941304253887</v>
      </c>
      <c r="E30" s="55">
        <f t="shared" si="9"/>
        <v>4.2474365915169745</v>
      </c>
      <c r="F30" s="55">
        <f t="shared" si="9"/>
        <v>4.4646121809287553</v>
      </c>
      <c r="G30" s="55">
        <f t="shared" si="9"/>
        <v>4.6961864420506041</v>
      </c>
      <c r="H30" s="55">
        <f t="shared" si="9"/>
        <v>4.9427077314171806</v>
      </c>
    </row>
    <row r="31" spans="2:8" x14ac:dyDescent="0.2">
      <c r="B31" s="54"/>
      <c r="C31" s="55"/>
      <c r="D31" s="55"/>
      <c r="E31" s="55"/>
      <c r="F31" s="55"/>
      <c r="G31" s="55"/>
      <c r="H31" s="55"/>
    </row>
    <row r="32" spans="2:8" x14ac:dyDescent="0.2">
      <c r="B32" s="5" t="s">
        <v>187</v>
      </c>
      <c r="C32" s="55"/>
      <c r="D32" s="55"/>
      <c r="E32" s="55"/>
      <c r="F32" s="55"/>
      <c r="G32" s="55"/>
      <c r="H32" s="55"/>
    </row>
    <row r="33" spans="2:8" x14ac:dyDescent="0.2">
      <c r="C33" s="27"/>
    </row>
    <row r="34" spans="2:8" x14ac:dyDescent="0.2">
      <c r="B34" s="59" t="s">
        <v>183</v>
      </c>
      <c r="C34" s="39"/>
      <c r="D34" s="39"/>
      <c r="E34" s="39"/>
      <c r="F34" s="39"/>
      <c r="G34" s="39"/>
      <c r="H34" s="39"/>
    </row>
    <row r="35" spans="2:8" x14ac:dyDescent="0.2">
      <c r="B35" s="5" t="s">
        <v>185</v>
      </c>
      <c r="C35" s="24">
        <f>'Proj. SGA &amp; PL &amp; BS'!C64/'Proj. SGA &amp; PL &amp; BS'!C71</f>
        <v>1.127234458763555</v>
      </c>
      <c r="D35" s="24">
        <f>'Proj. SGA &amp; PL &amp; BS'!D64/'Proj. SGA &amp; PL &amp; BS'!D71</f>
        <v>1.1104738382892805</v>
      </c>
      <c r="E35" s="24">
        <f>'Proj. SGA &amp; PL &amp; BS'!E64/'Proj. SGA &amp; PL &amp; BS'!E71</f>
        <v>1.1078187600878755</v>
      </c>
      <c r="F35" s="24">
        <f>'Proj. SGA &amp; PL &amp; BS'!F64/'Proj. SGA &amp; PL &amp; BS'!F71</f>
        <v>1.1048283763463196</v>
      </c>
      <c r="G35" s="24">
        <f>'Proj. SGA &amp; PL &amp; BS'!G64/'Proj. SGA &amp; PL &amp; BS'!G71</f>
        <v>1.1015652794774298</v>
      </c>
      <c r="H35" s="24">
        <f>'Proj. SGA &amp; PL &amp; BS'!H64/'Proj. SGA &amp; PL &amp; BS'!H71</f>
        <v>1.0981109993753084</v>
      </c>
    </row>
    <row r="36" spans="2:8" x14ac:dyDescent="0.2">
      <c r="C36" s="27"/>
    </row>
    <row r="37" spans="2:8" x14ac:dyDescent="0.2">
      <c r="B37" s="5" t="s">
        <v>186</v>
      </c>
    </row>
  </sheetData>
  <sheetProtection selectLockedCells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080F-FA92-F84E-B94B-7991914C5BEF}">
  <sheetPr>
    <tabColor rgb="FFC00000"/>
  </sheetPr>
  <dimension ref="B2:I36"/>
  <sheetViews>
    <sheetView topLeftCell="A12" zoomScaleNormal="100" workbookViewId="0">
      <selection activeCell="D6" sqref="D6"/>
    </sheetView>
  </sheetViews>
  <sheetFormatPr baseColWidth="10" defaultColWidth="9" defaultRowHeight="16" x14ac:dyDescent="0.2"/>
  <cols>
    <col min="1" max="1" width="9" style="5"/>
    <col min="2" max="2" width="46.5" style="5" customWidth="1"/>
    <col min="3" max="8" width="13.6640625" style="5" customWidth="1"/>
    <col min="9" max="9" width="14.6640625" style="5" customWidth="1"/>
    <col min="10" max="16384" width="9" style="5"/>
  </cols>
  <sheetData>
    <row r="2" spans="2:8" ht="20" x14ac:dyDescent="0.2">
      <c r="B2" s="48" t="str">
        <f>name</f>
        <v>Compagny Incognito, by eliediwambuena</v>
      </c>
      <c r="D2" s="71"/>
      <c r="G2" s="88"/>
    </row>
    <row r="4" spans="2:8" x14ac:dyDescent="0.2">
      <c r="C4" s="90" t="str">
        <f>Assumptions!C7</f>
        <v>6-MONTHS PLAN</v>
      </c>
      <c r="D4" s="90"/>
      <c r="E4" s="90"/>
      <c r="F4" s="90"/>
      <c r="G4" s="90"/>
      <c r="H4" s="90"/>
    </row>
    <row r="5" spans="2:8" ht="20" x14ac:dyDescent="0.2">
      <c r="B5" s="30" t="str">
        <f>"Sales budgeting  (in "&amp;Assumptions!C5&amp; ")"</f>
        <v>Sales budgeting  (in 1000000)</v>
      </c>
      <c r="C5" s="8">
        <f>Assumptions!C8</f>
        <v>1</v>
      </c>
      <c r="D5" s="8">
        <f>Assumptions!D8</f>
        <v>2</v>
      </c>
      <c r="E5" s="8">
        <f>Assumptions!E8</f>
        <v>3</v>
      </c>
      <c r="F5" s="8">
        <f>Assumptions!F8</f>
        <v>4</v>
      </c>
      <c r="G5" s="8">
        <f>Assumptions!G8</f>
        <v>5</v>
      </c>
      <c r="H5" s="8">
        <f>Assumptions!H8</f>
        <v>6</v>
      </c>
    </row>
    <row r="6" spans="2:8" x14ac:dyDescent="0.2">
      <c r="B6" s="1" t="s">
        <v>37</v>
      </c>
      <c r="C6" s="78">
        <f>Realisation!C8</f>
        <v>3</v>
      </c>
      <c r="D6" s="74">
        <f>C6*(1+Realisation!D8)</f>
        <v>3.1500000000000004</v>
      </c>
      <c r="E6" s="74">
        <f>D6*(1+Realisation!E8)</f>
        <v>3.2760000000000007</v>
      </c>
      <c r="F6" s="74">
        <f>E6*(1+Realisation!F8)</f>
        <v>3.3742800000000006</v>
      </c>
      <c r="G6" s="74">
        <f>F6*(1+Realisation!G8)</f>
        <v>3.4755084000000007</v>
      </c>
      <c r="H6" s="74">
        <f>G6*(1+Realisation!H8)</f>
        <v>3.579773652000001</v>
      </c>
    </row>
    <row r="7" spans="2:8" x14ac:dyDescent="0.2">
      <c r="B7" s="12" t="s">
        <v>38</v>
      </c>
      <c r="C7" s="75">
        <f>Assumptions!C10</f>
        <v>1.1000000000000001</v>
      </c>
      <c r="D7" s="75">
        <f>C7*(1+Assumptions!D10)</f>
        <v>1.1550000000000002</v>
      </c>
      <c r="E7" s="75">
        <f>D7*(1+Assumptions!E10)</f>
        <v>1.2127500000000002</v>
      </c>
      <c r="F7" s="75">
        <f>E7*(1+Assumptions!F10)</f>
        <v>1.2733875000000003</v>
      </c>
      <c r="G7" s="75">
        <f>F7*(1+Assumptions!G10)</f>
        <v>1.3370568750000005</v>
      </c>
      <c r="H7" s="75">
        <f>G7*(1+Assumptions!H10)</f>
        <v>1.4039097187500005</v>
      </c>
    </row>
    <row r="8" spans="2:8" x14ac:dyDescent="0.2">
      <c r="B8" s="5" t="s">
        <v>39</v>
      </c>
      <c r="C8" s="73">
        <f>SUM(C6:C7)</f>
        <v>4.0999999999999996</v>
      </c>
      <c r="D8" s="73">
        <f t="shared" ref="D8:H8" si="0">SUM(D6:D7)</f>
        <v>4.3050000000000006</v>
      </c>
      <c r="E8" s="73">
        <f t="shared" si="0"/>
        <v>4.4887500000000014</v>
      </c>
      <c r="F8" s="73">
        <f t="shared" si="0"/>
        <v>4.6476675000000007</v>
      </c>
      <c r="G8" s="73">
        <f t="shared" si="0"/>
        <v>4.8125652750000008</v>
      </c>
      <c r="H8" s="73">
        <f t="shared" si="0"/>
        <v>4.9836833707500015</v>
      </c>
    </row>
    <row r="9" spans="2:8" x14ac:dyDescent="0.2">
      <c r="C9" s="73"/>
      <c r="D9" s="73"/>
      <c r="E9" s="73"/>
      <c r="F9" s="73"/>
      <c r="G9" s="73"/>
      <c r="H9" s="79"/>
    </row>
    <row r="10" spans="2:8" x14ac:dyDescent="0.2">
      <c r="B10" s="5" t="s">
        <v>40</v>
      </c>
      <c r="C10" s="73">
        <f>C6*Assumptions!C12</f>
        <v>24</v>
      </c>
      <c r="D10" s="73">
        <f>D6*Assumptions!D12</f>
        <v>25.200000000000003</v>
      </c>
      <c r="E10" s="73">
        <f>E6*Assumptions!E12</f>
        <v>26.208000000000006</v>
      </c>
      <c r="F10" s="73">
        <f>F6*Assumptions!F12</f>
        <v>26.994240000000005</v>
      </c>
      <c r="G10" s="73">
        <f>G6*Assumptions!G12</f>
        <v>27.804067200000006</v>
      </c>
      <c r="H10" s="73">
        <f>H6*Assumptions!H12</f>
        <v>28.638189216000008</v>
      </c>
    </row>
    <row r="11" spans="2:8" x14ac:dyDescent="0.2">
      <c r="B11" s="8" t="s">
        <v>41</v>
      </c>
      <c r="C11" s="72">
        <f>C7*Assumptions!C13</f>
        <v>4.4000000000000004</v>
      </c>
      <c r="D11" s="72">
        <f>D7*Assumptions!D13</f>
        <v>4.620000000000001</v>
      </c>
      <c r="E11" s="72">
        <f>E7*Assumptions!E13</f>
        <v>4.8510000000000009</v>
      </c>
      <c r="F11" s="72">
        <f>F7*Assumptions!F13</f>
        <v>5.0935500000000014</v>
      </c>
      <c r="G11" s="72">
        <f>G7*Assumptions!G13</f>
        <v>5.3482275000000019</v>
      </c>
      <c r="H11" s="72">
        <f>H7*Assumptions!H13</f>
        <v>5.6156388750000019</v>
      </c>
    </row>
    <row r="12" spans="2:8" x14ac:dyDescent="0.2">
      <c r="B12" s="5" t="s">
        <v>42</v>
      </c>
      <c r="C12" s="73">
        <f t="shared" ref="C12:H12" si="1">SUM(C10:C11)</f>
        <v>28.4</v>
      </c>
      <c r="D12" s="73">
        <f t="shared" si="1"/>
        <v>29.820000000000004</v>
      </c>
      <c r="E12" s="73">
        <f t="shared" si="1"/>
        <v>31.059000000000005</v>
      </c>
      <c r="F12" s="73">
        <f t="shared" si="1"/>
        <v>32.087790000000005</v>
      </c>
      <c r="G12" s="73">
        <f t="shared" si="1"/>
        <v>33.152294700000006</v>
      </c>
      <c r="H12" s="73">
        <f t="shared" si="1"/>
        <v>34.25382809100001</v>
      </c>
    </row>
    <row r="13" spans="2:8" x14ac:dyDescent="0.2">
      <c r="C13" s="13"/>
      <c r="D13" s="13"/>
      <c r="E13" s="13"/>
      <c r="F13" s="13"/>
      <c r="G13" s="13"/>
      <c r="H13" s="13"/>
    </row>
    <row r="14" spans="2:8" x14ac:dyDescent="0.2">
      <c r="D14" s="1"/>
      <c r="E14" s="1"/>
      <c r="F14" s="1"/>
      <c r="G14" s="1"/>
      <c r="H14" s="1"/>
    </row>
    <row r="15" spans="2:8" ht="18" x14ac:dyDescent="0.2">
      <c r="C15" s="92" t="s">
        <v>43</v>
      </c>
      <c r="D15" s="92"/>
      <c r="E15" s="92"/>
      <c r="F15" s="92"/>
      <c r="G15" s="92"/>
      <c r="H15" s="92"/>
    </row>
    <row r="16" spans="2:8" x14ac:dyDescent="0.2">
      <c r="B16" s="10" t="s">
        <v>44</v>
      </c>
      <c r="C16" s="8">
        <f>C5</f>
        <v>1</v>
      </c>
      <c r="D16" s="8">
        <f t="shared" ref="D16:H16" si="2">D5</f>
        <v>2</v>
      </c>
      <c r="E16" s="8">
        <f t="shared" si="2"/>
        <v>3</v>
      </c>
      <c r="F16" s="8">
        <f t="shared" si="2"/>
        <v>4</v>
      </c>
      <c r="G16" s="8">
        <f t="shared" si="2"/>
        <v>5</v>
      </c>
      <c r="H16" s="8">
        <f t="shared" si="2"/>
        <v>6</v>
      </c>
    </row>
    <row r="17" spans="2:9" x14ac:dyDescent="0.2">
      <c r="B17" s="5" t="s">
        <v>45</v>
      </c>
      <c r="C17" s="73"/>
      <c r="D17" s="73"/>
      <c r="E17" s="73"/>
      <c r="F17" s="73"/>
      <c r="G17" s="73"/>
      <c r="H17" s="73"/>
    </row>
    <row r="18" spans="2:9" x14ac:dyDescent="0.2">
      <c r="B18" s="5" t="s">
        <v>46</v>
      </c>
      <c r="C18" s="73">
        <f>C12*Assumptions!$C$15</f>
        <v>25.56</v>
      </c>
      <c r="D18" s="73">
        <f>D12*Assumptions!$C$15</f>
        <v>26.838000000000005</v>
      </c>
      <c r="E18" s="73">
        <f>E12*Assumptions!$C$15</f>
        <v>27.953100000000006</v>
      </c>
      <c r="F18" s="73">
        <f>F12*Assumptions!$C$15</f>
        <v>28.879011000000006</v>
      </c>
      <c r="G18" s="73">
        <f>G12*Assumptions!$C$15</f>
        <v>29.837065230000007</v>
      </c>
      <c r="H18" s="73">
        <f>H12*Assumptions!$C$15</f>
        <v>30.828445281900009</v>
      </c>
    </row>
    <row r="19" spans="2:9" x14ac:dyDescent="0.2">
      <c r="B19" s="5" t="s">
        <v>7</v>
      </c>
      <c r="C19" s="73"/>
      <c r="D19" s="74">
        <f>C12*Assumptions!$C$16</f>
        <v>1.42</v>
      </c>
      <c r="E19" s="74">
        <f>D12*Assumptions!$C$16</f>
        <v>1.4910000000000003</v>
      </c>
      <c r="F19" s="74">
        <f>E12*Assumptions!$C$16</f>
        <v>1.5529500000000003</v>
      </c>
      <c r="G19" s="74">
        <f>F12*Assumptions!$C$16</f>
        <v>1.6043895000000004</v>
      </c>
      <c r="H19" s="74">
        <f>G12*Assumptions!$C$16</f>
        <v>1.6576147350000003</v>
      </c>
      <c r="I19" s="2">
        <f>H12*Assumptions!$C$16</f>
        <v>1.7126914045500006</v>
      </c>
    </row>
    <row r="20" spans="2:9" x14ac:dyDescent="0.2">
      <c r="B20" s="8" t="s">
        <v>8</v>
      </c>
      <c r="C20" s="72"/>
      <c r="D20" s="75"/>
      <c r="E20" s="72">
        <f>C12*Assumptions!$C$17</f>
        <v>1.42</v>
      </c>
      <c r="F20" s="72">
        <f>D12*Assumptions!$C$17</f>
        <v>1.4910000000000003</v>
      </c>
      <c r="G20" s="72">
        <f>E12*Assumptions!$C$17</f>
        <v>1.5529500000000003</v>
      </c>
      <c r="H20" s="72">
        <f>F12*Assumptions!$C$17</f>
        <v>1.6043895000000004</v>
      </c>
      <c r="I20" s="19">
        <f>G12*Assumptions!$C$17</f>
        <v>1.6576147350000003</v>
      </c>
    </row>
    <row r="21" spans="2:9" x14ac:dyDescent="0.2">
      <c r="B21" s="5" t="s">
        <v>47</v>
      </c>
      <c r="C21" s="73">
        <f>SUM(C17:C20)</f>
        <v>25.56</v>
      </c>
      <c r="D21" s="73">
        <f t="shared" ref="D21:H21" si="3">SUM(D17:D20)</f>
        <v>28.258000000000003</v>
      </c>
      <c r="E21" s="73">
        <f t="shared" si="3"/>
        <v>30.864100000000008</v>
      </c>
      <c r="F21" s="73">
        <f t="shared" si="3"/>
        <v>31.922961000000004</v>
      </c>
      <c r="G21" s="73">
        <f t="shared" si="3"/>
        <v>32.994404730000007</v>
      </c>
      <c r="H21" s="73">
        <f t="shared" si="3"/>
        <v>34.090449516900016</v>
      </c>
    </row>
    <row r="22" spans="2:9" x14ac:dyDescent="0.2">
      <c r="D22" s="1"/>
      <c r="H22" s="1"/>
    </row>
    <row r="23" spans="2:9" x14ac:dyDescent="0.2">
      <c r="D23" s="1"/>
      <c r="H23" s="1"/>
    </row>
    <row r="26" spans="2:9" ht="18" x14ac:dyDescent="0.2">
      <c r="C26" s="92" t="s">
        <v>43</v>
      </c>
      <c r="D26" s="92"/>
      <c r="E26" s="92"/>
      <c r="F26" s="92"/>
      <c r="G26" s="92"/>
      <c r="H26" s="92"/>
    </row>
    <row r="27" spans="2:9" ht="20" x14ac:dyDescent="0.2">
      <c r="B27" s="30" t="s">
        <v>48</v>
      </c>
      <c r="C27" s="8">
        <f>C16</f>
        <v>1</v>
      </c>
      <c r="D27" s="8">
        <f t="shared" ref="D27:H27" si="4">D16</f>
        <v>2</v>
      </c>
      <c r="E27" s="8">
        <f t="shared" si="4"/>
        <v>3</v>
      </c>
      <c r="F27" s="8">
        <f t="shared" si="4"/>
        <v>4</v>
      </c>
      <c r="G27" s="8">
        <f t="shared" si="4"/>
        <v>5</v>
      </c>
      <c r="H27" s="8">
        <f t="shared" si="4"/>
        <v>6</v>
      </c>
    </row>
    <row r="28" spans="2:9" x14ac:dyDescent="0.2">
      <c r="B28" s="5" t="str">
        <f>B8</f>
        <v>Total budget sales in quantity</v>
      </c>
      <c r="C28" s="73">
        <f>C8</f>
        <v>4.0999999999999996</v>
      </c>
      <c r="D28" s="73">
        <f t="shared" ref="D28:H28" si="5">D8</f>
        <v>4.3050000000000006</v>
      </c>
      <c r="E28" s="73">
        <f t="shared" si="5"/>
        <v>4.4887500000000014</v>
      </c>
      <c r="F28" s="73">
        <f t="shared" si="5"/>
        <v>4.6476675000000007</v>
      </c>
      <c r="G28" s="73">
        <f t="shared" si="5"/>
        <v>4.8125652750000008</v>
      </c>
      <c r="H28" s="73">
        <f t="shared" si="5"/>
        <v>4.9836833707500015</v>
      </c>
    </row>
    <row r="29" spans="2:9" x14ac:dyDescent="0.2">
      <c r="B29" s="25" t="s">
        <v>49</v>
      </c>
      <c r="C29" s="72">
        <f>C28*Assumptions!C22</f>
        <v>4.0999999999999995E-2</v>
      </c>
      <c r="D29" s="72">
        <f>D28*Assumptions!D22</f>
        <v>4.3050000000000005E-2</v>
      </c>
      <c r="E29" s="72">
        <f>E28*Assumptions!E22</f>
        <v>4.4887500000000018E-2</v>
      </c>
      <c r="F29" s="72">
        <f>F28*Assumptions!F22</f>
        <v>4.6476675000000009E-2</v>
      </c>
      <c r="G29" s="72">
        <f>G28*Assumptions!G22</f>
        <v>4.8125652750000011E-2</v>
      </c>
      <c r="H29" s="72">
        <f>H28*Assumptions!H22</f>
        <v>4.9836833707500014E-2</v>
      </c>
    </row>
    <row r="30" spans="2:9" x14ac:dyDescent="0.2">
      <c r="B30" s="5" t="s">
        <v>50</v>
      </c>
      <c r="C30" s="73">
        <f>SUM(C28:C29)</f>
        <v>4.141</v>
      </c>
      <c r="D30" s="73">
        <f t="shared" ref="D30:H30" si="6">SUM(D28:D29)</f>
        <v>4.3480500000000006</v>
      </c>
      <c r="E30" s="73">
        <f t="shared" si="6"/>
        <v>4.5336375000000011</v>
      </c>
      <c r="F30" s="73">
        <f t="shared" si="6"/>
        <v>4.6941441750000008</v>
      </c>
      <c r="G30" s="73">
        <f t="shared" si="6"/>
        <v>4.8606909277500003</v>
      </c>
      <c r="H30" s="73">
        <f t="shared" si="6"/>
        <v>5.0335202044575018</v>
      </c>
    </row>
    <row r="31" spans="2:9" x14ac:dyDescent="0.2">
      <c r="C31" s="73"/>
      <c r="D31" s="73"/>
      <c r="E31" s="73"/>
      <c r="F31" s="73"/>
      <c r="G31" s="73"/>
      <c r="H31" s="73"/>
    </row>
    <row r="32" spans="2:9" x14ac:dyDescent="0.2">
      <c r="B32" s="25" t="s">
        <v>51</v>
      </c>
      <c r="C32" s="72"/>
      <c r="D32" s="72">
        <f>-C29</f>
        <v>-4.0999999999999995E-2</v>
      </c>
      <c r="E32" s="72">
        <f t="shared" ref="E32:H32" si="7">-D29</f>
        <v>-4.3050000000000005E-2</v>
      </c>
      <c r="F32" s="72">
        <f t="shared" si="7"/>
        <v>-4.4887500000000018E-2</v>
      </c>
      <c r="G32" s="72">
        <f t="shared" si="7"/>
        <v>-4.6476675000000009E-2</v>
      </c>
      <c r="H32" s="72">
        <f t="shared" si="7"/>
        <v>-4.8125652750000011E-2</v>
      </c>
    </row>
    <row r="33" spans="2:8" x14ac:dyDescent="0.2">
      <c r="B33" s="5" t="s">
        <v>52</v>
      </c>
      <c r="C33" s="73">
        <f>C30+C32</f>
        <v>4.141</v>
      </c>
      <c r="D33" s="73">
        <f t="shared" ref="D33:H33" si="8">D30+D32</f>
        <v>4.3070500000000003</v>
      </c>
      <c r="E33" s="73">
        <f t="shared" si="8"/>
        <v>4.4905875000000011</v>
      </c>
      <c r="F33" s="73">
        <f t="shared" si="8"/>
        <v>4.6492566750000011</v>
      </c>
      <c r="G33" s="73">
        <f t="shared" si="8"/>
        <v>4.8142142527500003</v>
      </c>
      <c r="H33" s="73">
        <f t="shared" si="8"/>
        <v>4.9853945517075022</v>
      </c>
    </row>
    <row r="35" spans="2:8" x14ac:dyDescent="0.2">
      <c r="B35" s="5" t="s">
        <v>53</v>
      </c>
      <c r="C35" s="28">
        <f>C6/C8</f>
        <v>0.73170731707317083</v>
      </c>
      <c r="D35" s="28"/>
      <c r="E35" s="28"/>
      <c r="F35" s="28"/>
      <c r="G35" s="28"/>
      <c r="H35" s="28"/>
    </row>
    <row r="36" spans="2:8" x14ac:dyDescent="0.2">
      <c r="B36" s="5" t="s">
        <v>54</v>
      </c>
      <c r="C36" s="28">
        <f>C7/C8</f>
        <v>0.26829268292682934</v>
      </c>
      <c r="D36" s="28"/>
      <c r="E36" s="28"/>
      <c r="F36" s="28"/>
      <c r="G36" s="28"/>
      <c r="H36" s="28"/>
    </row>
  </sheetData>
  <sheetProtection selectLockedCells="1"/>
  <mergeCells count="3">
    <mergeCell ref="C4:H4"/>
    <mergeCell ref="C15:H15"/>
    <mergeCell ref="C26:H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4DF07-8099-C14A-9949-68DA272F69B5}">
  <sheetPr>
    <tabColor rgb="FFC00000"/>
  </sheetPr>
  <dimension ref="B2:I79"/>
  <sheetViews>
    <sheetView topLeftCell="A29" workbookViewId="0">
      <selection activeCell="C48" sqref="C48"/>
    </sheetView>
  </sheetViews>
  <sheetFormatPr baseColWidth="10" defaultColWidth="9" defaultRowHeight="16" x14ac:dyDescent="0.2"/>
  <cols>
    <col min="1" max="1" width="9" style="5"/>
    <col min="2" max="2" width="48.1640625" style="5" customWidth="1"/>
    <col min="3" max="3" width="16.1640625" style="5" customWidth="1"/>
    <col min="4" max="4" width="18.5" style="5" customWidth="1"/>
    <col min="5" max="5" width="15.5" style="5" customWidth="1"/>
    <col min="6" max="8" width="11.6640625" style="5" customWidth="1"/>
    <col min="9" max="16384" width="9" style="5"/>
  </cols>
  <sheetData>
    <row r="2" spans="2:8" ht="20" x14ac:dyDescent="0.2">
      <c r="B2" s="48" t="str">
        <f>name</f>
        <v>Compagny Incognito, by eliediwambuena</v>
      </c>
      <c r="G2" s="80"/>
    </row>
    <row r="4" spans="2:8" ht="18" x14ac:dyDescent="0.2">
      <c r="C4" s="92" t="s">
        <v>43</v>
      </c>
      <c r="D4" s="92"/>
      <c r="E4" s="92"/>
      <c r="F4" s="92"/>
      <c r="G4" s="92"/>
      <c r="H4" s="92"/>
    </row>
    <row r="5" spans="2:8" ht="20" x14ac:dyDescent="0.2">
      <c r="B5" s="30" t="s">
        <v>55</v>
      </c>
      <c r="C5" s="8">
        <f>Assumptions!C8</f>
        <v>1</v>
      </c>
      <c r="D5" s="8">
        <f>Assumptions!D8</f>
        <v>2</v>
      </c>
      <c r="E5" s="8">
        <f>Assumptions!E8</f>
        <v>3</v>
      </c>
      <c r="F5" s="8">
        <f>Assumptions!F8</f>
        <v>4</v>
      </c>
      <c r="G5" s="8">
        <f>Assumptions!G8</f>
        <v>5</v>
      </c>
      <c r="H5" s="8">
        <f>Assumptions!H8</f>
        <v>6</v>
      </c>
    </row>
    <row r="6" spans="2:8" x14ac:dyDescent="0.2">
      <c r="B6" s="1" t="s">
        <v>56</v>
      </c>
      <c r="C6" s="74">
        <f>'Act. Sales &amp; Prod '!$C$35*'Act. Sales &amp; Prod '!C33</f>
        <v>3.0300000000000002</v>
      </c>
      <c r="D6" s="74">
        <f>'Act. Sales &amp; Prod '!$C$35*'Act. Sales &amp; Prod '!D33</f>
        <v>3.1515000000000004</v>
      </c>
      <c r="E6" s="74">
        <f>'Act. Sales &amp; Prod '!$C$35*'Act. Sales &amp; Prod '!E33</f>
        <v>3.2857957317073181</v>
      </c>
      <c r="F6" s="74">
        <f>'Act. Sales &amp; Prod '!$C$35*'Act. Sales &amp; Prod '!F33</f>
        <v>3.4018951280487819</v>
      </c>
      <c r="G6" s="74">
        <f>'Act. Sales &amp; Prod '!$C$35*'Act. Sales &amp; Prod '!G33</f>
        <v>3.5225957946951225</v>
      </c>
      <c r="H6" s="74">
        <f>'Act. Sales &amp; Prod '!$C$35*'Act. Sales &amp; Prod '!H33</f>
        <v>3.6478496719810996</v>
      </c>
    </row>
    <row r="7" spans="2:8" x14ac:dyDescent="0.2">
      <c r="B7" s="1" t="s">
        <v>57</v>
      </c>
      <c r="C7" s="74">
        <f>C6*Assumptions!C23</f>
        <v>4.5449999999999999</v>
      </c>
      <c r="D7" s="74">
        <f>D6*Assumptions!D23</f>
        <v>4.7272500000000006</v>
      </c>
      <c r="E7" s="74">
        <f>E6*Assumptions!E23</f>
        <v>4.9286935975609776</v>
      </c>
      <c r="F7" s="74">
        <f>F6*Assumptions!F23</f>
        <v>5.1028426920731729</v>
      </c>
      <c r="G7" s="74">
        <f>G6*Assumptions!G23</f>
        <v>5.2838936920426836</v>
      </c>
      <c r="H7" s="74">
        <f>H6*Assumptions!H23</f>
        <v>5.4717745079716495</v>
      </c>
    </row>
    <row r="8" spans="2:8" x14ac:dyDescent="0.2">
      <c r="B8" s="1"/>
      <c r="C8" s="74"/>
      <c r="D8" s="74"/>
      <c r="E8" s="74"/>
      <c r="F8" s="74"/>
      <c r="G8" s="74"/>
      <c r="H8" s="74"/>
    </row>
    <row r="9" spans="2:8" x14ac:dyDescent="0.2">
      <c r="B9" s="4" t="s">
        <v>58</v>
      </c>
      <c r="C9" s="74">
        <f>C7*Assumptions!C25</f>
        <v>0.45450000000000002</v>
      </c>
      <c r="D9" s="74">
        <f>D7*Assumptions!D25</f>
        <v>0.47272500000000006</v>
      </c>
      <c r="E9" s="74">
        <f>E7*Assumptions!E25</f>
        <v>0.4928693597560978</v>
      </c>
      <c r="F9" s="74">
        <f>F7*Assumptions!F25</f>
        <v>0.51028426920731729</v>
      </c>
      <c r="G9" s="74">
        <f>G7*Assumptions!G25</f>
        <v>0.52838936920426838</v>
      </c>
      <c r="H9" s="74">
        <f>H7*Assumptions!H25</f>
        <v>0.54717745079716495</v>
      </c>
    </row>
    <row r="10" spans="2:8" x14ac:dyDescent="0.2">
      <c r="B10" s="29" t="s">
        <v>59</v>
      </c>
      <c r="C10" s="75"/>
      <c r="D10" s="75">
        <f>-C9</f>
        <v>-0.45450000000000002</v>
      </c>
      <c r="E10" s="75">
        <f t="shared" ref="E10:H10" si="0">-D9</f>
        <v>-0.47272500000000006</v>
      </c>
      <c r="F10" s="75">
        <f t="shared" si="0"/>
        <v>-0.4928693597560978</v>
      </c>
      <c r="G10" s="75">
        <f t="shared" si="0"/>
        <v>-0.51028426920731729</v>
      </c>
      <c r="H10" s="75">
        <f t="shared" si="0"/>
        <v>-0.52838936920426838</v>
      </c>
    </row>
    <row r="11" spans="2:8" x14ac:dyDescent="0.2">
      <c r="B11" s="1" t="s">
        <v>60</v>
      </c>
      <c r="C11" s="74">
        <f>SUM(C7:C10)</f>
        <v>4.9995000000000003</v>
      </c>
      <c r="D11" s="74">
        <f t="shared" ref="D11:H11" si="1">SUM(D7:D10)</f>
        <v>4.7454749999999999</v>
      </c>
      <c r="E11" s="74">
        <f t="shared" si="1"/>
        <v>4.9488379573170747</v>
      </c>
      <c r="F11" s="74">
        <f t="shared" si="1"/>
        <v>5.1202576015243926</v>
      </c>
      <c r="G11" s="74">
        <f t="shared" si="1"/>
        <v>5.301998792039635</v>
      </c>
      <c r="H11" s="74">
        <f t="shared" si="1"/>
        <v>5.4905625895645462</v>
      </c>
    </row>
    <row r="12" spans="2:8" x14ac:dyDescent="0.2">
      <c r="B12" s="1"/>
      <c r="C12" s="74"/>
      <c r="D12" s="74"/>
      <c r="E12" s="74"/>
      <c r="F12" s="74"/>
      <c r="G12" s="74"/>
      <c r="H12" s="74"/>
    </row>
    <row r="13" spans="2:8" x14ac:dyDescent="0.2">
      <c r="B13" s="12" t="s">
        <v>61</v>
      </c>
      <c r="C13" s="75">
        <f>Realisation!C14</f>
        <v>2</v>
      </c>
      <c r="D13" s="75">
        <f>Realisation!D14</f>
        <v>2.5</v>
      </c>
      <c r="E13" s="75">
        <f>Realisation!E14</f>
        <v>2.5</v>
      </c>
      <c r="F13" s="75">
        <f>Realisation!F14</f>
        <v>2.5</v>
      </c>
      <c r="G13" s="75">
        <f>Realisation!G14</f>
        <v>2.5</v>
      </c>
      <c r="H13" s="75">
        <f>Realisation!H14</f>
        <v>2.5</v>
      </c>
    </row>
    <row r="14" spans="2:8" x14ac:dyDescent="0.2">
      <c r="B14" s="1" t="s">
        <v>211</v>
      </c>
      <c r="C14" s="74">
        <f>C13*C11</f>
        <v>9.9990000000000006</v>
      </c>
      <c r="D14" s="74">
        <f t="shared" ref="D14:H14" si="2">D13*D11</f>
        <v>11.863687499999999</v>
      </c>
      <c r="E14" s="74">
        <f t="shared" si="2"/>
        <v>12.372094893292687</v>
      </c>
      <c r="F14" s="74">
        <f t="shared" si="2"/>
        <v>12.800644003810982</v>
      </c>
      <c r="G14" s="74">
        <f t="shared" si="2"/>
        <v>13.254996980099087</v>
      </c>
      <c r="H14" s="74">
        <f t="shared" si="2"/>
        <v>13.726406473911366</v>
      </c>
    </row>
    <row r="15" spans="2:8" x14ac:dyDescent="0.2">
      <c r="B15" s="1"/>
      <c r="C15" s="74"/>
      <c r="D15" s="74"/>
      <c r="E15" s="74"/>
      <c r="F15" s="74"/>
      <c r="G15" s="74"/>
      <c r="H15" s="74"/>
    </row>
    <row r="16" spans="2:8" x14ac:dyDescent="0.2">
      <c r="B16" s="1"/>
      <c r="C16" s="74"/>
      <c r="D16" s="74"/>
      <c r="E16" s="74"/>
      <c r="F16" s="74"/>
      <c r="G16" s="74"/>
      <c r="H16" s="74"/>
    </row>
    <row r="17" spans="2:8" x14ac:dyDescent="0.2">
      <c r="B17" s="1" t="s">
        <v>63</v>
      </c>
      <c r="C17" s="74">
        <f>'Act. Sales &amp; Prod '!$C$36*'Act. Sales &amp; Prod '!C33</f>
        <v>1.1110000000000002</v>
      </c>
      <c r="D17" s="74">
        <f>'Act. Sales &amp; Prod '!$C$36*'Act. Sales &amp; Prod '!D33</f>
        <v>1.1555500000000003</v>
      </c>
      <c r="E17" s="74">
        <f>'Act. Sales &amp; Prod '!$C$36*'Act. Sales &amp; Prod '!E33</f>
        <v>1.2047917682926836</v>
      </c>
      <c r="F17" s="74">
        <f>'Act. Sales &amp; Prod '!$C$36*'Act. Sales &amp; Prod '!F33</f>
        <v>1.24736154695122</v>
      </c>
      <c r="G17" s="74">
        <f>'Act. Sales &amp; Prod '!$C$36*'Act. Sales &amp; Prod '!G33</f>
        <v>1.2916184580548784</v>
      </c>
      <c r="H17" s="74">
        <f>'Act. Sales &amp; Prod '!$C$36*'Act. Sales &amp; Prod '!H33</f>
        <v>1.3375448797264033</v>
      </c>
    </row>
    <row r="18" spans="2:8" x14ac:dyDescent="0.2">
      <c r="B18" s="1" t="s">
        <v>57</v>
      </c>
      <c r="C18" s="74">
        <f>Assumptions!C24*C17</f>
        <v>0.5555000000000001</v>
      </c>
      <c r="D18" s="74">
        <f>Assumptions!D24*D17</f>
        <v>0.57777500000000015</v>
      </c>
      <c r="E18" s="74">
        <f>Assumptions!E24*E17</f>
        <v>0.60239588414634182</v>
      </c>
      <c r="F18" s="74">
        <f>Assumptions!F24*F17</f>
        <v>0.62368077347561002</v>
      </c>
      <c r="G18" s="74">
        <f>Assumptions!G24*G17</f>
        <v>0.6458092290274392</v>
      </c>
      <c r="H18" s="74">
        <f>Assumptions!H24*H17</f>
        <v>0.66877243986320167</v>
      </c>
    </row>
    <row r="19" spans="2:8" x14ac:dyDescent="0.2">
      <c r="B19" s="1"/>
      <c r="C19" s="74"/>
      <c r="D19" s="74"/>
      <c r="E19" s="74"/>
      <c r="F19" s="74"/>
      <c r="G19" s="74"/>
      <c r="H19" s="74"/>
    </row>
    <row r="20" spans="2:8" x14ac:dyDescent="0.2">
      <c r="B20" s="1" t="s">
        <v>58</v>
      </c>
      <c r="C20" s="74">
        <f>C18*Assumptions!C25</f>
        <v>5.5550000000000016E-2</v>
      </c>
      <c r="D20" s="74">
        <f>D18*Assumptions!D25</f>
        <v>5.7777500000000016E-2</v>
      </c>
      <c r="E20" s="74">
        <f>E18*Assumptions!E25</f>
        <v>6.0239588414634185E-2</v>
      </c>
      <c r="F20" s="74">
        <f>F18*Assumptions!F25</f>
        <v>6.2368077347561002E-2</v>
      </c>
      <c r="G20" s="74">
        <f>G18*Assumptions!G25</f>
        <v>6.458092290274392E-2</v>
      </c>
      <c r="H20" s="74">
        <f>H18*Assumptions!H25</f>
        <v>6.6877243986320167E-2</v>
      </c>
    </row>
    <row r="21" spans="2:8" x14ac:dyDescent="0.2">
      <c r="B21" s="12" t="s">
        <v>59</v>
      </c>
      <c r="C21" s="75"/>
      <c r="D21" s="75">
        <f>-C20</f>
        <v>-5.5550000000000016E-2</v>
      </c>
      <c r="E21" s="75">
        <f t="shared" ref="E21:H21" si="3">-D20</f>
        <v>-5.7777500000000016E-2</v>
      </c>
      <c r="F21" s="75">
        <f t="shared" si="3"/>
        <v>-6.0239588414634185E-2</v>
      </c>
      <c r="G21" s="75">
        <f t="shared" si="3"/>
        <v>-6.2368077347561002E-2</v>
      </c>
      <c r="H21" s="75">
        <f t="shared" si="3"/>
        <v>-6.458092290274392E-2</v>
      </c>
    </row>
    <row r="22" spans="2:8" x14ac:dyDescent="0.2">
      <c r="B22" s="1" t="s">
        <v>64</v>
      </c>
      <c r="C22" s="74">
        <f>SUM(C18:C21)</f>
        <v>0.61105000000000009</v>
      </c>
      <c r="D22" s="74">
        <f t="shared" ref="D22:H22" si="4">SUM(D18:D21)</f>
        <v>0.5800025000000002</v>
      </c>
      <c r="E22" s="74">
        <f t="shared" si="4"/>
        <v>0.60485797256097595</v>
      </c>
      <c r="F22" s="74">
        <f t="shared" si="4"/>
        <v>0.62580926240853685</v>
      </c>
      <c r="G22" s="74">
        <f t="shared" si="4"/>
        <v>0.64802207458262218</v>
      </c>
      <c r="H22" s="74">
        <f t="shared" si="4"/>
        <v>0.67106876094677803</v>
      </c>
    </row>
    <row r="23" spans="2:8" x14ac:dyDescent="0.2">
      <c r="B23" s="1"/>
      <c r="C23" s="74"/>
      <c r="D23" s="74"/>
      <c r="E23" s="74"/>
      <c r="F23" s="74"/>
      <c r="G23" s="74"/>
      <c r="H23" s="74"/>
    </row>
    <row r="24" spans="2:8" x14ac:dyDescent="0.2">
      <c r="B24" s="12" t="s">
        <v>65</v>
      </c>
      <c r="C24" s="75">
        <f>Realisation!C16</f>
        <v>0.7</v>
      </c>
      <c r="D24" s="75">
        <f>Realisation!D16</f>
        <v>0.88</v>
      </c>
      <c r="E24" s="75">
        <f>Realisation!E16</f>
        <v>0.88</v>
      </c>
      <c r="F24" s="75">
        <f>Realisation!F16</f>
        <v>0.88</v>
      </c>
      <c r="G24" s="75">
        <f>Realisation!G16</f>
        <v>0.88</v>
      </c>
      <c r="H24" s="75">
        <f>Realisation!H16</f>
        <v>0.88</v>
      </c>
    </row>
    <row r="25" spans="2:8" x14ac:dyDescent="0.2">
      <c r="B25" s="1" t="s">
        <v>62</v>
      </c>
      <c r="C25" s="74">
        <f>C22*C24</f>
        <v>0.42773500000000003</v>
      </c>
      <c r="D25" s="74">
        <f t="shared" ref="D25:H25" si="5">D22*D24</f>
        <v>0.51040220000000014</v>
      </c>
      <c r="E25" s="74">
        <f t="shared" si="5"/>
        <v>0.53227501585365888</v>
      </c>
      <c r="F25" s="74">
        <f t="shared" si="5"/>
        <v>0.55071215091951242</v>
      </c>
      <c r="G25" s="74">
        <f t="shared" si="5"/>
        <v>0.57025942563270748</v>
      </c>
      <c r="H25" s="74">
        <f t="shared" si="5"/>
        <v>0.59054050963316462</v>
      </c>
    </row>
    <row r="26" spans="2:8" x14ac:dyDescent="0.2">
      <c r="B26" s="1"/>
      <c r="C26" s="74"/>
      <c r="D26" s="74"/>
      <c r="E26" s="74"/>
      <c r="F26" s="74"/>
      <c r="G26" s="74"/>
      <c r="H26" s="74"/>
    </row>
    <row r="27" spans="2:8" x14ac:dyDescent="0.2">
      <c r="B27" s="1"/>
      <c r="C27" s="74"/>
      <c r="D27" s="74"/>
      <c r="E27" s="74"/>
      <c r="F27" s="74"/>
      <c r="G27" s="74"/>
      <c r="H27" s="74"/>
    </row>
    <row r="28" spans="2:8" x14ac:dyDescent="0.2">
      <c r="B28" s="1" t="s">
        <v>66</v>
      </c>
      <c r="C28" s="74">
        <f>C25+C14</f>
        <v>10.426735000000001</v>
      </c>
      <c r="D28" s="74">
        <f t="shared" ref="D28:H28" si="6">D25+D14</f>
        <v>12.374089699999999</v>
      </c>
      <c r="E28" s="74">
        <f t="shared" si="6"/>
        <v>12.904369909146345</v>
      </c>
      <c r="F28" s="74">
        <f t="shared" si="6"/>
        <v>13.351356154730494</v>
      </c>
      <c r="G28" s="74">
        <f t="shared" si="6"/>
        <v>13.825256405731794</v>
      </c>
      <c r="H28" s="74">
        <f t="shared" si="6"/>
        <v>14.316946983544531</v>
      </c>
    </row>
    <row r="29" spans="2:8" x14ac:dyDescent="0.2">
      <c r="B29" s="1"/>
      <c r="C29" s="1"/>
      <c r="D29" s="1"/>
      <c r="E29" s="1"/>
      <c r="F29" s="1"/>
      <c r="G29" s="1"/>
      <c r="H29" s="1"/>
    </row>
    <row r="30" spans="2:8" x14ac:dyDescent="0.2">
      <c r="B30" s="1"/>
      <c r="C30" s="1"/>
      <c r="D30" s="1"/>
      <c r="E30" s="1"/>
      <c r="F30" s="1"/>
      <c r="G30" s="1"/>
      <c r="H30" s="1"/>
    </row>
    <row r="31" spans="2:8" ht="18" x14ac:dyDescent="0.2">
      <c r="C31" s="92" t="s">
        <v>43</v>
      </c>
      <c r="D31" s="92"/>
      <c r="E31" s="92"/>
      <c r="F31" s="92"/>
      <c r="G31" s="92"/>
      <c r="H31" s="92"/>
    </row>
    <row r="32" spans="2:8" x14ac:dyDescent="0.2">
      <c r="B32" s="10" t="s">
        <v>67</v>
      </c>
      <c r="C32" s="8">
        <f>C5</f>
        <v>1</v>
      </c>
      <c r="D32" s="8">
        <f t="shared" ref="D32:H32" si="7">D5</f>
        <v>2</v>
      </c>
      <c r="E32" s="8">
        <f t="shared" si="7"/>
        <v>3</v>
      </c>
      <c r="F32" s="8">
        <f t="shared" si="7"/>
        <v>4</v>
      </c>
      <c r="G32" s="10">
        <f t="shared" si="7"/>
        <v>5</v>
      </c>
      <c r="H32" s="8">
        <f t="shared" si="7"/>
        <v>6</v>
      </c>
    </row>
    <row r="33" spans="2:9" x14ac:dyDescent="0.2">
      <c r="B33" s="1" t="s">
        <v>68</v>
      </c>
      <c r="C33" s="1"/>
      <c r="D33" s="1"/>
      <c r="E33" s="1"/>
      <c r="F33" s="1"/>
      <c r="G33" s="1"/>
      <c r="H33" s="1"/>
    </row>
    <row r="34" spans="2:9" x14ac:dyDescent="0.2">
      <c r="B34" s="1" t="s">
        <v>69</v>
      </c>
      <c r="C34" s="74">
        <f>C28*Assumptions!$C$29</f>
        <v>8.3413880000000002</v>
      </c>
      <c r="D34" s="74">
        <f>D28*Assumptions!$C$29</f>
        <v>9.8992717599999995</v>
      </c>
      <c r="E34" s="74">
        <f>E28*Assumptions!$C$29</f>
        <v>10.323495927317076</v>
      </c>
      <c r="F34" s="74">
        <f>F28*Assumptions!$C$29</f>
        <v>10.681084923784397</v>
      </c>
      <c r="G34" s="74">
        <f>G28*Assumptions!$C$29</f>
        <v>11.060205124585437</v>
      </c>
      <c r="H34" s="74">
        <f>H28*Assumptions!$C$29</f>
        <v>11.453557586835625</v>
      </c>
      <c r="I34" s="73"/>
    </row>
    <row r="35" spans="2:9" x14ac:dyDescent="0.2">
      <c r="B35" s="1" t="s">
        <v>18</v>
      </c>
      <c r="C35" s="74"/>
      <c r="D35" s="74">
        <f>C28*Assumptions!$C$30</f>
        <v>1.0426735</v>
      </c>
      <c r="E35" s="74">
        <f>D28*Assumptions!$C$30</f>
        <v>1.2374089699999999</v>
      </c>
      <c r="F35" s="74">
        <f>E28*Assumptions!$C$30</f>
        <v>1.2904369909146345</v>
      </c>
      <c r="G35" s="74">
        <f>F28*Assumptions!$C$30</f>
        <v>1.3351356154730496</v>
      </c>
      <c r="H35" s="74">
        <f>G28*Assumptions!$C$30</f>
        <v>1.3825256405731796</v>
      </c>
      <c r="I35" s="74">
        <f>H28*Assumptions!$C$30</f>
        <v>1.4316946983544532</v>
      </c>
    </row>
    <row r="36" spans="2:9" x14ac:dyDescent="0.2">
      <c r="B36" s="12" t="s">
        <v>19</v>
      </c>
      <c r="C36" s="75"/>
      <c r="D36" s="75"/>
      <c r="E36" s="75">
        <f>C28*Assumptions!$C$31</f>
        <v>1.0426735</v>
      </c>
      <c r="F36" s="75">
        <f>D28*Assumptions!$C$31</f>
        <v>1.2374089699999999</v>
      </c>
      <c r="G36" s="75">
        <f>E28*Assumptions!$C$31</f>
        <v>1.2904369909146345</v>
      </c>
      <c r="H36" s="75">
        <f>F28*Assumptions!$C$31</f>
        <v>1.3351356154730496</v>
      </c>
      <c r="I36" s="75">
        <f>G28*Assumptions!$C$31</f>
        <v>1.3825256405731796</v>
      </c>
    </row>
    <row r="37" spans="2:9" x14ac:dyDescent="0.2">
      <c r="B37" s="1" t="s">
        <v>70</v>
      </c>
      <c r="C37" s="74">
        <f>SUM(C33:C36)</f>
        <v>8.3413880000000002</v>
      </c>
      <c r="D37" s="74">
        <f t="shared" ref="D37:H37" si="8">SUM(D33:D36)</f>
        <v>10.941945259999999</v>
      </c>
      <c r="E37" s="74">
        <f t="shared" si="8"/>
        <v>12.603578397317076</v>
      </c>
      <c r="F37" s="74">
        <f t="shared" si="8"/>
        <v>13.208930884699033</v>
      </c>
      <c r="G37" s="74">
        <f t="shared" si="8"/>
        <v>13.685777730973122</v>
      </c>
      <c r="H37" s="74">
        <f t="shared" si="8"/>
        <v>14.171218842881855</v>
      </c>
      <c r="I37" s="73"/>
    </row>
    <row r="38" spans="2:9" x14ac:dyDescent="0.2">
      <c r="B38" s="1"/>
      <c r="C38" s="1"/>
      <c r="D38" s="1"/>
      <c r="E38" s="1"/>
      <c r="F38" s="1"/>
      <c r="G38" s="1"/>
      <c r="H38" s="1"/>
    </row>
    <row r="39" spans="2:9" x14ac:dyDescent="0.2">
      <c r="B39" s="1"/>
      <c r="C39" s="1"/>
      <c r="D39" s="1"/>
      <c r="E39" s="1"/>
      <c r="F39" s="1"/>
      <c r="G39" s="1"/>
      <c r="H39" s="1"/>
    </row>
    <row r="40" spans="2:9" ht="18" x14ac:dyDescent="0.2">
      <c r="B40" s="1"/>
      <c r="C40" s="92" t="s">
        <v>43</v>
      </c>
      <c r="D40" s="92"/>
      <c r="E40" s="92"/>
      <c r="F40" s="92"/>
      <c r="G40" s="92"/>
      <c r="H40" s="92"/>
    </row>
    <row r="41" spans="2:9" ht="20" x14ac:dyDescent="0.2">
      <c r="B41" s="30" t="s">
        <v>71</v>
      </c>
      <c r="C41" s="8">
        <f>C32</f>
        <v>1</v>
      </c>
      <c r="D41" s="8">
        <f t="shared" ref="D41:H41" si="9">D32</f>
        <v>2</v>
      </c>
      <c r="E41" s="8">
        <f t="shared" si="9"/>
        <v>3</v>
      </c>
      <c r="F41" s="8">
        <f t="shared" si="9"/>
        <v>4</v>
      </c>
      <c r="G41" s="10">
        <f t="shared" si="9"/>
        <v>5</v>
      </c>
      <c r="H41" s="8">
        <f t="shared" si="9"/>
        <v>6</v>
      </c>
    </row>
    <row r="42" spans="2:9" x14ac:dyDescent="0.2">
      <c r="B42" s="5" t="s">
        <v>72</v>
      </c>
      <c r="C42" s="73">
        <f>Assumptions!C36*Assumptions!C37+Assumptions!C40*Assumptions!C41</f>
        <v>2080</v>
      </c>
      <c r="D42" s="73">
        <f>Assumptions!D36*Assumptions!D37+Assumptions!D40*Assumptions!D41</f>
        <v>2080</v>
      </c>
      <c r="E42" s="73">
        <f>Assumptions!E36*Assumptions!E37+Assumptions!E40*Assumptions!E41</f>
        <v>2080</v>
      </c>
      <c r="F42" s="73">
        <f>Assumptions!F36*Assumptions!F37+Assumptions!F40*Assumptions!F41</f>
        <v>2140</v>
      </c>
      <c r="G42" s="73">
        <f>Assumptions!G36*Assumptions!G37+Assumptions!G40*Assumptions!G41</f>
        <v>2140</v>
      </c>
      <c r="H42" s="73">
        <f>Assumptions!H36*Assumptions!H37+Assumptions!H40*Assumptions!H41</f>
        <v>2140</v>
      </c>
    </row>
    <row r="43" spans="2:9" x14ac:dyDescent="0.2">
      <c r="B43" s="5" t="s">
        <v>73</v>
      </c>
      <c r="C43" s="73" cm="1">
        <f t="array" ref="C43">C42*(Assumptions!C38+Assumptions!C42)/unit</f>
        <v>5.1999999999999998E-2</v>
      </c>
      <c r="D43" s="73" cm="1">
        <f t="array" ref="D43">D42*(Assumptions!D38+Assumptions!D42)/unit</f>
        <v>5.1999999999999998E-2</v>
      </c>
      <c r="E43" s="73" cm="1">
        <f t="array" ref="E43">E42*(Assumptions!E38+Assumptions!E42)/unit</f>
        <v>5.1999999999999998E-2</v>
      </c>
      <c r="F43" s="73" cm="1">
        <f t="array" ref="F43">F42*(Assumptions!F38+Assumptions!F42)/unit</f>
        <v>5.5640000000000002E-2</v>
      </c>
      <c r="G43" s="73" cm="1">
        <f t="array" ref="G43">G42*(Assumptions!G38+Assumptions!G42)/unit</f>
        <v>5.5640000000000002E-2</v>
      </c>
      <c r="H43" s="73" cm="1">
        <f t="array" ref="H43">H42*(Assumptions!H38+Assumptions!H42)/unit</f>
        <v>5.5640000000000002E-2</v>
      </c>
    </row>
    <row r="46" spans="2:9" ht="20" x14ac:dyDescent="0.2">
      <c r="B46" s="30" t="s">
        <v>74</v>
      </c>
      <c r="C46" s="8">
        <f>C41</f>
        <v>1</v>
      </c>
      <c r="D46" s="8">
        <f t="shared" ref="D46:H46" si="10">D41</f>
        <v>2</v>
      </c>
      <c r="E46" s="8">
        <f t="shared" si="10"/>
        <v>3</v>
      </c>
      <c r="F46" s="8">
        <f t="shared" si="10"/>
        <v>4</v>
      </c>
      <c r="G46" s="8">
        <f t="shared" si="10"/>
        <v>5</v>
      </c>
      <c r="H46" s="8">
        <f t="shared" si="10"/>
        <v>6</v>
      </c>
    </row>
    <row r="47" spans="2:9" x14ac:dyDescent="0.2">
      <c r="B47" s="5" t="s">
        <v>75</v>
      </c>
      <c r="C47" s="73" cm="1">
        <f t="array" ref="C47">(Assumptions!C36+Assumptions!C40)*Assumptions!C45/unit</f>
        <v>1.0399999999999999E-3</v>
      </c>
      <c r="D47" s="73" cm="1">
        <f t="array" ref="D47">(Assumptions!D36+Assumptions!D40)*Assumptions!D45/unit</f>
        <v>1.0399999999999999E-3</v>
      </c>
      <c r="E47" s="73" cm="1">
        <f t="array" ref="E47">(Assumptions!E36+Assumptions!E40)*Assumptions!E45/unit</f>
        <v>1.0399999999999999E-3</v>
      </c>
      <c r="F47" s="73" cm="1">
        <f t="array" ref="F47">(Assumptions!F36+Assumptions!F40)*Assumptions!F45/unit</f>
        <v>1.07E-3</v>
      </c>
      <c r="G47" s="73" cm="1">
        <f t="array" ref="G47">(Assumptions!G36+Assumptions!G40)*Assumptions!G45/unit</f>
        <v>1.07E-3</v>
      </c>
      <c r="H47" s="73" cm="1">
        <f t="array" ref="H47">(Assumptions!H36+Assumptions!H40)*Assumptions!H45/unit</f>
        <v>1.07E-3</v>
      </c>
    </row>
    <row r="48" spans="2:9" x14ac:dyDescent="0.2">
      <c r="B48" s="8" t="s">
        <v>76</v>
      </c>
      <c r="C48" s="72">
        <f>Assumptions!C47+Assumptions!C48</f>
        <v>6.1999999999999998E-3</v>
      </c>
      <c r="D48" s="72">
        <f>Assumptions!D47+Assumptions!D48</f>
        <v>6.1999999999999998E-3</v>
      </c>
      <c r="E48" s="72">
        <f>Assumptions!E47+Assumptions!E48</f>
        <v>6.1999999999999998E-3</v>
      </c>
      <c r="F48" s="72">
        <f>Assumptions!F47+Assumptions!F48</f>
        <v>6.1999999999999998E-3</v>
      </c>
      <c r="G48" s="72">
        <f>Assumptions!G47+Assumptions!G48</f>
        <v>6.1999999999999998E-3</v>
      </c>
      <c r="H48" s="72">
        <f>Assumptions!H47+Assumptions!H48</f>
        <v>6.1999999999999998E-3</v>
      </c>
    </row>
    <row r="49" spans="2:8" x14ac:dyDescent="0.2">
      <c r="B49" s="5" t="s">
        <v>77</v>
      </c>
      <c r="C49" s="73">
        <f>SUM(C47:C48)</f>
        <v>7.2399999999999999E-3</v>
      </c>
      <c r="D49" s="73">
        <f t="shared" ref="D49:H49" si="11">SUM(D47:D48)</f>
        <v>7.2399999999999999E-3</v>
      </c>
      <c r="E49" s="73">
        <f t="shared" si="11"/>
        <v>7.2399999999999999E-3</v>
      </c>
      <c r="F49" s="73">
        <f t="shared" si="11"/>
        <v>7.2699999999999996E-3</v>
      </c>
      <c r="G49" s="73">
        <f t="shared" si="11"/>
        <v>7.2699999999999996E-3</v>
      </c>
      <c r="H49" s="73">
        <f t="shared" si="11"/>
        <v>7.2699999999999996E-3</v>
      </c>
    </row>
    <row r="50" spans="2:8" x14ac:dyDescent="0.2">
      <c r="C50" s="73"/>
      <c r="D50" s="73"/>
      <c r="E50" s="73"/>
      <c r="F50" s="73"/>
      <c r="G50" s="73"/>
      <c r="H50" s="73"/>
    </row>
    <row r="51" spans="2:8" x14ac:dyDescent="0.2">
      <c r="B51" s="25" t="s">
        <v>78</v>
      </c>
      <c r="C51" s="72">
        <f>-Assumptions!C47</f>
        <v>-1.1999999999999999E-3</v>
      </c>
      <c r="D51" s="72">
        <f>-Assumptions!D47</f>
        <v>-1.1999999999999999E-3</v>
      </c>
      <c r="E51" s="72">
        <f>-Assumptions!E47</f>
        <v>-1.1999999999999999E-3</v>
      </c>
      <c r="F51" s="72">
        <f>-Assumptions!F47</f>
        <v>-1.1999999999999999E-3</v>
      </c>
      <c r="G51" s="72">
        <f>-Assumptions!G47</f>
        <v>-1.1999999999999999E-3</v>
      </c>
      <c r="H51" s="72">
        <f>-Assumptions!H47</f>
        <v>-1.1999999999999999E-3</v>
      </c>
    </row>
    <row r="52" spans="2:8" x14ac:dyDescent="0.2">
      <c r="B52" s="5" t="s">
        <v>79</v>
      </c>
      <c r="C52" s="73"/>
      <c r="D52" s="73"/>
      <c r="E52" s="73"/>
      <c r="F52" s="73"/>
      <c r="G52" s="73"/>
      <c r="H52" s="73"/>
    </row>
    <row r="53" spans="2:8" x14ac:dyDescent="0.2">
      <c r="C53" s="73"/>
      <c r="D53" s="73"/>
      <c r="E53" s="73"/>
      <c r="F53" s="73"/>
      <c r="G53" s="73"/>
      <c r="H53" s="73"/>
    </row>
    <row r="54" spans="2:8" x14ac:dyDescent="0.2">
      <c r="B54" s="5" t="s">
        <v>80</v>
      </c>
      <c r="C54" s="73" cm="1">
        <f t="array" ref="C54">C49*unit/(Assumptions!C36+Assumptions!C40)</f>
        <v>34.807692307692307</v>
      </c>
      <c r="D54" s="73" cm="1">
        <f t="array" ref="D54">D49*unit/(Assumptions!D36+Assumptions!D40)</f>
        <v>34.807692307692307</v>
      </c>
      <c r="E54" s="73" cm="1">
        <f t="array" ref="E54">E49*unit/(Assumptions!E36+Assumptions!E40)</f>
        <v>34.807692307692307</v>
      </c>
      <c r="F54" s="73" cm="1">
        <f t="array" ref="F54">F49*unit/(Assumptions!F36+Assumptions!F40)</f>
        <v>33.971962616822431</v>
      </c>
      <c r="G54" s="73" cm="1">
        <f t="array" ref="G54">G49*unit/(Assumptions!G36+Assumptions!G40)</f>
        <v>33.971962616822431</v>
      </c>
      <c r="H54" s="73" cm="1">
        <f t="array" ref="H54">H49*unit/(Assumptions!H36+Assumptions!H40)</f>
        <v>33.971962616822431</v>
      </c>
    </row>
    <row r="59" spans="2:8" ht="20" x14ac:dyDescent="0.2">
      <c r="B59" s="30" t="s">
        <v>81</v>
      </c>
      <c r="C59" s="8">
        <f>C46</f>
        <v>1</v>
      </c>
      <c r="D59" s="8">
        <f t="shared" ref="D59:H59" si="12">D46</f>
        <v>2</v>
      </c>
      <c r="E59" s="8">
        <f t="shared" si="12"/>
        <v>3</v>
      </c>
      <c r="F59" s="8">
        <f t="shared" si="12"/>
        <v>4</v>
      </c>
      <c r="G59" s="8">
        <f t="shared" si="12"/>
        <v>5</v>
      </c>
      <c r="H59" s="8">
        <f t="shared" si="12"/>
        <v>6</v>
      </c>
    </row>
    <row r="60" spans="2:8" x14ac:dyDescent="0.2">
      <c r="B60" s="9" t="s">
        <v>82</v>
      </c>
    </row>
    <row r="61" spans="2:8" x14ac:dyDescent="0.2">
      <c r="B61" s="5" t="s">
        <v>83</v>
      </c>
      <c r="C61" s="73">
        <f>C14/C11</f>
        <v>2</v>
      </c>
      <c r="D61" s="73">
        <f t="shared" ref="D61:H61" si="13">D14/D11</f>
        <v>2.5</v>
      </c>
      <c r="E61" s="73">
        <f t="shared" si="13"/>
        <v>2.5</v>
      </c>
      <c r="F61" s="73">
        <f t="shared" si="13"/>
        <v>2.5</v>
      </c>
      <c r="G61" s="73">
        <f t="shared" si="13"/>
        <v>2.5</v>
      </c>
      <c r="H61" s="73">
        <f t="shared" si="13"/>
        <v>2.5</v>
      </c>
    </row>
    <row r="62" spans="2:8" x14ac:dyDescent="0.2">
      <c r="B62" s="5" t="s">
        <v>84</v>
      </c>
      <c r="C62" s="73">
        <f>Assumptions!C37*Assumptions!C53</f>
        <v>2.5</v>
      </c>
      <c r="D62" s="73">
        <f>Assumptions!D37*Assumptions!D53</f>
        <v>2.5</v>
      </c>
      <c r="E62" s="73">
        <f>Assumptions!E37*Assumptions!E53</f>
        <v>2.5</v>
      </c>
      <c r="F62" s="73">
        <f>Assumptions!F37*Assumptions!F53</f>
        <v>2.5</v>
      </c>
      <c r="G62" s="73">
        <f>Assumptions!G37*Assumptions!G53</f>
        <v>2.5</v>
      </c>
      <c r="H62" s="73">
        <f>Assumptions!H37*Assumptions!H53</f>
        <v>2.5</v>
      </c>
    </row>
    <row r="63" spans="2:8" x14ac:dyDescent="0.2">
      <c r="B63" s="8" t="s">
        <v>85</v>
      </c>
      <c r="C63" s="72">
        <f>C54*Assumptions!C53*'Proj. Sales &amp; Prod'!$C$35</f>
        <v>6.3672607879924961</v>
      </c>
      <c r="D63" s="72">
        <f>D54*Assumptions!D53*'Proj. Sales &amp; Prod'!$C$35</f>
        <v>6.3672607879924961</v>
      </c>
      <c r="E63" s="72">
        <f>E54*Assumptions!E53*'Proj. Sales &amp; Prod'!$C$35</f>
        <v>6.3672607879924961</v>
      </c>
      <c r="F63" s="72">
        <f>F54*Assumptions!F53*'Proj. Sales &amp; Prod'!$C$35</f>
        <v>6.2143834055162994</v>
      </c>
      <c r="G63" s="72">
        <f>G54*Assumptions!G53*'Proj. Sales &amp; Prod'!$C$35</f>
        <v>6.2143834055162994</v>
      </c>
      <c r="H63" s="72">
        <f>H54*Assumptions!H53*'Proj. Sales &amp; Prod'!$C$35</f>
        <v>6.2143834055162994</v>
      </c>
    </row>
    <row r="64" spans="2:8" x14ac:dyDescent="0.2">
      <c r="B64" s="5" t="s">
        <v>86</v>
      </c>
      <c r="C64" s="73">
        <f>SUM(C61:C63)</f>
        <v>10.867260787992496</v>
      </c>
      <c r="D64" s="73">
        <f t="shared" ref="D64:H64" si="14">SUM(D61:D63)</f>
        <v>11.367260787992496</v>
      </c>
      <c r="E64" s="73">
        <f t="shared" si="14"/>
        <v>11.367260787992496</v>
      </c>
      <c r="F64" s="73">
        <f t="shared" si="14"/>
        <v>11.214383405516299</v>
      </c>
      <c r="G64" s="73">
        <f t="shared" si="14"/>
        <v>11.214383405516299</v>
      </c>
      <c r="H64" s="73">
        <f t="shared" si="14"/>
        <v>11.214383405516299</v>
      </c>
    </row>
    <row r="65" spans="2:8" x14ac:dyDescent="0.2">
      <c r="C65" s="73"/>
      <c r="D65" s="73"/>
      <c r="E65" s="73"/>
      <c r="F65" s="73"/>
      <c r="G65" s="73"/>
      <c r="H65" s="73"/>
    </row>
    <row r="66" spans="2:8" x14ac:dyDescent="0.2">
      <c r="B66" s="25" t="s">
        <v>87</v>
      </c>
      <c r="C66" s="72">
        <f>'Proj. Sales &amp; Prod'!C29*'Proj. Sales &amp; Prod'!$C$35</f>
        <v>0.03</v>
      </c>
      <c r="D66" s="72">
        <f>'Proj. Sales &amp; Prod'!D29*'Proj. Sales &amp; Prod'!$C$35</f>
        <v>3.1500000000000007E-2</v>
      </c>
      <c r="E66" s="72">
        <f>'Proj. Sales &amp; Prod'!E29*'Proj. Sales &amp; Prod'!$C$35</f>
        <v>3.3075000000000007E-2</v>
      </c>
      <c r="F66" s="72">
        <f>'Proj. Sales &amp; Prod'!F29*'Proj. Sales &amp; Prod'!$C$35</f>
        <v>3.4728750000000017E-2</v>
      </c>
      <c r="G66" s="72">
        <f>'Proj. Sales &amp; Prod'!G29*'Proj. Sales &amp; Prod'!$C$35</f>
        <v>3.6465187500000017E-2</v>
      </c>
      <c r="H66" s="72">
        <f>'Proj. Sales &amp; Prod'!H29*'Proj. Sales &amp; Prod'!$C$35</f>
        <v>3.8288446875000014E-2</v>
      </c>
    </row>
    <row r="67" spans="2:8" x14ac:dyDescent="0.2">
      <c r="B67" s="23" t="s">
        <v>88</v>
      </c>
      <c r="C67" s="73">
        <f>C66*C64</f>
        <v>0.32601782363977488</v>
      </c>
      <c r="D67" s="73">
        <f t="shared" ref="D67:H67" si="15">D66*D64</f>
        <v>0.35806871482176372</v>
      </c>
      <c r="E67" s="73">
        <f t="shared" si="15"/>
        <v>0.37597215056285188</v>
      </c>
      <c r="F67" s="73">
        <f t="shared" si="15"/>
        <v>0.38946151769432436</v>
      </c>
      <c r="G67" s="73">
        <f t="shared" si="15"/>
        <v>0.40893459357904061</v>
      </c>
      <c r="H67" s="73">
        <f t="shared" si="15"/>
        <v>0.42938132325799255</v>
      </c>
    </row>
    <row r="68" spans="2:8" x14ac:dyDescent="0.2">
      <c r="C68" s="73"/>
      <c r="D68" s="73"/>
      <c r="E68" s="73"/>
      <c r="F68" s="73"/>
      <c r="G68" s="73"/>
      <c r="H68" s="73"/>
    </row>
    <row r="69" spans="2:8" x14ac:dyDescent="0.2">
      <c r="C69" s="73"/>
      <c r="D69" s="73"/>
      <c r="E69" s="73"/>
      <c r="F69" s="73"/>
      <c r="G69" s="73"/>
      <c r="H69" s="73"/>
    </row>
    <row r="70" spans="2:8" x14ac:dyDescent="0.2">
      <c r="B70" s="9" t="s">
        <v>89</v>
      </c>
      <c r="C70" s="73"/>
      <c r="D70" s="73"/>
      <c r="E70" s="73"/>
      <c r="F70" s="73"/>
      <c r="G70" s="73"/>
      <c r="H70" s="73"/>
    </row>
    <row r="71" spans="2:8" x14ac:dyDescent="0.2">
      <c r="B71" s="5" t="s">
        <v>83</v>
      </c>
      <c r="C71" s="73">
        <f>C25/C22</f>
        <v>0.7</v>
      </c>
      <c r="D71" s="73">
        <f t="shared" ref="D71:H71" si="16">D25/D22</f>
        <v>0.87999999999999989</v>
      </c>
      <c r="E71" s="73">
        <f t="shared" si="16"/>
        <v>0.88000000000000012</v>
      </c>
      <c r="F71" s="73">
        <f t="shared" si="16"/>
        <v>0.88</v>
      </c>
      <c r="G71" s="73">
        <f t="shared" si="16"/>
        <v>0.88</v>
      </c>
      <c r="H71" s="73">
        <f t="shared" si="16"/>
        <v>0.87999999999999989</v>
      </c>
    </row>
    <row r="72" spans="2:8" x14ac:dyDescent="0.2">
      <c r="B72" s="5" t="s">
        <v>84</v>
      </c>
      <c r="C72" s="73">
        <f>Assumptions!C41*Assumptions!C54</f>
        <v>0.8</v>
      </c>
      <c r="D72" s="73">
        <f>Assumptions!D41*Assumptions!D54</f>
        <v>0.8</v>
      </c>
      <c r="E72" s="73">
        <f>Assumptions!E41*Assumptions!E54</f>
        <v>0.8</v>
      </c>
      <c r="F72" s="73">
        <f>Assumptions!F41*Assumptions!F54</f>
        <v>0.8</v>
      </c>
      <c r="G72" s="73">
        <f>Assumptions!G41*Assumptions!G54</f>
        <v>0.8</v>
      </c>
      <c r="H72" s="73">
        <f>Assumptions!H41*Assumptions!H54</f>
        <v>0.8</v>
      </c>
    </row>
    <row r="73" spans="2:8" x14ac:dyDescent="0.2">
      <c r="B73" s="8" t="s">
        <v>85</v>
      </c>
      <c r="C73" s="72">
        <f>C54*Assumptions!C54*'Proj. Sales &amp; Prod'!$C$36</f>
        <v>0.74709193245778627</v>
      </c>
      <c r="D73" s="72">
        <f>D54*Assumptions!D54*'Proj. Sales &amp; Prod'!$C$36</f>
        <v>0.74709193245778627</v>
      </c>
      <c r="E73" s="72">
        <f>E54*Assumptions!E54*'Proj. Sales &amp; Prod'!$C$36</f>
        <v>0.74709193245778627</v>
      </c>
      <c r="F73" s="72">
        <f>F54*Assumptions!F54*'Proj. Sales &amp; Prod'!$C$36</f>
        <v>0.72915431958057919</v>
      </c>
      <c r="G73" s="72">
        <f>G54*Assumptions!G54*'Proj. Sales &amp; Prod'!$C$36</f>
        <v>0.72915431958057919</v>
      </c>
      <c r="H73" s="72">
        <f>H54*Assumptions!H54*'Proj. Sales &amp; Prod'!$C$36</f>
        <v>0.72915431958057919</v>
      </c>
    </row>
    <row r="74" spans="2:8" x14ac:dyDescent="0.2">
      <c r="B74" s="5" t="s">
        <v>90</v>
      </c>
      <c r="C74" s="73">
        <f>SUM(C71:C73)</f>
        <v>2.2470919324577863</v>
      </c>
      <c r="D74" s="73">
        <f t="shared" ref="D74:H74" si="17">SUM(D71:D73)</f>
        <v>2.4270919324577864</v>
      </c>
      <c r="E74" s="73">
        <f t="shared" si="17"/>
        <v>2.4270919324577864</v>
      </c>
      <c r="F74" s="73">
        <f t="shared" si="17"/>
        <v>2.4091543195805794</v>
      </c>
      <c r="G74" s="73">
        <f t="shared" si="17"/>
        <v>2.4091543195805794</v>
      </c>
      <c r="H74" s="73">
        <f t="shared" si="17"/>
        <v>2.4091543195805789</v>
      </c>
    </row>
    <row r="75" spans="2:8" x14ac:dyDescent="0.2">
      <c r="C75" s="73"/>
      <c r="D75" s="73"/>
      <c r="E75" s="73"/>
      <c r="F75" s="73"/>
      <c r="G75" s="73"/>
      <c r="H75" s="73"/>
    </row>
    <row r="76" spans="2:8" x14ac:dyDescent="0.2">
      <c r="B76" s="8" t="s">
        <v>91</v>
      </c>
      <c r="C76" s="72">
        <f>'Proj. Sales &amp; Prod'!C29*'Proj. Sales &amp; Prod'!$C$36</f>
        <v>1.1000000000000001E-2</v>
      </c>
      <c r="D76" s="72">
        <f>'Proj. Sales &amp; Prod'!D29*'Proj. Sales &amp; Prod'!$C$36</f>
        <v>1.1550000000000005E-2</v>
      </c>
      <c r="E76" s="72">
        <f>'Proj. Sales &amp; Prod'!E29*'Proj. Sales &amp; Prod'!$C$36</f>
        <v>1.2127500000000005E-2</v>
      </c>
      <c r="F76" s="72">
        <f>'Proj. Sales &amp; Prod'!F29*'Proj. Sales &amp; Prod'!$C$36</f>
        <v>1.2733875000000007E-2</v>
      </c>
      <c r="G76" s="72">
        <f>'Proj. Sales &amp; Prod'!G29*'Proj. Sales &amp; Prod'!$C$36</f>
        <v>1.3370568750000008E-2</v>
      </c>
      <c r="H76" s="72">
        <f>'Proj. Sales &amp; Prod'!H29*'Proj. Sales &amp; Prod'!$C$36</f>
        <v>1.4039097187500007E-2</v>
      </c>
    </row>
    <row r="77" spans="2:8" x14ac:dyDescent="0.2">
      <c r="B77" s="23" t="s">
        <v>88</v>
      </c>
      <c r="C77" s="73">
        <f>C76*C74</f>
        <v>2.4718011257035651E-2</v>
      </c>
      <c r="D77" s="73">
        <f t="shared" ref="D77:H77" si="18">D76*D74</f>
        <v>2.8032911819887443E-2</v>
      </c>
      <c r="E77" s="73">
        <f t="shared" si="18"/>
        <v>2.9434557410881815E-2</v>
      </c>
      <c r="F77" s="73">
        <f t="shared" si="18"/>
        <v>3.0677869961249167E-2</v>
      </c>
      <c r="G77" s="73">
        <f t="shared" si="18"/>
        <v>3.2211763459311628E-2</v>
      </c>
      <c r="H77" s="73">
        <f t="shared" si="18"/>
        <v>3.3822351632277196E-2</v>
      </c>
    </row>
    <row r="78" spans="2:8" x14ac:dyDescent="0.2">
      <c r="C78" s="73"/>
      <c r="D78" s="73"/>
      <c r="E78" s="73"/>
      <c r="F78" s="73"/>
      <c r="G78" s="73"/>
      <c r="H78" s="73"/>
    </row>
    <row r="79" spans="2:8" x14ac:dyDescent="0.2">
      <c r="B79" s="5" t="s">
        <v>92</v>
      </c>
      <c r="C79" s="73">
        <f>C67+C77</f>
        <v>0.35073583489681054</v>
      </c>
      <c r="D79" s="73">
        <f t="shared" ref="D79:H79" si="19">D67+D77</f>
        <v>0.38610162664165115</v>
      </c>
      <c r="E79" s="73">
        <f t="shared" si="19"/>
        <v>0.40540670797373368</v>
      </c>
      <c r="F79" s="73">
        <f t="shared" si="19"/>
        <v>0.42013938765557352</v>
      </c>
      <c r="G79" s="73">
        <f t="shared" si="19"/>
        <v>0.44114635703835225</v>
      </c>
      <c r="H79" s="73">
        <f t="shared" si="19"/>
        <v>0.46320367489026976</v>
      </c>
    </row>
  </sheetData>
  <sheetProtection selectLockedCells="1"/>
  <mergeCells count="3">
    <mergeCell ref="C4:H4"/>
    <mergeCell ref="C31:H31"/>
    <mergeCell ref="C40:H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BAA0-3354-1647-95DA-284C6D87D74E}">
  <sheetPr>
    <tabColor rgb="FFC00000"/>
  </sheetPr>
  <dimension ref="B1:H112"/>
  <sheetViews>
    <sheetView topLeftCell="A40" workbookViewId="0">
      <selection activeCell="C10" sqref="C10"/>
    </sheetView>
  </sheetViews>
  <sheetFormatPr baseColWidth="10" defaultColWidth="9" defaultRowHeight="16" outlineLevelRow="1" x14ac:dyDescent="0.2"/>
  <cols>
    <col min="1" max="1" width="9" style="5"/>
    <col min="2" max="2" width="57.1640625" style="5" customWidth="1"/>
    <col min="3" max="6" width="14.5" style="5" customWidth="1"/>
    <col min="7" max="8" width="9.6640625" style="5" bestFit="1" customWidth="1"/>
    <col min="9" max="16384" width="9" style="5"/>
  </cols>
  <sheetData>
    <row r="1" spans="2:8" ht="20" x14ac:dyDescent="0.2">
      <c r="B1" s="31" t="str">
        <f>name</f>
        <v>Compagny Incognito, by eliediwambuena</v>
      </c>
      <c r="D1" s="82">
        <f>'Proj. Sales &amp; Prod'!D2</f>
        <v>0</v>
      </c>
      <c r="E1" s="82"/>
      <c r="F1" s="82"/>
      <c r="G1" s="83">
        <f>'Proj. Sales &amp; Prod'!G2</f>
        <v>0</v>
      </c>
    </row>
    <row r="4" spans="2:8" ht="20" x14ac:dyDescent="0.2">
      <c r="B4" s="30" t="s">
        <v>93</v>
      </c>
      <c r="C4" s="8">
        <f>Assumptions!C8</f>
        <v>1</v>
      </c>
      <c r="D4" s="8">
        <f>Assumptions!D8</f>
        <v>2</v>
      </c>
      <c r="E4" s="8">
        <f>Assumptions!E8</f>
        <v>3</v>
      </c>
      <c r="F4" s="8">
        <f>Assumptions!F8</f>
        <v>4</v>
      </c>
      <c r="G4" s="8">
        <f>Assumptions!G8</f>
        <v>5</v>
      </c>
      <c r="H4" s="8">
        <f>Assumptions!H8</f>
        <v>6</v>
      </c>
    </row>
    <row r="6" spans="2:8" x14ac:dyDescent="0.2">
      <c r="B6" s="1" t="s">
        <v>94</v>
      </c>
      <c r="C6" s="73">
        <f>'Act. Sales &amp; Prod '!C8</f>
        <v>4.0999999999999996</v>
      </c>
      <c r="D6" s="73">
        <f>'Act. Sales &amp; Prod '!D8</f>
        <v>4.3050000000000006</v>
      </c>
      <c r="E6" s="73">
        <f>'Act. Sales &amp; Prod '!E8</f>
        <v>4.4887500000000014</v>
      </c>
      <c r="F6" s="73">
        <f>'Act. Sales &amp; Prod '!F8</f>
        <v>4.6476675000000007</v>
      </c>
      <c r="G6" s="73">
        <f>'Act. Sales &amp; Prod '!G8</f>
        <v>4.8125652750000008</v>
      </c>
      <c r="H6" s="73">
        <f>'Act. Sales &amp; Prod '!H8</f>
        <v>4.9836833707500015</v>
      </c>
    </row>
    <row r="7" spans="2:8" x14ac:dyDescent="0.2">
      <c r="B7" s="12" t="s">
        <v>95</v>
      </c>
      <c r="C7" s="76">
        <f>C6*Assumptions!C19</f>
        <v>4.0999999999999999E-4</v>
      </c>
      <c r="D7" s="76">
        <f>D6*Assumptions!D19</f>
        <v>4.3050000000000006E-4</v>
      </c>
      <c r="E7" s="76">
        <f>E6*Assumptions!E19</f>
        <v>4.4887500000000016E-4</v>
      </c>
      <c r="F7" s="76">
        <f>F6*Assumptions!F19</f>
        <v>4.6476675000000012E-4</v>
      </c>
      <c r="G7" s="76">
        <f>G6*Assumptions!G19</f>
        <v>4.8125652750000012E-4</v>
      </c>
      <c r="H7" s="76">
        <f>H6*Assumptions!H19</f>
        <v>4.9836833707500019E-4</v>
      </c>
    </row>
    <row r="8" spans="2:8" x14ac:dyDescent="0.2">
      <c r="B8" s="1" t="s">
        <v>96</v>
      </c>
      <c r="C8" s="73">
        <f>C7</f>
        <v>4.0999999999999999E-4</v>
      </c>
      <c r="D8" s="73">
        <f t="shared" ref="D8:H8" si="0">D7</f>
        <v>4.3050000000000006E-4</v>
      </c>
      <c r="E8" s="73">
        <f t="shared" si="0"/>
        <v>4.4887500000000016E-4</v>
      </c>
      <c r="F8" s="73">
        <f t="shared" si="0"/>
        <v>4.6476675000000012E-4</v>
      </c>
      <c r="G8" s="73">
        <f t="shared" si="0"/>
        <v>4.8125652750000012E-4</v>
      </c>
      <c r="H8" s="73">
        <f t="shared" si="0"/>
        <v>4.9836833707500019E-4</v>
      </c>
    </row>
    <row r="9" spans="2:8" x14ac:dyDescent="0.2">
      <c r="B9" s="1"/>
      <c r="C9" s="73"/>
      <c r="D9" s="73"/>
      <c r="E9" s="73"/>
      <c r="F9" s="73"/>
      <c r="G9" s="73"/>
      <c r="H9" s="73"/>
    </row>
    <row r="10" spans="2:8" x14ac:dyDescent="0.2">
      <c r="B10" s="3" t="s">
        <v>97</v>
      </c>
      <c r="C10" s="73"/>
      <c r="D10" s="73"/>
      <c r="E10" s="73"/>
      <c r="F10" s="73"/>
      <c r="G10" s="73"/>
      <c r="H10" s="73"/>
    </row>
    <row r="11" spans="2:8" x14ac:dyDescent="0.2">
      <c r="B11" s="1" t="s">
        <v>34</v>
      </c>
      <c r="C11" s="73">
        <f>Realisation!C22</f>
        <v>4</v>
      </c>
      <c r="D11" s="73">
        <f>Realisation!D22</f>
        <v>4.2</v>
      </c>
      <c r="E11" s="73">
        <f>Realisation!E22</f>
        <v>4.4000000000000004</v>
      </c>
      <c r="F11" s="73">
        <f>Realisation!F22</f>
        <v>4.5999999999999996</v>
      </c>
      <c r="G11" s="73">
        <f>Realisation!G22</f>
        <v>4.8</v>
      </c>
      <c r="H11" s="73">
        <f>Realisation!H22</f>
        <v>5</v>
      </c>
    </row>
    <row r="12" spans="2:8" x14ac:dyDescent="0.2">
      <c r="B12" s="1" t="s">
        <v>98</v>
      </c>
      <c r="C12" s="73">
        <f>Realisation!C24</f>
        <v>5</v>
      </c>
      <c r="D12" s="73">
        <f>Realisation!D24</f>
        <v>5.0999999999999996</v>
      </c>
      <c r="E12" s="73">
        <f>Realisation!E24</f>
        <v>5.25</v>
      </c>
      <c r="F12" s="73">
        <f>Realisation!F24</f>
        <v>5.3</v>
      </c>
      <c r="G12" s="73">
        <f>Realisation!G24</f>
        <v>5.4</v>
      </c>
      <c r="H12" s="73">
        <f>Realisation!H24</f>
        <v>5.5</v>
      </c>
    </row>
    <row r="13" spans="2:8" x14ac:dyDescent="0.2">
      <c r="B13" s="1" t="s">
        <v>36</v>
      </c>
      <c r="C13" s="73">
        <f>Assumptions!C61</f>
        <v>1</v>
      </c>
      <c r="D13" s="73">
        <f>Assumptions!D61</f>
        <v>1</v>
      </c>
      <c r="E13" s="73">
        <f>Assumptions!E61</f>
        <v>1</v>
      </c>
      <c r="F13" s="73">
        <f>Assumptions!F61</f>
        <v>1</v>
      </c>
      <c r="G13" s="73">
        <f>Assumptions!G61</f>
        <v>1</v>
      </c>
      <c r="H13" s="73">
        <f>Assumptions!H61</f>
        <v>1</v>
      </c>
    </row>
    <row r="14" spans="2:8" x14ac:dyDescent="0.2">
      <c r="B14" s="1" t="s">
        <v>99</v>
      </c>
      <c r="C14" s="73">
        <f>Assumptions!C48</f>
        <v>5.0000000000000001E-3</v>
      </c>
      <c r="D14" s="73">
        <f>Assumptions!D48</f>
        <v>5.0000000000000001E-3</v>
      </c>
      <c r="E14" s="73">
        <f>Assumptions!E48</f>
        <v>5.0000000000000001E-3</v>
      </c>
      <c r="F14" s="73">
        <f>Assumptions!F48</f>
        <v>5.0000000000000001E-3</v>
      </c>
      <c r="G14" s="73">
        <f>Assumptions!G48</f>
        <v>5.0000000000000001E-3</v>
      </c>
      <c r="H14" s="73">
        <f>Assumptions!H48</f>
        <v>5.0000000000000001E-3</v>
      </c>
    </row>
    <row r="15" spans="2:8" x14ac:dyDescent="0.2">
      <c r="B15" s="12" t="s">
        <v>100</v>
      </c>
      <c r="C15" s="76">
        <f>Assumptions!C47</f>
        <v>1.1999999999999999E-3</v>
      </c>
      <c r="D15" s="76">
        <f>Assumptions!D47</f>
        <v>1.1999999999999999E-3</v>
      </c>
      <c r="E15" s="76">
        <f>Assumptions!E47</f>
        <v>1.1999999999999999E-3</v>
      </c>
      <c r="F15" s="76">
        <f>Assumptions!F47</f>
        <v>1.1999999999999999E-3</v>
      </c>
      <c r="G15" s="76">
        <f>Assumptions!G47</f>
        <v>1.1999999999999999E-3</v>
      </c>
      <c r="H15" s="76">
        <f>Assumptions!H47</f>
        <v>1.1999999999999999E-3</v>
      </c>
    </row>
    <row r="16" spans="2:8" x14ac:dyDescent="0.2">
      <c r="B16" s="1" t="s">
        <v>101</v>
      </c>
      <c r="C16" s="73">
        <f>SUM(C11:C15)</f>
        <v>10.006200000000002</v>
      </c>
      <c r="D16" s="73">
        <f t="shared" ref="D16:H16" si="1">SUM(D11:D15)</f>
        <v>10.306200000000002</v>
      </c>
      <c r="E16" s="73">
        <f t="shared" si="1"/>
        <v>10.656200000000002</v>
      </c>
      <c r="F16" s="73">
        <f t="shared" si="1"/>
        <v>10.9062</v>
      </c>
      <c r="G16" s="73">
        <f t="shared" si="1"/>
        <v>11.206200000000001</v>
      </c>
      <c r="H16" s="73">
        <f t="shared" si="1"/>
        <v>11.506200000000002</v>
      </c>
    </row>
    <row r="17" spans="2:8" x14ac:dyDescent="0.2">
      <c r="B17" s="1"/>
      <c r="C17" s="73"/>
      <c r="D17" s="73"/>
      <c r="E17" s="73"/>
      <c r="F17" s="73"/>
      <c r="G17" s="73"/>
      <c r="H17" s="73"/>
    </row>
    <row r="18" spans="2:8" x14ac:dyDescent="0.2">
      <c r="B18" s="1" t="s">
        <v>102</v>
      </c>
      <c r="C18" s="73">
        <f>C16+C8</f>
        <v>10.006610000000002</v>
      </c>
      <c r="D18" s="73">
        <f t="shared" ref="D18:H18" si="2">D16+D8</f>
        <v>10.306630500000002</v>
      </c>
      <c r="E18" s="73">
        <f t="shared" si="2"/>
        <v>10.656648875000002</v>
      </c>
      <c r="F18" s="73">
        <f t="shared" si="2"/>
        <v>10.90666476675</v>
      </c>
      <c r="G18" s="73">
        <f t="shared" si="2"/>
        <v>11.206681256527501</v>
      </c>
      <c r="H18" s="73">
        <f t="shared" si="2"/>
        <v>11.506698368337076</v>
      </c>
    </row>
    <row r="19" spans="2:8" x14ac:dyDescent="0.2">
      <c r="B19" s="12" t="s">
        <v>103</v>
      </c>
      <c r="C19" s="76">
        <f>-C15</f>
        <v>-1.1999999999999999E-3</v>
      </c>
      <c r="D19" s="76">
        <f t="shared" ref="D19:H19" si="3">-D15</f>
        <v>-1.1999999999999999E-3</v>
      </c>
      <c r="E19" s="76">
        <f t="shared" si="3"/>
        <v>-1.1999999999999999E-3</v>
      </c>
      <c r="F19" s="76">
        <f t="shared" si="3"/>
        <v>-1.1999999999999999E-3</v>
      </c>
      <c r="G19" s="76">
        <f t="shared" si="3"/>
        <v>-1.1999999999999999E-3</v>
      </c>
      <c r="H19" s="76">
        <f t="shared" si="3"/>
        <v>-1.1999999999999999E-3</v>
      </c>
    </row>
    <row r="20" spans="2:8" x14ac:dyDescent="0.2">
      <c r="B20" s="1" t="s">
        <v>104</v>
      </c>
      <c r="C20" s="73">
        <f>SUM(C18:C19)</f>
        <v>10.005410000000001</v>
      </c>
      <c r="D20" s="73">
        <f t="shared" ref="D20:H20" si="4">SUM(D18:D19)</f>
        <v>10.305430500000002</v>
      </c>
      <c r="E20" s="73">
        <f t="shared" si="4"/>
        <v>10.655448875000001</v>
      </c>
      <c r="F20" s="73">
        <f t="shared" si="4"/>
        <v>10.905464766749999</v>
      </c>
      <c r="G20" s="73">
        <f t="shared" si="4"/>
        <v>11.2054812565275</v>
      </c>
      <c r="H20" s="73">
        <f t="shared" si="4"/>
        <v>11.505498368337076</v>
      </c>
    </row>
    <row r="26" spans="2:8" ht="20" x14ac:dyDescent="0.2">
      <c r="B26" s="30" t="s">
        <v>105</v>
      </c>
      <c r="C26" s="77">
        <f>C4</f>
        <v>1</v>
      </c>
      <c r="D26" s="77">
        <f t="shared" ref="D26:H26" si="5">D4</f>
        <v>2</v>
      </c>
      <c r="E26" s="77">
        <f t="shared" si="5"/>
        <v>3</v>
      </c>
      <c r="F26" s="77">
        <f t="shared" si="5"/>
        <v>4</v>
      </c>
      <c r="G26" s="77">
        <f t="shared" si="5"/>
        <v>5</v>
      </c>
      <c r="H26" s="77">
        <f t="shared" si="5"/>
        <v>6</v>
      </c>
    </row>
    <row r="27" spans="2:8" x14ac:dyDescent="0.2">
      <c r="B27" s="1" t="s">
        <v>106</v>
      </c>
      <c r="C27" s="73"/>
      <c r="D27" s="73"/>
      <c r="E27" s="73"/>
      <c r="F27" s="73"/>
      <c r="G27" s="73"/>
      <c r="H27" s="73"/>
    </row>
    <row r="28" spans="2:8" x14ac:dyDescent="0.2">
      <c r="B28" s="1"/>
      <c r="C28" s="73"/>
      <c r="D28" s="73"/>
      <c r="E28" s="73"/>
      <c r="F28" s="73"/>
      <c r="G28" s="73"/>
      <c r="H28" s="73"/>
    </row>
    <row r="29" spans="2:8" x14ac:dyDescent="0.2">
      <c r="B29" s="3" t="s">
        <v>107</v>
      </c>
      <c r="C29" s="73"/>
      <c r="D29" s="73"/>
      <c r="E29" s="73"/>
      <c r="F29" s="73"/>
      <c r="G29" s="73"/>
      <c r="H29" s="73"/>
    </row>
    <row r="30" spans="2:8" x14ac:dyDescent="0.2">
      <c r="B30" s="1" t="s">
        <v>108</v>
      </c>
      <c r="C30" s="73">
        <f>'Act. Sales &amp; Prod '!C21</f>
        <v>25.56</v>
      </c>
      <c r="D30" s="73">
        <f>'Act. Sales &amp; Prod '!D21</f>
        <v>28.258000000000003</v>
      </c>
      <c r="E30" s="73">
        <f>'Act. Sales &amp; Prod '!E21</f>
        <v>30.864100000000008</v>
      </c>
      <c r="F30" s="73">
        <f>'Act. Sales &amp; Prod '!F21</f>
        <v>31.922961000000004</v>
      </c>
      <c r="G30" s="73">
        <f>'Act. Sales &amp; Prod '!G21</f>
        <v>32.994404730000007</v>
      </c>
      <c r="H30" s="73">
        <f>'Act. Sales &amp; Prod '!H21</f>
        <v>34.090449516900016</v>
      </c>
    </row>
    <row r="31" spans="2:8" x14ac:dyDescent="0.2">
      <c r="B31" s="1" t="s">
        <v>109</v>
      </c>
      <c r="C31" s="73">
        <f>C30</f>
        <v>25.56</v>
      </c>
      <c r="D31" s="73">
        <f t="shared" ref="D31:H31" si="6">D30</f>
        <v>28.258000000000003</v>
      </c>
      <c r="E31" s="73">
        <f t="shared" si="6"/>
        <v>30.864100000000008</v>
      </c>
      <c r="F31" s="73">
        <f t="shared" si="6"/>
        <v>31.922961000000004</v>
      </c>
      <c r="G31" s="73">
        <f t="shared" si="6"/>
        <v>32.994404730000007</v>
      </c>
      <c r="H31" s="73">
        <f t="shared" si="6"/>
        <v>34.090449516900016</v>
      </c>
    </row>
    <row r="32" spans="2:8" x14ac:dyDescent="0.2">
      <c r="B32" s="1"/>
      <c r="C32" s="73"/>
      <c r="D32" s="73"/>
      <c r="E32" s="73"/>
      <c r="F32" s="73"/>
      <c r="G32" s="73"/>
      <c r="H32" s="73"/>
    </row>
    <row r="33" spans="2:8" x14ac:dyDescent="0.2">
      <c r="B33" s="3" t="s">
        <v>110</v>
      </c>
      <c r="C33" s="73"/>
      <c r="D33" s="73"/>
      <c r="E33" s="73"/>
      <c r="F33" s="73"/>
      <c r="G33" s="73"/>
      <c r="H33" s="73"/>
    </row>
    <row r="34" spans="2:8" x14ac:dyDescent="0.2">
      <c r="B34" s="1" t="s">
        <v>111</v>
      </c>
      <c r="C34" s="73">
        <f>'Act. RM &amp; DL &amp; FG'!C28</f>
        <v>10.426735000000001</v>
      </c>
      <c r="D34" s="73">
        <f>'Act. RM &amp; DL &amp; FG'!D28</f>
        <v>12.374089699999999</v>
      </c>
      <c r="E34" s="73">
        <f>'Act. RM &amp; DL &amp; FG'!E28</f>
        <v>12.904369909146345</v>
      </c>
      <c r="F34" s="73">
        <f>'Act. RM &amp; DL &amp; FG'!F28</f>
        <v>13.351356154730494</v>
      </c>
      <c r="G34" s="73">
        <f>'Act. RM &amp; DL &amp; FG'!G28</f>
        <v>13.825256405731794</v>
      </c>
      <c r="H34" s="73">
        <f>'Act. RM &amp; DL &amp; FG'!H28</f>
        <v>14.316946983544531</v>
      </c>
    </row>
    <row r="35" spans="2:8" x14ac:dyDescent="0.2">
      <c r="B35" s="1" t="s">
        <v>112</v>
      </c>
      <c r="C35" s="73">
        <f>'Act. RM &amp; DL &amp; FG'!C43</f>
        <v>5.1999999999999998E-2</v>
      </c>
      <c r="D35" s="73">
        <f>'Act. RM &amp; DL &amp; FG'!D43</f>
        <v>5.1999999999999998E-2</v>
      </c>
      <c r="E35" s="73">
        <f>'Act. RM &amp; DL &amp; FG'!E43</f>
        <v>5.1999999999999998E-2</v>
      </c>
      <c r="F35" s="73">
        <f>'Act. RM &amp; DL &amp; FG'!F43</f>
        <v>5.5640000000000002E-2</v>
      </c>
      <c r="G35" s="73">
        <f>'Act. RM &amp; DL &amp; FG'!G43</f>
        <v>5.5640000000000002E-2</v>
      </c>
      <c r="H35" s="73">
        <f>'Act. RM &amp; DL &amp; FG'!H43</f>
        <v>5.5640000000000002E-2</v>
      </c>
    </row>
    <row r="36" spans="2:8" x14ac:dyDescent="0.2">
      <c r="B36" s="1" t="s">
        <v>113</v>
      </c>
      <c r="C36" s="73">
        <f>'Act. RM &amp; DL &amp; FG'!C49</f>
        <v>7.2399999999999999E-3</v>
      </c>
      <c r="D36" s="73">
        <f>'Act. RM &amp; DL &amp; FG'!D49</f>
        <v>7.2399999999999999E-3</v>
      </c>
      <c r="E36" s="73">
        <f>'Act. RM &amp; DL &amp; FG'!E49</f>
        <v>7.2399999999999999E-3</v>
      </c>
      <c r="F36" s="73">
        <f>'Act. RM &amp; DL &amp; FG'!F49</f>
        <v>7.2699999999999996E-3</v>
      </c>
      <c r="G36" s="73">
        <f>'Act. RM &amp; DL &amp; FG'!G49</f>
        <v>7.2699999999999996E-3</v>
      </c>
      <c r="H36" s="73">
        <f>'Act. RM &amp; DL &amp; FG'!H49</f>
        <v>7.2699999999999996E-3</v>
      </c>
    </row>
    <row r="37" spans="2:8" x14ac:dyDescent="0.2">
      <c r="B37" s="12" t="s">
        <v>114</v>
      </c>
      <c r="C37" s="72">
        <f>C20</f>
        <v>10.005410000000001</v>
      </c>
      <c r="D37" s="72">
        <f t="shared" ref="D37:H37" si="7">D20</f>
        <v>10.305430500000002</v>
      </c>
      <c r="E37" s="72">
        <f t="shared" si="7"/>
        <v>10.655448875000001</v>
      </c>
      <c r="F37" s="72">
        <f t="shared" si="7"/>
        <v>10.905464766749999</v>
      </c>
      <c r="G37" s="72">
        <f t="shared" si="7"/>
        <v>11.2054812565275</v>
      </c>
      <c r="H37" s="72">
        <f t="shared" si="7"/>
        <v>11.505498368337076</v>
      </c>
    </row>
    <row r="38" spans="2:8" x14ac:dyDescent="0.2">
      <c r="B38" s="1" t="s">
        <v>115</v>
      </c>
      <c r="C38" s="73">
        <f>SUM(C34:C37)</f>
        <v>20.491385000000001</v>
      </c>
      <c r="D38" s="73">
        <f t="shared" ref="D38:H38" si="8">SUM(D34:D37)</f>
        <v>22.738760200000002</v>
      </c>
      <c r="E38" s="73">
        <f t="shared" si="8"/>
        <v>23.619058784146347</v>
      </c>
      <c r="F38" s="73">
        <f t="shared" si="8"/>
        <v>24.319730921480492</v>
      </c>
      <c r="G38" s="73">
        <f t="shared" si="8"/>
        <v>25.093647662259293</v>
      </c>
      <c r="H38" s="73">
        <f t="shared" si="8"/>
        <v>25.885355351881607</v>
      </c>
    </row>
    <row r="39" spans="2:8" x14ac:dyDescent="0.2">
      <c r="B39" s="1"/>
      <c r="C39" s="73"/>
      <c r="D39" s="73"/>
      <c r="E39" s="73"/>
      <c r="F39" s="73"/>
      <c r="G39" s="73"/>
      <c r="H39" s="73"/>
    </row>
    <row r="40" spans="2:8" x14ac:dyDescent="0.2">
      <c r="B40" s="12" t="s">
        <v>116</v>
      </c>
      <c r="C40" s="72"/>
      <c r="D40" s="72"/>
      <c r="E40" s="72"/>
      <c r="F40" s="72"/>
      <c r="G40" s="72"/>
      <c r="H40" s="72"/>
    </row>
    <row r="41" spans="2:8" x14ac:dyDescent="0.2">
      <c r="B41" s="1" t="s">
        <v>117</v>
      </c>
      <c r="C41" s="73"/>
      <c r="D41" s="73"/>
      <c r="E41" s="73"/>
      <c r="F41" s="73"/>
      <c r="G41" s="73"/>
      <c r="H41" s="73"/>
    </row>
    <row r="42" spans="2:8" x14ac:dyDescent="0.2">
      <c r="B42" s="1"/>
      <c r="C42" s="73"/>
      <c r="D42" s="73"/>
      <c r="E42" s="73"/>
      <c r="F42" s="73"/>
      <c r="G42" s="73"/>
      <c r="H42" s="73"/>
    </row>
    <row r="43" spans="2:8" x14ac:dyDescent="0.2">
      <c r="B43" s="12" t="s">
        <v>118</v>
      </c>
      <c r="C43" s="72"/>
      <c r="D43" s="72"/>
      <c r="E43" s="72"/>
      <c r="F43" s="72"/>
      <c r="G43" s="72"/>
      <c r="H43" s="72"/>
    </row>
    <row r="44" spans="2:8" x14ac:dyDescent="0.2">
      <c r="B44" s="1" t="s">
        <v>119</v>
      </c>
      <c r="C44" s="73">
        <f>C38+C40+C43</f>
        <v>20.491385000000001</v>
      </c>
      <c r="D44" s="73">
        <f t="shared" ref="D44:H44" si="9">D38+D40+D43</f>
        <v>22.738760200000002</v>
      </c>
      <c r="E44" s="73">
        <f t="shared" si="9"/>
        <v>23.619058784146347</v>
      </c>
      <c r="F44" s="73">
        <f t="shared" si="9"/>
        <v>24.319730921480492</v>
      </c>
      <c r="G44" s="73">
        <f t="shared" si="9"/>
        <v>25.093647662259293</v>
      </c>
      <c r="H44" s="73">
        <f t="shared" si="9"/>
        <v>25.885355351881607</v>
      </c>
    </row>
    <row r="45" spans="2:8" x14ac:dyDescent="0.2">
      <c r="B45" s="1"/>
      <c r="C45" s="73"/>
      <c r="D45" s="73"/>
      <c r="E45" s="73"/>
      <c r="F45" s="73"/>
      <c r="G45" s="73"/>
      <c r="H45" s="73"/>
    </row>
    <row r="46" spans="2:8" x14ac:dyDescent="0.2">
      <c r="B46" s="1" t="s">
        <v>120</v>
      </c>
      <c r="C46" s="73">
        <f>C31-C44</f>
        <v>5.0686149999999977</v>
      </c>
      <c r="D46" s="73">
        <f t="shared" ref="D46:H46" si="10">D31-D44</f>
        <v>5.5192398000000011</v>
      </c>
      <c r="E46" s="73">
        <f t="shared" si="10"/>
        <v>7.2450412158536608</v>
      </c>
      <c r="F46" s="73">
        <f t="shared" si="10"/>
        <v>7.6032300785195126</v>
      </c>
      <c r="G46" s="73">
        <f t="shared" si="10"/>
        <v>7.9007570677407131</v>
      </c>
      <c r="H46" s="73">
        <f t="shared" si="10"/>
        <v>8.2050941650184086</v>
      </c>
    </row>
    <row r="47" spans="2:8" x14ac:dyDescent="0.2">
      <c r="C47" s="73"/>
      <c r="D47" s="73"/>
      <c r="E47" s="73"/>
      <c r="F47" s="73"/>
      <c r="G47" s="73"/>
      <c r="H47" s="73"/>
    </row>
    <row r="48" spans="2:8" x14ac:dyDescent="0.2">
      <c r="B48" s="1" t="s">
        <v>121</v>
      </c>
      <c r="C48" s="73"/>
      <c r="D48" s="73"/>
      <c r="E48" s="73"/>
      <c r="F48" s="73"/>
      <c r="G48" s="73"/>
      <c r="H48" s="73"/>
    </row>
    <row r="49" spans="2:8" x14ac:dyDescent="0.2">
      <c r="B49" s="1" t="s">
        <v>122</v>
      </c>
      <c r="C49" s="73"/>
      <c r="D49" s="73"/>
      <c r="E49" s="73"/>
      <c r="F49" s="73"/>
      <c r="G49" s="73"/>
      <c r="H49" s="73"/>
    </row>
    <row r="50" spans="2:8" x14ac:dyDescent="0.2">
      <c r="B50" s="1" t="s">
        <v>123</v>
      </c>
      <c r="C50" s="73"/>
      <c r="D50" s="73"/>
      <c r="E50" s="73"/>
      <c r="F50" s="73"/>
      <c r="G50" s="73"/>
      <c r="H50" s="73"/>
    </row>
    <row r="51" spans="2:8" x14ac:dyDescent="0.2">
      <c r="B51" s="12" t="s">
        <v>124</v>
      </c>
      <c r="C51" s="72"/>
      <c r="D51" s="72"/>
      <c r="E51" s="72"/>
      <c r="F51" s="72"/>
      <c r="G51" s="72"/>
      <c r="H51" s="72"/>
    </row>
    <row r="52" spans="2:8" x14ac:dyDescent="0.2">
      <c r="B52" s="1" t="s">
        <v>125</v>
      </c>
      <c r="C52" s="73"/>
      <c r="D52" s="73"/>
      <c r="E52" s="73"/>
      <c r="F52" s="73"/>
      <c r="G52" s="73"/>
      <c r="H52" s="73"/>
    </row>
    <row r="53" spans="2:8" x14ac:dyDescent="0.2">
      <c r="C53" s="73"/>
      <c r="D53" s="73"/>
      <c r="E53" s="73"/>
      <c r="F53" s="73"/>
      <c r="G53" s="73"/>
      <c r="H53" s="73"/>
    </row>
    <row r="54" spans="2:8" x14ac:dyDescent="0.2">
      <c r="B54" s="1" t="s">
        <v>126</v>
      </c>
      <c r="C54" s="73">
        <f>C46+C52</f>
        <v>5.0686149999999977</v>
      </c>
      <c r="D54" s="73">
        <f t="shared" ref="D54:H54" si="11">D46+D52</f>
        <v>5.5192398000000011</v>
      </c>
      <c r="E54" s="73">
        <f t="shared" si="11"/>
        <v>7.2450412158536608</v>
      </c>
      <c r="F54" s="73">
        <f t="shared" si="11"/>
        <v>7.6032300785195126</v>
      </c>
      <c r="G54" s="73">
        <f t="shared" si="11"/>
        <v>7.9007570677407131</v>
      </c>
      <c r="H54" s="73">
        <f t="shared" si="11"/>
        <v>8.2050941650184086</v>
      </c>
    </row>
    <row r="57" spans="2:8" ht="42" x14ac:dyDescent="0.2">
      <c r="B57" s="47" t="s">
        <v>165</v>
      </c>
      <c r="C57" s="8">
        <f>C26</f>
        <v>1</v>
      </c>
      <c r="D57" s="8">
        <f t="shared" ref="D57:H57" si="12">D26</f>
        <v>2</v>
      </c>
      <c r="E57" s="8">
        <f t="shared" si="12"/>
        <v>3</v>
      </c>
      <c r="F57" s="8">
        <f t="shared" si="12"/>
        <v>4</v>
      </c>
      <c r="G57" s="8">
        <f t="shared" si="12"/>
        <v>5</v>
      </c>
      <c r="H57" s="8">
        <f t="shared" si="12"/>
        <v>6</v>
      </c>
    </row>
    <row r="58" spans="2:8" x14ac:dyDescent="0.2">
      <c r="B58" s="5" t="s">
        <v>127</v>
      </c>
      <c r="C58" s="5">
        <f>'Act. Sales &amp; Prod '!C12</f>
        <v>28.4</v>
      </c>
      <c r="D58" s="5">
        <f>'Act. Sales &amp; Prod '!D12</f>
        <v>29.820000000000004</v>
      </c>
      <c r="E58" s="5">
        <f>'Act. Sales &amp; Prod '!E12</f>
        <v>31.059000000000005</v>
      </c>
      <c r="F58" s="5">
        <f>'Act. Sales &amp; Prod '!F12</f>
        <v>32.087790000000005</v>
      </c>
      <c r="G58" s="5">
        <f>'Act. Sales &amp; Prod '!G12</f>
        <v>33.152294700000006</v>
      </c>
      <c r="H58" s="5">
        <f>'Act. Sales &amp; Prod '!H12</f>
        <v>34.25382809100001</v>
      </c>
    </row>
    <row r="59" spans="2:8" x14ac:dyDescent="0.2">
      <c r="B59" s="41" t="s">
        <v>159</v>
      </c>
      <c r="C59" s="40">
        <f>-C7</f>
        <v>-4.0999999999999999E-4</v>
      </c>
      <c r="D59" s="40">
        <f t="shared" ref="D59:H59" si="13">-D7</f>
        <v>-4.3050000000000006E-4</v>
      </c>
      <c r="E59" s="40">
        <f t="shared" si="13"/>
        <v>-4.4887500000000016E-4</v>
      </c>
      <c r="F59" s="40">
        <f t="shared" si="13"/>
        <v>-4.6476675000000012E-4</v>
      </c>
      <c r="G59" s="40">
        <f t="shared" si="13"/>
        <v>-4.8125652750000012E-4</v>
      </c>
      <c r="H59" s="40">
        <f t="shared" si="13"/>
        <v>-4.9836833707500019E-4</v>
      </c>
    </row>
    <row r="60" spans="2:8" x14ac:dyDescent="0.2">
      <c r="B60" s="5" t="s">
        <v>160</v>
      </c>
      <c r="C60" s="20">
        <f>C58-C59</f>
        <v>28.400409999999997</v>
      </c>
      <c r="D60" s="20">
        <f t="shared" ref="D60:H60" si="14">D58-D59</f>
        <v>29.820430500000004</v>
      </c>
      <c r="E60" s="20">
        <f t="shared" si="14"/>
        <v>31.059448875000005</v>
      </c>
      <c r="F60" s="20">
        <f t="shared" si="14"/>
        <v>32.088254766750005</v>
      </c>
      <c r="G60" s="20">
        <f t="shared" si="14"/>
        <v>33.152775956527506</v>
      </c>
      <c r="H60" s="20">
        <f t="shared" si="14"/>
        <v>34.254326459337086</v>
      </c>
    </row>
    <row r="61" spans="2:8" x14ac:dyDescent="0.2">
      <c r="B61" s="5" t="s">
        <v>128</v>
      </c>
      <c r="C61" s="20">
        <f>C34+C35+C36</f>
        <v>10.485975</v>
      </c>
      <c r="D61" s="20">
        <f t="shared" ref="D61:H61" si="15">D34+D35+D36</f>
        <v>12.433329699999998</v>
      </c>
      <c r="E61" s="20">
        <f t="shared" si="15"/>
        <v>12.963609909146344</v>
      </c>
      <c r="F61" s="20">
        <f t="shared" si="15"/>
        <v>13.414266154730495</v>
      </c>
      <c r="G61" s="20">
        <f t="shared" si="15"/>
        <v>13.888166405731795</v>
      </c>
      <c r="H61" s="20">
        <f t="shared" si="15"/>
        <v>14.379856983544531</v>
      </c>
    </row>
    <row r="62" spans="2:8" outlineLevel="1" x14ac:dyDescent="0.2">
      <c r="B62" s="42" t="s">
        <v>157</v>
      </c>
      <c r="C62" s="44">
        <f>C11</f>
        <v>4</v>
      </c>
      <c r="D62" s="44">
        <f t="shared" ref="D62:H63" si="16">D11</f>
        <v>4.2</v>
      </c>
      <c r="E62" s="44">
        <f t="shared" si="16"/>
        <v>4.4000000000000004</v>
      </c>
      <c r="F62" s="44">
        <f t="shared" si="16"/>
        <v>4.5999999999999996</v>
      </c>
      <c r="G62" s="44">
        <f t="shared" si="16"/>
        <v>4.8</v>
      </c>
      <c r="H62" s="44">
        <f t="shared" si="16"/>
        <v>5</v>
      </c>
    </row>
    <row r="63" spans="2:8" outlineLevel="1" x14ac:dyDescent="0.2">
      <c r="B63" s="42" t="s">
        <v>158</v>
      </c>
      <c r="C63" s="44">
        <f>C12</f>
        <v>5</v>
      </c>
      <c r="D63" s="44">
        <f>D12</f>
        <v>5.0999999999999996</v>
      </c>
      <c r="E63" s="44">
        <f t="shared" si="16"/>
        <v>5.25</v>
      </c>
      <c r="F63" s="44">
        <f t="shared" si="16"/>
        <v>5.3</v>
      </c>
      <c r="G63" s="44">
        <f t="shared" si="16"/>
        <v>5.4</v>
      </c>
      <c r="H63" s="44">
        <f t="shared" si="16"/>
        <v>5.5</v>
      </c>
    </row>
    <row r="64" spans="2:8" outlineLevel="1" x14ac:dyDescent="0.2">
      <c r="B64" s="43" t="s">
        <v>161</v>
      </c>
      <c r="C64" s="45">
        <f>C60-SUM(C61:C63)</f>
        <v>8.9144349999999974</v>
      </c>
      <c r="D64" s="45">
        <f t="shared" ref="D64:H64" si="17">D60-SUM(D61:D63)</f>
        <v>8.0871008000000053</v>
      </c>
      <c r="E64" s="45">
        <f t="shared" si="17"/>
        <v>8.4458389658536603</v>
      </c>
      <c r="F64" s="45">
        <f t="shared" si="17"/>
        <v>8.7739886120195116</v>
      </c>
      <c r="G64" s="45">
        <f t="shared" si="17"/>
        <v>9.0646095507957085</v>
      </c>
      <c r="H64" s="45">
        <f t="shared" si="17"/>
        <v>9.3744694757925551</v>
      </c>
    </row>
    <row r="65" spans="2:8" x14ac:dyDescent="0.2">
      <c r="B65" s="5" t="s">
        <v>129</v>
      </c>
      <c r="C65" s="20">
        <f>C60-C61</f>
        <v>17.914434999999997</v>
      </c>
      <c r="D65" s="20">
        <f t="shared" ref="D65:H65" si="18">D60-D61</f>
        <v>17.387100800000006</v>
      </c>
      <c r="E65" s="20">
        <f t="shared" si="18"/>
        <v>18.095838965853659</v>
      </c>
      <c r="F65" s="20">
        <f t="shared" si="18"/>
        <v>18.67398861201951</v>
      </c>
      <c r="G65" s="20">
        <f t="shared" si="18"/>
        <v>19.264609550795711</v>
      </c>
      <c r="H65" s="20">
        <f t="shared" si="18"/>
        <v>19.874469475792555</v>
      </c>
    </row>
    <row r="66" spans="2:8" outlineLevel="1" x14ac:dyDescent="0.2">
      <c r="B66" s="42" t="s">
        <v>162</v>
      </c>
      <c r="C66" s="46">
        <f>C15</f>
        <v>1.1999999999999999E-3</v>
      </c>
      <c r="D66" s="46">
        <f t="shared" ref="D66:H66" si="19">D15</f>
        <v>1.1999999999999999E-3</v>
      </c>
      <c r="E66" s="46">
        <f t="shared" si="19"/>
        <v>1.1999999999999999E-3</v>
      </c>
      <c r="F66" s="46">
        <f t="shared" si="19"/>
        <v>1.1999999999999999E-3</v>
      </c>
      <c r="G66" s="46">
        <f t="shared" si="19"/>
        <v>1.1999999999999999E-3</v>
      </c>
      <c r="H66" s="46">
        <f t="shared" si="19"/>
        <v>1.1999999999999999E-3</v>
      </c>
    </row>
    <row r="67" spans="2:8" outlineLevel="1" x14ac:dyDescent="0.2">
      <c r="B67" s="42" t="s">
        <v>163</v>
      </c>
      <c r="C67" s="44">
        <f>C13+C14</f>
        <v>1.0049999999999999</v>
      </c>
      <c r="D67" s="44">
        <f t="shared" ref="D67:H67" si="20">D13+D14</f>
        <v>1.0049999999999999</v>
      </c>
      <c r="E67" s="44">
        <f t="shared" si="20"/>
        <v>1.0049999999999999</v>
      </c>
      <c r="F67" s="44">
        <f t="shared" si="20"/>
        <v>1.0049999999999999</v>
      </c>
      <c r="G67" s="44">
        <f t="shared" si="20"/>
        <v>1.0049999999999999</v>
      </c>
      <c r="H67" s="44">
        <f t="shared" si="20"/>
        <v>1.0049999999999999</v>
      </c>
    </row>
    <row r="68" spans="2:8" outlineLevel="1" x14ac:dyDescent="0.2">
      <c r="B68" s="42" t="s">
        <v>164</v>
      </c>
      <c r="C68" s="44">
        <f>C64-SUM(C66:C67)</f>
        <v>7.9082349999999977</v>
      </c>
      <c r="D68" s="44">
        <f t="shared" ref="D68:H68" si="21">D64-SUM(D66:D67)</f>
        <v>7.0809008000000055</v>
      </c>
      <c r="E68" s="44">
        <f t="shared" si="21"/>
        <v>7.4396389658536606</v>
      </c>
      <c r="F68" s="44">
        <f t="shared" si="21"/>
        <v>7.7677886120195119</v>
      </c>
      <c r="G68" s="44">
        <f t="shared" si="21"/>
        <v>8.0584095507957088</v>
      </c>
      <c r="H68" s="44">
        <f t="shared" si="21"/>
        <v>8.3682694757925553</v>
      </c>
    </row>
    <row r="70" spans="2:8" x14ac:dyDescent="0.2">
      <c r="B70" s="25" t="s">
        <v>130</v>
      </c>
      <c r="C70" s="33">
        <f t="shared" ref="C70:H70" si="22">C16</f>
        <v>10.006200000000002</v>
      </c>
      <c r="D70" s="33">
        <f t="shared" si="22"/>
        <v>10.306200000000002</v>
      </c>
      <c r="E70" s="33">
        <f t="shared" si="22"/>
        <v>10.656200000000002</v>
      </c>
      <c r="F70" s="33">
        <f t="shared" si="22"/>
        <v>10.9062</v>
      </c>
      <c r="G70" s="33">
        <f t="shared" si="22"/>
        <v>11.206200000000001</v>
      </c>
      <c r="H70" s="33">
        <f t="shared" si="22"/>
        <v>11.506200000000002</v>
      </c>
    </row>
    <row r="71" spans="2:8" x14ac:dyDescent="0.2">
      <c r="B71" s="23" t="s">
        <v>131</v>
      </c>
      <c r="C71" s="20">
        <f t="shared" ref="C71:H71" si="23">C65-C70</f>
        <v>7.9082349999999959</v>
      </c>
      <c r="D71" s="20">
        <f t="shared" si="23"/>
        <v>7.0809008000000038</v>
      </c>
      <c r="E71" s="20">
        <f t="shared" si="23"/>
        <v>7.439638965853657</v>
      </c>
      <c r="F71" s="20">
        <f t="shared" si="23"/>
        <v>7.7677886120195101</v>
      </c>
      <c r="G71" s="20">
        <f t="shared" si="23"/>
        <v>8.0584095507957105</v>
      </c>
      <c r="H71" s="20">
        <f t="shared" si="23"/>
        <v>8.3682694757925535</v>
      </c>
    </row>
    <row r="73" spans="2:8" x14ac:dyDescent="0.2">
      <c r="B73" s="25" t="s">
        <v>132</v>
      </c>
      <c r="C73" s="8"/>
      <c r="D73" s="8"/>
      <c r="E73" s="8"/>
      <c r="F73" s="8"/>
      <c r="G73" s="8"/>
      <c r="H73" s="8"/>
    </row>
    <row r="74" spans="2:8" x14ac:dyDescent="0.2">
      <c r="B74" s="5" t="s">
        <v>133</v>
      </c>
      <c r="C74" s="20">
        <f>C71-C73</f>
        <v>7.9082349999999959</v>
      </c>
      <c r="D74" s="20">
        <f t="shared" ref="D74:H74" si="24">D71-D73</f>
        <v>7.0809008000000038</v>
      </c>
      <c r="E74" s="20">
        <f t="shared" si="24"/>
        <v>7.439638965853657</v>
      </c>
      <c r="F74" s="20">
        <f t="shared" si="24"/>
        <v>7.7677886120195101</v>
      </c>
      <c r="G74" s="20">
        <f t="shared" si="24"/>
        <v>8.0584095507957105</v>
      </c>
      <c r="H74" s="20">
        <f t="shared" si="24"/>
        <v>8.3682694757925535</v>
      </c>
    </row>
    <row r="76" spans="2:8" x14ac:dyDescent="0.2">
      <c r="B76" s="25" t="s">
        <v>134</v>
      </c>
      <c r="C76" s="26">
        <f>-C74*0.25</f>
        <v>-1.977058749999999</v>
      </c>
      <c r="D76" s="26">
        <f t="shared" ref="D76:H76" si="25">-D74*0.25</f>
        <v>-1.7702252000000009</v>
      </c>
      <c r="E76" s="26">
        <f t="shared" si="25"/>
        <v>-1.8599097414634143</v>
      </c>
      <c r="F76" s="26">
        <f t="shared" si="25"/>
        <v>-1.9419471530048775</v>
      </c>
      <c r="G76" s="26">
        <f t="shared" si="25"/>
        <v>-2.0146023876989276</v>
      </c>
      <c r="H76" s="26">
        <f t="shared" si="25"/>
        <v>-2.0920673689481384</v>
      </c>
    </row>
    <row r="77" spans="2:8" x14ac:dyDescent="0.2">
      <c r="B77" s="5" t="s">
        <v>135</v>
      </c>
      <c r="C77" s="20">
        <f>SUM(C74:C76)</f>
        <v>5.9311762499999965</v>
      </c>
      <c r="D77" s="20">
        <f t="shared" ref="D77:H77" si="26">SUM(D74:D76)</f>
        <v>5.3106756000000033</v>
      </c>
      <c r="E77" s="20">
        <f t="shared" si="26"/>
        <v>5.5797292243902428</v>
      </c>
      <c r="F77" s="20">
        <f t="shared" si="26"/>
        <v>5.825841459014633</v>
      </c>
      <c r="G77" s="20">
        <f t="shared" si="26"/>
        <v>6.0438071630967833</v>
      </c>
      <c r="H77" s="20">
        <f t="shared" si="26"/>
        <v>6.2762021068444156</v>
      </c>
    </row>
    <row r="81" spans="2:8" ht="20" x14ac:dyDescent="0.2">
      <c r="B81" s="30" t="s">
        <v>136</v>
      </c>
      <c r="C81" s="77">
        <f t="shared" ref="C81:H81" si="27">C57</f>
        <v>1</v>
      </c>
      <c r="D81" s="77">
        <f t="shared" si="27"/>
        <v>2</v>
      </c>
      <c r="E81" s="77">
        <f t="shared" si="27"/>
        <v>3</v>
      </c>
      <c r="F81" s="77">
        <f t="shared" si="27"/>
        <v>4</v>
      </c>
      <c r="G81" s="77">
        <f t="shared" si="27"/>
        <v>5</v>
      </c>
      <c r="H81" s="77">
        <f t="shared" si="27"/>
        <v>6</v>
      </c>
    </row>
    <row r="82" spans="2:8" x14ac:dyDescent="0.2">
      <c r="B82" s="36" t="s">
        <v>137</v>
      </c>
      <c r="C82" s="73"/>
      <c r="D82" s="73"/>
      <c r="E82" s="73"/>
      <c r="F82" s="73"/>
      <c r="G82" s="73"/>
      <c r="H82" s="73"/>
    </row>
    <row r="83" spans="2:8" x14ac:dyDescent="0.2">
      <c r="B83" s="6" t="s">
        <v>138</v>
      </c>
      <c r="C83" s="73">
        <f t="shared" ref="C83:H83" si="28">C54</f>
        <v>5.0686149999999977</v>
      </c>
      <c r="D83" s="73">
        <f t="shared" si="28"/>
        <v>5.5192398000000011</v>
      </c>
      <c r="E83" s="73">
        <f t="shared" si="28"/>
        <v>7.2450412158536608</v>
      </c>
      <c r="F83" s="73">
        <f t="shared" si="28"/>
        <v>7.6032300785195126</v>
      </c>
      <c r="G83" s="73">
        <f t="shared" si="28"/>
        <v>7.9007570677407131</v>
      </c>
      <c r="H83" s="73">
        <f t="shared" si="28"/>
        <v>8.2050941650184086</v>
      </c>
    </row>
    <row r="84" spans="2:8" x14ac:dyDescent="0.2">
      <c r="B84" s="6" t="s">
        <v>139</v>
      </c>
      <c r="C84" s="73">
        <f>SUM('Act. Sales &amp; Prod '!C19:C20)</f>
        <v>0</v>
      </c>
      <c r="D84" s="73">
        <f>SUM('Act. Sales &amp; Prod '!D19:D20)</f>
        <v>1.42</v>
      </c>
      <c r="E84" s="73">
        <f>SUM('Act. Sales &amp; Prod '!E19:E20)</f>
        <v>2.9110000000000005</v>
      </c>
      <c r="F84" s="73">
        <f>SUM('Act. Sales &amp; Prod '!F19:F20)</f>
        <v>3.0439500000000006</v>
      </c>
      <c r="G84" s="73">
        <f>SUM('Act. Sales &amp; Prod '!G19:G20)</f>
        <v>3.1573395000000009</v>
      </c>
      <c r="H84" s="73">
        <f>SUM('Act. Sales &amp; Prod '!H19:H20)</f>
        <v>3.2620042350000009</v>
      </c>
    </row>
    <row r="85" spans="2:8" x14ac:dyDescent="0.2">
      <c r="B85" s="6" t="s">
        <v>140</v>
      </c>
      <c r="C85" s="73">
        <f>'Act. RM &amp; DL &amp; FG'!C20</f>
        <v>5.5550000000000016E-2</v>
      </c>
      <c r="D85" s="73">
        <f>'Act. RM &amp; DL &amp; FG'!D20</f>
        <v>5.7777500000000016E-2</v>
      </c>
      <c r="E85" s="73">
        <f>'Act. RM &amp; DL &amp; FG'!E20</f>
        <v>6.0239588414634185E-2</v>
      </c>
      <c r="F85" s="73">
        <f>'Act. RM &amp; DL &amp; FG'!F20</f>
        <v>6.2368077347561002E-2</v>
      </c>
      <c r="G85" s="73">
        <f>'Act. RM &amp; DL &amp; FG'!G20</f>
        <v>6.458092290274392E-2</v>
      </c>
      <c r="H85" s="73">
        <f>'Act. RM &amp; DL &amp; FG'!H20</f>
        <v>6.6877243986320167E-2</v>
      </c>
    </row>
    <row r="86" spans="2:8" x14ac:dyDescent="0.2">
      <c r="B86" s="21" t="s">
        <v>141</v>
      </c>
      <c r="C86" s="72">
        <f>'Act. RM &amp; DL &amp; FG'!C79</f>
        <v>0.35073583489681054</v>
      </c>
      <c r="D86" s="72">
        <f>'Act. RM &amp; DL &amp; FG'!D79</f>
        <v>0.38610162664165115</v>
      </c>
      <c r="E86" s="72">
        <f>'Act. RM &amp; DL &amp; FG'!E79</f>
        <v>0.40540670797373368</v>
      </c>
      <c r="F86" s="72">
        <f>'Act. RM &amp; DL &amp; FG'!F79</f>
        <v>0.42013938765557352</v>
      </c>
      <c r="G86" s="72">
        <f>'Act. RM &amp; DL &amp; FG'!G79</f>
        <v>0.44114635703835225</v>
      </c>
      <c r="H86" s="72">
        <f>'Act. RM &amp; DL &amp; FG'!H79</f>
        <v>0.46320367489026976</v>
      </c>
    </row>
    <row r="87" spans="2:8" x14ac:dyDescent="0.2">
      <c r="B87" s="6" t="s">
        <v>142</v>
      </c>
      <c r="C87" s="73">
        <f>SUM(C83:C86)</f>
        <v>5.4749008348968085</v>
      </c>
      <c r="D87" s="73">
        <f t="shared" ref="D87:H87" si="29">SUM(D83:D86)</f>
        <v>7.3831189266416528</v>
      </c>
      <c r="E87" s="73">
        <f t="shared" si="29"/>
        <v>10.62168751224203</v>
      </c>
      <c r="F87" s="73">
        <f t="shared" si="29"/>
        <v>11.129687543522648</v>
      </c>
      <c r="G87" s="73">
        <f t="shared" si="29"/>
        <v>11.56382384768181</v>
      </c>
      <c r="H87" s="73">
        <f t="shared" si="29"/>
        <v>11.997179318895</v>
      </c>
    </row>
    <row r="88" spans="2:8" x14ac:dyDescent="0.2">
      <c r="B88" s="6"/>
      <c r="C88" s="73"/>
      <c r="D88" s="73"/>
      <c r="E88" s="73"/>
      <c r="F88" s="73"/>
      <c r="G88" s="73"/>
      <c r="H88" s="73"/>
    </row>
    <row r="89" spans="2:8" x14ac:dyDescent="0.2">
      <c r="B89" s="6" t="s">
        <v>143</v>
      </c>
      <c r="C89" s="73"/>
      <c r="D89" s="73"/>
      <c r="E89" s="73"/>
      <c r="F89" s="73"/>
      <c r="G89" s="73"/>
      <c r="H89" s="73"/>
    </row>
    <row r="90" spans="2:8" x14ac:dyDescent="0.2">
      <c r="B90" s="21" t="s">
        <v>144</v>
      </c>
      <c r="C90" s="72">
        <f>Assumptions!C61</f>
        <v>1</v>
      </c>
      <c r="D90" s="72">
        <f>Assumptions!D61</f>
        <v>1</v>
      </c>
      <c r="E90" s="72">
        <f>Assumptions!E61</f>
        <v>1</v>
      </c>
      <c r="F90" s="72">
        <f>Assumptions!F61</f>
        <v>1</v>
      </c>
      <c r="G90" s="72">
        <f>Assumptions!G61</f>
        <v>1</v>
      </c>
      <c r="H90" s="72">
        <f>Assumptions!H61</f>
        <v>1</v>
      </c>
    </row>
    <row r="91" spans="2:8" x14ac:dyDescent="0.2">
      <c r="B91" s="5" t="s">
        <v>145</v>
      </c>
      <c r="C91" s="73">
        <f t="shared" ref="C91:H91" si="30">SUM(C89:C90)</f>
        <v>1</v>
      </c>
      <c r="D91" s="73">
        <f t="shared" si="30"/>
        <v>1</v>
      </c>
      <c r="E91" s="73">
        <f t="shared" si="30"/>
        <v>1</v>
      </c>
      <c r="F91" s="73">
        <f t="shared" si="30"/>
        <v>1</v>
      </c>
      <c r="G91" s="73">
        <f t="shared" si="30"/>
        <v>1</v>
      </c>
      <c r="H91" s="73">
        <f t="shared" si="30"/>
        <v>1</v>
      </c>
    </row>
    <row r="92" spans="2:8" x14ac:dyDescent="0.2">
      <c r="C92" s="73"/>
      <c r="D92" s="73"/>
      <c r="E92" s="73"/>
      <c r="F92" s="73"/>
      <c r="G92" s="73"/>
      <c r="H92" s="73"/>
    </row>
    <row r="93" spans="2:8" x14ac:dyDescent="0.2">
      <c r="B93" s="6" t="s">
        <v>146</v>
      </c>
      <c r="C93" s="74">
        <f>C87+C91</f>
        <v>6.4749008348968085</v>
      </c>
      <c r="D93" s="74">
        <f t="shared" ref="D93:H93" si="31">D87+D91</f>
        <v>8.3831189266416537</v>
      </c>
      <c r="E93" s="74">
        <f t="shared" si="31"/>
        <v>11.62168751224203</v>
      </c>
      <c r="F93" s="74">
        <f t="shared" si="31"/>
        <v>12.129687543522648</v>
      </c>
      <c r="G93" s="74">
        <f t="shared" si="31"/>
        <v>12.56382384768181</v>
      </c>
      <c r="H93" s="74">
        <f t="shared" si="31"/>
        <v>12.997179318895</v>
      </c>
    </row>
    <row r="94" spans="2:8" x14ac:dyDescent="0.2">
      <c r="B94" s="6"/>
      <c r="C94" s="74"/>
      <c r="D94" s="74"/>
      <c r="E94" s="74"/>
      <c r="F94" s="74"/>
      <c r="G94" s="74"/>
      <c r="H94" s="74"/>
    </row>
    <row r="95" spans="2:8" x14ac:dyDescent="0.2">
      <c r="B95" s="36" t="s">
        <v>147</v>
      </c>
      <c r="C95" s="74"/>
      <c r="D95" s="74"/>
      <c r="E95" s="74"/>
      <c r="F95" s="74"/>
      <c r="G95" s="74"/>
      <c r="H95" s="74"/>
    </row>
    <row r="96" spans="2:8" x14ac:dyDescent="0.2">
      <c r="B96" s="6" t="s">
        <v>148</v>
      </c>
      <c r="C96" s="74">
        <f>SUM('Act. RM &amp; DL &amp; FG'!D35:D36)</f>
        <v>1.0426735</v>
      </c>
      <c r="D96" s="74">
        <f>SUM('Act. RM &amp; DL &amp; FG'!E35:E36)</f>
        <v>2.28008247</v>
      </c>
      <c r="E96" s="74">
        <f>SUM('Act. RM &amp; DL &amp; FG'!F35:F36)</f>
        <v>2.5278459609146342</v>
      </c>
      <c r="F96" s="74">
        <f>SUM('Act. RM &amp; DL &amp; FG'!G35:G36)</f>
        <v>2.6255726063876841</v>
      </c>
      <c r="G96" s="74">
        <f>SUM('Act. RM &amp; DL &amp; FG'!H35:H36)</f>
        <v>2.7176612560462292</v>
      </c>
      <c r="H96" s="74">
        <f>SUM('Act. RM &amp; DL &amp; FG'!I35:I36)</f>
        <v>2.8142203389276328</v>
      </c>
    </row>
    <row r="97" spans="2:8" x14ac:dyDescent="0.2">
      <c r="B97" s="21" t="s">
        <v>149</v>
      </c>
      <c r="C97" s="75"/>
      <c r="D97" s="75"/>
      <c r="E97" s="75"/>
      <c r="F97" s="75"/>
      <c r="G97" s="75"/>
      <c r="H97" s="75"/>
    </row>
    <row r="98" spans="2:8" x14ac:dyDescent="0.2">
      <c r="B98" s="6" t="s">
        <v>150</v>
      </c>
      <c r="C98" s="74">
        <f>SUM(C96:C97)</f>
        <v>1.0426735</v>
      </c>
      <c r="D98" s="74">
        <f t="shared" ref="D98:H98" si="32">SUM(D96:D97)</f>
        <v>2.28008247</v>
      </c>
      <c r="E98" s="74">
        <f t="shared" si="32"/>
        <v>2.5278459609146342</v>
      </c>
      <c r="F98" s="74">
        <f t="shared" si="32"/>
        <v>2.6255726063876841</v>
      </c>
      <c r="G98" s="74">
        <f t="shared" si="32"/>
        <v>2.7176612560462292</v>
      </c>
      <c r="H98" s="74">
        <f t="shared" si="32"/>
        <v>2.8142203389276328</v>
      </c>
    </row>
    <row r="99" spans="2:8" x14ac:dyDescent="0.2">
      <c r="B99" s="6"/>
      <c r="C99" s="74"/>
      <c r="D99" s="74"/>
      <c r="E99" s="74"/>
      <c r="F99" s="74"/>
      <c r="G99" s="74"/>
      <c r="H99" s="74"/>
    </row>
    <row r="100" spans="2:8" x14ac:dyDescent="0.2">
      <c r="B100" s="21" t="s">
        <v>151</v>
      </c>
      <c r="C100" s="75"/>
      <c r="D100" s="75"/>
      <c r="E100" s="75"/>
      <c r="F100" s="75"/>
      <c r="G100" s="75"/>
      <c r="H100" s="75"/>
    </row>
    <row r="101" spans="2:8" x14ac:dyDescent="0.2">
      <c r="B101" s="6" t="s">
        <v>152</v>
      </c>
      <c r="C101" s="74">
        <f>C100</f>
        <v>0</v>
      </c>
      <c r="D101" s="74">
        <f t="shared" ref="D101:H101" si="33">D100</f>
        <v>0</v>
      </c>
      <c r="E101" s="74">
        <f t="shared" si="33"/>
        <v>0</v>
      </c>
      <c r="F101" s="74">
        <f t="shared" si="33"/>
        <v>0</v>
      </c>
      <c r="G101" s="74">
        <f t="shared" si="33"/>
        <v>0</v>
      </c>
      <c r="H101" s="74">
        <f t="shared" si="33"/>
        <v>0</v>
      </c>
    </row>
    <row r="102" spans="2:8" x14ac:dyDescent="0.2">
      <c r="B102" s="6"/>
      <c r="C102" s="74"/>
      <c r="D102" s="74"/>
      <c r="E102" s="74"/>
      <c r="F102" s="74"/>
      <c r="G102" s="74"/>
      <c r="H102" s="74"/>
    </row>
    <row r="103" spans="2:8" x14ac:dyDescent="0.2">
      <c r="B103" s="6" t="s">
        <v>153</v>
      </c>
      <c r="C103" s="74">
        <f>C93-C98-C104</f>
        <v>-0.49894891510318828</v>
      </c>
      <c r="D103" s="74">
        <f>D93-D98-D104</f>
        <v>0.79236085664165046</v>
      </c>
      <c r="E103" s="74">
        <f t="shared" ref="E103:H103" si="34">E93-E98-E104</f>
        <v>3.5141123269371528</v>
      </c>
      <c r="F103" s="74">
        <f t="shared" si="34"/>
        <v>3.6782734781203317</v>
      </c>
      <c r="G103" s="74">
        <f t="shared" si="34"/>
        <v>3.8023554285387977</v>
      </c>
      <c r="H103" s="74">
        <f t="shared" si="34"/>
        <v>3.9067568731229514</v>
      </c>
    </row>
    <row r="104" spans="2:8" x14ac:dyDescent="0.2">
      <c r="B104" s="21" t="s">
        <v>154</v>
      </c>
      <c r="C104" s="75">
        <f>C77</f>
        <v>5.9311762499999965</v>
      </c>
      <c r="D104" s="75">
        <f t="shared" ref="D104:H104" si="35">D77</f>
        <v>5.3106756000000033</v>
      </c>
      <c r="E104" s="75">
        <f t="shared" si="35"/>
        <v>5.5797292243902428</v>
      </c>
      <c r="F104" s="75">
        <f t="shared" si="35"/>
        <v>5.825841459014633</v>
      </c>
      <c r="G104" s="75">
        <f t="shared" si="35"/>
        <v>6.0438071630967833</v>
      </c>
      <c r="H104" s="75">
        <f t="shared" si="35"/>
        <v>6.2762021068444156</v>
      </c>
    </row>
    <row r="105" spans="2:8" x14ac:dyDescent="0.2">
      <c r="B105" s="6" t="s">
        <v>155</v>
      </c>
      <c r="C105" s="74">
        <f>SUM(C103:C104)</f>
        <v>5.4322273348968082</v>
      </c>
      <c r="D105" s="74">
        <f t="shared" ref="D105:H105" si="36">SUM(D103:D104)</f>
        <v>6.1030364566416537</v>
      </c>
      <c r="E105" s="74">
        <f t="shared" si="36"/>
        <v>9.0938415513273956</v>
      </c>
      <c r="F105" s="74">
        <f t="shared" si="36"/>
        <v>9.5041149371349647</v>
      </c>
      <c r="G105" s="74">
        <f t="shared" si="36"/>
        <v>9.8461625916355811</v>
      </c>
      <c r="H105" s="74">
        <f t="shared" si="36"/>
        <v>10.182958979967367</v>
      </c>
    </row>
    <row r="106" spans="2:8" x14ac:dyDescent="0.2">
      <c r="B106" s="6"/>
      <c r="C106" s="74"/>
      <c r="D106" s="74"/>
      <c r="E106" s="74"/>
      <c r="F106" s="74"/>
      <c r="G106" s="74"/>
      <c r="H106" s="74"/>
    </row>
    <row r="107" spans="2:8" x14ac:dyDescent="0.2">
      <c r="B107" s="6" t="s">
        <v>156</v>
      </c>
      <c r="C107" s="74">
        <f>C105+C101+C98</f>
        <v>6.4749008348968085</v>
      </c>
      <c r="D107" s="74">
        <f t="shared" ref="D107:H107" si="37">D105+D101+D98</f>
        <v>8.3831189266416537</v>
      </c>
      <c r="E107" s="74">
        <f t="shared" si="37"/>
        <v>11.62168751224203</v>
      </c>
      <c r="F107" s="74">
        <f t="shared" si="37"/>
        <v>12.12968754352265</v>
      </c>
      <c r="G107" s="74">
        <f t="shared" si="37"/>
        <v>12.56382384768181</v>
      </c>
      <c r="H107" s="74">
        <f t="shared" si="37"/>
        <v>12.997179318895</v>
      </c>
    </row>
    <row r="108" spans="2:8" x14ac:dyDescent="0.2">
      <c r="B108" s="1"/>
      <c r="C108" s="1"/>
      <c r="D108" s="1"/>
      <c r="E108" s="1"/>
      <c r="F108" s="1"/>
      <c r="G108" s="1"/>
      <c r="H108" s="1"/>
    </row>
    <row r="109" spans="2:8" x14ac:dyDescent="0.2">
      <c r="B109" s="1"/>
      <c r="C109" s="1"/>
      <c r="D109" s="1"/>
      <c r="E109" s="1"/>
      <c r="F109" s="1"/>
      <c r="G109" s="1"/>
      <c r="H109" s="1"/>
    </row>
    <row r="110" spans="2:8" x14ac:dyDescent="0.2">
      <c r="B110" s="1"/>
      <c r="C110" s="1"/>
      <c r="D110" s="1"/>
      <c r="E110" s="1"/>
      <c r="F110" s="1"/>
      <c r="G110" s="1"/>
      <c r="H110" s="1"/>
    </row>
    <row r="111" spans="2:8" x14ac:dyDescent="0.2">
      <c r="B111" s="1"/>
      <c r="C111" s="1"/>
      <c r="D111" s="1"/>
      <c r="E111" s="1"/>
      <c r="F111" s="1"/>
      <c r="G111" s="1"/>
      <c r="H111" s="1"/>
    </row>
    <row r="112" spans="2:8" x14ac:dyDescent="0.2">
      <c r="B112" s="6"/>
      <c r="C112" s="1"/>
      <c r="D112" s="1"/>
      <c r="E112" s="1"/>
      <c r="F112" s="1"/>
      <c r="G112" s="1"/>
      <c r="H112" s="1"/>
    </row>
  </sheetData>
  <sheetProtection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CDD8-A18C-EF4C-B7FE-D698CCBA15EA}">
  <sheetPr>
    <tabColor rgb="FF002060"/>
  </sheetPr>
  <dimension ref="B3:H35"/>
  <sheetViews>
    <sheetView zoomScaleNormal="100" workbookViewId="0">
      <selection activeCell="L27" sqref="L27"/>
    </sheetView>
  </sheetViews>
  <sheetFormatPr baseColWidth="10" defaultRowHeight="16" x14ac:dyDescent="0.2"/>
  <cols>
    <col min="1" max="1" width="7.6640625" style="5" customWidth="1"/>
    <col min="2" max="2" width="47" style="5" customWidth="1"/>
    <col min="3" max="16384" width="10.83203125" style="5"/>
  </cols>
  <sheetData>
    <row r="3" spans="2:8" ht="20" x14ac:dyDescent="0.2">
      <c r="B3" s="31" t="str">
        <f>name</f>
        <v>Compagny Incognito, by eliediwambuena</v>
      </c>
    </row>
    <row r="4" spans="2:8" x14ac:dyDescent="0.2">
      <c r="B4" s="80"/>
    </row>
    <row r="5" spans="2:8" x14ac:dyDescent="0.2">
      <c r="B5" s="81"/>
    </row>
    <row r="6" spans="2:8" ht="18" x14ac:dyDescent="0.2">
      <c r="B6" s="81"/>
      <c r="C6" s="92" t="str">
        <f>IF(actual=TRUE, "Revenues and Spending Variances", "Activty Variances")</f>
        <v>Activty Variances</v>
      </c>
      <c r="D6" s="92"/>
      <c r="E6" s="92"/>
      <c r="F6" s="92"/>
      <c r="G6" s="92"/>
      <c r="H6" s="92"/>
    </row>
    <row r="7" spans="2:8" ht="20" x14ac:dyDescent="0.2">
      <c r="B7" s="31" t="s">
        <v>214</v>
      </c>
      <c r="C7" s="89">
        <v>1</v>
      </c>
      <c r="D7" s="89">
        <v>2</v>
      </c>
      <c r="E7" s="89">
        <v>3</v>
      </c>
      <c r="F7" s="89">
        <v>4</v>
      </c>
      <c r="G7" s="89">
        <v>5</v>
      </c>
      <c r="H7" s="89">
        <v>6</v>
      </c>
    </row>
    <row r="8" spans="2:8" x14ac:dyDescent="0.2">
      <c r="B8" s="1" t="s">
        <v>127</v>
      </c>
      <c r="C8" s="73">
        <f>'Proj. SGA &amp; PL &amp; BS'!C58-'Act. SGA &amp; PL &amp; BS '!C58</f>
        <v>0</v>
      </c>
      <c r="D8" s="73">
        <f>'Proj. SGA &amp; PL &amp; BS'!D58-'Act. SGA &amp; PL &amp; BS '!D58</f>
        <v>0</v>
      </c>
      <c r="E8" s="73">
        <f>'Proj. SGA &amp; PL &amp; BS'!E58-'Act. SGA &amp; PL &amp; BS '!E58</f>
        <v>0.25200000000000244</v>
      </c>
      <c r="F8" s="73">
        <f>'Proj. SGA &amp; PL &amp; BS'!F58-'Act. SGA &amp; PL &amp; BS '!F58</f>
        <v>0.78876000000000346</v>
      </c>
      <c r="G8" s="73">
        <f>'Proj. SGA &amp; PL &amp; BS'!G58-'Act. SGA &amp; PL &amp; BS '!G58</f>
        <v>1.3680828000000034</v>
      </c>
      <c r="H8" s="73">
        <f>'Proj. SGA &amp; PL &amp; BS'!H58-'Act. SGA &amp; PL &amp; BS '!H58</f>
        <v>1.9925682840000007</v>
      </c>
    </row>
    <row r="9" spans="2:8" x14ac:dyDescent="0.2">
      <c r="B9" s="1" t="s">
        <v>159</v>
      </c>
      <c r="C9" s="73">
        <f>'Proj. SGA &amp; PL &amp; BS'!C59-'Act. SGA &amp; PL &amp; BS '!C59</f>
        <v>0</v>
      </c>
      <c r="D9" s="73">
        <f>'Proj. SGA &amp; PL &amp; BS'!D59-'Act. SGA &amp; PL &amp; BS '!D59</f>
        <v>0</v>
      </c>
      <c r="E9" s="73">
        <f>'Proj. SGA &amp; PL &amp; BS'!E59-'Act. SGA &amp; PL &amp; BS '!E59</f>
        <v>-3.149999999999941E-6</v>
      </c>
      <c r="F9" s="73">
        <f>'Proj. SGA &amp; PL &amp; BS'!F59-'Act. SGA &amp; PL &amp; BS '!F59</f>
        <v>-9.8595000000000366E-6</v>
      </c>
      <c r="G9" s="73">
        <f>'Proj. SGA &amp; PL &amp; BS'!G59-'Act. SGA &amp; PL &amp; BS '!G59</f>
        <v>-1.7101035000000075E-5</v>
      </c>
      <c r="H9" s="73">
        <f>'Proj. SGA &amp; PL &amp; BS'!H59-'Act. SGA &amp; PL &amp; BS '!H59</f>
        <v>-2.4907103549999966E-5</v>
      </c>
    </row>
    <row r="10" spans="2:8" x14ac:dyDescent="0.2">
      <c r="B10" s="3" t="s">
        <v>160</v>
      </c>
      <c r="C10" s="73">
        <f>'Proj. SGA &amp; PL &amp; BS'!C60-'Act. SGA &amp; PL &amp; BS '!C60</f>
        <v>0</v>
      </c>
      <c r="D10" s="73">
        <f>'Proj. SGA &amp; PL &amp; BS'!D60-'Act. SGA &amp; PL &amp; BS '!D60</f>
        <v>0</v>
      </c>
      <c r="E10" s="73">
        <f>'Proj. SGA &amp; PL &amp; BS'!E60-'Act. SGA &amp; PL &amp; BS '!E60</f>
        <v>0.25200315000000373</v>
      </c>
      <c r="F10" s="73">
        <f>'Proj. SGA &amp; PL &amp; BS'!F60-'Act. SGA &amp; PL &amp; BS '!F60</f>
        <v>0.78876985950000744</v>
      </c>
      <c r="G10" s="73">
        <f>'Proj. SGA &amp; PL &amp; BS'!G60-'Act. SGA &amp; PL &amp; BS '!G60</f>
        <v>1.3680999010350021</v>
      </c>
      <c r="H10" s="73">
        <f>'Proj. SGA &amp; PL &amp; BS'!H60-'Act. SGA &amp; PL &amp; BS '!H60</f>
        <v>1.9925931911035519</v>
      </c>
    </row>
    <row r="11" spans="2:8" x14ac:dyDescent="0.2">
      <c r="B11" s="1" t="s">
        <v>128</v>
      </c>
      <c r="C11" s="73">
        <f>'Proj. SGA &amp; PL &amp; BS'!C61-'Act. SGA &amp; PL &amp; BS '!C61</f>
        <v>0</v>
      </c>
      <c r="D11" s="73">
        <f>'Proj. SGA &amp; PL &amp; BS'!D61-'Act. SGA &amp; PL &amp; BS '!D61</f>
        <v>-2.4771379499999995</v>
      </c>
      <c r="E11" s="73">
        <f>'Proj. SGA &amp; PL &amp; BS'!E61-'Act. SGA &amp; PL &amp; BS '!E61</f>
        <v>-2.5031855716463394</v>
      </c>
      <c r="F11" s="73">
        <f>'Proj. SGA &amp; PL &amp; BS'!F61-'Act. SGA &amp; PL &amp; BS '!F61</f>
        <v>-2.4301126003554909</v>
      </c>
      <c r="G11" s="73">
        <f>'Proj. SGA &amp; PL &amp; BS'!G61-'Act. SGA &amp; PL &amp; BS '!G61</f>
        <v>-2.3579506736380367</v>
      </c>
      <c r="H11" s="73">
        <f>'Proj. SGA &amp; PL &amp; BS'!H61-'Act. SGA &amp; PL &amp; BS '!H61</f>
        <v>-2.2762759648460875</v>
      </c>
    </row>
    <row r="12" spans="2:8" x14ac:dyDescent="0.2">
      <c r="B12" s="1" t="s">
        <v>157</v>
      </c>
      <c r="C12" s="73">
        <f>'Proj. SGA &amp; PL &amp; BS'!C62-'Act. SGA &amp; PL &amp; BS '!C62</f>
        <v>0</v>
      </c>
      <c r="D12" s="73">
        <f>'Proj. SGA &amp; PL &amp; BS'!D62-'Act. SGA &amp; PL &amp; BS '!D62</f>
        <v>0.29999999999999982</v>
      </c>
      <c r="E12" s="73">
        <f>'Proj. SGA &amp; PL &amp; BS'!E62-'Act. SGA &amp; PL &amp; BS '!E62</f>
        <v>0.59999999999999964</v>
      </c>
      <c r="F12" s="73">
        <f>'Proj. SGA &amp; PL &amp; BS'!F62-'Act. SGA &amp; PL &amp; BS '!F62</f>
        <v>0.90000000000000036</v>
      </c>
      <c r="G12" s="73">
        <f>'Proj. SGA &amp; PL &amp; BS'!G62-'Act. SGA &amp; PL &amp; BS '!G62</f>
        <v>1.2000000000000002</v>
      </c>
      <c r="H12" s="73">
        <f>'Proj. SGA &amp; PL &amp; BS'!H62-'Act. SGA &amp; PL &amp; BS '!H62</f>
        <v>1.5</v>
      </c>
    </row>
    <row r="13" spans="2:8" x14ac:dyDescent="0.2">
      <c r="B13" s="1" t="s">
        <v>158</v>
      </c>
      <c r="C13" s="73">
        <f>'Proj. SGA &amp; PL &amp; BS'!C63-'Act. SGA &amp; PL &amp; BS '!C63</f>
        <v>0</v>
      </c>
      <c r="D13" s="73">
        <f>'Proj. SGA &amp; PL &amp; BS'!D63-'Act. SGA &amp; PL &amp; BS '!D63</f>
        <v>0.15000000000000036</v>
      </c>
      <c r="E13" s="73">
        <f>'Proj. SGA &amp; PL &amp; BS'!E63-'Act. SGA &amp; PL &amp; BS '!E63</f>
        <v>0.26250000000000018</v>
      </c>
      <c r="F13" s="73">
        <f>'Proj. SGA &amp; PL &amp; BS'!F63-'Act. SGA &amp; PL &amp; BS '!F63</f>
        <v>0.48812500000000103</v>
      </c>
      <c r="G13" s="73">
        <f>'Proj. SGA &amp; PL &amp; BS'!G63-'Act. SGA &amp; PL &amp; BS '!G63</f>
        <v>0.67753125000000036</v>
      </c>
      <c r="H13" s="73">
        <f>'Proj. SGA &amp; PL &amp; BS'!H63-'Act. SGA &amp; PL &amp; BS '!H63</f>
        <v>0.88140781250000089</v>
      </c>
    </row>
    <row r="14" spans="2:8" x14ac:dyDescent="0.2">
      <c r="B14" s="3" t="s">
        <v>161</v>
      </c>
      <c r="C14" s="73">
        <f>'Proj. SGA &amp; PL &amp; BS'!C64-'Act. SGA &amp; PL &amp; BS '!C64</f>
        <v>0</v>
      </c>
      <c r="D14" s="73">
        <f>'Proj. SGA &amp; PL &amp; BS'!D64-'Act. SGA &amp; PL &amp; BS '!D64</f>
        <v>2.0271379500000002</v>
      </c>
      <c r="E14" s="73">
        <f>'Proj. SGA &amp; PL &amp; BS'!E64-'Act. SGA &amp; PL &amp; BS '!E64</f>
        <v>1.8926887216463442</v>
      </c>
      <c r="F14" s="73">
        <f>'Proj. SGA &amp; PL &amp; BS'!F64-'Act. SGA &amp; PL &amp; BS '!F64</f>
        <v>1.8307574598554943</v>
      </c>
      <c r="G14" s="73">
        <f>'Proj. SGA &amp; PL &amp; BS'!G64-'Act. SGA &amp; PL &amp; BS '!G64</f>
        <v>1.8485193246730418</v>
      </c>
      <c r="H14" s="73">
        <f>'Proj. SGA &amp; PL &amp; BS'!H64-'Act. SGA &amp; PL &amp; BS '!H64</f>
        <v>1.8874613434496403</v>
      </c>
    </row>
    <row r="15" spans="2:8" x14ac:dyDescent="0.2">
      <c r="B15" s="1" t="s">
        <v>129</v>
      </c>
      <c r="C15" s="73">
        <f>'Proj. SGA &amp; PL &amp; BS'!C65-'Act. SGA &amp; PL &amp; BS '!C65</f>
        <v>0</v>
      </c>
      <c r="D15" s="73">
        <f>'Proj. SGA &amp; PL &amp; BS'!D65-'Act. SGA &amp; PL &amp; BS '!D65</f>
        <v>2.4771379499999995</v>
      </c>
      <c r="E15" s="73">
        <f>'Proj. SGA &amp; PL &amp; BS'!E65-'Act. SGA &amp; PL &amp; BS '!E65</f>
        <v>2.7551887216463449</v>
      </c>
      <c r="F15" s="73">
        <f>'Proj. SGA &amp; PL &amp; BS'!F65-'Act. SGA &amp; PL &amp; BS '!F65</f>
        <v>3.2188824598554966</v>
      </c>
      <c r="G15" s="73">
        <f>'Proj. SGA &amp; PL &amp; BS'!G65-'Act. SGA &amp; PL &amp; BS '!G65</f>
        <v>3.7260505746730388</v>
      </c>
      <c r="H15" s="73">
        <f>'Proj. SGA &amp; PL &amp; BS'!H65-'Act. SGA &amp; PL &amp; BS '!H65</f>
        <v>4.2688691559496412</v>
      </c>
    </row>
    <row r="16" spans="2:8" x14ac:dyDescent="0.2">
      <c r="B16" s="1" t="s">
        <v>162</v>
      </c>
      <c r="C16" s="73">
        <f>'Proj. SGA &amp; PL &amp; BS'!C66-'Act. SGA &amp; PL &amp; BS '!C66</f>
        <v>0</v>
      </c>
      <c r="D16" s="73">
        <f>'Proj. SGA &amp; PL &amp; BS'!D66-'Act. SGA &amp; PL &amp; BS '!D66</f>
        <v>0</v>
      </c>
      <c r="E16" s="73">
        <f>'Proj. SGA &amp; PL &amp; BS'!E66-'Act. SGA &amp; PL &amp; BS '!E66</f>
        <v>0</v>
      </c>
      <c r="F16" s="73">
        <f>'Proj. SGA &amp; PL &amp; BS'!F66-'Act. SGA &amp; PL &amp; BS '!F66</f>
        <v>0</v>
      </c>
      <c r="G16" s="73">
        <f>'Proj. SGA &amp; PL &amp; BS'!G66-'Act. SGA &amp; PL &amp; BS '!G66</f>
        <v>0</v>
      </c>
      <c r="H16" s="73">
        <f>'Proj. SGA &amp; PL &amp; BS'!H66-'Act. SGA &amp; PL &amp; BS '!H66</f>
        <v>0</v>
      </c>
    </row>
    <row r="17" spans="2:8" x14ac:dyDescent="0.2">
      <c r="B17" s="1" t="s">
        <v>163</v>
      </c>
      <c r="C17" s="73">
        <f>'Proj. SGA &amp; PL &amp; BS'!C67-'Act. SGA &amp; PL &amp; BS '!C67</f>
        <v>0</v>
      </c>
      <c r="D17" s="73">
        <f>'Proj. SGA &amp; PL &amp; BS'!D67-'Act. SGA &amp; PL &amp; BS '!D67</f>
        <v>0</v>
      </c>
      <c r="E17" s="73">
        <f>'Proj. SGA &amp; PL &amp; BS'!E67-'Act. SGA &amp; PL &amp; BS '!E67</f>
        <v>0</v>
      </c>
      <c r="F17" s="73">
        <f>'Proj. SGA &amp; PL &amp; BS'!F67-'Act. SGA &amp; PL &amp; BS '!F67</f>
        <v>0</v>
      </c>
      <c r="G17" s="73">
        <f>'Proj. SGA &amp; PL &amp; BS'!G67-'Act. SGA &amp; PL &amp; BS '!G67</f>
        <v>0</v>
      </c>
      <c r="H17" s="73">
        <f>'Proj. SGA &amp; PL &amp; BS'!H67-'Act. SGA &amp; PL &amp; BS '!H67</f>
        <v>0</v>
      </c>
    </row>
    <row r="18" spans="2:8" x14ac:dyDescent="0.2">
      <c r="B18" s="1" t="s">
        <v>164</v>
      </c>
      <c r="C18" s="73">
        <f>'Proj. SGA &amp; PL &amp; BS'!C68-'Act. SGA &amp; PL &amp; BS '!C68</f>
        <v>0</v>
      </c>
      <c r="D18" s="73">
        <f>'Proj. SGA &amp; PL &amp; BS'!D68-'Act. SGA &amp; PL &amp; BS '!D68</f>
        <v>2.0271379500000002</v>
      </c>
      <c r="E18" s="73">
        <f>'Proj. SGA &amp; PL &amp; BS'!E68-'Act. SGA &amp; PL &amp; BS '!E68</f>
        <v>1.8926887216463442</v>
      </c>
      <c r="F18" s="73">
        <f>'Proj. SGA &amp; PL &amp; BS'!F68-'Act. SGA &amp; PL &amp; BS '!F68</f>
        <v>1.8307574598554943</v>
      </c>
      <c r="G18" s="73">
        <f>'Proj. SGA &amp; PL &amp; BS'!G68-'Act. SGA &amp; PL &amp; BS '!G68</f>
        <v>1.8485193246730418</v>
      </c>
      <c r="H18" s="73">
        <f>'Proj. SGA &amp; PL &amp; BS'!H68-'Act. SGA &amp; PL &amp; BS '!H68</f>
        <v>1.8874613434496403</v>
      </c>
    </row>
    <row r="19" spans="2:8" x14ac:dyDescent="0.2">
      <c r="B19" s="1"/>
      <c r="C19" s="73"/>
      <c r="D19" s="73"/>
      <c r="E19" s="73"/>
      <c r="F19" s="73"/>
      <c r="G19" s="73"/>
      <c r="H19" s="73"/>
    </row>
    <row r="20" spans="2:8" x14ac:dyDescent="0.2">
      <c r="B20" s="1" t="s">
        <v>130</v>
      </c>
      <c r="C20" s="73">
        <f>'Proj. SGA &amp; PL &amp; BS'!C70-'Act. SGA &amp; PL &amp; BS '!C70</f>
        <v>0</v>
      </c>
      <c r="D20" s="73">
        <f>'Proj. SGA &amp; PL &amp; BS'!D70-'Act. SGA &amp; PL &amp; BS '!D70</f>
        <v>0.44999999999999929</v>
      </c>
      <c r="E20" s="73">
        <f>'Proj. SGA &amp; PL &amp; BS'!E70-'Act. SGA &amp; PL &amp; BS '!E70</f>
        <v>0.86249999999999893</v>
      </c>
      <c r="F20" s="73">
        <f>'Proj. SGA &amp; PL &amp; BS'!F70-'Act. SGA &amp; PL &amp; BS '!F70</f>
        <v>1.3881250000000023</v>
      </c>
      <c r="G20" s="73">
        <f>'Proj. SGA &amp; PL &amp; BS'!G70-'Act. SGA &amp; PL &amp; BS '!G70</f>
        <v>1.8775312500000005</v>
      </c>
      <c r="H20" s="73">
        <f>'Proj. SGA &amp; PL &amp; BS'!H70-'Act. SGA &amp; PL &amp; BS '!H70</f>
        <v>2.3814078125000009</v>
      </c>
    </row>
    <row r="21" spans="2:8" x14ac:dyDescent="0.2">
      <c r="B21" s="1" t="s">
        <v>131</v>
      </c>
      <c r="C21" s="73">
        <f>'Proj. SGA &amp; PL &amp; BS'!C71-'Act. SGA &amp; PL &amp; BS '!C71</f>
        <v>0</v>
      </c>
      <c r="D21" s="73">
        <f>'Proj. SGA &amp; PL &amp; BS'!D71-'Act. SGA &amp; PL &amp; BS '!D71</f>
        <v>2.0271379500000002</v>
      </c>
      <c r="E21" s="73">
        <f>'Proj. SGA &amp; PL &amp; BS'!E71-'Act. SGA &amp; PL &amp; BS '!E71</f>
        <v>1.8926887216463459</v>
      </c>
      <c r="F21" s="73">
        <f>'Proj. SGA &amp; PL &amp; BS'!F71-'Act. SGA &amp; PL &amp; BS '!F71</f>
        <v>1.8307574598554943</v>
      </c>
      <c r="G21" s="73">
        <f>'Proj. SGA &amp; PL &amp; BS'!G71-'Act. SGA &amp; PL &amp; BS '!G71</f>
        <v>1.8485193246730383</v>
      </c>
      <c r="H21" s="73">
        <f>'Proj. SGA &amp; PL &amp; BS'!H71-'Act. SGA &amp; PL &amp; BS '!H71</f>
        <v>1.8874613434496403</v>
      </c>
    </row>
    <row r="22" spans="2:8" x14ac:dyDescent="0.2">
      <c r="B22" s="1"/>
      <c r="C22" s="73"/>
      <c r="D22" s="73"/>
      <c r="E22" s="73"/>
      <c r="F22" s="73"/>
      <c r="G22" s="73"/>
      <c r="H22" s="73"/>
    </row>
    <row r="23" spans="2:8" x14ac:dyDescent="0.2">
      <c r="B23" s="1" t="s">
        <v>132</v>
      </c>
      <c r="C23" s="73">
        <f>'Proj. SGA &amp; PL &amp; BS'!C73-'Act. SGA &amp; PL &amp; BS '!C73</f>
        <v>0</v>
      </c>
      <c r="D23" s="73">
        <f>'Proj. SGA &amp; PL &amp; BS'!D73-'Act. SGA &amp; PL &amp; BS '!D73</f>
        <v>0</v>
      </c>
      <c r="E23" s="73">
        <f>'Proj. SGA &amp; PL &amp; BS'!E73-'Act. SGA &amp; PL &amp; BS '!E73</f>
        <v>0</v>
      </c>
      <c r="F23" s="73">
        <f>'Proj. SGA &amp; PL &amp; BS'!F73-'Act. SGA &amp; PL &amp; BS '!F73</f>
        <v>0</v>
      </c>
      <c r="G23" s="73">
        <f>'Proj. SGA &amp; PL &amp; BS'!G73-'Act. SGA &amp; PL &amp; BS '!G73</f>
        <v>0</v>
      </c>
      <c r="H23" s="73">
        <f>'Proj. SGA &amp; PL &amp; BS'!H73-'Act. SGA &amp; PL &amp; BS '!H73</f>
        <v>0</v>
      </c>
    </row>
    <row r="24" spans="2:8" x14ac:dyDescent="0.2">
      <c r="B24" s="1" t="s">
        <v>133</v>
      </c>
      <c r="C24" s="73">
        <f>'Proj. SGA &amp; PL &amp; BS'!C74-'Act. SGA &amp; PL &amp; BS '!C74</f>
        <v>0</v>
      </c>
      <c r="D24" s="73">
        <f>'Proj. SGA &amp; PL &amp; BS'!D74-'Act. SGA &amp; PL &amp; BS '!D74</f>
        <v>2.0271379500000002</v>
      </c>
      <c r="E24" s="73">
        <f>'Proj. SGA &amp; PL &amp; BS'!E74-'Act. SGA &amp; PL &amp; BS '!E74</f>
        <v>1.8926887216463459</v>
      </c>
      <c r="F24" s="73">
        <f>'Proj. SGA &amp; PL &amp; BS'!F74-'Act. SGA &amp; PL &amp; BS '!F74</f>
        <v>1.8307574598554943</v>
      </c>
      <c r="G24" s="73">
        <f>'Proj. SGA &amp; PL &amp; BS'!G74-'Act. SGA &amp; PL &amp; BS '!G74</f>
        <v>1.8485193246730383</v>
      </c>
      <c r="H24" s="73">
        <f>'Proj. SGA &amp; PL &amp; BS'!H74-'Act. SGA &amp; PL &amp; BS '!H74</f>
        <v>1.8874613434496403</v>
      </c>
    </row>
    <row r="25" spans="2:8" x14ac:dyDescent="0.2">
      <c r="B25" s="1"/>
      <c r="C25" s="73">
        <f>'Proj. SGA &amp; PL &amp; BS'!C75-'Act. SGA &amp; PL &amp; BS '!C75</f>
        <v>0</v>
      </c>
      <c r="D25" s="73">
        <f>'Proj. SGA &amp; PL &amp; BS'!D75-'Act. SGA &amp; PL &amp; BS '!D75</f>
        <v>0</v>
      </c>
      <c r="E25" s="73">
        <f>'Proj. SGA &amp; PL &amp; BS'!E75-'Act. SGA &amp; PL &amp; BS '!E75</f>
        <v>0</v>
      </c>
      <c r="F25" s="73">
        <f>'Proj. SGA &amp; PL &amp; BS'!F75-'Act. SGA &amp; PL &amp; BS '!F75</f>
        <v>0</v>
      </c>
      <c r="G25" s="73">
        <f>'Proj. SGA &amp; PL &amp; BS'!G75-'Act. SGA &amp; PL &amp; BS '!G75</f>
        <v>0</v>
      </c>
      <c r="H25" s="73">
        <f>'Proj. SGA &amp; PL &amp; BS'!H75-'Act. SGA &amp; PL &amp; BS '!H75</f>
        <v>0</v>
      </c>
    </row>
    <row r="26" spans="2:8" x14ac:dyDescent="0.2">
      <c r="B26" s="1" t="s">
        <v>134</v>
      </c>
      <c r="C26" s="73">
        <f>'Proj. SGA &amp; PL &amp; BS'!C76-'Act. SGA &amp; PL &amp; BS '!C76</f>
        <v>0</v>
      </c>
      <c r="D26" s="73">
        <f>'Proj. SGA &amp; PL &amp; BS'!D76-'Act. SGA &amp; PL &amp; BS '!D76</f>
        <v>-0.50678448750000005</v>
      </c>
      <c r="E26" s="73">
        <f>'Proj. SGA &amp; PL &amp; BS'!E76-'Act. SGA &amp; PL &amp; BS '!E76</f>
        <v>-0.47317218041158648</v>
      </c>
      <c r="F26" s="73">
        <f>'Proj. SGA &amp; PL &amp; BS'!F76-'Act. SGA &amp; PL &amp; BS '!F76</f>
        <v>-0.45768936496387358</v>
      </c>
      <c r="G26" s="73">
        <f>'Proj. SGA &amp; PL &amp; BS'!G76-'Act. SGA &amp; PL &amp; BS '!G76</f>
        <v>-0.46212983116825956</v>
      </c>
      <c r="H26" s="73">
        <f>'Proj. SGA &amp; PL &amp; BS'!H76-'Act. SGA &amp; PL &amp; BS '!H76</f>
        <v>-0.47186533586241008</v>
      </c>
    </row>
    <row r="27" spans="2:8" x14ac:dyDescent="0.2">
      <c r="B27" s="1" t="s">
        <v>135</v>
      </c>
      <c r="C27" s="73">
        <f>'Proj. SGA &amp; PL &amp; BS'!C77-'Act. SGA &amp; PL &amp; BS '!C77</f>
        <v>0</v>
      </c>
      <c r="D27" s="73">
        <f>'Proj. SGA &amp; PL &amp; BS'!D77-'Act. SGA &amp; PL &amp; BS '!D77</f>
        <v>1.5203534624999993</v>
      </c>
      <c r="E27" s="73">
        <f>'Proj. SGA &amp; PL &amp; BS'!E77-'Act. SGA &amp; PL &amp; BS '!E77</f>
        <v>1.419516541234759</v>
      </c>
      <c r="F27" s="73">
        <f>'Proj. SGA &amp; PL &amp; BS'!F77-'Act. SGA &amp; PL &amp; BS '!F77</f>
        <v>1.3730680948916199</v>
      </c>
      <c r="G27" s="73">
        <f>'Proj. SGA &amp; PL &amp; BS'!G77-'Act. SGA &amp; PL &amp; BS '!G77</f>
        <v>1.3863894935047778</v>
      </c>
      <c r="H27" s="73">
        <f>'Proj. SGA &amp; PL &amp; BS'!H77-'Act. SGA &amp; PL &amp; BS '!H77</f>
        <v>1.4155960075872294</v>
      </c>
    </row>
    <row r="28" spans="2:8" x14ac:dyDescent="0.2">
      <c r="C28" s="73"/>
      <c r="D28" s="73"/>
      <c r="E28" s="73"/>
      <c r="F28" s="73"/>
      <c r="G28" s="73"/>
      <c r="H28" s="73"/>
    </row>
    <row r="29" spans="2:8" x14ac:dyDescent="0.2">
      <c r="B29" s="1"/>
      <c r="C29" s="73"/>
      <c r="D29" s="73"/>
      <c r="E29" s="73"/>
      <c r="F29" s="73"/>
      <c r="G29" s="73"/>
      <c r="H29" s="73"/>
    </row>
    <row r="30" spans="2:8" x14ac:dyDescent="0.2">
      <c r="B30" s="1"/>
      <c r="C30" s="73"/>
      <c r="D30" s="73"/>
      <c r="E30" s="73"/>
      <c r="F30" s="73"/>
      <c r="G30" s="73"/>
      <c r="H30" s="73"/>
    </row>
    <row r="31" spans="2:8" x14ac:dyDescent="0.2">
      <c r="B31" s="1"/>
      <c r="C31" s="73"/>
      <c r="D31" s="73"/>
      <c r="E31" s="73"/>
      <c r="F31" s="73"/>
      <c r="G31" s="73"/>
      <c r="H31" s="73"/>
    </row>
    <row r="32" spans="2:8" x14ac:dyDescent="0.2">
      <c r="B32" s="1"/>
      <c r="C32" s="73"/>
      <c r="D32" s="73"/>
      <c r="E32" s="73"/>
      <c r="F32" s="73"/>
      <c r="G32" s="73"/>
      <c r="H32" s="73"/>
    </row>
    <row r="33" spans="2:8" x14ac:dyDescent="0.2">
      <c r="B33" s="1"/>
      <c r="C33" s="73"/>
      <c r="D33" s="73"/>
      <c r="E33" s="73"/>
      <c r="F33" s="73"/>
      <c r="G33" s="73"/>
      <c r="H33" s="73"/>
    </row>
    <row r="34" spans="2:8" x14ac:dyDescent="0.2">
      <c r="C34" s="73"/>
      <c r="D34" s="73"/>
      <c r="E34" s="73"/>
      <c r="F34" s="73"/>
      <c r="G34" s="73"/>
      <c r="H34" s="73"/>
    </row>
    <row r="35" spans="2:8" x14ac:dyDescent="0.2">
      <c r="B35" s="1"/>
      <c r="C35" s="73"/>
      <c r="D35" s="73"/>
      <c r="E35" s="73"/>
      <c r="F35" s="73"/>
      <c r="G35" s="73"/>
      <c r="H35" s="73"/>
    </row>
  </sheetData>
  <sheetProtection selectLockedCells="1"/>
  <mergeCells count="1">
    <mergeCell ref="C6:H6"/>
  </mergeCells>
  <conditionalFormatting sqref="C8:H35">
    <cfRule type="cellIs" dxfId="2" priority="1" operator="lessThan">
      <formula>0</formula>
    </cfRule>
    <cfRule type="cellIs" dxfId="1" priority="2" operator="greaterThan">
      <formula>0</formula>
    </cfRule>
    <cfRule type="cellIs" dxfId="0" priority="3" operator="not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Assumptions</vt:lpstr>
      <vt:lpstr>Realisation</vt:lpstr>
      <vt:lpstr>Proj. Sales &amp; Prod</vt:lpstr>
      <vt:lpstr>Proj. RM &amp; DL &amp; FG</vt:lpstr>
      <vt:lpstr>Proj. SGA &amp; PL &amp; BS</vt:lpstr>
      <vt:lpstr>Proj. Dash</vt:lpstr>
      <vt:lpstr>Act. Sales &amp; Prod </vt:lpstr>
      <vt:lpstr>Act. RM &amp; DL &amp; FG</vt:lpstr>
      <vt:lpstr>Act. SGA &amp; PL &amp; BS </vt:lpstr>
      <vt:lpstr>Variance analysis</vt:lpstr>
      <vt:lpstr>'Act. Sales &amp; Prod '!actual</vt:lpstr>
      <vt:lpstr>actual</vt:lpstr>
      <vt:lpstr>name</vt:lpstr>
      <vt:lpstr>unit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디와엘리</dc:creator>
  <cp:keywords/>
  <dc:description/>
  <cp:lastModifiedBy>Diwambuena, Elie</cp:lastModifiedBy>
  <cp:revision/>
  <dcterms:created xsi:type="dcterms:W3CDTF">2019-11-02T14:11:00Z</dcterms:created>
  <dcterms:modified xsi:type="dcterms:W3CDTF">2024-06-07T14:22:21Z</dcterms:modified>
  <cp:category/>
  <cp:contentStatus/>
</cp:coreProperties>
</file>