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eliediwa/Desktop/UGENT/Github finance/Financial-Planning-and-Analysis/"/>
    </mc:Choice>
  </mc:AlternateContent>
  <xr:revisionPtr revIDLastSave="0" documentId="13_ncr:1_{9049A35F-B7C4-7541-B76D-5FE5B81C92D1}" xr6:coauthVersionLast="47" xr6:coauthVersionMax="47" xr10:uidLastSave="{00000000-0000-0000-0000-000000000000}"/>
  <bookViews>
    <workbookView xWindow="0" yWindow="500" windowWidth="28800" windowHeight="16260" activeTab="8" xr2:uid="{00000000-000D-0000-FFFF-FFFF00000000}"/>
  </bookViews>
  <sheets>
    <sheet name="Start here" sheetId="25" r:id="rId1"/>
    <sheet name="Pre-analysis" sheetId="23" r:id="rId2"/>
    <sheet name="Input" sheetId="22" r:id="rId3"/>
    <sheet name="Calcul" sheetId="18" r:id="rId4"/>
    <sheet name="Projects" sheetId="24" r:id="rId5"/>
    <sheet name="PL" sheetId="20" r:id="rId6"/>
    <sheet name="CF" sheetId="21" r:id="rId7"/>
    <sheet name="BS" sheetId="19" r:id="rId8"/>
    <sheet name="Dash" sheetId="26" r:id="rId9"/>
    <sheet name="Noname co" sheetId="1" r:id="rId10"/>
    <sheet name="Target co" sheetId="8" r:id="rId11"/>
    <sheet name="Market" sheetId="17" r:id="rId12"/>
  </sheets>
  <definedNames>
    <definedName name="inM">Input!$G$67</definedName>
    <definedName name="OPT">Dash!$C$4</definedName>
    <definedName name="solver_adj" localSheetId="3" hidden="1">Calcul!#REF!</definedName>
    <definedName name="solver_adj" localSheetId="6" hidden="1">CF!#REF!</definedName>
    <definedName name="solver_adj" localSheetId="2" hidden="1">Input!$G$51</definedName>
    <definedName name="solver_cvg" localSheetId="3" hidden="1">0.0001</definedName>
    <definedName name="solver_cvg" localSheetId="6" hidden="1">0.0001</definedName>
    <definedName name="solver_drv" localSheetId="3" hidden="1">1</definedName>
    <definedName name="solver_drv" localSheetId="6" hidden="1">1</definedName>
    <definedName name="solver_eng" localSheetId="7" hidden="1">1</definedName>
    <definedName name="solver_eng" localSheetId="3" hidden="1">1</definedName>
    <definedName name="solver_eng" localSheetId="6" hidden="1">1</definedName>
    <definedName name="solver_eng" localSheetId="2" hidden="1">1</definedName>
    <definedName name="solver_itr" localSheetId="3" hidden="1">2147483647</definedName>
    <definedName name="solver_itr" localSheetId="6" hidden="1">2147483647</definedName>
    <definedName name="solver_lhs1" localSheetId="3" hidden="1">Calcul!#REF!</definedName>
    <definedName name="solver_lhs1" localSheetId="6" hidden="1">CF!$D$29</definedName>
    <definedName name="solver_lhs1" localSheetId="2" hidden="1">Input!$G$49</definedName>
    <definedName name="solver_lhs2" localSheetId="3" hidden="1">Calcul!#REF!</definedName>
    <definedName name="solver_lhs2" localSheetId="6" hidden="1">CF!#REF!</definedName>
    <definedName name="solver_lhs3" localSheetId="3" hidden="1">Calcul!#REF!</definedName>
    <definedName name="solver_lhs4" localSheetId="3" hidden="1">Calcul!#REF!</definedName>
    <definedName name="solver_lhs5" localSheetId="3" hidden="1">Calcul!#REF!</definedName>
    <definedName name="solver_lhs6" localSheetId="3" hidden="1">Calcul!#REF!</definedName>
    <definedName name="solver_lin" localSheetId="7" hidden="1">2</definedName>
    <definedName name="solver_lin" localSheetId="3" hidden="1">2</definedName>
    <definedName name="solver_lin" localSheetId="6" hidden="1">2</definedName>
    <definedName name="solver_lin" localSheetId="2" hidden="1">2</definedName>
    <definedName name="solver_mip" localSheetId="3" hidden="1">2147483647</definedName>
    <definedName name="solver_mip" localSheetId="6" hidden="1">2147483647</definedName>
    <definedName name="solver_mni" localSheetId="3" hidden="1">30</definedName>
    <definedName name="solver_mni" localSheetId="6" hidden="1">30</definedName>
    <definedName name="solver_mrt" localSheetId="3" hidden="1">0.075</definedName>
    <definedName name="solver_mrt" localSheetId="6" hidden="1">0.075</definedName>
    <definedName name="solver_msl" localSheetId="3" hidden="1">2</definedName>
    <definedName name="solver_msl" localSheetId="6" hidden="1">2</definedName>
    <definedName name="solver_neg" localSheetId="7" hidden="1">1</definedName>
    <definedName name="solver_neg" localSheetId="3" hidden="1">1</definedName>
    <definedName name="solver_neg" localSheetId="6" hidden="1">1</definedName>
    <definedName name="solver_neg" localSheetId="2" hidden="1">1</definedName>
    <definedName name="solver_nod" localSheetId="3" hidden="1">2147483647</definedName>
    <definedName name="solver_nod" localSheetId="6" hidden="1">2147483647</definedName>
    <definedName name="solver_num" localSheetId="7" hidden="1">0</definedName>
    <definedName name="solver_num" localSheetId="3" hidden="1">1</definedName>
    <definedName name="solver_num" localSheetId="6" hidden="1">2</definedName>
    <definedName name="solver_num" localSheetId="2" hidden="1">1</definedName>
    <definedName name="solver_opt" localSheetId="3" hidden="1">Calcul!#REF!</definedName>
    <definedName name="solver_opt" localSheetId="6" hidden="1">CF!$D$29</definedName>
    <definedName name="solver_opt" localSheetId="2" hidden="1">Input!$G$49</definedName>
    <definedName name="solver_pre" localSheetId="3" hidden="1">0.000001</definedName>
    <definedName name="solver_pre" localSheetId="6" hidden="1">0.000001</definedName>
    <definedName name="solver_rbv" localSheetId="3" hidden="1">1</definedName>
    <definedName name="solver_rbv" localSheetId="6" hidden="1">1</definedName>
    <definedName name="solver_rel1" localSheetId="3" hidden="1">2</definedName>
    <definedName name="solver_rel1" localSheetId="6" hidden="1">2</definedName>
    <definedName name="solver_rel1" localSheetId="2" hidden="1">2</definedName>
    <definedName name="solver_rel2" localSheetId="3" hidden="1">2</definedName>
    <definedName name="solver_rel2" localSheetId="6" hidden="1">2</definedName>
    <definedName name="solver_rel3" localSheetId="3" hidden="1">2</definedName>
    <definedName name="solver_rel4" localSheetId="3" hidden="1">2</definedName>
    <definedName name="solver_rel5" localSheetId="3" hidden="1">2</definedName>
    <definedName name="solver_rel6" localSheetId="3" hidden="1">2</definedName>
    <definedName name="solver_rhs1" localSheetId="3" hidden="1">Calcul!#REF!</definedName>
    <definedName name="solver_rhs1" localSheetId="6" hidden="1">CF!#REF!</definedName>
    <definedName name="solver_rhs1" localSheetId="2" hidden="1">Input!#REF!</definedName>
    <definedName name="solver_rhs2" localSheetId="3" hidden="1">Calcul!#REF!</definedName>
    <definedName name="solver_rhs2" localSheetId="6" hidden="1">CF!#REF!</definedName>
    <definedName name="solver_rhs3" localSheetId="3" hidden="1">Calcul!#REF!</definedName>
    <definedName name="solver_rhs4" localSheetId="3" hidden="1">Calcul!#REF!</definedName>
    <definedName name="solver_rhs5" localSheetId="3" hidden="1">Calcul!#REF!</definedName>
    <definedName name="solver_rhs6" localSheetId="3" hidden="1">Calcul!#REF!</definedName>
    <definedName name="solver_rlx" localSheetId="3" hidden="1">2</definedName>
    <definedName name="solver_rlx" localSheetId="6" hidden="1">2</definedName>
    <definedName name="solver_rsd" localSheetId="3" hidden="1">0</definedName>
    <definedName name="solver_rsd" localSheetId="6" hidden="1">0</definedName>
    <definedName name="solver_scl" localSheetId="3" hidden="1">1</definedName>
    <definedName name="solver_scl" localSheetId="6" hidden="1">1</definedName>
    <definedName name="solver_sho" localSheetId="3" hidden="1">2</definedName>
    <definedName name="solver_sho" localSheetId="6" hidden="1">2</definedName>
    <definedName name="solver_ssz" localSheetId="3" hidden="1">100</definedName>
    <definedName name="solver_ssz" localSheetId="6" hidden="1">100</definedName>
    <definedName name="solver_tim" localSheetId="3" hidden="1">2147483647</definedName>
    <definedName name="solver_tim" localSheetId="6" hidden="1">2147483647</definedName>
    <definedName name="solver_tol" localSheetId="3" hidden="1">0.01</definedName>
    <definedName name="solver_tol" localSheetId="6" hidden="1">0.01</definedName>
    <definedName name="solver_typ" localSheetId="7" hidden="1">2</definedName>
    <definedName name="solver_typ" localSheetId="3" hidden="1">2</definedName>
    <definedName name="solver_typ" localSheetId="6" hidden="1">2</definedName>
    <definedName name="solver_typ" localSheetId="2" hidden="1">2</definedName>
    <definedName name="solver_val" localSheetId="3" hidden="1">0</definedName>
    <definedName name="solver_val" localSheetId="6" hidden="1">0</definedName>
    <definedName name="solver_val" localSheetId="2" hidden="1">0</definedName>
    <definedName name="solver_ver" localSheetId="7" hidden="1">2</definedName>
    <definedName name="solver_ver" localSheetId="3" hidden="1">2</definedName>
    <definedName name="solver_ver" localSheetId="6" hidden="1">2</definedName>
    <definedName name="solver_ver" localSheetId="2" hidden="1">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4" l="1"/>
  <c r="B138" i="23"/>
  <c r="B137" i="23"/>
  <c r="B136" i="23"/>
  <c r="B132" i="23"/>
  <c r="B131" i="23"/>
  <c r="B130" i="23"/>
  <c r="B129" i="23"/>
  <c r="B128" i="23"/>
  <c r="B127" i="23"/>
  <c r="B123" i="23"/>
  <c r="B126" i="23"/>
  <c r="B125" i="23"/>
  <c r="B124" i="23"/>
  <c r="C123" i="23"/>
  <c r="C122" i="23"/>
  <c r="C121" i="23"/>
  <c r="B122" i="23"/>
  <c r="B121" i="23"/>
  <c r="B67" i="23"/>
  <c r="H19" i="17"/>
  <c r="H20" i="17" s="1"/>
  <c r="D20" i="1"/>
  <c r="E20" i="1"/>
  <c r="F20" i="1"/>
  <c r="G20" i="1"/>
  <c r="C20" i="1"/>
  <c r="D17" i="1"/>
  <c r="E17" i="1"/>
  <c r="F17" i="1"/>
  <c r="G17" i="1"/>
  <c r="C17" i="1"/>
  <c r="D14" i="1"/>
  <c r="E14" i="1"/>
  <c r="F14" i="1"/>
  <c r="G14" i="1"/>
  <c r="C14" i="1"/>
  <c r="D10" i="1"/>
  <c r="E10" i="1"/>
  <c r="F10" i="1"/>
  <c r="G10" i="1"/>
  <c r="C10" i="1"/>
  <c r="D71" i="1"/>
  <c r="E71" i="1"/>
  <c r="F71" i="1"/>
  <c r="G71" i="1"/>
  <c r="C71" i="1"/>
  <c r="D69" i="1"/>
  <c r="E69" i="1"/>
  <c r="F69" i="1"/>
  <c r="G69" i="1"/>
  <c r="C69" i="1"/>
  <c r="D65" i="1"/>
  <c r="E65" i="1"/>
  <c r="F65" i="1"/>
  <c r="G65" i="1"/>
  <c r="C65" i="1"/>
  <c r="I17" i="17"/>
  <c r="H17" i="17"/>
  <c r="I15" i="17"/>
  <c r="H15" i="17"/>
  <c r="I14" i="17"/>
  <c r="H14" i="17"/>
  <c r="G25" i="1"/>
  <c r="G27" i="1" s="1"/>
  <c r="I12" i="17" s="1"/>
  <c r="I11" i="17"/>
  <c r="I9" i="17"/>
  <c r="I10" i="17" s="1"/>
  <c r="H9" i="17"/>
  <c r="H10" i="17" s="1"/>
  <c r="H12" i="17" s="1"/>
  <c r="I8" i="17"/>
  <c r="H8" i="17"/>
  <c r="C59" i="8"/>
  <c r="D59" i="8"/>
  <c r="E59" i="8"/>
  <c r="B59" i="8"/>
  <c r="C57" i="8"/>
  <c r="D57" i="8"/>
  <c r="E57" i="8"/>
  <c r="B57" i="8"/>
  <c r="C53" i="8"/>
  <c r="D53" i="8"/>
  <c r="E53" i="8"/>
  <c r="B53" i="8"/>
  <c r="C50" i="8"/>
  <c r="D50" i="8"/>
  <c r="E50" i="8"/>
  <c r="B50" i="8"/>
  <c r="C42" i="8"/>
  <c r="D42" i="8"/>
  <c r="E42" i="8"/>
  <c r="B42" i="8"/>
  <c r="C41" i="8"/>
  <c r="D41" i="8"/>
  <c r="E41" i="8"/>
  <c r="B41" i="8"/>
  <c r="C37" i="8"/>
  <c r="D37" i="8"/>
  <c r="E37" i="8"/>
  <c r="B37" i="8"/>
  <c r="C138" i="22"/>
  <c r="C135" i="22"/>
  <c r="C85" i="22"/>
  <c r="D162" i="24" s="1"/>
  <c r="D124" i="22"/>
  <c r="D135" i="22" s="1"/>
  <c r="D138" i="22" s="1"/>
  <c r="C124" i="22"/>
  <c r="B90" i="22"/>
  <c r="B88" i="22"/>
  <c r="B84" i="22"/>
  <c r="A3" i="8" s="1"/>
  <c r="C70" i="22"/>
  <c r="C69" i="22"/>
  <c r="A1" i="1"/>
  <c r="A36" i="1"/>
  <c r="A1" i="8"/>
  <c r="G28" i="1"/>
  <c r="I19" i="17" l="1"/>
  <c r="I20" i="17" s="1"/>
  <c r="A29" i="8"/>
  <c r="E53" i="1" l="1"/>
  <c r="F53" i="1"/>
  <c r="G53" i="1"/>
  <c r="D53" i="1"/>
  <c r="E22" i="1"/>
  <c r="F22" i="1"/>
  <c r="G22" i="1"/>
  <c r="D22" i="1"/>
  <c r="B74" i="18"/>
  <c r="E27" i="22"/>
  <c r="F27" i="22" s="1"/>
  <c r="G27" i="22" s="1"/>
  <c r="E14" i="22"/>
  <c r="D14" i="22"/>
  <c r="F15" i="22"/>
  <c r="G15" i="22" s="1"/>
  <c r="C10" i="24" l="1"/>
  <c r="C11" i="24"/>
  <c r="C12" i="24"/>
  <c r="D7" i="24"/>
  <c r="C7" i="24" s="1"/>
  <c r="D6" i="24"/>
  <c r="C6" i="24" s="1"/>
  <c r="E24" i="21" a="1"/>
  <c r="E24" i="21" s="1"/>
  <c r="F24" i="21" a="1"/>
  <c r="F24" i="21" s="1"/>
  <c r="G24" i="21" a="1"/>
  <c r="G24" i="21" s="1"/>
  <c r="D24" i="21" a="1"/>
  <c r="D24" i="21" s="1"/>
  <c r="C166" i="24"/>
  <c r="E45" i="23"/>
  <c r="F45" i="23"/>
  <c r="G45" i="23"/>
  <c r="H45" i="23"/>
  <c r="D45" i="23"/>
  <c r="E44" i="23"/>
  <c r="F44" i="23"/>
  <c r="G44" i="23"/>
  <c r="H44" i="23"/>
  <c r="D44" i="23"/>
  <c r="E43" i="23"/>
  <c r="F43" i="23"/>
  <c r="G43" i="23"/>
  <c r="H43" i="23"/>
  <c r="D43" i="23"/>
  <c r="D33" i="18"/>
  <c r="B52" i="23"/>
  <c r="D39" i="23"/>
  <c r="E39" i="23"/>
  <c r="F39" i="23"/>
  <c r="G39" i="23"/>
  <c r="H39" i="23"/>
  <c r="C40" i="18"/>
  <c r="C39" i="18"/>
  <c r="D32" i="18"/>
  <c r="C38" i="26"/>
  <c r="C9" i="19"/>
  <c r="C10" i="19"/>
  <c r="C11" i="19"/>
  <c r="C13" i="19"/>
  <c r="C16" i="19"/>
  <c r="C17" i="19"/>
  <c r="C27" i="19"/>
  <c r="C28" i="19"/>
  <c r="C29" i="19"/>
  <c r="C30" i="19"/>
  <c r="C33" i="19"/>
  <c r="C36" i="19"/>
  <c r="C37" i="19"/>
  <c r="C8" i="19"/>
  <c r="D14" i="26"/>
  <c r="E14" i="26" s="1"/>
  <c r="F14" i="26" s="1"/>
  <c r="G14" i="26" s="1"/>
  <c r="G11" i="26"/>
  <c r="G20" i="26" s="1"/>
  <c r="G35" i="26" s="1"/>
  <c r="G50" i="26" s="1"/>
  <c r="E35" i="22"/>
  <c r="F35" i="22" s="1"/>
  <c r="G35" i="22" s="1"/>
  <c r="D11" i="26"/>
  <c r="D20" i="26" s="1"/>
  <c r="I4" i="26" s="1"/>
  <c r="E11" i="26"/>
  <c r="E20" i="26" s="1"/>
  <c r="F11" i="26"/>
  <c r="F20" i="26" s="1"/>
  <c r="C11" i="26"/>
  <c r="C20" i="26" s="1"/>
  <c r="H4" i="26" s="1"/>
  <c r="C112" i="18"/>
  <c r="C111" i="18"/>
  <c r="C88" i="18"/>
  <c r="D36" i="22" l="1"/>
  <c r="C34" i="19"/>
  <c r="I42" i="23"/>
  <c r="C21" i="24"/>
  <c r="C177" i="24"/>
  <c r="C179" i="24"/>
  <c r="C20" i="24"/>
  <c r="C176" i="24"/>
  <c r="C23" i="24"/>
  <c r="I43" i="23"/>
  <c r="C34" i="18"/>
  <c r="C109" i="18"/>
  <c r="C97" i="18"/>
  <c r="D28" i="21" s="1" a="1"/>
  <c r="D28" i="21" s="1"/>
  <c r="C96" i="18"/>
  <c r="C95" i="18"/>
  <c r="C94" i="18"/>
  <c r="C87" i="18"/>
  <c r="C103" i="18"/>
  <c r="C102" i="18"/>
  <c r="C28" i="18"/>
  <c r="C27" i="18"/>
  <c r="C23" i="18"/>
  <c r="C22" i="18"/>
  <c r="C21" i="18"/>
  <c r="C15" i="18"/>
  <c r="C14" i="18"/>
  <c r="B2" i="26"/>
  <c r="C35" i="26"/>
  <c r="C50" i="26" s="1"/>
  <c r="D35" i="26"/>
  <c r="D50" i="26" s="1"/>
  <c r="E35" i="26"/>
  <c r="E50" i="26" s="1"/>
  <c r="F35" i="26"/>
  <c r="F50" i="26" s="1"/>
  <c r="C13" i="24" l="1"/>
  <c r="C17" i="24"/>
  <c r="B3" i="24"/>
  <c r="C165" i="24" l="1"/>
  <c r="C171" i="24" s="1"/>
  <c r="E16" i="24"/>
  <c r="C16" i="24"/>
  <c r="C14" i="24"/>
  <c r="C15" i="24"/>
  <c r="C155" i="24"/>
  <c r="E156" i="24"/>
  <c r="F156" i="24" s="1"/>
  <c r="G156" i="24" s="1"/>
  <c r="D139" i="22" l="1"/>
  <c r="E55" i="24"/>
  <c r="F55" i="24" l="1"/>
  <c r="G55" i="24" l="1"/>
  <c r="C4" i="18" l="1"/>
  <c r="D4" i="18" s="1"/>
  <c r="E4" i="18" s="1"/>
  <c r="F4" i="18" s="1"/>
  <c r="G4" i="18" s="1"/>
  <c r="D24" i="22"/>
  <c r="D136" i="22"/>
  <c r="F60" i="23"/>
  <c r="G60" i="23"/>
  <c r="H60" i="23"/>
  <c r="E60" i="23"/>
  <c r="D119" i="18"/>
  <c r="C119" i="18"/>
  <c r="D118" i="18"/>
  <c r="C118" i="18"/>
  <c r="D116" i="18"/>
  <c r="C116" i="18"/>
  <c r="C136" i="22"/>
  <c r="D132" i="22"/>
  <c r="C128" i="22"/>
  <c r="D145" i="23"/>
  <c r="D144" i="23"/>
  <c r="B20" i="17"/>
  <c r="B1" i="21"/>
  <c r="B2" i="19"/>
  <c r="B64" i="24"/>
  <c r="B26" i="24"/>
  <c r="B1" i="18"/>
  <c r="C126" i="22"/>
  <c r="D126" i="22" s="1"/>
  <c r="C125" i="22"/>
  <c r="D125" i="22" s="1"/>
  <c r="C145" i="24"/>
  <c r="C144" i="24"/>
  <c r="C141" i="24"/>
  <c r="C136" i="24"/>
  <c r="C137" i="24"/>
  <c r="C138" i="24"/>
  <c r="C135" i="24"/>
  <c r="C125" i="24"/>
  <c r="C124" i="24"/>
  <c r="C118" i="24"/>
  <c r="C119" i="24"/>
  <c r="C120" i="24"/>
  <c r="C117" i="24"/>
  <c r="D109" i="24" s="1"/>
  <c r="C77" i="18"/>
  <c r="D77" i="18" s="1"/>
  <c r="C83" i="24"/>
  <c r="D121" i="22"/>
  <c r="E121" i="22" s="1"/>
  <c r="F121" i="22" s="1"/>
  <c r="G121" i="22" s="1"/>
  <c r="F86" i="23"/>
  <c r="G86" i="23"/>
  <c r="H86" i="23"/>
  <c r="F87" i="23"/>
  <c r="G87" i="23"/>
  <c r="H87" i="23"/>
  <c r="E87" i="23"/>
  <c r="E86" i="23"/>
  <c r="C104" i="24"/>
  <c r="C109" i="24"/>
  <c r="C102" i="24"/>
  <c r="C101" i="24"/>
  <c r="C96" i="24"/>
  <c r="C97" i="24" s="1"/>
  <c r="C93" i="24"/>
  <c r="C92" i="24"/>
  <c r="C91" i="24"/>
  <c r="C86" i="24"/>
  <c r="C69" i="24"/>
  <c r="C74" i="24"/>
  <c r="C77" i="24"/>
  <c r="C80" i="24"/>
  <c r="C161" i="24" l="1"/>
  <c r="D117" i="18"/>
  <c r="C126" i="24"/>
  <c r="F114" i="23" l="1"/>
  <c r="G114" i="23"/>
  <c r="H114" i="23"/>
  <c r="E114" i="23"/>
  <c r="F108" i="23"/>
  <c r="G108" i="23"/>
  <c r="H108" i="23"/>
  <c r="E108" i="23"/>
  <c r="C120" i="22" s="1"/>
  <c r="D120" i="22" s="1"/>
  <c r="F100" i="23"/>
  <c r="G100" i="23"/>
  <c r="H100" i="23"/>
  <c r="F101" i="23"/>
  <c r="G101" i="23"/>
  <c r="H101" i="23"/>
  <c r="E101" i="23"/>
  <c r="E100" i="23"/>
  <c r="F92" i="23"/>
  <c r="G92" i="23"/>
  <c r="H92" i="23"/>
  <c r="F93" i="23"/>
  <c r="G93" i="23"/>
  <c r="H93" i="23"/>
  <c r="F94" i="23"/>
  <c r="G94" i="23"/>
  <c r="H94" i="23"/>
  <c r="F95" i="23"/>
  <c r="G95" i="23"/>
  <c r="H95" i="23"/>
  <c r="E95" i="23"/>
  <c r="E94" i="23"/>
  <c r="E93" i="23"/>
  <c r="E92" i="23"/>
  <c r="E73" i="23"/>
  <c r="F73" i="23"/>
  <c r="G73" i="23"/>
  <c r="H73" i="23"/>
  <c r="E70" i="23"/>
  <c r="F70" i="23"/>
  <c r="G70" i="23"/>
  <c r="H70" i="23"/>
  <c r="E74" i="23"/>
  <c r="F74" i="23"/>
  <c r="G74" i="23"/>
  <c r="H74" i="23"/>
  <c r="E77" i="23"/>
  <c r="F77" i="23"/>
  <c r="G77" i="23"/>
  <c r="H77" i="23"/>
  <c r="E80" i="23"/>
  <c r="F80" i="23"/>
  <c r="G80" i="23"/>
  <c r="H80" i="23"/>
  <c r="F69" i="23"/>
  <c r="G69" i="23"/>
  <c r="H69" i="23"/>
  <c r="E69" i="23"/>
  <c r="B70" i="23"/>
  <c r="B71" i="23"/>
  <c r="B73" i="23"/>
  <c r="B74" i="23"/>
  <c r="B75" i="23"/>
  <c r="B77" i="23"/>
  <c r="B78" i="23"/>
  <c r="B80" i="23"/>
  <c r="B81" i="23"/>
  <c r="B69" i="23"/>
  <c r="B1" i="23"/>
  <c r="C73" i="24"/>
  <c r="C68" i="24"/>
  <c r="C113" i="24"/>
  <c r="C152" i="24" s="1"/>
  <c r="D144" i="24"/>
  <c r="E117" i="22"/>
  <c r="F117" i="22" s="1"/>
  <c r="G117" i="22" s="1"/>
  <c r="E116" i="22"/>
  <c r="F116" i="22" s="1"/>
  <c r="G116" i="22" s="1"/>
  <c r="E113" i="22"/>
  <c r="F113" i="22" s="1"/>
  <c r="G113" i="22" s="1"/>
  <c r="E112" i="22"/>
  <c r="F112" i="22" s="1"/>
  <c r="G112" i="22" s="1"/>
  <c r="E109" i="22"/>
  <c r="F109" i="22" s="1"/>
  <c r="G109" i="22" s="1"/>
  <c r="E100" i="22"/>
  <c r="F100" i="22" s="1"/>
  <c r="G100" i="22" s="1"/>
  <c r="E99" i="22"/>
  <c r="F99" i="22" s="1"/>
  <c r="G99" i="22" s="1"/>
  <c r="F98" i="22"/>
  <c r="G98" i="22" s="1"/>
  <c r="F97" i="22"/>
  <c r="G97" i="22" s="1"/>
  <c r="F96" i="22"/>
  <c r="G96" i="22" s="1"/>
  <c r="C88" i="22"/>
  <c r="C167" i="24" s="1"/>
  <c r="E46" i="24"/>
  <c r="E47" i="24" s="1"/>
  <c r="F46" i="24"/>
  <c r="F47" i="24" s="1"/>
  <c r="G46" i="24"/>
  <c r="G47" i="24" s="1"/>
  <c r="B40" i="24"/>
  <c r="C168" i="24" l="1"/>
  <c r="D36" i="19" s="1" a="1"/>
  <c r="D36" i="19" s="1"/>
  <c r="E36" i="19" s="1" a="1"/>
  <c r="E36" i="19" s="1"/>
  <c r="F36" i="19" s="1" a="1"/>
  <c r="F36" i="19" s="1"/>
  <c r="G36" i="19" s="1" a="1"/>
  <c r="G36" i="19" s="1"/>
  <c r="C173" i="24"/>
  <c r="C172" i="24"/>
  <c r="E144" i="24"/>
  <c r="E120" i="22"/>
  <c r="D78" i="18"/>
  <c r="E77" i="18"/>
  <c r="F144" i="24" l="1"/>
  <c r="D88" i="18"/>
  <c r="D87" i="18"/>
  <c r="D120" i="24" s="1"/>
  <c r="D84" i="18"/>
  <c r="D73" i="24" s="1"/>
  <c r="D83" i="18"/>
  <c r="D74" i="24" s="1"/>
  <c r="F120" i="22"/>
  <c r="D103" i="18"/>
  <c r="D125" i="24" s="1"/>
  <c r="D102" i="18"/>
  <c r="D94" i="18"/>
  <c r="D82" i="18"/>
  <c r="D68" i="24"/>
  <c r="F77" i="18"/>
  <c r="E78" i="18"/>
  <c r="G144" i="24" l="1"/>
  <c r="D90" i="18"/>
  <c r="D138" i="24"/>
  <c r="E88" i="18"/>
  <c r="E87" i="18"/>
  <c r="D89" i="18"/>
  <c r="D124" i="24"/>
  <c r="D104" i="18"/>
  <c r="D85" i="18"/>
  <c r="E94" i="18"/>
  <c r="E82" i="18"/>
  <c r="E103" i="18"/>
  <c r="E125" i="24" s="1"/>
  <c r="E83" i="18"/>
  <c r="E74" i="24" s="1"/>
  <c r="E102" i="18"/>
  <c r="E84" i="18"/>
  <c r="E73" i="24" s="1"/>
  <c r="D86" i="18"/>
  <c r="D97" i="18" s="1"/>
  <c r="D118" i="24"/>
  <c r="D109" i="18"/>
  <c r="G120" i="22"/>
  <c r="D95" i="18"/>
  <c r="D136" i="24" s="1"/>
  <c r="D69" i="24"/>
  <c r="D70" i="24" s="1"/>
  <c r="D75" i="24" s="1"/>
  <c r="D87" i="24" s="1"/>
  <c r="D88" i="24" s="1"/>
  <c r="D89" i="24" s="1"/>
  <c r="D96" i="18"/>
  <c r="D119" i="24" s="1"/>
  <c r="E68" i="24"/>
  <c r="G77" i="18"/>
  <c r="G78" i="18" s="1"/>
  <c r="F78" i="18"/>
  <c r="D110" i="18" l="1"/>
  <c r="D135" i="24"/>
  <c r="D126" i="24"/>
  <c r="D96" i="24" s="1"/>
  <c r="D97" i="24" s="1"/>
  <c r="D93" i="24"/>
  <c r="E89" i="18"/>
  <c r="E120" i="24"/>
  <c r="E92" i="24" s="1"/>
  <c r="E90" i="18"/>
  <c r="E138" i="24"/>
  <c r="F88" i="18"/>
  <c r="F87" i="18"/>
  <c r="F120" i="24" s="1"/>
  <c r="G88" i="18"/>
  <c r="G138" i="24" s="1"/>
  <c r="G87" i="18"/>
  <c r="G120" i="24" s="1"/>
  <c r="E104" i="18"/>
  <c r="E124" i="24"/>
  <c r="D98" i="18"/>
  <c r="E109" i="18"/>
  <c r="E135" i="24" s="1"/>
  <c r="E118" i="24"/>
  <c r="D91" i="24"/>
  <c r="G102" i="18"/>
  <c r="G124" i="24" s="1"/>
  <c r="G84" i="18"/>
  <c r="G83" i="18"/>
  <c r="G74" i="24" s="1"/>
  <c r="G103" i="18"/>
  <c r="G125" i="24" s="1"/>
  <c r="G94" i="18"/>
  <c r="G82" i="18"/>
  <c r="E85" i="18"/>
  <c r="E86" i="18"/>
  <c r="E97" i="18" s="1"/>
  <c r="E96" i="18"/>
  <c r="E119" i="24" s="1"/>
  <c r="E95" i="18"/>
  <c r="E136" i="24" s="1"/>
  <c r="F83" i="18"/>
  <c r="F74" i="24" s="1"/>
  <c r="F94" i="18"/>
  <c r="F82" i="18"/>
  <c r="F103" i="18"/>
  <c r="F125" i="24" s="1"/>
  <c r="F102" i="18"/>
  <c r="F84" i="18"/>
  <c r="F73" i="24" s="1"/>
  <c r="D92" i="24"/>
  <c r="G68" i="24"/>
  <c r="F68" i="24"/>
  <c r="E69" i="24"/>
  <c r="E70" i="24" s="1"/>
  <c r="E75" i="24" s="1"/>
  <c r="E87" i="24" s="1"/>
  <c r="E126" i="24" l="1"/>
  <c r="E96" i="24" s="1"/>
  <c r="E97" i="24" s="1"/>
  <c r="E93" i="24"/>
  <c r="F90" i="18"/>
  <c r="F138" i="24"/>
  <c r="G90" i="18"/>
  <c r="E110" i="18"/>
  <c r="G89" i="18"/>
  <c r="F92" i="24"/>
  <c r="F89" i="18"/>
  <c r="F124" i="24"/>
  <c r="G104" i="18"/>
  <c r="F104" i="18"/>
  <c r="E98" i="18"/>
  <c r="G126" i="24"/>
  <c r="E91" i="24"/>
  <c r="E88" i="24"/>
  <c r="E89" i="24" s="1"/>
  <c r="F118" i="24"/>
  <c r="F109" i="18"/>
  <c r="F135" i="24" s="1"/>
  <c r="G109" i="18"/>
  <c r="G135" i="24" s="1"/>
  <c r="G118" i="24"/>
  <c r="F85" i="18"/>
  <c r="G86" i="18"/>
  <c r="G97" i="18" s="1"/>
  <c r="F86" i="18"/>
  <c r="F97" i="18" s="1"/>
  <c r="F95" i="18"/>
  <c r="F136" i="24" s="1"/>
  <c r="F96" i="18"/>
  <c r="F119" i="24" s="1"/>
  <c r="G96" i="18"/>
  <c r="G119" i="24" s="1"/>
  <c r="G95" i="18"/>
  <c r="G136" i="24" s="1"/>
  <c r="G73" i="24"/>
  <c r="G85" i="18"/>
  <c r="G69" i="24"/>
  <c r="G70" i="24" s="1"/>
  <c r="F69" i="24"/>
  <c r="F70" i="24" s="1"/>
  <c r="F75" i="24" s="1"/>
  <c r="F126" i="24" l="1"/>
  <c r="F96" i="24" s="1"/>
  <c r="F97" i="24" s="1"/>
  <c r="E77" i="24"/>
  <c r="F93" i="24"/>
  <c r="E139" i="24"/>
  <c r="G75" i="24"/>
  <c r="G87" i="24" s="1"/>
  <c r="G88" i="24" s="1"/>
  <c r="G89" i="24" s="1"/>
  <c r="G92" i="24"/>
  <c r="G93" i="24"/>
  <c r="F110" i="18"/>
  <c r="G110" i="18"/>
  <c r="F98" i="18"/>
  <c r="G98" i="18"/>
  <c r="E142" i="24"/>
  <c r="E94" i="24"/>
  <c r="E153" i="24" s="1"/>
  <c r="G91" i="24"/>
  <c r="F87" i="24"/>
  <c r="F91" i="24"/>
  <c r="G96" i="24"/>
  <c r="G97" i="24" s="1"/>
  <c r="E102" i="24" l="1"/>
  <c r="E103" i="24" s="1"/>
  <c r="G139" i="24"/>
  <c r="G142" i="24" s="1"/>
  <c r="G77" i="24"/>
  <c r="F139" i="24"/>
  <c r="F142" i="24" s="1"/>
  <c r="E78" i="24"/>
  <c r="E80" i="24" s="1"/>
  <c r="E81" i="24" s="1"/>
  <c r="E84" i="24" s="1"/>
  <c r="F77" i="24"/>
  <c r="F101" i="24"/>
  <c r="G101" i="24"/>
  <c r="G94" i="24"/>
  <c r="G153" i="24" s="1"/>
  <c r="F88" i="24"/>
  <c r="F89" i="24" s="1"/>
  <c r="F94" i="24" s="1"/>
  <c r="F153" i="24" s="1"/>
  <c r="G78" i="24" l="1"/>
  <c r="G80" i="24" s="1"/>
  <c r="G81" i="24" s="1"/>
  <c r="G84" i="24" s="1"/>
  <c r="F78" i="24"/>
  <c r="F80" i="24" s="1"/>
  <c r="F81" i="24" s="1"/>
  <c r="F84" i="24" s="1"/>
  <c r="G102" i="24"/>
  <c r="G103" i="24" s="1"/>
  <c r="F102" i="24"/>
  <c r="F103" i="24" s="1"/>
  <c r="E83" i="24"/>
  <c r="E104" i="24" s="1"/>
  <c r="F83" i="24" l="1"/>
  <c r="F104" i="24" s="1"/>
  <c r="F106" i="24" s="1"/>
  <c r="F108" i="24" s="1"/>
  <c r="G83" i="24"/>
  <c r="G104" i="24" s="1"/>
  <c r="G106" i="24" s="1"/>
  <c r="G108" i="24" s="1"/>
  <c r="C76" i="22" l="1"/>
  <c r="D8" i="24" s="1"/>
  <c r="C8" i="24" s="1"/>
  <c r="C71" i="22"/>
  <c r="D68" i="18"/>
  <c r="D71" i="18" s="1"/>
  <c r="D58" i="18"/>
  <c r="E58" i="18" s="1"/>
  <c r="D51" i="18"/>
  <c r="D52" i="18" s="1"/>
  <c r="D29" i="24" s="1"/>
  <c r="E59" i="22"/>
  <c r="F59" i="22" s="1"/>
  <c r="G59" i="22" s="1"/>
  <c r="E57" i="22"/>
  <c r="F57" i="22" s="1"/>
  <c r="G57" i="22" s="1"/>
  <c r="E54" i="22"/>
  <c r="F54" i="22" s="1"/>
  <c r="G54" i="22" s="1"/>
  <c r="E50" i="22"/>
  <c r="F50" i="22" s="1"/>
  <c r="G50" i="22" s="1"/>
  <c r="F53" i="22"/>
  <c r="G53" i="22" s="1"/>
  <c r="F47" i="22"/>
  <c r="G47" i="22" s="1"/>
  <c r="C21" i="22"/>
  <c r="C26" i="22" s="1"/>
  <c r="C31" i="22" s="1"/>
  <c r="C45" i="22" s="1"/>
  <c r="C49" i="22" s="1"/>
  <c r="C56" i="22" s="1"/>
  <c r="C61" i="22" s="1"/>
  <c r="C11" i="22"/>
  <c r="D30" i="23"/>
  <c r="C22" i="24" l="1"/>
  <c r="C178" i="24"/>
  <c r="D46" i="24"/>
  <c r="D47" i="24" s="1"/>
  <c r="C68" i="22"/>
  <c r="C73" i="22" s="1"/>
  <c r="C91" i="22"/>
  <c r="G69" i="18"/>
  <c r="F58" i="18"/>
  <c r="G58" i="18" s="1"/>
  <c r="G35" i="24" s="1"/>
  <c r="F69" i="18"/>
  <c r="E35" i="24"/>
  <c r="D35" i="24"/>
  <c r="E69" i="18"/>
  <c r="E51" i="18"/>
  <c r="E52" i="18" s="1"/>
  <c r="E29" i="24" s="1"/>
  <c r="D69" i="18"/>
  <c r="D33" i="24" s="1"/>
  <c r="D10" i="20" s="1" a="1"/>
  <c r="D10" i="20" s="1"/>
  <c r="D9" i="21" s="1"/>
  <c r="D57" i="18"/>
  <c r="D34" i="24" s="1"/>
  <c r="D56" i="18"/>
  <c r="D62" i="18"/>
  <c r="D178" i="24" l="1"/>
  <c r="D179" i="24"/>
  <c r="D176" i="24"/>
  <c r="D177" i="24"/>
  <c r="D23" i="24"/>
  <c r="D21" i="24"/>
  <c r="D20" i="24"/>
  <c r="D22" i="24"/>
  <c r="D70" i="18"/>
  <c r="F42" i="24"/>
  <c r="F33" i="24"/>
  <c r="F10" i="20" s="1" a="1"/>
  <c r="F10" i="20" s="1"/>
  <c r="F9" i="21" s="1"/>
  <c r="C95" i="22"/>
  <c r="C105" i="22" s="1"/>
  <c r="C111" i="22" s="1"/>
  <c r="C115" i="22" s="1"/>
  <c r="E42" i="24"/>
  <c r="E33" i="24"/>
  <c r="E10" i="20" s="1" a="1"/>
  <c r="E10" i="20" s="1"/>
  <c r="E9" i="21" s="1"/>
  <c r="G42" i="24"/>
  <c r="G33" i="24"/>
  <c r="G10" i="20" s="1" a="1"/>
  <c r="G10" i="20" s="1"/>
  <c r="G9" i="21" s="1"/>
  <c r="F35" i="24"/>
  <c r="F51" i="18"/>
  <c r="G51" i="18" s="1"/>
  <c r="G52" i="18" s="1"/>
  <c r="G29" i="24" s="1"/>
  <c r="D59" i="18"/>
  <c r="D30" i="24"/>
  <c r="E62" i="18"/>
  <c r="D42" i="24"/>
  <c r="E56" i="18"/>
  <c r="E30" i="24" s="1"/>
  <c r="E57" i="18"/>
  <c r="E34" i="24" s="1"/>
  <c r="D64" i="18"/>
  <c r="E70" i="18" l="1"/>
  <c r="F70" i="18" s="1"/>
  <c r="G70" i="18" s="1"/>
  <c r="E31" i="24"/>
  <c r="E36" i="24" s="1"/>
  <c r="D31" i="24"/>
  <c r="D36" i="24" s="1"/>
  <c r="E64" i="18"/>
  <c r="F52" i="18"/>
  <c r="F29" i="24" s="1"/>
  <c r="E59" i="18"/>
  <c r="G57" i="18"/>
  <c r="G56" i="18"/>
  <c r="G30" i="24" s="1"/>
  <c r="G62" i="18"/>
  <c r="D40" i="24" l="1"/>
  <c r="E54" i="24"/>
  <c r="G31" i="24"/>
  <c r="D54" i="24"/>
  <c r="F62" i="18"/>
  <c r="F56" i="18"/>
  <c r="F64" i="18" s="1"/>
  <c r="F57" i="18"/>
  <c r="F34" i="24" s="1"/>
  <c r="E40" i="24"/>
  <c r="G59" i="18"/>
  <c r="G34" i="24"/>
  <c r="G64" i="18"/>
  <c r="D41" i="24" l="1"/>
  <c r="G36" i="24"/>
  <c r="G54" i="24" s="1"/>
  <c r="F59" i="18"/>
  <c r="F30" i="24"/>
  <c r="F32" i="23"/>
  <c r="G32" i="23"/>
  <c r="E32" i="23"/>
  <c r="D32" i="23"/>
  <c r="H59" i="23"/>
  <c r="G59" i="23"/>
  <c r="D17" i="22" s="1"/>
  <c r="F59" i="23"/>
  <c r="E59" i="23"/>
  <c r="D59" i="23"/>
  <c r="H58" i="23"/>
  <c r="G58" i="23"/>
  <c r="D16" i="22" s="1"/>
  <c r="F58" i="23"/>
  <c r="E58" i="23"/>
  <c r="D58" i="23"/>
  <c r="H55" i="23"/>
  <c r="G55" i="23"/>
  <c r="F55" i="23"/>
  <c r="E55" i="23"/>
  <c r="D55" i="23"/>
  <c r="H48" i="23"/>
  <c r="G48" i="23"/>
  <c r="F48" i="23"/>
  <c r="E48" i="23"/>
  <c r="D48" i="23"/>
  <c r="H41" i="23"/>
  <c r="G41" i="23"/>
  <c r="F41" i="23"/>
  <c r="E41" i="23"/>
  <c r="D41" i="23"/>
  <c r="H31" i="23"/>
  <c r="D28" i="22" s="1"/>
  <c r="E28" i="22" s="1"/>
  <c r="F28" i="22" s="1"/>
  <c r="G28" i="22" s="1"/>
  <c r="G31" i="23"/>
  <c r="F31" i="23"/>
  <c r="E31" i="23"/>
  <c r="D31" i="23"/>
  <c r="H30" i="23"/>
  <c r="G30" i="23"/>
  <c r="F30" i="23"/>
  <c r="E30" i="23"/>
  <c r="H26" i="23"/>
  <c r="G26" i="23"/>
  <c r="F26" i="23"/>
  <c r="E26" i="23"/>
  <c r="D26" i="23"/>
  <c r="H25" i="23"/>
  <c r="G25" i="23"/>
  <c r="F25" i="23"/>
  <c r="E25" i="23"/>
  <c r="D25" i="23"/>
  <c r="H24" i="23"/>
  <c r="G24" i="23"/>
  <c r="F24" i="23"/>
  <c r="E24" i="23"/>
  <c r="D24" i="23"/>
  <c r="H23" i="23"/>
  <c r="G23" i="23"/>
  <c r="F23" i="23"/>
  <c r="E23" i="23"/>
  <c r="D23" i="23"/>
  <c r="B17" i="23"/>
  <c r="H16" i="23"/>
  <c r="G16" i="23"/>
  <c r="F16" i="23"/>
  <c r="E16" i="23"/>
  <c r="D16" i="23"/>
  <c r="B16" i="23"/>
  <c r="B14" i="23"/>
  <c r="H13" i="23"/>
  <c r="G13" i="23"/>
  <c r="F13" i="23"/>
  <c r="E13" i="23"/>
  <c r="D13" i="23"/>
  <c r="B13" i="23"/>
  <c r="B11" i="23"/>
  <c r="H10" i="23"/>
  <c r="G10" i="23"/>
  <c r="F10" i="23"/>
  <c r="E10" i="23"/>
  <c r="D10" i="23"/>
  <c r="B10" i="23"/>
  <c r="H9" i="23"/>
  <c r="G9" i="23"/>
  <c r="F9" i="23"/>
  <c r="E9" i="23"/>
  <c r="D9" i="23"/>
  <c r="B9" i="23"/>
  <c r="B7" i="23"/>
  <c r="H6" i="23"/>
  <c r="G6" i="23"/>
  <c r="F6" i="23"/>
  <c r="E6" i="23"/>
  <c r="D6" i="23"/>
  <c r="B6" i="23"/>
  <c r="H5" i="23"/>
  <c r="G5" i="23"/>
  <c r="F5" i="23"/>
  <c r="E5" i="23"/>
  <c r="D5" i="23"/>
  <c r="B5" i="23"/>
  <c r="I40" i="23" l="1"/>
  <c r="H32" i="23"/>
  <c r="I32" i="23" s="1"/>
  <c r="C18" i="19"/>
  <c r="G40" i="24"/>
  <c r="F31" i="24"/>
  <c r="F36" i="24" s="1"/>
  <c r="I30" i="23"/>
  <c r="I59" i="23"/>
  <c r="I55" i="23"/>
  <c r="I31" i="23"/>
  <c r="I58" i="23"/>
  <c r="I47" i="23"/>
  <c r="I48" i="23"/>
  <c r="F54" i="24" l="1"/>
  <c r="F40" i="24"/>
  <c r="E38" i="22"/>
  <c r="F38" i="22" s="1"/>
  <c r="G38" i="22" s="1"/>
  <c r="E33" i="22"/>
  <c r="F33" i="22" s="1"/>
  <c r="G33" i="22" s="1"/>
  <c r="E32" i="22"/>
  <c r="B2" i="20"/>
  <c r="E34" i="22"/>
  <c r="F34" i="22" s="1"/>
  <c r="G34" i="22" s="1"/>
  <c r="B31" i="18"/>
  <c r="B26" i="18"/>
  <c r="E19" i="22"/>
  <c r="B20" i="18"/>
  <c r="C8" i="18"/>
  <c r="C20" i="18" s="1"/>
  <c r="C26" i="18" s="1"/>
  <c r="C31" i="18" s="1"/>
  <c r="B12" i="18"/>
  <c r="B8" i="18"/>
  <c r="G3" i="18"/>
  <c r="G8" i="18" s="1"/>
  <c r="G20" i="18" s="1"/>
  <c r="G26" i="18" s="1"/>
  <c r="G31" i="18" s="1"/>
  <c r="D3" i="18"/>
  <c r="D8" i="18" s="1"/>
  <c r="D20" i="18" s="1"/>
  <c r="D26" i="18" s="1"/>
  <c r="D31" i="18" s="1"/>
  <c r="E3" i="18"/>
  <c r="E8" i="18" s="1"/>
  <c r="E20" i="18" s="1"/>
  <c r="E26" i="18" s="1"/>
  <c r="E31" i="18" s="1"/>
  <c r="F3" i="18"/>
  <c r="F8" i="18" s="1"/>
  <c r="F20" i="18" s="1"/>
  <c r="F26" i="18" s="1"/>
  <c r="F31" i="18" s="1"/>
  <c r="B3" i="18"/>
  <c r="B61" i="22"/>
  <c r="B56" i="22"/>
  <c r="B49" i="22"/>
  <c r="B45" i="22"/>
  <c r="B50" i="18" s="1"/>
  <c r="D58" i="22"/>
  <c r="E11" i="22"/>
  <c r="E21" i="22" s="1"/>
  <c r="E26" i="22" s="1"/>
  <c r="E31" i="22" s="1"/>
  <c r="E45" i="22" s="1"/>
  <c r="F11" i="22"/>
  <c r="F21" i="22" s="1"/>
  <c r="F26" i="22" s="1"/>
  <c r="F31" i="22" s="1"/>
  <c r="F45" i="22" s="1"/>
  <c r="G11" i="22"/>
  <c r="G21" i="22" s="1"/>
  <c r="G26" i="22" s="1"/>
  <c r="G31" i="22" s="1"/>
  <c r="G45" i="22" s="1"/>
  <c r="D11" i="22"/>
  <c r="D21" i="22" s="1"/>
  <c r="D26" i="22" s="1"/>
  <c r="D31" i="22" s="1"/>
  <c r="D45" i="22" s="1"/>
  <c r="E4" i="20"/>
  <c r="E5" i="21" s="1"/>
  <c r="F4" i="20"/>
  <c r="F5" i="21" s="1"/>
  <c r="G4" i="20"/>
  <c r="G4" i="19" s="1"/>
  <c r="D4" i="20"/>
  <c r="D5" i="21" s="1"/>
  <c r="B6" i="20"/>
  <c r="B7" i="20"/>
  <c r="B8" i="20"/>
  <c r="B11" i="20"/>
  <c r="B12" i="20"/>
  <c r="B13" i="20"/>
  <c r="B15" i="20"/>
  <c r="B16" i="20"/>
  <c r="B18" i="20"/>
  <c r="B19" i="20"/>
  <c r="B4" i="20"/>
  <c r="E41" i="24" l="1"/>
  <c r="E33" i="18"/>
  <c r="E32" i="18"/>
  <c r="F32" i="22"/>
  <c r="F32" i="18" s="1"/>
  <c r="F50" i="18"/>
  <c r="F55" i="18" s="1"/>
  <c r="F61" i="18" s="1"/>
  <c r="F67" i="18" s="1"/>
  <c r="F76" i="18" s="1"/>
  <c r="F81" i="18" s="1"/>
  <c r="F93" i="18" s="1"/>
  <c r="F101" i="18" s="1"/>
  <c r="F107" i="18" s="1"/>
  <c r="E50" i="18"/>
  <c r="E55" i="18" s="1"/>
  <c r="E61" i="18" s="1"/>
  <c r="E67" i="18" s="1"/>
  <c r="E76" i="18" s="1"/>
  <c r="E81" i="18" s="1"/>
  <c r="E93" i="18" s="1"/>
  <c r="E101" i="18" s="1"/>
  <c r="E107" i="18" s="1"/>
  <c r="D50" i="18"/>
  <c r="D55" i="18" s="1"/>
  <c r="D61" i="18" s="1"/>
  <c r="D67" i="18" s="1"/>
  <c r="D76" i="18" s="1"/>
  <c r="D81" i="18" s="1"/>
  <c r="D93" i="18" s="1"/>
  <c r="D101" i="18" s="1"/>
  <c r="D107" i="18" s="1"/>
  <c r="C50" i="18"/>
  <c r="C55" i="18" s="1"/>
  <c r="C61" i="18" s="1"/>
  <c r="C67" i="18" s="1"/>
  <c r="C76" i="18" s="1"/>
  <c r="C81" i="18" s="1"/>
  <c r="C93" i="18" s="1"/>
  <c r="C101" i="18" s="1"/>
  <c r="C107" i="18" s="1"/>
  <c r="G50" i="18"/>
  <c r="G55" i="18" s="1"/>
  <c r="G61" i="18" s="1"/>
  <c r="G67" i="18" s="1"/>
  <c r="G76" i="18" s="1"/>
  <c r="G81" i="18" s="1"/>
  <c r="G93" i="18" s="1"/>
  <c r="G101" i="18" s="1"/>
  <c r="G107" i="18" s="1"/>
  <c r="F19" i="22"/>
  <c r="G49" i="22"/>
  <c r="G56" i="22" s="1"/>
  <c r="G61" i="22" s="1"/>
  <c r="G28" i="24"/>
  <c r="G39" i="24" s="1"/>
  <c r="G52" i="24" s="1"/>
  <c r="G66" i="24" s="1"/>
  <c r="F28" i="24"/>
  <c r="F39" i="24" s="1"/>
  <c r="F52" i="24" s="1"/>
  <c r="F66" i="24" s="1"/>
  <c r="F49" i="22"/>
  <c r="F56" i="22" s="1"/>
  <c r="F61" i="22" s="1"/>
  <c r="E49" i="22"/>
  <c r="E56" i="22" s="1"/>
  <c r="E61" i="22" s="1"/>
  <c r="E28" i="24"/>
  <c r="E39" i="24" s="1"/>
  <c r="E52" i="24" s="1"/>
  <c r="E66" i="24" s="1"/>
  <c r="D49" i="22"/>
  <c r="D56" i="22" s="1"/>
  <c r="D61" i="22" s="1"/>
  <c r="D28" i="24"/>
  <c r="D39" i="24" s="1"/>
  <c r="D52" i="24" s="1"/>
  <c r="D66" i="24" s="1"/>
  <c r="E58" i="22"/>
  <c r="D63" i="18"/>
  <c r="D65" i="18" s="1"/>
  <c r="F4" i="19"/>
  <c r="G5" i="21"/>
  <c r="E4" i="19"/>
  <c r="D4" i="19"/>
  <c r="D5" i="18"/>
  <c r="F41" i="24" l="1"/>
  <c r="F33" i="18"/>
  <c r="D6" i="20" a="1"/>
  <c r="D6" i="20" s="1"/>
  <c r="D14" i="18"/>
  <c r="D11" i="19" s="1" a="1"/>
  <c r="D11" i="19" s="1"/>
  <c r="D15" i="18"/>
  <c r="D30" i="19" s="1" a="1"/>
  <c r="D30" i="19" s="1"/>
  <c r="D43" i="24"/>
  <c r="D44" i="24" s="1"/>
  <c r="D91" i="22"/>
  <c r="D95" i="22" s="1"/>
  <c r="D105" i="22" s="1"/>
  <c r="D111" i="22" s="1"/>
  <c r="D115" i="22" s="1"/>
  <c r="E91" i="22"/>
  <c r="E95" i="22" s="1"/>
  <c r="E105" i="22" s="1"/>
  <c r="E111" i="22" s="1"/>
  <c r="E115" i="22" s="1"/>
  <c r="G91" i="22"/>
  <c r="G95" i="22" s="1"/>
  <c r="G105" i="22" s="1"/>
  <c r="G111" i="22" s="1"/>
  <c r="G115" i="22" s="1"/>
  <c r="F91" i="22"/>
  <c r="F95" i="22" s="1"/>
  <c r="F105" i="22" s="1"/>
  <c r="F111" i="22" s="1"/>
  <c r="F115" i="22" s="1"/>
  <c r="G32" i="22"/>
  <c r="G32" i="18" s="1"/>
  <c r="D9" i="18"/>
  <c r="D28" i="18"/>
  <c r="D10" i="18"/>
  <c r="D12" i="20" s="1" a="1"/>
  <c r="D12" i="20" s="1"/>
  <c r="D21" i="18"/>
  <c r="D11" i="18"/>
  <c r="D11" i="20" s="1" a="1"/>
  <c r="D11" i="20" s="1"/>
  <c r="D27" i="18"/>
  <c r="D38" i="18" s="1"/>
  <c r="D39" i="18" s="1"/>
  <c r="D33" i="19" s="1" a="1"/>
  <c r="D33" i="19" s="1"/>
  <c r="E113" i="24"/>
  <c r="E152" i="24" s="1"/>
  <c r="E86" i="24"/>
  <c r="F113" i="24"/>
  <c r="F152" i="24" s="1"/>
  <c r="F86" i="24"/>
  <c r="G113" i="24"/>
  <c r="G152" i="24" s="1"/>
  <c r="G86" i="24"/>
  <c r="D113" i="24"/>
  <c r="D152" i="24" s="1"/>
  <c r="D86" i="24"/>
  <c r="G19" i="22"/>
  <c r="F58" i="22"/>
  <c r="E63" i="18"/>
  <c r="E5" i="18"/>
  <c r="G41" i="24" l="1"/>
  <c r="G33" i="18"/>
  <c r="D19" i="21" a="1"/>
  <c r="D19" i="21" s="1"/>
  <c r="D40" i="18"/>
  <c r="D16" i="19" a="1"/>
  <c r="D16" i="19" s="1"/>
  <c r="E6" i="20" a="1"/>
  <c r="E6" i="20" s="1"/>
  <c r="D17" i="19" a="1"/>
  <c r="D17" i="19" s="1"/>
  <c r="D9" i="19" a="1"/>
  <c r="D9" i="19" s="1"/>
  <c r="D7" i="20" a="1"/>
  <c r="D7" i="20" s="1"/>
  <c r="D8" i="20" s="1"/>
  <c r="D13" i="20" s="1"/>
  <c r="D13" i="18"/>
  <c r="D12" i="18"/>
  <c r="D17" i="18"/>
  <c r="D12" i="21" s="1" a="1"/>
  <c r="D12" i="21" s="1"/>
  <c r="D16" i="18"/>
  <c r="D11" i="21" s="1" a="1"/>
  <c r="D11" i="21" s="1"/>
  <c r="D29" i="18"/>
  <c r="D15" i="21" s="1" a="1"/>
  <c r="D15" i="21" s="1"/>
  <c r="D16" i="21" s="1"/>
  <c r="E65" i="18"/>
  <c r="D49" i="24"/>
  <c r="E27" i="18"/>
  <c r="E28" i="18"/>
  <c r="E17" i="19" s="1" a="1"/>
  <c r="E17" i="19" s="1"/>
  <c r="D23" i="18"/>
  <c r="D22" i="18"/>
  <c r="D28" i="19" s="1" a="1"/>
  <c r="D28" i="19" s="1"/>
  <c r="G58" i="22"/>
  <c r="G63" i="18" s="1"/>
  <c r="F63" i="18"/>
  <c r="F65" i="18" s="1"/>
  <c r="F43" i="24" s="1"/>
  <c r="G5" i="18"/>
  <c r="F5" i="18"/>
  <c r="D18" i="21" l="1" a="1"/>
  <c r="D18" i="21" s="1"/>
  <c r="D29" i="19" a="1"/>
  <c r="D29" i="19" s="1"/>
  <c r="E16" i="19" a="1"/>
  <c r="E16" i="19" s="1"/>
  <c r="F6" i="20" a="1"/>
  <c r="F6" i="20" s="1"/>
  <c r="G6" i="20" a="1"/>
  <c r="G6" i="20" s="1"/>
  <c r="D10" i="19" a="1"/>
  <c r="D10" i="19" s="1"/>
  <c r="D6" i="21"/>
  <c r="E43" i="24"/>
  <c r="E44" i="24" s="1"/>
  <c r="E49" i="24" s="1"/>
  <c r="D24" i="18"/>
  <c r="D10" i="21" s="1" a="1"/>
  <c r="D10" i="21" s="1"/>
  <c r="F44" i="24"/>
  <c r="F49" i="24" s="1"/>
  <c r="G65" i="18"/>
  <c r="E29" i="18"/>
  <c r="E15" i="21" s="1" a="1"/>
  <c r="E15" i="21" s="1"/>
  <c r="E16" i="21" s="1"/>
  <c r="D60" i="24"/>
  <c r="F27" i="18"/>
  <c r="F28" i="18"/>
  <c r="F17" i="19" s="1" a="1"/>
  <c r="F17" i="19" s="1"/>
  <c r="G27" i="18"/>
  <c r="G28" i="18"/>
  <c r="G17" i="19" s="1" a="1"/>
  <c r="G17" i="19" s="1"/>
  <c r="G16" i="19" l="1" a="1"/>
  <c r="G16" i="19" s="1"/>
  <c r="F16" i="19" a="1"/>
  <c r="F16" i="19" s="1"/>
  <c r="D7" i="21"/>
  <c r="D8" i="21" s="1"/>
  <c r="D13" i="21" s="1"/>
  <c r="E60" i="24"/>
  <c r="G43" i="24"/>
  <c r="G44" i="24" s="1"/>
  <c r="G49" i="24" s="1"/>
  <c r="F60" i="24"/>
  <c r="G29" i="18"/>
  <c r="G15" i="21" s="1" a="1"/>
  <c r="G15" i="21" s="1"/>
  <c r="G16" i="21" s="1"/>
  <c r="F29" i="18"/>
  <c r="F15" i="21" s="1" a="1"/>
  <c r="F15" i="21" s="1"/>
  <c r="F16" i="21" s="1"/>
  <c r="F20" i="17"/>
  <c r="E20" i="17"/>
  <c r="C20" i="17"/>
  <c r="C128" i="23"/>
  <c r="C127" i="23"/>
  <c r="F12" i="17"/>
  <c r="E12" i="17"/>
  <c r="B12" i="17"/>
  <c r="C10" i="17"/>
  <c r="C12" i="17"/>
  <c r="E71" i="23"/>
  <c r="G71" i="23"/>
  <c r="D7" i="23"/>
  <c r="G109" i="23"/>
  <c r="G110" i="23" s="1"/>
  <c r="G105" i="23"/>
  <c r="F71" i="23"/>
  <c r="E7" i="23"/>
  <c r="F7" i="23"/>
  <c r="G7" i="23"/>
  <c r="H7" i="23"/>
  <c r="C31" i="19"/>
  <c r="C125" i="23" l="1"/>
  <c r="C131" i="23" s="1"/>
  <c r="C137" i="23" s="1"/>
  <c r="C124" i="23"/>
  <c r="C130" i="23" s="1"/>
  <c r="C136" i="23" s="1"/>
  <c r="C36" i="26"/>
  <c r="C38" i="19"/>
  <c r="C39" i="26"/>
  <c r="C37" i="26"/>
  <c r="C12" i="19"/>
  <c r="G60" i="24"/>
  <c r="C60" i="24" s="1" a="1"/>
  <c r="C60" i="24" s="1"/>
  <c r="C59" i="24"/>
  <c r="F105" i="23"/>
  <c r="E105" i="23"/>
  <c r="F109" i="23"/>
  <c r="F110" i="23" s="1"/>
  <c r="G113" i="23"/>
  <c r="G75" i="23"/>
  <c r="G106" i="23"/>
  <c r="G107" i="23"/>
  <c r="H105" i="23"/>
  <c r="H71" i="23"/>
  <c r="C70" i="24"/>
  <c r="E83" i="23"/>
  <c r="E78" i="23"/>
  <c r="E88" i="23"/>
  <c r="E81" i="23"/>
  <c r="C146" i="24"/>
  <c r="C169" i="24" s="1"/>
  <c r="C170" i="24" s="1"/>
  <c r="C121" i="24"/>
  <c r="C129" i="24" s="1"/>
  <c r="C142" i="24"/>
  <c r="H109" i="23"/>
  <c r="H110" i="23" s="1"/>
  <c r="E113" i="23"/>
  <c r="E75" i="23"/>
  <c r="C148" i="24"/>
  <c r="H107" i="23"/>
  <c r="H106" i="23"/>
  <c r="D129" i="22"/>
  <c r="C126" i="23"/>
  <c r="C139" i="24"/>
  <c r="C129" i="23"/>
  <c r="D128" i="22"/>
  <c r="F35" i="23"/>
  <c r="F40" i="23"/>
  <c r="F37" i="23"/>
  <c r="G35" i="23"/>
  <c r="E37" i="23"/>
  <c r="E36" i="23"/>
  <c r="E40" i="23"/>
  <c r="E35" i="23"/>
  <c r="G49" i="23"/>
  <c r="D35" i="23"/>
  <c r="D37" i="23"/>
  <c r="D36" i="23"/>
  <c r="D40" i="23"/>
  <c r="D49" i="23"/>
  <c r="E49" i="23"/>
  <c r="F49" i="23"/>
  <c r="E11" i="18"/>
  <c r="E11" i="20" s="1" a="1"/>
  <c r="E11" i="20" s="1"/>
  <c r="D120" i="18" l="1"/>
  <c r="H51" i="23"/>
  <c r="C24" i="26"/>
  <c r="C23" i="26"/>
  <c r="H42" i="23"/>
  <c r="E51" i="23"/>
  <c r="E42" i="23"/>
  <c r="G42" i="23"/>
  <c r="G51" i="23"/>
  <c r="F42" i="23"/>
  <c r="F51" i="23"/>
  <c r="D51" i="23"/>
  <c r="D42" i="23"/>
  <c r="E15" i="19" a="1"/>
  <c r="E15" i="19" s="1"/>
  <c r="E18" i="19" s="1"/>
  <c r="F15" i="19" a="1"/>
  <c r="F15" i="19" s="1"/>
  <c r="F18" i="19" s="1"/>
  <c r="G15" i="19" a="1"/>
  <c r="G15" i="19" s="1"/>
  <c r="G18" i="19" s="1"/>
  <c r="D15" i="19" a="1"/>
  <c r="D15" i="19" s="1"/>
  <c r="D18" i="19" s="1"/>
  <c r="C26" i="26"/>
  <c r="H5" i="26" s="1"/>
  <c r="C21" i="19"/>
  <c r="C21" i="26" s="1"/>
  <c r="C25" i="26"/>
  <c r="C22" i="26"/>
  <c r="E107" i="23"/>
  <c r="E106" i="23"/>
  <c r="C132" i="23"/>
  <c r="G83" i="23"/>
  <c r="G78" i="23"/>
  <c r="F107" i="23"/>
  <c r="F106" i="23"/>
  <c r="C87" i="24"/>
  <c r="C75" i="24"/>
  <c r="H113" i="23"/>
  <c r="H75" i="23"/>
  <c r="F36" i="23"/>
  <c r="F75" i="23"/>
  <c r="F113" i="23"/>
  <c r="E109" i="23"/>
  <c r="E110" i="23" s="1"/>
  <c r="E10" i="18"/>
  <c r="E12" i="20" s="1" a="1"/>
  <c r="E12" i="20" s="1"/>
  <c r="G36" i="23"/>
  <c r="G37" i="23"/>
  <c r="G40" i="23"/>
  <c r="C40" i="19"/>
  <c r="C27" i="26" s="1"/>
  <c r="H6" i="26" s="1"/>
  <c r="H36" i="23"/>
  <c r="I36" i="23" s="1"/>
  <c r="H35" i="23"/>
  <c r="I35" i="23" s="1"/>
  <c r="H40" i="23"/>
  <c r="H37" i="23"/>
  <c r="I37" i="23" s="1"/>
  <c r="H54" i="23"/>
  <c r="H11" i="23"/>
  <c r="D54" i="23"/>
  <c r="D11" i="23"/>
  <c r="F17" i="23"/>
  <c r="F11" i="23"/>
  <c r="F54" i="23"/>
  <c r="G11" i="23"/>
  <c r="G54" i="23"/>
  <c r="E54" i="23"/>
  <c r="E11" i="23"/>
  <c r="E22" i="22"/>
  <c r="E21" i="18" s="1"/>
  <c r="E9" i="19" s="1" a="1"/>
  <c r="E9" i="19" s="1"/>
  <c r="E23" i="22"/>
  <c r="E17" i="22"/>
  <c r="F12" i="22"/>
  <c r="E24" i="22"/>
  <c r="E16" i="22"/>
  <c r="E14" i="18" s="1"/>
  <c r="E11" i="19" s="1" a="1"/>
  <c r="E11" i="19" s="1"/>
  <c r="F13" i="22"/>
  <c r="F11" i="18" s="1"/>
  <c r="F11" i="20" s="1" a="1"/>
  <c r="F11" i="20" s="1"/>
  <c r="D17" i="23"/>
  <c r="C52" i="26"/>
  <c r="G17" i="23"/>
  <c r="F14" i="22" l="1"/>
  <c r="I41" i="23"/>
  <c r="H17" i="23"/>
  <c r="C51" i="26"/>
  <c r="C53" i="26"/>
  <c r="E36" i="22"/>
  <c r="E16" i="18"/>
  <c r="E11" i="21" s="1" a="1"/>
  <c r="E11" i="21" s="1"/>
  <c r="C138" i="23"/>
  <c r="D131" i="22"/>
  <c r="D121" i="18" s="1"/>
  <c r="H83" i="23"/>
  <c r="C103" i="24" s="1"/>
  <c r="C106" i="24" s="1"/>
  <c r="C78" i="24"/>
  <c r="H78" i="23"/>
  <c r="G88" i="23"/>
  <c r="G81" i="23"/>
  <c r="F10" i="18"/>
  <c r="F12" i="20" s="1" a="1"/>
  <c r="F12" i="20" s="1"/>
  <c r="F83" i="23"/>
  <c r="F78" i="23"/>
  <c r="E15" i="18"/>
  <c r="E30" i="19" s="1" a="1"/>
  <c r="E30" i="19" s="1"/>
  <c r="D34" i="18"/>
  <c r="D27" i="19" s="1" a="1"/>
  <c r="D27" i="19" s="1"/>
  <c r="E34" i="18"/>
  <c r="E27" i="19" s="1" a="1"/>
  <c r="E27" i="19" s="1"/>
  <c r="I39" i="23"/>
  <c r="I54" i="23"/>
  <c r="H49" i="23"/>
  <c r="I49" i="23" s="1"/>
  <c r="E19" i="23"/>
  <c r="E14" i="23"/>
  <c r="D14" i="23"/>
  <c r="D19" i="23"/>
  <c r="G14" i="23"/>
  <c r="G19" i="23"/>
  <c r="H19" i="23"/>
  <c r="H14" i="23"/>
  <c r="E17" i="23"/>
  <c r="F19" i="23"/>
  <c r="F14" i="23"/>
  <c r="F16" i="22"/>
  <c r="G12" i="22"/>
  <c r="F23" i="22"/>
  <c r="G13" i="22"/>
  <c r="G11" i="18" s="1"/>
  <c r="G11" i="20" s="1" a="1"/>
  <c r="G11" i="20" s="1"/>
  <c r="F24" i="22"/>
  <c r="F17" i="22"/>
  <c r="F22" i="22"/>
  <c r="F21" i="18" s="1"/>
  <c r="F9" i="19" s="1" a="1"/>
  <c r="F9" i="19" s="1"/>
  <c r="C88" i="24" l="1"/>
  <c r="C89" i="24" s="1"/>
  <c r="C94" i="24" s="1"/>
  <c r="C108" i="24" s="1"/>
  <c r="C110" i="24" s="1"/>
  <c r="G14" i="22"/>
  <c r="F36" i="22"/>
  <c r="E38" i="18"/>
  <c r="E39" i="18" s="1"/>
  <c r="E40" i="18" s="1"/>
  <c r="D41" i="18"/>
  <c r="E36" i="18"/>
  <c r="D35" i="18"/>
  <c r="D20" i="21" s="1" a="1"/>
  <c r="D20" i="21" s="1"/>
  <c r="D36" i="18"/>
  <c r="E17" i="18"/>
  <c r="E12" i="21" s="1" a="1"/>
  <c r="E12" i="21" s="1"/>
  <c r="D53" i="24"/>
  <c r="G56" i="24" s="1"/>
  <c r="G57" i="24" s="1"/>
  <c r="C13" i="26"/>
  <c r="E35" i="18"/>
  <c r="E20" i="21" s="1" a="1"/>
  <c r="E20" i="21" s="1"/>
  <c r="D127" i="22"/>
  <c r="C139" i="23"/>
  <c r="C127" i="22" s="1"/>
  <c r="F88" i="23"/>
  <c r="F81" i="23"/>
  <c r="H88" i="23"/>
  <c r="C129" i="22"/>
  <c r="H81" i="23"/>
  <c r="C81" i="24"/>
  <c r="C84" i="24" s="1"/>
  <c r="G10" i="18"/>
  <c r="G12" i="20" s="1" a="1"/>
  <c r="G12" i="20" s="1"/>
  <c r="F14" i="18"/>
  <c r="F11" i="19" s="1" a="1"/>
  <c r="F11" i="19" s="1"/>
  <c r="F15" i="18"/>
  <c r="F30" i="19" s="1" a="1"/>
  <c r="F30" i="19" s="1"/>
  <c r="F34" i="18"/>
  <c r="F27" i="19" s="1" a="1"/>
  <c r="F27" i="19" s="1"/>
  <c r="E9" i="18"/>
  <c r="E7" i="20" s="1" a="1"/>
  <c r="E7" i="20" s="1"/>
  <c r="E8" i="20" s="1"/>
  <c r="E13" i="20" s="1"/>
  <c r="G22" i="22"/>
  <c r="G21" i="18" s="1"/>
  <c r="G9" i="19" s="1" a="1"/>
  <c r="G9" i="19" s="1"/>
  <c r="G24" i="22"/>
  <c r="G17" i="22"/>
  <c r="G23" i="22"/>
  <c r="G16" i="22"/>
  <c r="C131" i="22" l="1"/>
  <c r="C132" i="22" s="1"/>
  <c r="C117" i="18" s="1"/>
  <c r="C121" i="18" s="1"/>
  <c r="C154" i="24" s="1"/>
  <c r="C120" i="18"/>
  <c r="E18" i="21" a="1"/>
  <c r="E18" i="21" s="1"/>
  <c r="E29" i="19" a="1"/>
  <c r="E29" i="19" s="1"/>
  <c r="E33" i="19" a="1"/>
  <c r="E33" i="19" s="1"/>
  <c r="E19" i="21" a="1"/>
  <c r="E19" i="21" s="1"/>
  <c r="G36" i="22"/>
  <c r="G38" i="18" s="1"/>
  <c r="G39" i="18" s="1"/>
  <c r="G41" i="18" s="1"/>
  <c r="F38" i="18"/>
  <c r="F39" i="18" s="1"/>
  <c r="F41" i="18" s="1"/>
  <c r="E41" i="18"/>
  <c r="E15" i="20" s="1" a="1"/>
  <c r="E15" i="20" s="1"/>
  <c r="F56" i="24"/>
  <c r="F57" i="24" s="1"/>
  <c r="F36" i="18"/>
  <c r="E56" i="24"/>
  <c r="E57" i="24" s="1"/>
  <c r="D56" i="24"/>
  <c r="D57" i="24" s="1"/>
  <c r="E6" i="21"/>
  <c r="F35" i="18"/>
  <c r="F20" i="21" s="1" a="1"/>
  <c r="F20" i="21" s="1"/>
  <c r="F17" i="18"/>
  <c r="F12" i="21" s="1" a="1"/>
  <c r="F12" i="21" s="1"/>
  <c r="E15" i="26"/>
  <c r="F15" i="26"/>
  <c r="G15" i="26"/>
  <c r="D15" i="26"/>
  <c r="F16" i="18"/>
  <c r="F11" i="21" s="1" a="1"/>
  <c r="F11" i="21" s="1"/>
  <c r="G15" i="18"/>
  <c r="G30" i="19" s="1" a="1"/>
  <c r="G30" i="19" s="1"/>
  <c r="G14" i="18"/>
  <c r="G11" i="19" s="1" a="1"/>
  <c r="G11" i="19" s="1"/>
  <c r="E13" i="18"/>
  <c r="E12" i="18"/>
  <c r="E23" i="18"/>
  <c r="E10" i="19" s="1" a="1"/>
  <c r="E10" i="19" s="1"/>
  <c r="E22" i="18"/>
  <c r="E28" i="19" s="1" a="1"/>
  <c r="E28" i="19" s="1"/>
  <c r="G34" i="18"/>
  <c r="G27" i="19" s="1" a="1"/>
  <c r="G27" i="19" s="1"/>
  <c r="G9" i="18"/>
  <c r="G7" i="20" s="1" a="1"/>
  <c r="G7" i="20" s="1"/>
  <c r="G8" i="20" s="1"/>
  <c r="G13" i="20" s="1"/>
  <c r="F9" i="18"/>
  <c r="F7" i="20" s="1" a="1"/>
  <c r="F7" i="20" s="1"/>
  <c r="F8" i="20" s="1"/>
  <c r="F13" i="20" s="1"/>
  <c r="F15" i="20" l="1" a="1"/>
  <c r="F15" i="20" s="1"/>
  <c r="F21" i="21" s="1"/>
  <c r="F22" i="21" s="1"/>
  <c r="G40" i="18"/>
  <c r="G29" i="19" s="1" a="1"/>
  <c r="G29" i="19" s="1"/>
  <c r="F40" i="18"/>
  <c r="F18" i="21" s="1" a="1"/>
  <c r="F18" i="21" s="1"/>
  <c r="G36" i="18"/>
  <c r="G15" i="20" s="1" a="1"/>
  <c r="G15" i="20" s="1"/>
  <c r="F33" i="19" a="1"/>
  <c r="F33" i="19" s="1"/>
  <c r="F19" i="21" a="1"/>
  <c r="F19" i="21" s="1"/>
  <c r="G33" i="19" a="1"/>
  <c r="G33" i="19" s="1"/>
  <c r="G19" i="21" a="1"/>
  <c r="G19" i="21" s="1"/>
  <c r="E21" i="21"/>
  <c r="E22" i="21" s="1"/>
  <c r="E16" i="20"/>
  <c r="C58" i="24"/>
  <c r="F6" i="21"/>
  <c r="G6" i="21"/>
  <c r="G35" i="18"/>
  <c r="G20" i="21" s="1" a="1"/>
  <c r="G20" i="21" s="1"/>
  <c r="G16" i="18"/>
  <c r="G11" i="21" s="1" a="1"/>
  <c r="G11" i="21" s="1"/>
  <c r="G17" i="18"/>
  <c r="G12" i="21" s="1" a="1"/>
  <c r="G12" i="21" s="1"/>
  <c r="E7" i="21"/>
  <c r="E8" i="21" s="1"/>
  <c r="E24" i="18"/>
  <c r="E10" i="21" s="1" a="1"/>
  <c r="E10" i="21" s="1"/>
  <c r="F157" i="24"/>
  <c r="F159" i="24" s="1"/>
  <c r="G157" i="24"/>
  <c r="E157" i="24"/>
  <c r="E159" i="24" s="1"/>
  <c r="D157" i="24"/>
  <c r="G158" i="24"/>
  <c r="G13" i="18"/>
  <c r="G23" i="18"/>
  <c r="G10" i="19" s="1" a="1"/>
  <c r="G10" i="19" s="1"/>
  <c r="G22" i="18"/>
  <c r="G28" i="19" s="1" a="1"/>
  <c r="G28" i="19" s="1"/>
  <c r="G12" i="18"/>
  <c r="F23" i="18"/>
  <c r="F10" i="19" s="1" a="1"/>
  <c r="F10" i="19" s="1"/>
  <c r="F22" i="18"/>
  <c r="F28" i="19" s="1" a="1"/>
  <c r="F28" i="19" s="1"/>
  <c r="F12" i="18"/>
  <c r="F13" i="18"/>
  <c r="G18" i="21" l="1" a="1"/>
  <c r="G18" i="21" s="1"/>
  <c r="G21" i="21"/>
  <c r="G22" i="21" s="1"/>
  <c r="F29" i="19" a="1"/>
  <c r="F29" i="19" s="1"/>
  <c r="G16" i="20"/>
  <c r="G18" i="20" s="1"/>
  <c r="F16" i="20"/>
  <c r="E18" i="20"/>
  <c r="E19" i="20" s="1"/>
  <c r="E13" i="21"/>
  <c r="G7" i="21"/>
  <c r="G8" i="21" s="1"/>
  <c r="F7" i="21"/>
  <c r="F8" i="21" s="1"/>
  <c r="E31" i="19"/>
  <c r="E34" i="19" s="1"/>
  <c r="F24" i="18"/>
  <c r="F10" i="21" s="1" a="1"/>
  <c r="F10" i="21" s="1"/>
  <c r="G24" i="18"/>
  <c r="G10" i="21" s="1" a="1"/>
  <c r="G10" i="21" s="1"/>
  <c r="G159" i="24"/>
  <c r="G19" i="20" l="1"/>
  <c r="F18" i="20"/>
  <c r="F19" i="20" s="1"/>
  <c r="E25" i="21"/>
  <c r="E27" i="21" s="1"/>
  <c r="F13" i="21"/>
  <c r="G13" i="21"/>
  <c r="E12" i="26"/>
  <c r="E16" i="26" s="1"/>
  <c r="F31" i="19"/>
  <c r="F34" i="19" s="1"/>
  <c r="G25" i="21" l="1"/>
  <c r="G27" i="21" s="1"/>
  <c r="E51" i="26"/>
  <c r="G23" i="26"/>
  <c r="F23" i="26"/>
  <c r="E21" i="20"/>
  <c r="G12" i="26"/>
  <c r="G16" i="26" s="1"/>
  <c r="F12" i="26"/>
  <c r="F16" i="26" s="1"/>
  <c r="E23" i="26"/>
  <c r="E24" i="26"/>
  <c r="E38" i="26"/>
  <c r="D12" i="26"/>
  <c r="D16" i="26" s="1"/>
  <c r="D94" i="24"/>
  <c r="F25" i="21" l="1"/>
  <c r="F27" i="21" s="1"/>
  <c r="C17" i="26"/>
  <c r="F21" i="20"/>
  <c r="F51" i="26"/>
  <c r="G21" i="20"/>
  <c r="G51" i="26"/>
  <c r="F24" i="26"/>
  <c r="F38" i="26"/>
  <c r="G24" i="26"/>
  <c r="G38" i="26"/>
  <c r="G31" i="19"/>
  <c r="G34" i="19" s="1"/>
  <c r="D153" i="24"/>
  <c r="D159" i="24" s="1"/>
  <c r="C160" i="24" s="1"/>
  <c r="C162" i="24" s="1"/>
  <c r="D23" i="26" l="1"/>
  <c r="D101" i="24"/>
  <c r="E101" i="24"/>
  <c r="E106" i="24" s="1"/>
  <c r="E108" i="24" s="1"/>
  <c r="D77" i="24"/>
  <c r="D102" i="24" s="1"/>
  <c r="D139" i="24"/>
  <c r="D142" i="24" s="1"/>
  <c r="D38" i="26" l="1"/>
  <c r="D24" i="26"/>
  <c r="D31" i="19"/>
  <c r="D34" i="19" s="1"/>
  <c r="D103" i="24"/>
  <c r="D78" i="24"/>
  <c r="D15" i="20" a="1"/>
  <c r="D15" i="20" s="1"/>
  <c r="D21" i="21" l="1"/>
  <c r="D16" i="20"/>
  <c r="D80" i="24"/>
  <c r="D81" i="24" s="1"/>
  <c r="D18" i="20" l="1"/>
  <c r="D19" i="20" s="1"/>
  <c r="D84" i="24"/>
  <c r="D83" i="24" s="1"/>
  <c r="D104" i="24" s="1"/>
  <c r="D106" i="24" s="1"/>
  <c r="D108" i="24" s="1"/>
  <c r="D110" i="24" s="1"/>
  <c r="D117" i="24" s="1"/>
  <c r="D22" i="21"/>
  <c r="D25" i="21" s="1"/>
  <c r="D27" i="21" s="1"/>
  <c r="D29" i="21" s="1"/>
  <c r="D121" i="24" l="1"/>
  <c r="D129" i="24" s="1"/>
  <c r="E109" i="24"/>
  <c r="E110" i="24" s="1"/>
  <c r="E117" i="24" s="1"/>
  <c r="D51" i="26"/>
  <c r="D21" i="20"/>
  <c r="D145" i="24"/>
  <c r="F109" i="24" l="1"/>
  <c r="F110" i="24" s="1"/>
  <c r="F117" i="24" s="1"/>
  <c r="E121" i="24"/>
  <c r="E129" i="24" s="1"/>
  <c r="E145" i="24"/>
  <c r="D146" i="24"/>
  <c r="D148" i="24" s="1"/>
  <c r="D37" i="19" a="1"/>
  <c r="D37" i="19" s="1"/>
  <c r="F121" i="24" l="1"/>
  <c r="F129" i="24" s="1"/>
  <c r="G109" i="24"/>
  <c r="G110" i="24" s="1"/>
  <c r="G117" i="24" s="1"/>
  <c r="G121" i="24" s="1"/>
  <c r="G129" i="24" s="1"/>
  <c r="E37" i="19" a="1"/>
  <c r="E37" i="19" s="1"/>
  <c r="D38" i="19"/>
  <c r="D40" i="19" s="1"/>
  <c r="D8" i="19" s="1" a="1"/>
  <c r="D8" i="19" s="1"/>
  <c r="D31" i="21" s="1"/>
  <c r="E146" i="24"/>
  <c r="E148" i="24" s="1"/>
  <c r="F145" i="24"/>
  <c r="D22" i="26" l="1"/>
  <c r="D36" i="26"/>
  <c r="D53" i="26"/>
  <c r="F146" i="24"/>
  <c r="F148" i="24" s="1"/>
  <c r="G145" i="24"/>
  <c r="G146" i="24" s="1"/>
  <c r="G148" i="24" s="1"/>
  <c r="E38" i="19"/>
  <c r="F37" i="19" a="1"/>
  <c r="F37" i="19" s="1"/>
  <c r="E40" i="19" l="1"/>
  <c r="E36" i="26"/>
  <c r="E22" i="26"/>
  <c r="E53" i="26"/>
  <c r="D27" i="26"/>
  <c r="I6" i="26" s="1"/>
  <c r="F38" i="19"/>
  <c r="G37" i="19" a="1"/>
  <c r="G37" i="19" s="1"/>
  <c r="G38" i="19" s="1"/>
  <c r="D12" i="19" l="1"/>
  <c r="E28" i="21" a="1"/>
  <c r="E28" i="21" s="1"/>
  <c r="E29" i="21" s="1"/>
  <c r="G22" i="26"/>
  <c r="G36" i="26"/>
  <c r="G53" i="26"/>
  <c r="G40" i="19"/>
  <c r="F36" i="26"/>
  <c r="F22" i="26"/>
  <c r="F40" i="19"/>
  <c r="F53" i="26"/>
  <c r="E8" i="19" a="1"/>
  <c r="E8" i="19" s="1"/>
  <c r="E27" i="26"/>
  <c r="E31" i="21" l="1"/>
  <c r="F28" i="21" a="1"/>
  <c r="F28" i="21" s="1"/>
  <c r="F29" i="21" s="1"/>
  <c r="E12" i="19"/>
  <c r="F8" i="19" a="1"/>
  <c r="F8" i="19" s="1"/>
  <c r="F27" i="26"/>
  <c r="G8" i="19" a="1"/>
  <c r="G8" i="19" s="1"/>
  <c r="G27" i="26"/>
  <c r="D21" i="19"/>
  <c r="D23" i="19" s="1"/>
  <c r="D39" i="26"/>
  <c r="D37" i="26"/>
  <c r="F31" i="21" l="1"/>
  <c r="G12" i="19"/>
  <c r="G21" i="19" s="1"/>
  <c r="E37" i="26"/>
  <c r="E21" i="19"/>
  <c r="E23" i="19" s="1"/>
  <c r="E39" i="26"/>
  <c r="G28" i="21" a="1"/>
  <c r="G28" i="21" s="1"/>
  <c r="G29" i="21" s="1"/>
  <c r="G31" i="21" s="1"/>
  <c r="F12" i="19"/>
  <c r="D25" i="26"/>
  <c r="D26" i="26"/>
  <c r="I5" i="26" s="1"/>
  <c r="D52" i="26"/>
  <c r="D21" i="26"/>
  <c r="D42" i="19"/>
  <c r="G39" i="26" l="1"/>
  <c r="G37" i="26"/>
  <c r="F39" i="26"/>
  <c r="F21" i="19"/>
  <c r="F23" i="19" s="1"/>
  <c r="F37" i="26"/>
  <c r="E52" i="26"/>
  <c r="E25" i="26"/>
  <c r="E26" i="26"/>
  <c r="E21" i="26"/>
  <c r="E42" i="19"/>
  <c r="G26" i="26"/>
  <c r="G52" i="26"/>
  <c r="G25" i="26"/>
  <c r="G21" i="26"/>
  <c r="G42" i="19"/>
  <c r="G23" i="19" l="1"/>
  <c r="F52" i="26"/>
  <c r="F26" i="26"/>
  <c r="F25" i="26"/>
  <c r="F21" i="26"/>
  <c r="F42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<sst xmlns="http://schemas.openxmlformats.org/spreadsheetml/2006/main" count="620" uniqueCount="379">
  <si>
    <t>Guidelines on how to best use this model</t>
  </si>
  <si>
    <t>This model is divided into 5 parts :</t>
  </si>
  <si>
    <t>N°</t>
  </si>
  <si>
    <t>Sheet Name</t>
  </si>
  <si>
    <t>Description</t>
  </si>
  <si>
    <t>Tab color</t>
  </si>
  <si>
    <t>1.</t>
  </si>
  <si>
    <t xml:space="preserve">Pre-analysis </t>
  </si>
  <si>
    <t>Contains analyses of historical data</t>
  </si>
  <si>
    <t>2.</t>
  </si>
  <si>
    <t>Assumptions</t>
  </si>
  <si>
    <t>Is the input sheet for all assumptions</t>
  </si>
  <si>
    <t>3.</t>
  </si>
  <si>
    <t>Contains all necessary steps &amp; calculations for building each model</t>
  </si>
  <si>
    <t>4.</t>
  </si>
  <si>
    <t>5.</t>
  </si>
  <si>
    <t>Projects</t>
  </si>
  <si>
    <t>Contains all models related to the projects to be undertaken if some conditions are met</t>
  </si>
  <si>
    <t>Steps to follow</t>
  </si>
  <si>
    <t xml:space="preserve"> - Set all assumptions in the assumption sheets to start. You can also adjust text such as dates and firm names in the same sheet and it will update everywhere.</t>
  </si>
  <si>
    <t xml:space="preserve"> - Go to the calculation sheet or other gren tabs to debug if neccesary</t>
  </si>
  <si>
    <t xml:space="preserve"> - Use the dashboard button to select a scenario</t>
  </si>
  <si>
    <t>Common-size P&amp;L</t>
  </si>
  <si>
    <t>Income tax rate</t>
  </si>
  <si>
    <t>WCM</t>
  </si>
  <si>
    <t>Inventory days</t>
  </si>
  <si>
    <t>AR days</t>
  </si>
  <si>
    <t>AP days</t>
  </si>
  <si>
    <t>Cash days of operating expenses</t>
  </si>
  <si>
    <t>Other ratios</t>
  </si>
  <si>
    <t>Compound rate</t>
  </si>
  <si>
    <t>Fixed assets</t>
  </si>
  <si>
    <t>Net PPE to sales</t>
  </si>
  <si>
    <t>Other LT assets to sales</t>
  </si>
  <si>
    <t>Fixed to sales</t>
  </si>
  <si>
    <t>Leverage</t>
  </si>
  <si>
    <t>Sales to asset</t>
  </si>
  <si>
    <t>Debt to total asset</t>
  </si>
  <si>
    <t>Equity multiplier</t>
  </si>
  <si>
    <t>Debt to Sales</t>
  </si>
  <si>
    <t>LT debt / total assets</t>
  </si>
  <si>
    <t>Current portion of LT debt / LT debt</t>
  </si>
  <si>
    <t>EBIT/LT debt</t>
  </si>
  <si>
    <t>Fixed to debt</t>
  </si>
  <si>
    <t>WC to debt</t>
  </si>
  <si>
    <t>(Fixed + Prepaid + Inventory) /LT debt</t>
  </si>
  <si>
    <t>Notes payables / recivables</t>
  </si>
  <si>
    <t>Total liabilities / total assets</t>
  </si>
  <si>
    <t>EBIT to Total assets</t>
  </si>
  <si>
    <t>Coverage</t>
  </si>
  <si>
    <t>Times interest earned (EBIT/INT EXP)</t>
  </si>
  <si>
    <t>Interest exp to total debts</t>
  </si>
  <si>
    <t>Others</t>
  </si>
  <si>
    <t>Prepaid expenses to sales</t>
  </si>
  <si>
    <t>Accrued expenses to sales</t>
  </si>
  <si>
    <t>Growth in debt</t>
  </si>
  <si>
    <t>Tax rate</t>
  </si>
  <si>
    <t>Retention rate</t>
  </si>
  <si>
    <t xml:space="preserve">Fixed assets </t>
  </si>
  <si>
    <t>Equity to assets</t>
  </si>
  <si>
    <t xml:space="preserve">MARKET </t>
  </si>
  <si>
    <t>Risk free rate</t>
  </si>
  <si>
    <t>Risk Premium</t>
  </si>
  <si>
    <t>Average Unlevered Beta</t>
  </si>
  <si>
    <t>Cost of debt</t>
  </si>
  <si>
    <t>Spread</t>
  </si>
  <si>
    <t>Long-term AA Corporate Bonds</t>
  </si>
  <si>
    <t>Long-Term BBB Corporate Bonds</t>
  </si>
  <si>
    <t>Sales</t>
  </si>
  <si>
    <t>FY11</t>
  </si>
  <si>
    <t>FY12</t>
  </si>
  <si>
    <t>FY13</t>
  </si>
  <si>
    <t>FY14</t>
  </si>
  <si>
    <t>FY15</t>
  </si>
  <si>
    <t>Sales growth rate</t>
  </si>
  <si>
    <t>Operating Expenses</t>
  </si>
  <si>
    <t>S&amp;A to sales</t>
  </si>
  <si>
    <t>R&amp;D to sales</t>
  </si>
  <si>
    <t xml:space="preserve">Operating margin </t>
  </si>
  <si>
    <t>Cost of goods sold</t>
  </si>
  <si>
    <t>Marginal inc taxes</t>
  </si>
  <si>
    <t>Working Capital</t>
  </si>
  <si>
    <t xml:space="preserve">Fixed Assets </t>
  </si>
  <si>
    <t>Financing</t>
  </si>
  <si>
    <t>Prime rate</t>
  </si>
  <si>
    <t>Interest margin</t>
  </si>
  <si>
    <t>Notes payables / receivables</t>
  </si>
  <si>
    <t>Show Biz</t>
  </si>
  <si>
    <t>Sales (increment)</t>
  </si>
  <si>
    <t>Sales growth</t>
  </si>
  <si>
    <t>COGS to sale</t>
  </si>
  <si>
    <t>Ads exp to sale</t>
  </si>
  <si>
    <t>G&amp;A in year 1</t>
  </si>
  <si>
    <t>G&amp;A growth</t>
  </si>
  <si>
    <t>Equipment</t>
  </si>
  <si>
    <t>Useful life</t>
  </si>
  <si>
    <t>Salvage value</t>
  </si>
  <si>
    <t>Sell of new stocks</t>
  </si>
  <si>
    <t>Million</t>
  </si>
  <si>
    <t>Market value</t>
  </si>
  <si>
    <t>Stock price</t>
  </si>
  <si>
    <t>Current num. of outstanding shares</t>
  </si>
  <si>
    <t>Capitalization table</t>
  </si>
  <si>
    <t>Owner</t>
  </si>
  <si>
    <t>CEO</t>
  </si>
  <si>
    <t>Other shareholders</t>
  </si>
  <si>
    <t>Num. new shares</t>
  </si>
  <si>
    <t>Price</t>
  </si>
  <si>
    <t>Equity (MV) in millions</t>
  </si>
  <si>
    <t>Number of shares</t>
  </si>
  <si>
    <t>R&amp;D to sale</t>
  </si>
  <si>
    <t>S&amp;A in year 1</t>
  </si>
  <si>
    <t>Cash days of opex</t>
  </si>
  <si>
    <t>Other LT assets</t>
  </si>
  <si>
    <t>Prime</t>
  </si>
  <si>
    <t>Notes payables/AR</t>
  </si>
  <si>
    <t>CAPM</t>
  </si>
  <si>
    <t xml:space="preserve">Unlevered Beta </t>
  </si>
  <si>
    <t>Debt</t>
  </si>
  <si>
    <t>MV Equity</t>
  </si>
  <si>
    <t>PE</t>
  </si>
  <si>
    <t>D/E</t>
  </si>
  <si>
    <t>Levered Beta</t>
  </si>
  <si>
    <t>Cost of Debt</t>
  </si>
  <si>
    <t>Effective interest rate</t>
  </si>
  <si>
    <t>DCF</t>
  </si>
  <si>
    <t>Long-term growth rate</t>
  </si>
  <si>
    <t>Net sales</t>
  </si>
  <si>
    <t>Forecasted sales</t>
  </si>
  <si>
    <t>Cost of good solds</t>
  </si>
  <si>
    <t xml:space="preserve">S&amp;A </t>
  </si>
  <si>
    <t>R&amp;D</t>
  </si>
  <si>
    <t>Total operating expenses</t>
  </si>
  <si>
    <t>Prepaid expenses</t>
  </si>
  <si>
    <t>Accrued expenses</t>
  </si>
  <si>
    <t>Δ prepaid expenses</t>
  </si>
  <si>
    <t>Δ accrued expenses</t>
  </si>
  <si>
    <t>AR</t>
  </si>
  <si>
    <t>AP</t>
  </si>
  <si>
    <t>Inventory</t>
  </si>
  <si>
    <t>Net WC</t>
  </si>
  <si>
    <t>Net PPE</t>
  </si>
  <si>
    <t>Capex</t>
  </si>
  <si>
    <t>Interest rate</t>
  </si>
  <si>
    <t>Taxe rate</t>
  </si>
  <si>
    <t>Notes payables</t>
  </si>
  <si>
    <t>Δ notes payables</t>
  </si>
  <si>
    <t>Interest expenses</t>
  </si>
  <si>
    <t>Total LT debt</t>
  </si>
  <si>
    <t>LT debt</t>
  </si>
  <si>
    <t>Current portion of LT fund</t>
  </si>
  <si>
    <t>Incremental sales</t>
  </si>
  <si>
    <t>Forecasted incr. Sales</t>
  </si>
  <si>
    <t>Operating expenses</t>
  </si>
  <si>
    <t>Operating income</t>
  </si>
  <si>
    <t xml:space="preserve">AR </t>
  </si>
  <si>
    <t xml:space="preserve">Inventory </t>
  </si>
  <si>
    <t>Fixed Assets</t>
  </si>
  <si>
    <t>Depreciation expenses</t>
  </si>
  <si>
    <t>Net Equipment</t>
  </si>
  <si>
    <t xml:space="preserve">R&amp;D </t>
  </si>
  <si>
    <t xml:space="preserve">Cash </t>
  </si>
  <si>
    <t xml:space="preserve">Net PPE </t>
  </si>
  <si>
    <t>Bank debt /total assets</t>
  </si>
  <si>
    <t>Equity</t>
  </si>
  <si>
    <t>Retained earnings</t>
  </si>
  <si>
    <t>WACC</t>
  </si>
  <si>
    <t>Cost of equity</t>
  </si>
  <si>
    <t>Tax</t>
  </si>
  <si>
    <t>Pre-money capitalization table</t>
  </si>
  <si>
    <t># of shares</t>
  </si>
  <si>
    <t>% of shares</t>
  </si>
  <si>
    <t>Owners</t>
  </si>
  <si>
    <t>Other investors</t>
  </si>
  <si>
    <t>Number of new shares</t>
  </si>
  <si>
    <t xml:space="preserve"> NS = OS/(1-RFP) - OS</t>
  </si>
  <si>
    <t>Current price per share</t>
  </si>
  <si>
    <t>Proposed price per share</t>
  </si>
  <si>
    <t>Existing shares</t>
  </si>
  <si>
    <t>Pre-money value (in millions)</t>
  </si>
  <si>
    <t>Post-money value (in millions)</t>
  </si>
  <si>
    <t>Proceeds from sale of equity shares (in Ml)</t>
  </si>
  <si>
    <t>IB</t>
  </si>
  <si>
    <t>Income statement</t>
  </si>
  <si>
    <t>Gross profit</t>
  </si>
  <si>
    <t>Depreciation</t>
  </si>
  <si>
    <t xml:space="preserve">G&amp;A </t>
  </si>
  <si>
    <t>Cashflow statement</t>
  </si>
  <si>
    <t xml:space="preserve">Tax </t>
  </si>
  <si>
    <t xml:space="preserve">  Add depreciation</t>
  </si>
  <si>
    <t>Δ working capital requirement</t>
  </si>
  <si>
    <t>Cash flow from operating activities</t>
  </si>
  <si>
    <t>Capital expenditure</t>
  </si>
  <si>
    <t>Cash flow from investing activities</t>
  </si>
  <si>
    <t xml:space="preserve">Free Cashflow </t>
  </si>
  <si>
    <t>Performance</t>
  </si>
  <si>
    <t>FY0</t>
  </si>
  <si>
    <t>EPS</t>
  </si>
  <si>
    <t>Discount period</t>
  </si>
  <si>
    <t>Discount factors</t>
  </si>
  <si>
    <t>NPVs of CF</t>
  </si>
  <si>
    <t>NPV</t>
  </si>
  <si>
    <t>IRR</t>
  </si>
  <si>
    <t>WACC &lt; IRR</t>
  </si>
  <si>
    <t>Payback</t>
  </si>
  <si>
    <t>Income Statement</t>
  </si>
  <si>
    <t>Net Sales</t>
  </si>
  <si>
    <t>Cost of Goods Sold</t>
  </si>
  <si>
    <t>Gross Profit Margin</t>
  </si>
  <si>
    <t>R&amp;D Expense</t>
  </si>
  <si>
    <t>SG&amp;A Expense</t>
  </si>
  <si>
    <t>Earnings Before Interest &amp; Taxes</t>
  </si>
  <si>
    <t>Interest Expense</t>
  </si>
  <si>
    <t>Earnings Before Income Taxes</t>
  </si>
  <si>
    <t>Income Taxes</t>
  </si>
  <si>
    <t>Net Income</t>
  </si>
  <si>
    <t>Dividend</t>
  </si>
  <si>
    <t>Retained Earnings</t>
  </si>
  <si>
    <t>Cashflow</t>
  </si>
  <si>
    <t xml:space="preserve">  Operating profit before tax</t>
  </si>
  <si>
    <t xml:space="preserve">  tax on operating profit</t>
  </si>
  <si>
    <t>Operating profit after tax</t>
  </si>
  <si>
    <t>Add back depreciation</t>
  </si>
  <si>
    <t>Δ ST debt</t>
  </si>
  <si>
    <t>Δ LT debt</t>
  </si>
  <si>
    <t>Δ notes payable</t>
  </si>
  <si>
    <t>Pre-tax interest payment</t>
  </si>
  <si>
    <t>Tax shields in interest payment</t>
  </si>
  <si>
    <t>dividends paid</t>
  </si>
  <si>
    <t>stock issues/repurchases</t>
  </si>
  <si>
    <t>Cash flow from financing activities</t>
  </si>
  <si>
    <t>Total cash in- and outflows</t>
  </si>
  <si>
    <t>Beginning cash</t>
  </si>
  <si>
    <t>Ending cash</t>
  </si>
  <si>
    <t>Balance Sheet</t>
  </si>
  <si>
    <t>Assets</t>
  </si>
  <si>
    <t>Cash</t>
  </si>
  <si>
    <t>Accounts Receivable</t>
  </si>
  <si>
    <t>Inventories</t>
  </si>
  <si>
    <t>Prepaid Expenses</t>
  </si>
  <si>
    <t xml:space="preserve">  Total Current Assets</t>
  </si>
  <si>
    <t>Current asset growth</t>
  </si>
  <si>
    <t>Net Property &amp; Equipment *</t>
  </si>
  <si>
    <t>Other Long-Term Assets</t>
  </si>
  <si>
    <t xml:space="preserve"> Total Fixed asset </t>
  </si>
  <si>
    <t>Fixed asset growth</t>
  </si>
  <si>
    <t xml:space="preserve">  Total Assets</t>
  </si>
  <si>
    <t xml:space="preserve">  Growth rate of assets</t>
  </si>
  <si>
    <t>Liabilities &amp; Owners' Equity</t>
  </si>
  <si>
    <t>Bank Notes Payable</t>
  </si>
  <si>
    <t>Accounts Payable</t>
  </si>
  <si>
    <t>Current Portion of Long-Term Debt</t>
  </si>
  <si>
    <t>Accrued Expenses</t>
  </si>
  <si>
    <t xml:space="preserve">  Total Current Liabilities</t>
  </si>
  <si>
    <t>Long-Term Debt</t>
  </si>
  <si>
    <t xml:space="preserve">  Total Liabilities</t>
  </si>
  <si>
    <t>Common Stock</t>
  </si>
  <si>
    <t>Retained Earnings (accumulated)</t>
  </si>
  <si>
    <t xml:space="preserve">  Total Shareholder Equity</t>
  </si>
  <si>
    <t>Total Liabilities &amp; Net Worth</t>
  </si>
  <si>
    <t>DCF method</t>
  </si>
  <si>
    <t>FCF</t>
  </si>
  <si>
    <t>Long term growth</t>
  </si>
  <si>
    <t>TV</t>
  </si>
  <si>
    <t>NPVs of FCF</t>
  </si>
  <si>
    <t>Entreprise value</t>
  </si>
  <si>
    <t>Net Debt</t>
  </si>
  <si>
    <t>Equity value</t>
  </si>
  <si>
    <t>Number of shares issued</t>
  </si>
  <si>
    <t>Current share price</t>
  </si>
  <si>
    <t>Transaction value in Million</t>
  </si>
  <si>
    <t>Colorado equity value</t>
  </si>
  <si>
    <t>Goodwill</t>
  </si>
  <si>
    <t>Consolidated statement of cash flows: reconciling the cash balances</t>
  </si>
  <si>
    <t>Δ current portion of LT debt</t>
  </si>
  <si>
    <t>Check Equilibrium</t>
  </si>
  <si>
    <t>Choose a scenario</t>
  </si>
  <si>
    <t>KPI</t>
  </si>
  <si>
    <t>Main company outlook</t>
  </si>
  <si>
    <t>Debt to assets</t>
  </si>
  <si>
    <t>&lt; 55%</t>
  </si>
  <si>
    <t>GOAL</t>
  </si>
  <si>
    <t>Invest in show business</t>
  </si>
  <si>
    <t>&lt; 2,70</t>
  </si>
  <si>
    <t>Sell Shares</t>
  </si>
  <si>
    <t>Investment performance</t>
  </si>
  <si>
    <t xml:space="preserve">Free Cash Flow </t>
  </si>
  <si>
    <t>discount period</t>
  </si>
  <si>
    <t>discount factor</t>
  </si>
  <si>
    <t>PV of FCF</t>
  </si>
  <si>
    <t>Ratios</t>
  </si>
  <si>
    <t>Equity to assets (solvency)</t>
  </si>
  <si>
    <t>Equity/Invested Cap (Fin. Independence)</t>
  </si>
  <si>
    <t>EBITDA/ LT debt (LT repayment capacity)</t>
  </si>
  <si>
    <t>EBITDA/ ST debt (ST repayment capacity)</t>
  </si>
  <si>
    <t>Net fixed assets to assets</t>
  </si>
  <si>
    <t>Woking capital ratios</t>
  </si>
  <si>
    <t>Invested Capital less fixed assets (WC)</t>
  </si>
  <si>
    <t>Current assets less ST payable debts (WC)</t>
  </si>
  <si>
    <t>WC / ST debt payable (safety margin)</t>
  </si>
  <si>
    <t>Current assets / ST  debts (liquidity coef)</t>
  </si>
  <si>
    <t>Profitability</t>
  </si>
  <si>
    <t>Net results/turnover</t>
  </si>
  <si>
    <t>Net results/assets</t>
  </si>
  <si>
    <t>Net results/equity</t>
  </si>
  <si>
    <t>Table 1 - Income Statement ($ in millions except for price per share)</t>
  </si>
  <si>
    <t>Growth rate of sale</t>
  </si>
  <si>
    <t>Price/Earnings Ratio</t>
  </si>
  <si>
    <t>Common Shares Outstanding</t>
  </si>
  <si>
    <t>Table 2 - Balance Sheet ($ in millions)</t>
  </si>
  <si>
    <t>Fixed asset</t>
  </si>
  <si>
    <t>* Net property &amp; equipment for all years is calculated as net property &amp; equipment from the prior year, plus capital expenditures in the same year, minus</t>
  </si>
  <si>
    <t xml:space="preserve">  depreciation expense in the same year.  Depreciation expense is included in reported operating expenses; it is not broken out separately.</t>
  </si>
  <si>
    <t xml:space="preserve"> </t>
  </si>
  <si>
    <t>Dividends Paid</t>
  </si>
  <si>
    <t>Total Current Assets</t>
  </si>
  <si>
    <t>Total Assets</t>
  </si>
  <si>
    <t>Liabilities + Owners' Equity</t>
  </si>
  <si>
    <t>Total Current Liabilities</t>
  </si>
  <si>
    <t>Total Liabilities</t>
  </si>
  <si>
    <t>Total Shareholder Equity</t>
  </si>
  <si>
    <t xml:space="preserve">* Net property &amp; equipment for all years is calculated as net property &amp; equipment from the </t>
  </si>
  <si>
    <t xml:space="preserve">  prior year, plus capital expenditures in the same year, minus depreciation expense in the</t>
  </si>
  <si>
    <t xml:space="preserve">  same year.  Depreciation expense is included in reported operating expenses; it is not</t>
  </si>
  <si>
    <t xml:space="preserve">  broken out separetely.</t>
  </si>
  <si>
    <t>Table 5 - Industry Information</t>
  </si>
  <si>
    <t>Sales revenue (in millions)</t>
  </si>
  <si>
    <t>Net income (in millions)</t>
  </si>
  <si>
    <t>Earnings per share</t>
  </si>
  <si>
    <t>Closing stock price</t>
  </si>
  <si>
    <t>Price/earnings ratio</t>
  </si>
  <si>
    <t>Total liabilities (in millions)</t>
  </si>
  <si>
    <t>Interest-bearing debt (in millions)</t>
  </si>
  <si>
    <t>Book value of equity (in millions)</t>
  </si>
  <si>
    <t>Shares outstanding (in millions)</t>
  </si>
  <si>
    <t>Market value of equity (in millions)</t>
  </si>
  <si>
    <t>Equity beta coefficient</t>
  </si>
  <si>
    <t xml:space="preserve">  income statement information and the May 31, 2011, balance sheet information.</t>
  </si>
  <si>
    <t>Current market interest rates in July of 2011:</t>
  </si>
  <si>
    <t>Long-term U.S. Treasury Bonds</t>
  </si>
  <si>
    <t>Market Risk Premium, S&amp;P 500 vs. Long-term Treasuries</t>
  </si>
  <si>
    <t>Prime Interest Rate</t>
  </si>
  <si>
    <t>Input</t>
  </si>
  <si>
    <t xml:space="preserve">Contains P&amp;L, Cashflow and Balance sheet models respectively </t>
  </si>
  <si>
    <t>Dash</t>
  </si>
  <si>
    <t>Calcul</t>
  </si>
  <si>
    <t>PL, CF, BS</t>
  </si>
  <si>
    <t>Interest increase post merger (in Million)</t>
  </si>
  <si>
    <t xml:space="preserve">&lt; </t>
  </si>
  <si>
    <t xml:space="preserve">Implied dilution % of ownership </t>
  </si>
  <si>
    <t>Noname Co</t>
  </si>
  <si>
    <t>Competitor B</t>
  </si>
  <si>
    <t>Competitor A</t>
  </si>
  <si>
    <t>*Competitor A's fiscal year-end is November 30.  The 2011 data presents the most recent four quarters of</t>
  </si>
  <si>
    <t>** Competitor B's fiscal year-end is May 31.  The 2011 data presents the full 2011 fiscal year.</t>
  </si>
  <si>
    <t>Noname co</t>
  </si>
  <si>
    <t>Target co</t>
  </si>
  <si>
    <t>Earning per share</t>
  </si>
  <si>
    <t>Market Value of Equity (in million)</t>
  </si>
  <si>
    <t>Price per share (in unit)</t>
  </si>
  <si>
    <t>Equiblibrium</t>
  </si>
  <si>
    <t>Equity market value (in million)</t>
  </si>
  <si>
    <t>Purchase offer details</t>
  </si>
  <si>
    <t>D/(E+D)</t>
  </si>
  <si>
    <t>Post-money capitalization table (no anti dilution)</t>
  </si>
  <si>
    <t>Post-money capitalization table (no anti-dilution)</t>
  </si>
  <si>
    <t>Acquire Target co</t>
  </si>
  <si>
    <t>Noname Co was asked to improve its solvence and interest coverage ratio in order for its bank to extend the credit line. The bank requires a leverage ratio lower than 55% and an equity multiplier of less than 2.7</t>
  </si>
  <si>
    <t>Background:</t>
  </si>
  <si>
    <t>Objectif:</t>
  </si>
  <si>
    <t>The objectif is to analyze three investment opportunities which might help Noname co meet this goal: (1) Investment in a TV show porgram to increase sales, (2) Sell additional shares to an IB, (3) Acquire Target co.</t>
  </si>
  <si>
    <t>Contains all KPIs for decision making</t>
  </si>
  <si>
    <t xml:space="preserve">Total fixed </t>
  </si>
  <si>
    <t>PE (required)</t>
  </si>
  <si>
    <t>Noname co, by elie diwambuena</t>
  </si>
  <si>
    <t xml:space="preserve">Please do not share or reproduce this material. </t>
  </si>
  <si>
    <t>Contact me at eliediwa9@gmail.com for any inquiry</t>
  </si>
  <si>
    <t>! You can select a scenario under the "Dash" tab</t>
  </si>
  <si>
    <t>Only use it for the purpose for which you have been given access to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</si>
</sst>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0.0%"/>
    <numFmt numFmtId="165" formatCode="#,##0.0"/>
    <numFmt numFmtId="166" formatCode="&quot;$&quot;#,##0.00"/>
    <numFmt numFmtId="167" formatCode="&quot;$&quot;#,##0.000"/>
    <numFmt numFmtId="168" formatCode="#,##0.000"/>
    <numFmt numFmtId="169" formatCode="h:mm:ss;@"/>
    <numFmt numFmtId="170" formatCode="0.000"/>
    <numFmt numFmtId="171" formatCode="&quot;$&quot;#,##0.0"/>
    <numFmt numFmtId="172" formatCode="0.0"/>
    <numFmt numFmtId="173" formatCode="mm/dd/yy;@"/>
    <numFmt numFmtId="174" formatCode="&quot;$&quot;#,##0.00000"/>
    <numFmt numFmtId="175" formatCode="0.000_ ;[Red]\-0.000\ "/>
    <numFmt numFmtId="176" formatCode="0.00_);\(0.00\)"/>
    <numFmt numFmtId="177" formatCode="0.0000"/>
    <numFmt numFmtId="178" formatCode="0.000_);\(0.000\)"/>
    <numFmt numFmtId="179" formatCode="_ * #,##0.0_ ;_ * \-#,##0.0_ ;_ * &quot;-&quot;?_ ;_ @_ "/>
    <numFmt numFmtId="180" formatCode="[$€-2]\ #,##0_);\([$€-2]\ #,##0\)"/>
    <numFmt numFmtId="181" formatCode="0.00_ ;[Red]\-0.00\ "/>
    <numFmt numFmtId="182" formatCode="#,##0.00000000"/>
  </numFmts>
  <fonts count="39" x14ac:knownFonts="1">
    <font>
      <sz val="8"/>
      <name val="Arial"/>
    </font>
    <font>
      <sz val="12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rgb="FFA6A6A6"/>
      <name val="Arial"/>
      <family val="2"/>
    </font>
    <font>
      <sz val="12"/>
      <color rgb="FF000000"/>
      <name val="Arial"/>
      <family val="2"/>
    </font>
    <font>
      <b/>
      <sz val="16"/>
      <name val="Arial"/>
      <family val="2"/>
    </font>
    <font>
      <sz val="12"/>
      <color theme="0" tint="-0.249977111117893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name val="Garamond"/>
      <family val="1"/>
    </font>
    <font>
      <u/>
      <sz val="14"/>
      <name val="Arial"/>
      <family val="2"/>
    </font>
    <font>
      <sz val="8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2"/>
      <color rgb="FFC00000"/>
      <name val="Arial"/>
      <family val="2"/>
    </font>
    <font>
      <sz val="11"/>
      <color rgb="FF444444"/>
      <name val="Calibri"/>
      <family val="2"/>
      <charset val="1"/>
    </font>
    <font>
      <sz val="12"/>
      <color rgb="FFFF0000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rgb="FFFFFFFF"/>
      <name val="Arial"/>
      <family val="2"/>
    </font>
    <font>
      <sz val="10"/>
      <color theme="6" tint="0.59999389629810485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theme="8" tint="0.79998168889431442"/>
      <name val="Arial"/>
      <family val="2"/>
    </font>
    <font>
      <b/>
      <sz val="10"/>
      <color rgb="FF203764"/>
      <name val="Arial"/>
      <family val="2"/>
    </font>
    <font>
      <b/>
      <sz val="10"/>
      <color theme="1"/>
      <name val="Arial"/>
      <family val="2"/>
    </font>
    <font>
      <b/>
      <sz val="12"/>
      <color theme="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A6B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C05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indexed="64"/>
      </right>
      <top style="thin">
        <color rgb="FFFFFFFF"/>
      </top>
      <bottom/>
      <diagonal/>
    </border>
    <border>
      <left style="thin">
        <color rgb="FFFFFFFF"/>
      </left>
      <right style="thin">
        <color indexed="64"/>
      </right>
      <top/>
      <bottom style="thin">
        <color rgb="FFFFFFFF"/>
      </bottom>
      <diagonal/>
    </border>
  </borders>
  <cellStyleXfs count="6">
    <xf numFmtId="0" fontId="0" fillId="0" borderId="0" applyBorder="0" applyProtection="0">
      <alignment vertical="top" wrapText="1"/>
      <protection locked="0"/>
    </xf>
    <xf numFmtId="0" fontId="2" fillId="0" borderId="0" applyBorder="0" applyProtection="0">
      <alignment vertical="top" wrapText="1"/>
      <protection locked="0"/>
    </xf>
    <xf numFmtId="9" fontId="9" fillId="0" borderId="0" applyFont="0" applyFill="0" applyBorder="0" applyAlignment="0" applyProtection="0"/>
    <xf numFmtId="0" fontId="6" fillId="0" borderId="0"/>
    <xf numFmtId="0" fontId="1" fillId="0" borderId="0"/>
    <xf numFmtId="9" fontId="1" fillId="0" borderId="0" applyFont="0" applyFill="0" applyBorder="0" applyAlignment="0" applyProtection="0"/>
  </cellStyleXfs>
  <cellXfs count="358">
    <xf numFmtId="0" fontId="0" fillId="0" borderId="0" xfId="0">
      <alignment vertical="top" wrapText="1"/>
      <protection locked="0"/>
    </xf>
    <xf numFmtId="179" fontId="0" fillId="2" borderId="0" xfId="0" applyNumberFormat="1" applyFill="1" applyBorder="1" applyAlignment="1" applyProtection="1"/>
    <xf numFmtId="0" fontId="0" fillId="2" borderId="0" xfId="0" applyFill="1" applyBorder="1" applyAlignment="1" applyProtection="1"/>
    <xf numFmtId="0" fontId="17" fillId="2" borderId="9" xfId="0" applyFont="1" applyFill="1" applyBorder="1" applyAlignment="1" applyProtection="1">
      <alignment horizontal="right"/>
    </xf>
    <xf numFmtId="0" fontId="19" fillId="2" borderId="0" xfId="0" applyFont="1" applyFill="1" applyBorder="1" applyAlignment="1" applyProtection="1"/>
    <xf numFmtId="0" fontId="20" fillId="2" borderId="0" xfId="0" applyFont="1" applyFill="1" applyAlignment="1" applyProtection="1">
      <alignment vertical="top"/>
    </xf>
    <xf numFmtId="0" fontId="10" fillId="2" borderId="0" xfId="0" applyFont="1" applyFill="1" applyProtection="1">
      <alignment vertical="top" wrapText="1"/>
    </xf>
    <xf numFmtId="0" fontId="10" fillId="2" borderId="0" xfId="0" applyFont="1" applyFill="1" applyAlignment="1" applyProtection="1">
      <alignment vertical="top"/>
    </xf>
    <xf numFmtId="0" fontId="10" fillId="2" borderId="9" xfId="0" applyFont="1" applyFill="1" applyBorder="1" applyProtection="1">
      <alignment vertical="top" wrapText="1"/>
    </xf>
    <xf numFmtId="0" fontId="10" fillId="2" borderId="9" xfId="0" quotePrefix="1" applyFont="1" applyFill="1" applyBorder="1" applyProtection="1">
      <alignment vertical="top" wrapText="1"/>
    </xf>
    <xf numFmtId="0" fontId="10" fillId="2" borderId="9" xfId="0" applyFont="1" applyFill="1" applyBorder="1" applyAlignment="1" applyProtection="1">
      <alignment vertical="top"/>
    </xf>
    <xf numFmtId="0" fontId="10" fillId="18" borderId="9" xfId="0" applyFont="1" applyFill="1" applyBorder="1" applyProtection="1">
      <alignment vertical="top" wrapText="1"/>
    </xf>
    <xf numFmtId="0" fontId="10" fillId="9" borderId="9" xfId="0" applyFont="1" applyFill="1" applyBorder="1" applyProtection="1">
      <alignment vertical="top" wrapText="1"/>
    </xf>
    <xf numFmtId="0" fontId="10" fillId="10" borderId="9" xfId="0" applyFont="1" applyFill="1" applyBorder="1" applyProtection="1">
      <alignment vertical="top" wrapText="1"/>
    </xf>
    <xf numFmtId="0" fontId="10" fillId="11" borderId="9" xfId="0" applyFont="1" applyFill="1" applyBorder="1" applyProtection="1">
      <alignment vertical="top" wrapText="1"/>
    </xf>
    <xf numFmtId="0" fontId="10" fillId="17" borderId="9" xfId="0" applyFont="1" applyFill="1" applyBorder="1" applyProtection="1">
      <alignment vertical="top" wrapText="1"/>
    </xf>
    <xf numFmtId="0" fontId="10" fillId="2" borderId="0" xfId="0" applyFont="1" applyFill="1" applyAlignment="1" applyProtection="1">
      <alignment horizontal="left" vertical="top" wrapText="1"/>
    </xf>
    <xf numFmtId="0" fontId="10" fillId="2" borderId="0" xfId="0" applyFont="1" applyFill="1" applyAlignment="1" applyProtection="1">
      <alignment horizontal="left" vertical="top"/>
    </xf>
    <xf numFmtId="0" fontId="8" fillId="7" borderId="0" xfId="0" applyFont="1" applyFill="1" applyProtection="1">
      <alignment vertical="top" wrapText="1"/>
    </xf>
    <xf numFmtId="0" fontId="10" fillId="0" borderId="0" xfId="0" applyFont="1" applyProtection="1">
      <alignment vertical="top" wrapText="1"/>
    </xf>
    <xf numFmtId="0" fontId="10" fillId="2" borderId="7" xfId="0" applyFont="1" applyFill="1" applyBorder="1" applyAlignment="1" applyProtection="1">
      <alignment vertical="top"/>
    </xf>
    <xf numFmtId="0" fontId="10" fillId="2" borderId="6" xfId="0" applyFont="1" applyFill="1" applyBorder="1" applyAlignment="1" applyProtection="1">
      <alignment vertical="top"/>
    </xf>
    <xf numFmtId="173" fontId="11" fillId="2" borderId="7" xfId="1" applyNumberFormat="1" applyFont="1" applyFill="1" applyBorder="1" applyAlignment="1" applyProtection="1">
      <alignment horizontal="center" vertical="center"/>
    </xf>
    <xf numFmtId="10" fontId="10" fillId="2" borderId="0" xfId="0" applyNumberFormat="1" applyFont="1" applyFill="1" applyBorder="1" applyAlignment="1" applyProtection="1">
      <alignment vertical="top"/>
    </xf>
    <xf numFmtId="0" fontId="10" fillId="2" borderId="0" xfId="0" applyFont="1" applyFill="1" applyBorder="1" applyAlignment="1" applyProtection="1">
      <alignment vertical="top"/>
    </xf>
    <xf numFmtId="10" fontId="10" fillId="2" borderId="7" xfId="0" applyNumberFormat="1" applyFont="1" applyFill="1" applyBorder="1" applyAlignment="1" applyProtection="1">
      <alignment vertical="top"/>
    </xf>
    <xf numFmtId="10" fontId="10" fillId="2" borderId="0" xfId="0" applyNumberFormat="1" applyFont="1" applyFill="1" applyAlignment="1" applyProtection="1">
      <alignment vertical="top"/>
    </xf>
    <xf numFmtId="164" fontId="10" fillId="2" borderId="0" xfId="2" applyNumberFormat="1" applyFont="1" applyFill="1" applyAlignment="1" applyProtection="1">
      <alignment vertical="top"/>
    </xf>
    <xf numFmtId="0" fontId="11" fillId="2" borderId="7" xfId="0" applyFont="1" applyFill="1" applyBorder="1" applyAlignment="1" applyProtection="1">
      <alignment vertical="top"/>
    </xf>
    <xf numFmtId="2" fontId="10" fillId="2" borderId="0" xfId="0" applyNumberFormat="1" applyFont="1" applyFill="1" applyAlignment="1" applyProtection="1">
      <alignment vertical="top"/>
    </xf>
    <xf numFmtId="0" fontId="10" fillId="2" borderId="17" xfId="0" applyFont="1" applyFill="1" applyBorder="1" applyProtection="1">
      <alignment vertical="top" wrapText="1"/>
    </xf>
    <xf numFmtId="0" fontId="11" fillId="2" borderId="0" xfId="0" applyFont="1" applyFill="1" applyAlignment="1" applyProtection="1">
      <alignment vertical="top"/>
    </xf>
    <xf numFmtId="0" fontId="10" fillId="2" borderId="18" xfId="0" applyFont="1" applyFill="1" applyBorder="1" applyProtection="1">
      <alignment vertical="top" wrapText="1"/>
    </xf>
    <xf numFmtId="164" fontId="10" fillId="2" borderId="18" xfId="2" applyNumberFormat="1" applyFont="1" applyFill="1" applyBorder="1" applyAlignment="1" applyProtection="1">
      <alignment vertical="top" wrapText="1"/>
    </xf>
    <xf numFmtId="10" fontId="10" fillId="2" borderId="0" xfId="2" applyNumberFormat="1" applyFont="1" applyFill="1" applyAlignment="1" applyProtection="1">
      <alignment vertical="top"/>
    </xf>
    <xf numFmtId="0" fontId="11" fillId="2" borderId="3" xfId="0" applyFont="1" applyFill="1" applyBorder="1" applyAlignment="1" applyProtection="1">
      <alignment vertical="top"/>
    </xf>
    <xf numFmtId="0" fontId="10" fillId="2" borderId="3" xfId="0" applyFont="1" applyFill="1" applyBorder="1" applyAlignment="1" applyProtection="1">
      <alignment vertical="top"/>
    </xf>
    <xf numFmtId="0" fontId="10" fillId="13" borderId="0" xfId="0" applyFont="1" applyFill="1" applyAlignment="1" applyProtection="1">
      <alignment vertical="top"/>
    </xf>
    <xf numFmtId="164" fontId="10" fillId="13" borderId="0" xfId="2" applyNumberFormat="1" applyFont="1" applyFill="1" applyAlignment="1" applyProtection="1">
      <alignment vertical="top"/>
    </xf>
    <xf numFmtId="164" fontId="10" fillId="2" borderId="0" xfId="2" applyNumberFormat="1" applyFont="1" applyFill="1" applyAlignment="1" applyProtection="1">
      <alignment vertical="top" wrapText="1"/>
    </xf>
    <xf numFmtId="0" fontId="11" fillId="2" borderId="0" xfId="0" applyFont="1" applyFill="1" applyProtection="1">
      <alignment vertical="top" wrapText="1"/>
    </xf>
    <xf numFmtId="10" fontId="11" fillId="2" borderId="0" xfId="2" applyNumberFormat="1" applyFont="1" applyFill="1" applyAlignment="1" applyProtection="1">
      <alignment vertical="top" wrapText="1"/>
    </xf>
    <xf numFmtId="164" fontId="10" fillId="2" borderId="3" xfId="0" applyNumberFormat="1" applyFont="1" applyFill="1" applyBorder="1" applyAlignment="1" applyProtection="1">
      <alignment vertical="top"/>
    </xf>
    <xf numFmtId="164" fontId="10" fillId="2" borderId="19" xfId="2" applyNumberFormat="1" applyFont="1" applyFill="1" applyBorder="1" applyAlignment="1" applyProtection="1">
      <alignment vertical="top" wrapText="1"/>
    </xf>
    <xf numFmtId="164" fontId="10" fillId="2" borderId="0" xfId="2" applyNumberFormat="1" applyFont="1" applyFill="1" applyBorder="1" applyAlignment="1" applyProtection="1">
      <alignment vertical="top" wrapText="1"/>
    </xf>
    <xf numFmtId="10" fontId="10" fillId="2" borderId="0" xfId="2" applyNumberFormat="1" applyFont="1" applyFill="1" applyBorder="1" applyAlignment="1" applyProtection="1">
      <alignment vertical="top"/>
    </xf>
    <xf numFmtId="164" fontId="10" fillId="2" borderId="0" xfId="2" applyNumberFormat="1" applyFont="1" applyFill="1" applyBorder="1" applyAlignment="1" applyProtection="1">
      <alignment vertical="top"/>
    </xf>
    <xf numFmtId="0" fontId="8" fillId="3" borderId="3" xfId="0" applyFont="1" applyFill="1" applyBorder="1" applyProtection="1">
      <alignment vertical="top" wrapText="1"/>
    </xf>
    <xf numFmtId="0" fontId="10" fillId="2" borderId="3" xfId="0" applyFont="1" applyFill="1" applyBorder="1" applyProtection="1">
      <alignment vertical="top" wrapText="1"/>
    </xf>
    <xf numFmtId="173" fontId="11" fillId="2" borderId="3" xfId="1" applyNumberFormat="1" applyFont="1" applyFill="1" applyBorder="1" applyAlignment="1" applyProtection="1">
      <alignment horizontal="right" vertical="center"/>
    </xf>
    <xf numFmtId="10" fontId="10" fillId="2" borderId="0" xfId="2" applyNumberFormat="1" applyFont="1" applyFill="1" applyAlignment="1" applyProtection="1">
      <alignment vertical="top" wrapText="1"/>
    </xf>
    <xf numFmtId="0" fontId="10" fillId="2" borderId="0" xfId="0" applyFont="1" applyFill="1" applyBorder="1" applyProtection="1">
      <alignment vertical="top" wrapText="1"/>
    </xf>
    <xf numFmtId="0" fontId="11" fillId="2" borderId="3" xfId="0" applyFont="1" applyFill="1" applyBorder="1" applyProtection="1">
      <alignment vertical="top" wrapText="1"/>
    </xf>
    <xf numFmtId="172" fontId="10" fillId="2" borderId="0" xfId="0" applyNumberFormat="1" applyFont="1" applyFill="1" applyProtection="1">
      <alignment vertical="top" wrapText="1"/>
    </xf>
    <xf numFmtId="177" fontId="10" fillId="2" borderId="0" xfId="0" applyNumberFormat="1" applyFont="1" applyFill="1" applyProtection="1">
      <alignment vertical="top" wrapText="1"/>
    </xf>
    <xf numFmtId="164" fontId="10" fillId="2" borderId="0" xfId="0" applyNumberFormat="1" applyFont="1" applyFill="1" applyProtection="1">
      <alignment vertical="top" wrapText="1"/>
    </xf>
    <xf numFmtId="2" fontId="10" fillId="2" borderId="0" xfId="0" applyNumberFormat="1" applyFont="1" applyFill="1" applyProtection="1">
      <alignment vertical="top" wrapText="1"/>
    </xf>
    <xf numFmtId="10" fontId="10" fillId="2" borderId="0" xfId="0" applyNumberFormat="1" applyFont="1" applyFill="1" applyBorder="1" applyProtection="1">
      <alignment vertical="top" wrapText="1"/>
    </xf>
    <xf numFmtId="0" fontId="10" fillId="2" borderId="8" xfId="0" applyFont="1" applyFill="1" applyBorder="1" applyProtection="1">
      <alignment vertical="top" wrapText="1"/>
    </xf>
    <xf numFmtId="10" fontId="10" fillId="2" borderId="8" xfId="0" applyNumberFormat="1" applyFont="1" applyFill="1" applyBorder="1" applyProtection="1">
      <alignment vertical="top" wrapText="1"/>
    </xf>
    <xf numFmtId="2" fontId="10" fillId="2" borderId="0" xfId="0" applyNumberFormat="1" applyFont="1" applyFill="1" applyBorder="1" applyProtection="1">
      <alignment vertical="top" wrapText="1"/>
    </xf>
    <xf numFmtId="2" fontId="10" fillId="2" borderId="8" xfId="0" applyNumberFormat="1" applyFont="1" applyFill="1" applyBorder="1" applyProtection="1">
      <alignment vertical="top" wrapText="1"/>
    </xf>
    <xf numFmtId="9" fontId="10" fillId="2" borderId="0" xfId="0" applyNumberFormat="1" applyFont="1" applyFill="1" applyProtection="1">
      <alignment vertical="top" wrapText="1"/>
    </xf>
    <xf numFmtId="0" fontId="10" fillId="2" borderId="8" xfId="0" applyFont="1" applyFill="1" applyBorder="1" applyAlignment="1" applyProtection="1">
      <alignment horizontal="right" vertical="top" wrapText="1"/>
    </xf>
    <xf numFmtId="10" fontId="10" fillId="2" borderId="0" xfId="0" applyNumberFormat="1" applyFont="1" applyFill="1" applyProtection="1">
      <alignment vertical="top" wrapText="1"/>
    </xf>
    <xf numFmtId="0" fontId="14" fillId="0" borderId="0" xfId="0" applyFont="1" applyAlignment="1" applyProtection="1">
      <alignment vertical="top"/>
    </xf>
    <xf numFmtId="0" fontId="8" fillId="2" borderId="0" xfId="0" applyFont="1" applyFill="1" applyBorder="1" applyAlignment="1" applyProtection="1">
      <alignment vertical="top"/>
    </xf>
    <xf numFmtId="0" fontId="11" fillId="2" borderId="0" xfId="0" applyFont="1" applyFill="1" applyBorder="1" applyAlignment="1" applyProtection="1">
      <alignment vertical="top"/>
    </xf>
    <xf numFmtId="173" fontId="11" fillId="0" borderId="0" xfId="1" applyNumberFormat="1" applyFont="1" applyBorder="1" applyAlignment="1" applyProtection="1">
      <alignment horizontal="center" vertical="center"/>
    </xf>
    <xf numFmtId="0" fontId="11" fillId="4" borderId="0" xfId="0" applyFont="1" applyFill="1" applyBorder="1" applyProtection="1">
      <alignment vertical="top" wrapText="1"/>
    </xf>
    <xf numFmtId="0" fontId="11" fillId="4" borderId="0" xfId="0" applyFont="1" applyFill="1" applyBorder="1" applyAlignment="1" applyProtection="1">
      <alignment horizontal="right" vertical="top" wrapText="1"/>
    </xf>
    <xf numFmtId="10" fontId="10" fillId="2" borderId="0" xfId="0" applyNumberFormat="1" applyFont="1" applyFill="1" applyBorder="1" applyAlignment="1" applyProtection="1">
      <alignment horizontal="right" vertical="top"/>
    </xf>
    <xf numFmtId="0" fontId="17" fillId="2" borderId="0" xfId="0" applyFont="1" applyFill="1" applyBorder="1" applyAlignment="1" applyProtection="1">
      <alignment vertical="top"/>
    </xf>
    <xf numFmtId="10" fontId="17" fillId="2" borderId="0" xfId="0" applyNumberFormat="1" applyFont="1" applyFill="1" applyBorder="1" applyAlignment="1" applyProtection="1">
      <alignment vertical="top"/>
    </xf>
    <xf numFmtId="10" fontId="17" fillId="2" borderId="0" xfId="0" applyNumberFormat="1" applyFont="1" applyFill="1" applyBorder="1" applyProtection="1">
      <alignment vertical="top" wrapText="1"/>
    </xf>
    <xf numFmtId="0" fontId="10" fillId="0" borderId="0" xfId="0" applyFont="1" applyBorder="1" applyAlignment="1" applyProtection="1">
      <alignment vertical="top"/>
    </xf>
    <xf numFmtId="9" fontId="10" fillId="0" borderId="0" xfId="0" applyNumberFormat="1" applyFont="1" applyBorder="1" applyAlignment="1" applyProtection="1">
      <alignment vertical="top"/>
    </xf>
    <xf numFmtId="2" fontId="10" fillId="2" borderId="0" xfId="0" applyNumberFormat="1" applyFont="1" applyFill="1" applyBorder="1" applyAlignment="1" applyProtection="1">
      <alignment vertical="top"/>
    </xf>
    <xf numFmtId="10" fontId="10" fillId="2" borderId="0" xfId="2" applyNumberFormat="1" applyFont="1" applyFill="1" applyBorder="1" applyAlignment="1" applyProtection="1">
      <alignment vertical="top" wrapText="1"/>
    </xf>
    <xf numFmtId="164" fontId="10" fillId="2" borderId="0" xfId="0" applyNumberFormat="1" applyFont="1" applyFill="1" applyBorder="1" applyAlignment="1" applyProtection="1">
      <alignment vertical="top"/>
    </xf>
    <xf numFmtId="164" fontId="10" fillId="2" borderId="0" xfId="0" applyNumberFormat="1" applyFont="1" applyFill="1" applyBorder="1" applyProtection="1">
      <alignment vertical="top" wrapText="1"/>
    </xf>
    <xf numFmtId="0" fontId="11" fillId="16" borderId="0" xfId="0" applyFont="1" applyFill="1" applyBorder="1" applyAlignment="1" applyProtection="1">
      <alignment vertical="top"/>
    </xf>
    <xf numFmtId="164" fontId="11" fillId="16" borderId="0" xfId="0" applyNumberFormat="1" applyFont="1" applyFill="1" applyBorder="1" applyAlignment="1" applyProtection="1">
      <alignment vertical="top"/>
    </xf>
    <xf numFmtId="164" fontId="11" fillId="16" borderId="0" xfId="0" applyNumberFormat="1" applyFont="1" applyFill="1" applyBorder="1" applyProtection="1">
      <alignment vertical="top" wrapText="1"/>
    </xf>
    <xf numFmtId="164" fontId="10" fillId="2" borderId="0" xfId="2" applyNumberFormat="1" applyFont="1" applyFill="1" applyBorder="1" applyAlignment="1" applyProtection="1">
      <alignment vertical="center" wrapText="1"/>
    </xf>
    <xf numFmtId="164" fontId="10" fillId="2" borderId="0" xfId="0" applyNumberFormat="1" applyFont="1" applyFill="1" applyBorder="1" applyAlignment="1" applyProtection="1">
      <alignment vertical="center" wrapText="1"/>
    </xf>
    <xf numFmtId="164" fontId="10" fillId="13" borderId="0" xfId="2" applyNumberFormat="1" applyFont="1" applyFill="1" applyBorder="1" applyAlignment="1" applyProtection="1">
      <alignment vertical="center" wrapText="1"/>
    </xf>
    <xf numFmtId="9" fontId="10" fillId="2" borderId="0" xfId="0" applyNumberFormat="1" applyFont="1" applyFill="1" applyBorder="1" applyProtection="1">
      <alignment vertical="top" wrapText="1"/>
    </xf>
    <xf numFmtId="0" fontId="8" fillId="3" borderId="0" xfId="0" applyFont="1" applyFill="1" applyBorder="1" applyAlignment="1" applyProtection="1">
      <alignment vertical="top"/>
    </xf>
    <xf numFmtId="10" fontId="11" fillId="2" borderId="0" xfId="0" applyNumberFormat="1" applyFont="1" applyFill="1" applyBorder="1" applyAlignment="1" applyProtection="1">
      <alignment vertical="top"/>
    </xf>
    <xf numFmtId="9" fontId="10" fillId="2" borderId="0" xfId="0" applyNumberFormat="1" applyFont="1" applyFill="1" applyBorder="1" applyAlignment="1" applyProtection="1">
      <alignment vertical="top"/>
    </xf>
    <xf numFmtId="1" fontId="10" fillId="2" borderId="0" xfId="0" applyNumberFormat="1" applyFont="1" applyFill="1" applyBorder="1" applyAlignment="1" applyProtection="1">
      <alignment vertical="top"/>
    </xf>
    <xf numFmtId="1" fontId="10" fillId="2" borderId="0" xfId="0" applyNumberFormat="1" applyFont="1" applyFill="1" applyBorder="1" applyProtection="1">
      <alignment vertical="top" wrapText="1"/>
    </xf>
    <xf numFmtId="0" fontId="8" fillId="3" borderId="3" xfId="0" applyFont="1" applyFill="1" applyBorder="1" applyAlignment="1" applyProtection="1">
      <alignment vertical="top"/>
    </xf>
    <xf numFmtId="0" fontId="10" fillId="0" borderId="3" xfId="0" applyFont="1" applyBorder="1" applyAlignment="1" applyProtection="1">
      <alignment horizontal="right" vertical="top" wrapText="1"/>
    </xf>
    <xf numFmtId="0" fontId="17" fillId="2" borderId="3" xfId="0" applyFont="1" applyFill="1" applyBorder="1" applyProtection="1">
      <alignment vertical="top" wrapText="1"/>
    </xf>
    <xf numFmtId="0" fontId="11" fillId="2" borderId="0" xfId="0" applyFont="1" applyFill="1" applyBorder="1" applyAlignment="1" applyProtection="1">
      <alignment horizontal="right" vertical="top" wrapText="1"/>
    </xf>
    <xf numFmtId="3" fontId="10" fillId="2" borderId="0" xfId="0" applyNumberFormat="1" applyFont="1" applyFill="1" applyBorder="1" applyProtection="1">
      <alignment vertical="top" wrapText="1"/>
    </xf>
    <xf numFmtId="0" fontId="11" fillId="2" borderId="1" xfId="0" applyFont="1" applyFill="1" applyBorder="1" applyAlignment="1" applyProtection="1">
      <alignment vertical="top"/>
    </xf>
    <xf numFmtId="0" fontId="10" fillId="2" borderId="0" xfId="0" applyFont="1" applyFill="1" applyBorder="1" applyAlignment="1" applyProtection="1">
      <alignment horizontal="right" vertical="top" wrapText="1"/>
    </xf>
    <xf numFmtId="172" fontId="10" fillId="2" borderId="0" xfId="0" applyNumberFormat="1" applyFont="1" applyFill="1" applyBorder="1" applyAlignment="1" applyProtection="1">
      <alignment horizontal="right" vertical="top" wrapText="1"/>
    </xf>
    <xf numFmtId="0" fontId="11" fillId="2" borderId="1" xfId="0" applyFont="1" applyFill="1" applyBorder="1" applyProtection="1">
      <alignment vertical="top" wrapText="1"/>
    </xf>
    <xf numFmtId="0" fontId="10" fillId="2" borderId="1" xfId="0" applyFont="1" applyFill="1" applyBorder="1" applyProtection="1">
      <alignment vertical="top" wrapText="1"/>
    </xf>
    <xf numFmtId="9" fontId="10" fillId="2" borderId="0" xfId="2" applyFont="1" applyFill="1" applyBorder="1" applyAlignment="1" applyProtection="1">
      <alignment vertical="top" wrapText="1"/>
    </xf>
    <xf numFmtId="172" fontId="10" fillId="2" borderId="0" xfId="0" applyNumberFormat="1" applyFont="1" applyFill="1" applyBorder="1" applyProtection="1">
      <alignment vertical="top" wrapText="1"/>
    </xf>
    <xf numFmtId="170" fontId="10" fillId="2" borderId="0" xfId="0" applyNumberFormat="1" applyFont="1" applyFill="1" applyBorder="1" applyProtection="1">
      <alignment vertical="top" wrapText="1"/>
    </xf>
    <xf numFmtId="2" fontId="10" fillId="2" borderId="0" xfId="2" applyNumberFormat="1" applyFont="1" applyFill="1" applyBorder="1" applyAlignment="1" applyProtection="1">
      <alignment vertical="top" wrapText="1"/>
    </xf>
    <xf numFmtId="0" fontId="8" fillId="0" borderId="0" xfId="0" applyFont="1" applyProtection="1">
      <alignment vertical="top" wrapText="1"/>
    </xf>
    <xf numFmtId="0" fontId="11" fillId="5" borderId="3" xfId="0" applyFont="1" applyFill="1" applyBorder="1" applyProtection="1">
      <alignment vertical="top" wrapText="1"/>
    </xf>
    <xf numFmtId="0" fontId="11" fillId="5" borderId="3" xfId="0" applyFont="1" applyFill="1" applyBorder="1" applyAlignment="1" applyProtection="1">
      <alignment horizontal="right" vertical="top" wrapText="1"/>
    </xf>
    <xf numFmtId="176" fontId="10" fillId="2" borderId="0" xfId="0" applyNumberFormat="1" applyFont="1" applyFill="1" applyProtection="1">
      <alignment vertical="top" wrapText="1"/>
    </xf>
    <xf numFmtId="0" fontId="0" fillId="0" borderId="0" xfId="0" applyProtection="1">
      <alignment vertical="top" wrapText="1"/>
    </xf>
    <xf numFmtId="0" fontId="15" fillId="2" borderId="0" xfId="0" applyFont="1" applyFill="1" applyProtection="1">
      <alignment vertical="top" wrapText="1"/>
    </xf>
    <xf numFmtId="176" fontId="15" fillId="2" borderId="0" xfId="0" applyNumberFormat="1" applyFont="1" applyFill="1" applyProtection="1">
      <alignment vertical="top" wrapText="1"/>
    </xf>
    <xf numFmtId="0" fontId="10" fillId="13" borderId="0" xfId="0" applyFont="1" applyFill="1" applyBorder="1" applyProtection="1">
      <alignment vertical="top" wrapText="1"/>
    </xf>
    <xf numFmtId="0" fontId="10" fillId="13" borderId="0" xfId="0" applyFont="1" applyFill="1" applyBorder="1" applyAlignment="1" applyProtection="1">
      <alignment horizontal="right" vertical="top" wrapText="1"/>
    </xf>
    <xf numFmtId="10" fontId="10" fillId="13" borderId="0" xfId="0" applyNumberFormat="1" applyFont="1" applyFill="1" applyBorder="1" applyAlignment="1" applyProtection="1">
      <alignment horizontal="right" vertical="top" wrapText="1"/>
    </xf>
    <xf numFmtId="176" fontId="10" fillId="2" borderId="0" xfId="0" applyNumberFormat="1" applyFont="1" applyFill="1" applyBorder="1" applyProtection="1">
      <alignment vertical="top" wrapText="1"/>
    </xf>
    <xf numFmtId="0" fontId="24" fillId="0" borderId="0" xfId="0" applyFont="1" applyProtection="1">
      <alignment vertical="top" wrapText="1"/>
    </xf>
    <xf numFmtId="0" fontId="17" fillId="2" borderId="0" xfId="0" applyFont="1" applyFill="1" applyProtection="1">
      <alignment vertical="top" wrapText="1"/>
    </xf>
    <xf numFmtId="176" fontId="17" fillId="2" borderId="0" xfId="0" applyNumberFormat="1" applyFont="1" applyFill="1" applyProtection="1">
      <alignment vertical="top" wrapText="1"/>
    </xf>
    <xf numFmtId="2" fontId="17" fillId="2" borderId="0" xfId="0" applyNumberFormat="1" applyFont="1" applyFill="1" applyProtection="1">
      <alignment vertical="top" wrapText="1"/>
    </xf>
    <xf numFmtId="170" fontId="10" fillId="6" borderId="0" xfId="0" applyNumberFormat="1" applyFont="1" applyFill="1" applyBorder="1" applyProtection="1">
      <alignment vertical="top" wrapText="1"/>
    </xf>
    <xf numFmtId="0" fontId="8" fillId="3" borderId="0" xfId="0" applyFont="1" applyFill="1" applyBorder="1" applyProtection="1">
      <alignment vertical="top" wrapText="1"/>
    </xf>
    <xf numFmtId="0" fontId="11" fillId="2" borderId="0" xfId="1" applyFont="1" applyFill="1" applyBorder="1" applyAlignment="1" applyProtection="1">
      <alignment vertical="center"/>
    </xf>
    <xf numFmtId="173" fontId="11" fillId="2" borderId="0" xfId="1" applyNumberFormat="1" applyFont="1" applyFill="1" applyBorder="1" applyAlignment="1" applyProtection="1">
      <alignment horizontal="center" vertical="center"/>
    </xf>
    <xf numFmtId="175" fontId="10" fillId="2" borderId="0" xfId="1" applyNumberFormat="1" applyFont="1" applyFill="1" applyBorder="1" applyAlignment="1" applyProtection="1">
      <alignment horizontal="right" vertical="top"/>
    </xf>
    <xf numFmtId="0" fontId="10" fillId="2" borderId="0" xfId="1" applyFont="1" applyFill="1" applyBorder="1" applyAlignment="1" applyProtection="1">
      <alignment vertical="top"/>
    </xf>
    <xf numFmtId="0" fontId="12" fillId="2" borderId="0" xfId="0" applyFont="1" applyFill="1" applyBorder="1" applyAlignment="1" applyProtection="1">
      <alignment vertical="top"/>
    </xf>
    <xf numFmtId="175" fontId="10" fillId="2" borderId="0" xfId="1" applyNumberFormat="1" applyFont="1" applyFill="1" applyBorder="1" applyAlignment="1" applyProtection="1">
      <alignment vertical="top"/>
    </xf>
    <xf numFmtId="0" fontId="13" fillId="2" borderId="0" xfId="0" applyFont="1" applyFill="1" applyBorder="1" applyAlignment="1" applyProtection="1">
      <alignment vertical="top"/>
    </xf>
    <xf numFmtId="175" fontId="10" fillId="2" borderId="0" xfId="0" applyNumberFormat="1" applyFont="1" applyFill="1" applyBorder="1" applyAlignment="1" applyProtection="1">
      <alignment vertical="top"/>
    </xf>
    <xf numFmtId="181" fontId="10" fillId="2" borderId="0" xfId="1" applyNumberFormat="1" applyFont="1" applyFill="1" applyBorder="1" applyAlignment="1" applyProtection="1">
      <alignment horizontal="right" vertical="top"/>
    </xf>
    <xf numFmtId="176" fontId="10" fillId="2" borderId="1" xfId="0" applyNumberFormat="1" applyFont="1" applyFill="1" applyBorder="1" applyProtection="1">
      <alignment vertical="top" wrapText="1"/>
    </xf>
    <xf numFmtId="10" fontId="10" fillId="2" borderId="8" xfId="2" applyNumberFormat="1" applyFont="1" applyFill="1" applyBorder="1" applyAlignment="1" applyProtection="1">
      <alignment vertical="top" wrapText="1"/>
    </xf>
    <xf numFmtId="0" fontId="8" fillId="3" borderId="1" xfId="0" applyFont="1" applyFill="1" applyBorder="1" applyProtection="1">
      <alignment vertical="top" wrapText="1"/>
    </xf>
    <xf numFmtId="0" fontId="10" fillId="2" borderId="16" xfId="0" applyFont="1" applyFill="1" applyBorder="1" applyProtection="1">
      <alignment vertical="top" wrapText="1"/>
    </xf>
    <xf numFmtId="0" fontId="10" fillId="2" borderId="0" xfId="0" quotePrefix="1" applyFont="1" applyFill="1" applyAlignment="1" applyProtection="1">
      <alignment vertical="top"/>
    </xf>
    <xf numFmtId="164" fontId="10" fillId="2" borderId="1" xfId="2" applyNumberFormat="1" applyFont="1" applyFill="1" applyBorder="1" applyAlignment="1" applyProtection="1">
      <alignment vertical="top" wrapText="1"/>
    </xf>
    <xf numFmtId="0" fontId="10" fillId="2" borderId="13" xfId="0" applyFont="1" applyFill="1" applyBorder="1" applyProtection="1">
      <alignment vertical="top" wrapText="1"/>
    </xf>
    <xf numFmtId="2" fontId="10" fillId="2" borderId="13" xfId="2" applyNumberFormat="1" applyFont="1" applyFill="1" applyBorder="1" applyAlignment="1" applyProtection="1">
      <alignment vertical="top" wrapText="1"/>
    </xf>
    <xf numFmtId="2" fontId="10" fillId="2" borderId="1" xfId="0" applyNumberFormat="1" applyFont="1" applyFill="1" applyBorder="1" applyProtection="1">
      <alignment vertical="top" wrapText="1"/>
    </xf>
    <xf numFmtId="0" fontId="10" fillId="2" borderId="0" xfId="0" applyFont="1" applyFill="1" applyAlignment="1" applyProtection="1">
      <alignment horizontal="center" vertical="top" wrapText="1"/>
    </xf>
    <xf numFmtId="2" fontId="10" fillId="2" borderId="0" xfId="0" applyNumberFormat="1" applyFont="1" applyFill="1" applyAlignment="1" applyProtection="1">
      <alignment horizontal="left" vertical="top" wrapText="1"/>
    </xf>
    <xf numFmtId="0" fontId="14" fillId="3" borderId="0" xfId="0" applyFont="1" applyFill="1" applyBorder="1" applyAlignment="1" applyProtection="1">
      <alignment vertical="top"/>
    </xf>
    <xf numFmtId="0" fontId="11" fillId="14" borderId="1" xfId="0" applyFont="1" applyFill="1" applyBorder="1" applyAlignment="1" applyProtection="1">
      <alignment horizontal="left" wrapText="1"/>
    </xf>
    <xf numFmtId="0" fontId="11" fillId="14" borderId="1" xfId="0" applyFont="1" applyFill="1" applyBorder="1" applyAlignment="1" applyProtection="1">
      <alignment horizontal="right" wrapText="1"/>
    </xf>
    <xf numFmtId="173" fontId="11" fillId="14" borderId="1" xfId="1" applyNumberFormat="1" applyFont="1" applyFill="1" applyBorder="1" applyAlignment="1" applyProtection="1">
      <alignment horizontal="right"/>
    </xf>
    <xf numFmtId="176" fontId="10" fillId="2" borderId="3" xfId="0" applyNumberFormat="1" applyFont="1" applyFill="1" applyBorder="1" applyProtection="1">
      <alignment vertical="top" wrapText="1"/>
    </xf>
    <xf numFmtId="0" fontId="10" fillId="2" borderId="0" xfId="0" quotePrefix="1" applyFont="1" applyFill="1" applyProtection="1">
      <alignment vertical="top" wrapText="1"/>
    </xf>
    <xf numFmtId="0" fontId="13" fillId="6" borderId="0" xfId="0" applyFont="1" applyFill="1" applyAlignment="1" applyProtection="1">
      <alignment vertical="top"/>
    </xf>
    <xf numFmtId="0" fontId="16" fillId="2" borderId="0" xfId="0" applyFont="1" applyFill="1" applyBorder="1" applyAlignment="1" applyProtection="1">
      <alignment vertical="top"/>
    </xf>
    <xf numFmtId="0" fontId="16" fillId="6" borderId="0" xfId="0" applyFont="1" applyFill="1" applyAlignment="1" applyProtection="1">
      <alignment vertical="top"/>
    </xf>
    <xf numFmtId="176" fontId="10" fillId="2" borderId="9" xfId="0" applyNumberFormat="1" applyFont="1" applyFill="1" applyBorder="1" applyProtection="1">
      <alignment vertical="top" wrapText="1"/>
    </xf>
    <xf numFmtId="9" fontId="10" fillId="2" borderId="9" xfId="2" applyFont="1" applyFill="1" applyBorder="1" applyAlignment="1" applyProtection="1">
      <alignment vertical="top" wrapText="1"/>
    </xf>
    <xf numFmtId="2" fontId="10" fillId="2" borderId="10" xfId="2" applyNumberFormat="1" applyFont="1" applyFill="1" applyBorder="1" applyAlignment="1" applyProtection="1">
      <alignment vertical="top" wrapText="1"/>
    </xf>
    <xf numFmtId="0" fontId="0" fillId="2" borderId="0" xfId="0" applyFill="1" applyProtection="1">
      <alignment vertical="top" wrapText="1"/>
    </xf>
    <xf numFmtId="176" fontId="22" fillId="2" borderId="0" xfId="0" applyNumberFormat="1" applyFont="1" applyFill="1" applyBorder="1" applyProtection="1">
      <alignment vertical="top" wrapText="1"/>
    </xf>
    <xf numFmtId="176" fontId="10" fillId="2" borderId="0" xfId="1" applyNumberFormat="1" applyFont="1" applyFill="1" applyBorder="1" applyAlignment="1" applyProtection="1">
      <alignment vertical="top"/>
    </xf>
    <xf numFmtId="176" fontId="22" fillId="2" borderId="3" xfId="0" applyNumberFormat="1" applyFont="1" applyFill="1" applyBorder="1" applyProtection="1">
      <alignment vertical="top" wrapText="1"/>
    </xf>
    <xf numFmtId="176" fontId="10" fillId="2" borderId="3" xfId="1" applyNumberFormat="1" applyFont="1" applyFill="1" applyBorder="1" applyAlignment="1" applyProtection="1">
      <alignment horizontal="right" vertical="top"/>
    </xf>
    <xf numFmtId="176" fontId="10" fillId="2" borderId="0" xfId="1" applyNumberFormat="1" applyFont="1" applyFill="1" applyBorder="1" applyAlignment="1" applyProtection="1">
      <alignment horizontal="right" vertical="top"/>
    </xf>
    <xf numFmtId="176" fontId="10" fillId="2" borderId="0" xfId="0" applyNumberFormat="1" applyFont="1" applyFill="1" applyBorder="1" applyAlignment="1" applyProtection="1">
      <alignment vertical="top"/>
    </xf>
    <xf numFmtId="176" fontId="4" fillId="2" borderId="0" xfId="0" applyNumberFormat="1" applyFont="1" applyFill="1" applyBorder="1" applyAlignment="1" applyProtection="1">
      <alignment vertical="top"/>
    </xf>
    <xf numFmtId="176" fontId="10" fillId="2" borderId="3" xfId="1" applyNumberFormat="1" applyFont="1" applyFill="1" applyBorder="1" applyAlignment="1" applyProtection="1">
      <alignment vertical="top"/>
    </xf>
    <xf numFmtId="178" fontId="10" fillId="2" borderId="0" xfId="0" applyNumberFormat="1" applyFont="1" applyFill="1" applyBorder="1" applyProtection="1">
      <alignment vertical="top" wrapText="1"/>
    </xf>
    <xf numFmtId="178" fontId="10" fillId="2" borderId="0" xfId="1" applyNumberFormat="1" applyFont="1" applyFill="1" applyBorder="1" applyAlignment="1" applyProtection="1">
      <alignment horizontal="right" vertical="top"/>
    </xf>
    <xf numFmtId="0" fontId="10" fillId="2" borderId="0" xfId="1" applyFont="1" applyFill="1" applyBorder="1" applyAlignment="1" applyProtection="1">
      <alignment horizontal="left" vertical="top"/>
    </xf>
    <xf numFmtId="0" fontId="22" fillId="2" borderId="0" xfId="0" applyFont="1" applyFill="1" applyBorder="1" applyProtection="1">
      <alignment vertical="top" wrapText="1"/>
    </xf>
    <xf numFmtId="170" fontId="10" fillId="2" borderId="0" xfId="0" applyNumberFormat="1" applyFont="1" applyFill="1" applyProtection="1">
      <alignment vertical="top" wrapText="1"/>
    </xf>
    <xf numFmtId="0" fontId="10" fillId="2" borderId="0" xfId="1" quotePrefix="1" applyFont="1" applyFill="1" applyBorder="1" applyAlignment="1" applyProtection="1">
      <alignment horizontal="left" vertical="top"/>
    </xf>
    <xf numFmtId="0" fontId="15" fillId="2" borderId="0" xfId="1" quotePrefix="1" applyFont="1" applyFill="1" applyBorder="1" applyAlignment="1" applyProtection="1">
      <alignment horizontal="left" vertical="top"/>
    </xf>
    <xf numFmtId="2" fontId="15" fillId="2" borderId="0" xfId="2" applyNumberFormat="1" applyFont="1" applyFill="1" applyBorder="1" applyAlignment="1" applyProtection="1">
      <alignment vertical="top" wrapText="1"/>
    </xf>
    <xf numFmtId="164" fontId="15" fillId="2" borderId="0" xfId="2" applyNumberFormat="1" applyFont="1" applyFill="1" applyBorder="1" applyAlignment="1" applyProtection="1">
      <alignment vertical="top" wrapText="1"/>
    </xf>
    <xf numFmtId="0" fontId="22" fillId="2" borderId="0" xfId="0" applyFont="1" applyFill="1" applyProtection="1">
      <alignment vertical="top" wrapText="1"/>
    </xf>
    <xf numFmtId="164" fontId="17" fillId="2" borderId="0" xfId="2" quotePrefix="1" applyNumberFormat="1" applyFont="1" applyFill="1" applyBorder="1" applyAlignment="1" applyProtection="1">
      <alignment horizontal="left" vertical="top"/>
    </xf>
    <xf numFmtId="2" fontId="17" fillId="2" borderId="0" xfId="0" applyNumberFormat="1" applyFont="1" applyFill="1" applyBorder="1" applyProtection="1">
      <alignment vertical="top" wrapText="1"/>
    </xf>
    <xf numFmtId="164" fontId="15" fillId="2" borderId="0" xfId="2" applyNumberFormat="1" applyFont="1" applyFill="1" applyBorder="1" applyAlignment="1" applyProtection="1">
      <alignment horizontal="left" vertical="top"/>
    </xf>
    <xf numFmtId="0" fontId="10" fillId="2" borderId="0" xfId="0" quotePrefix="1" applyFont="1" applyFill="1" applyBorder="1" applyAlignment="1" applyProtection="1">
      <alignment horizontal="left" vertical="top"/>
    </xf>
    <xf numFmtId="0" fontId="15" fillId="2" borderId="0" xfId="0" quotePrefix="1" applyFont="1" applyFill="1" applyBorder="1" applyAlignment="1" applyProtection="1">
      <alignment horizontal="left" vertical="top"/>
    </xf>
    <xf numFmtId="10" fontId="15" fillId="2" borderId="0" xfId="2" applyNumberFormat="1" applyFont="1" applyFill="1" applyBorder="1" applyAlignment="1" applyProtection="1">
      <alignment vertical="top" wrapText="1"/>
    </xf>
    <xf numFmtId="0" fontId="11" fillId="2" borderId="0" xfId="0" applyFont="1" applyFill="1" applyBorder="1" applyAlignment="1" applyProtection="1">
      <alignment vertical="center"/>
    </xf>
    <xf numFmtId="0" fontId="10" fillId="2" borderId="0" xfId="0" applyFont="1" applyFill="1" applyBorder="1" applyAlignment="1" applyProtection="1">
      <alignment horizontal="left" vertical="top"/>
    </xf>
    <xf numFmtId="10" fontId="10" fillId="2" borderId="9" xfId="2" applyNumberFormat="1" applyFont="1" applyFill="1" applyBorder="1" applyAlignment="1" applyProtection="1">
      <alignment vertical="top" wrapText="1"/>
    </xf>
    <xf numFmtId="176" fontId="10" fillId="2" borderId="9" xfId="0" applyNumberFormat="1" applyFont="1" applyFill="1" applyBorder="1" applyAlignment="1" applyProtection="1">
      <alignment horizontal="center" vertical="top" wrapText="1"/>
    </xf>
    <xf numFmtId="172" fontId="10" fillId="2" borderId="9" xfId="2" applyNumberFormat="1" applyFont="1" applyFill="1" applyBorder="1" applyAlignment="1" applyProtection="1">
      <alignment vertical="top" wrapText="1"/>
    </xf>
    <xf numFmtId="2" fontId="10" fillId="2" borderId="16" xfId="0" applyNumberFormat="1" applyFont="1" applyFill="1" applyBorder="1" applyProtection="1">
      <alignment vertical="top" wrapText="1"/>
    </xf>
    <xf numFmtId="173" fontId="11" fillId="13" borderId="0" xfId="1" applyNumberFormat="1" applyFont="1" applyFill="1" applyBorder="1" applyAlignment="1" applyProtection="1">
      <alignment horizontal="right"/>
    </xf>
    <xf numFmtId="0" fontId="21" fillId="2" borderId="0" xfId="0" applyFont="1" applyFill="1" applyProtection="1">
      <alignment vertical="top" wrapText="1"/>
    </xf>
    <xf numFmtId="176" fontId="10" fillId="2" borderId="1" xfId="1" applyNumberFormat="1" applyFont="1" applyFill="1" applyBorder="1" applyAlignment="1" applyProtection="1">
      <alignment horizontal="right" vertical="top"/>
    </xf>
    <xf numFmtId="176" fontId="21" fillId="2" borderId="0" xfId="0" applyNumberFormat="1" applyFont="1" applyFill="1" applyBorder="1" applyProtection="1">
      <alignment vertical="top" wrapText="1"/>
    </xf>
    <xf numFmtId="178" fontId="22" fillId="2" borderId="0" xfId="0" applyNumberFormat="1" applyFont="1" applyFill="1" applyBorder="1" applyProtection="1">
      <alignment vertical="top" wrapText="1"/>
    </xf>
    <xf numFmtId="178" fontId="4" fillId="2" borderId="0" xfId="0" applyNumberFormat="1" applyFont="1" applyFill="1" applyBorder="1" applyAlignment="1" applyProtection="1">
      <alignment vertical="top"/>
    </xf>
    <xf numFmtId="178" fontId="0" fillId="2" borderId="0" xfId="0" applyNumberFormat="1" applyFill="1" applyProtection="1">
      <alignment vertical="top" wrapText="1"/>
    </xf>
    <xf numFmtId="2" fontId="22" fillId="2" borderId="0" xfId="0" applyNumberFormat="1" applyFont="1" applyFill="1" applyProtection="1">
      <alignment vertical="top" wrapText="1"/>
    </xf>
    <xf numFmtId="2" fontId="23" fillId="2" borderId="0" xfId="0" applyNumberFormat="1" applyFont="1" applyFill="1" applyProtection="1">
      <alignment vertical="top" wrapText="1"/>
    </xf>
    <xf numFmtId="170" fontId="0" fillId="2" borderId="0" xfId="0" applyNumberFormat="1" applyFill="1" applyProtection="1">
      <alignment vertical="top" wrapText="1"/>
    </xf>
    <xf numFmtId="0" fontId="11" fillId="2" borderId="0" xfId="0" applyFont="1" applyFill="1" applyBorder="1" applyProtection="1">
      <alignment vertical="top" wrapText="1"/>
    </xf>
    <xf numFmtId="166" fontId="10" fillId="2" borderId="0" xfId="1" applyNumberFormat="1" applyFont="1" applyFill="1" applyBorder="1" applyAlignment="1" applyProtection="1">
      <alignment horizontal="right" vertical="top"/>
    </xf>
    <xf numFmtId="173" fontId="11" fillId="13" borderId="0" xfId="1" applyNumberFormat="1" applyFont="1" applyFill="1" applyBorder="1" applyAlignment="1" applyProtection="1">
      <alignment horizontal="center" vertical="center"/>
    </xf>
    <xf numFmtId="176" fontId="12" fillId="13" borderId="0" xfId="0" applyNumberFormat="1" applyFont="1" applyFill="1" applyBorder="1" applyAlignment="1" applyProtection="1">
      <alignment vertical="top"/>
    </xf>
    <xf numFmtId="2" fontId="10" fillId="13" borderId="0" xfId="1" applyNumberFormat="1" applyFont="1" applyFill="1" applyBorder="1" applyAlignment="1" applyProtection="1">
      <alignment horizontal="right" vertical="top"/>
    </xf>
    <xf numFmtId="166" fontId="10" fillId="13" borderId="0" xfId="1" applyNumberFormat="1" applyFont="1" applyFill="1" applyBorder="1" applyAlignment="1" applyProtection="1">
      <alignment horizontal="right" vertical="top"/>
    </xf>
    <xf numFmtId="2" fontId="10" fillId="13" borderId="0" xfId="0" applyNumberFormat="1" applyFont="1" applyFill="1" applyBorder="1" applyProtection="1">
      <alignment vertical="top" wrapText="1"/>
    </xf>
    <xf numFmtId="176" fontId="10" fillId="13" borderId="0" xfId="0" applyNumberFormat="1" applyFont="1" applyFill="1" applyBorder="1" applyProtection="1">
      <alignment vertical="top" wrapText="1"/>
    </xf>
    <xf numFmtId="176" fontId="10" fillId="13" borderId="1" xfId="0" applyNumberFormat="1" applyFont="1" applyFill="1" applyBorder="1" applyProtection="1">
      <alignment vertical="top" wrapText="1"/>
    </xf>
    <xf numFmtId="178" fontId="10" fillId="13" borderId="0" xfId="0" applyNumberFormat="1" applyFont="1" applyFill="1" applyBorder="1" applyProtection="1">
      <alignment vertical="top" wrapText="1"/>
    </xf>
    <xf numFmtId="176" fontId="10" fillId="6" borderId="0" xfId="0" applyNumberFormat="1" applyFont="1" applyFill="1" applyProtection="1">
      <alignment vertical="top" wrapText="1"/>
    </xf>
    <xf numFmtId="0" fontId="25" fillId="2" borderId="0" xfId="0" applyFont="1" applyFill="1" applyBorder="1" applyProtection="1">
      <alignment vertical="top" wrapText="1"/>
    </xf>
    <xf numFmtId="170" fontId="25" fillId="2" borderId="0" xfId="0" applyNumberFormat="1" applyFont="1" applyFill="1" applyProtection="1">
      <alignment vertical="top" wrapText="1"/>
    </xf>
    <xf numFmtId="164" fontId="17" fillId="2" borderId="0" xfId="2" applyNumberFormat="1" applyFont="1" applyFill="1" applyBorder="1" applyAlignment="1" applyProtection="1">
      <alignment vertical="top" wrapText="1"/>
    </xf>
    <xf numFmtId="2" fontId="17" fillId="13" borderId="0" xfId="0" applyNumberFormat="1" applyFont="1" applyFill="1" applyBorder="1" applyProtection="1">
      <alignment vertical="top" wrapText="1"/>
    </xf>
    <xf numFmtId="2" fontId="10" fillId="13" borderId="16" xfId="0" applyNumberFormat="1" applyFont="1" applyFill="1" applyBorder="1" applyProtection="1">
      <alignment vertical="top" wrapText="1"/>
    </xf>
    <xf numFmtId="170" fontId="4" fillId="2" borderId="0" xfId="1" applyNumberFormat="1" applyFont="1" applyFill="1" applyBorder="1" applyAlignment="1" applyProtection="1">
      <alignment horizontal="right" vertical="top"/>
    </xf>
    <xf numFmtId="170" fontId="26" fillId="2" borderId="0" xfId="1" applyNumberFormat="1" applyFont="1" applyFill="1" applyBorder="1" applyAlignment="1" applyProtection="1">
      <alignment horizontal="right" vertical="top"/>
    </xf>
    <xf numFmtId="2" fontId="17" fillId="2" borderId="1" xfId="0" applyNumberFormat="1" applyFont="1" applyFill="1" applyBorder="1" applyProtection="1">
      <alignment vertical="top" wrapText="1"/>
    </xf>
    <xf numFmtId="2" fontId="22" fillId="2" borderId="0" xfId="0" applyNumberFormat="1" applyFont="1" applyFill="1" applyBorder="1" applyProtection="1">
      <alignment vertical="top" wrapText="1"/>
    </xf>
    <xf numFmtId="170" fontId="4" fillId="13" borderId="0" xfId="1" applyNumberFormat="1" applyFont="1" applyFill="1" applyBorder="1" applyAlignment="1" applyProtection="1">
      <alignment horizontal="right" vertical="top"/>
    </xf>
    <xf numFmtId="2" fontId="10" fillId="6" borderId="0" xfId="0" applyNumberFormat="1" applyFont="1" applyFill="1" applyProtection="1">
      <alignment vertical="top" wrapText="1"/>
    </xf>
    <xf numFmtId="0" fontId="5" fillId="0" borderId="0" xfId="0" applyFont="1" applyAlignment="1" applyProtection="1">
      <alignment vertical="top"/>
    </xf>
    <xf numFmtId="0" fontId="4" fillId="0" borderId="0" xfId="0" applyFont="1" applyAlignment="1" applyProtection="1">
      <alignment vertical="top"/>
    </xf>
    <xf numFmtId="0" fontId="0" fillId="0" borderId="0" xfId="0" applyAlignment="1" applyProtection="1">
      <alignment vertical="top"/>
    </xf>
    <xf numFmtId="169" fontId="5" fillId="0" borderId="0" xfId="0" applyNumberFormat="1" applyFont="1" applyAlignment="1" applyProtection="1">
      <alignment horizontal="center" vertical="center"/>
    </xf>
    <xf numFmtId="0" fontId="0" fillId="0" borderId="0" xfId="0" applyBorder="1" applyAlignment="1" applyProtection="1">
      <alignment vertical="top"/>
    </xf>
    <xf numFmtId="0" fontId="0" fillId="0" borderId="0" xfId="0" applyBorder="1" applyProtection="1">
      <alignment vertical="top" wrapText="1"/>
    </xf>
    <xf numFmtId="0" fontId="4" fillId="0" borderId="3" xfId="0" applyFont="1" applyBorder="1" applyAlignment="1" applyProtection="1">
      <alignment vertical="top"/>
    </xf>
    <xf numFmtId="0" fontId="3" fillId="0" borderId="4" xfId="1" applyFont="1" applyBorder="1" applyAlignment="1" applyProtection="1">
      <alignment vertical="center"/>
    </xf>
    <xf numFmtId="0" fontId="3" fillId="0" borderId="3" xfId="1" applyFont="1" applyBorder="1" applyAlignment="1" applyProtection="1">
      <alignment vertical="center"/>
    </xf>
    <xf numFmtId="173" fontId="3" fillId="0" borderId="3" xfId="1" applyNumberFormat="1" applyFont="1" applyBorder="1" applyAlignment="1" applyProtection="1">
      <alignment horizontal="center" vertical="center"/>
    </xf>
    <xf numFmtId="173" fontId="3" fillId="0" borderId="0" xfId="1" applyNumberFormat="1" applyFont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top"/>
    </xf>
    <xf numFmtId="0" fontId="4" fillId="0" borderId="0" xfId="1" applyFont="1" applyAlignment="1" applyProtection="1">
      <alignment vertical="top"/>
    </xf>
    <xf numFmtId="167" fontId="4" fillId="0" borderId="0" xfId="1" applyNumberFormat="1" applyFont="1" applyAlignment="1" applyProtection="1">
      <alignment horizontal="right" vertical="top"/>
    </xf>
    <xf numFmtId="182" fontId="0" fillId="0" borderId="0" xfId="0" applyNumberFormat="1" applyBorder="1" applyProtection="1">
      <alignment vertical="top" wrapText="1"/>
    </xf>
    <xf numFmtId="170" fontId="4" fillId="0" borderId="1" xfId="1" applyNumberFormat="1" applyFont="1" applyBorder="1" applyAlignment="1" applyProtection="1">
      <alignment horizontal="right" vertical="top"/>
    </xf>
    <xf numFmtId="170" fontId="4" fillId="0" borderId="0" xfId="1" applyNumberFormat="1" applyFont="1" applyAlignment="1" applyProtection="1">
      <alignment horizontal="right" vertical="top"/>
    </xf>
    <xf numFmtId="170" fontId="4" fillId="0" borderId="0" xfId="1" applyNumberFormat="1" applyFont="1" applyBorder="1" applyAlignment="1" applyProtection="1">
      <alignment horizontal="right" vertical="top"/>
    </xf>
    <xf numFmtId="3" fontId="4" fillId="0" borderId="0" xfId="1" applyNumberFormat="1" applyFont="1" applyAlignment="1" applyProtection="1">
      <alignment horizontal="right" vertical="top"/>
    </xf>
    <xf numFmtId="0" fontId="4" fillId="0" borderId="5" xfId="0" applyFont="1" applyBorder="1" applyAlignment="1" applyProtection="1">
      <alignment horizontal="left" vertical="top"/>
    </xf>
    <xf numFmtId="0" fontId="7" fillId="0" borderId="5" xfId="0" applyFont="1" applyBorder="1" applyAlignment="1" applyProtection="1">
      <alignment vertical="top"/>
    </xf>
    <xf numFmtId="10" fontId="4" fillId="0" borderId="5" xfId="0" applyNumberFormat="1" applyFont="1" applyBorder="1" applyAlignment="1" applyProtection="1">
      <alignment horizontal="right" vertical="top"/>
    </xf>
    <xf numFmtId="0" fontId="2" fillId="0" borderId="0" xfId="0" applyFont="1" applyAlignment="1" applyProtection="1">
      <alignment vertical="top"/>
    </xf>
    <xf numFmtId="0" fontId="2" fillId="0" borderId="0" xfId="0" applyFont="1" applyProtection="1">
      <alignment vertical="top" wrapText="1"/>
    </xf>
    <xf numFmtId="0" fontId="4" fillId="0" borderId="0" xfId="0" applyFont="1" applyBorder="1" applyAlignment="1" applyProtection="1">
      <alignment horizontal="left" vertical="top"/>
    </xf>
    <xf numFmtId="0" fontId="7" fillId="0" borderId="0" xfId="0" applyFont="1" applyBorder="1" applyAlignment="1" applyProtection="1">
      <alignment vertical="top"/>
    </xf>
    <xf numFmtId="10" fontId="4" fillId="0" borderId="0" xfId="0" applyNumberFormat="1" applyFont="1" applyBorder="1" applyAlignment="1" applyProtection="1">
      <alignment horizontal="right" vertical="top"/>
    </xf>
    <xf numFmtId="3" fontId="4" fillId="0" borderId="0" xfId="0" applyNumberFormat="1" applyFont="1" applyAlignment="1" applyProtection="1">
      <alignment horizontal="right" vertical="top"/>
    </xf>
    <xf numFmtId="168" fontId="4" fillId="0" borderId="0" xfId="0" applyNumberFormat="1" applyFont="1" applyAlignment="1" applyProtection="1">
      <alignment horizontal="right" vertical="top"/>
    </xf>
    <xf numFmtId="166" fontId="4" fillId="0" borderId="0" xfId="1" applyNumberFormat="1" applyFont="1" applyAlignment="1" applyProtection="1">
      <alignment horizontal="right" vertical="top"/>
    </xf>
    <xf numFmtId="165" fontId="4" fillId="0" borderId="0" xfId="0" applyNumberFormat="1" applyFont="1" applyAlignment="1" applyProtection="1">
      <alignment horizontal="right" vertical="top"/>
    </xf>
    <xf numFmtId="174" fontId="4" fillId="0" borderId="0" xfId="1" applyNumberFormat="1" applyFont="1" applyAlignment="1" applyProtection="1">
      <alignment horizontal="right" vertical="top"/>
    </xf>
    <xf numFmtId="166" fontId="4" fillId="0" borderId="0" xfId="1" applyNumberFormat="1" applyFont="1" applyBorder="1" applyAlignment="1" applyProtection="1">
      <alignment horizontal="right" vertical="top"/>
    </xf>
    <xf numFmtId="10" fontId="4" fillId="0" borderId="0" xfId="2" applyNumberFormat="1" applyFont="1" applyBorder="1" applyAlignment="1" applyProtection="1">
      <alignment horizontal="right" vertical="top"/>
    </xf>
    <xf numFmtId="0" fontId="0" fillId="0" borderId="3" xfId="0" applyBorder="1" applyAlignment="1" applyProtection="1">
      <alignment vertical="top"/>
    </xf>
    <xf numFmtId="0" fontId="4" fillId="0" borderId="0" xfId="1" applyFont="1" applyBorder="1" applyAlignment="1" applyProtection="1">
      <alignment horizontal="left" vertical="top"/>
    </xf>
    <xf numFmtId="0" fontId="4" fillId="0" borderId="0" xfId="1" quotePrefix="1" applyFont="1" applyBorder="1" applyAlignment="1" applyProtection="1">
      <alignment horizontal="left" vertical="top"/>
    </xf>
    <xf numFmtId="0" fontId="4" fillId="0" borderId="0" xfId="0" quotePrefix="1" applyFont="1" applyBorder="1" applyAlignment="1" applyProtection="1">
      <alignment horizontal="left" vertical="top"/>
    </xf>
    <xf numFmtId="170" fontId="4" fillId="0" borderId="0" xfId="0" applyNumberFormat="1" applyFont="1" applyAlignment="1" applyProtection="1">
      <alignment horizontal="right" vertical="top"/>
    </xf>
    <xf numFmtId="167" fontId="4" fillId="0" borderId="0" xfId="0" applyNumberFormat="1" applyFont="1" applyAlignment="1" applyProtection="1">
      <alignment horizontal="right" vertical="top"/>
    </xf>
    <xf numFmtId="164" fontId="4" fillId="0" borderId="0" xfId="0" applyNumberFormat="1" applyFont="1" applyAlignment="1" applyProtection="1">
      <alignment horizontal="right" vertical="top"/>
    </xf>
    <xf numFmtId="0" fontId="4" fillId="0" borderId="0" xfId="1" applyFont="1" applyBorder="1" applyAlignment="1" applyProtection="1">
      <alignment vertical="top"/>
    </xf>
    <xf numFmtId="10" fontId="4" fillId="0" borderId="0" xfId="1" applyNumberFormat="1" applyFont="1" applyAlignment="1" applyProtection="1">
      <alignment horizontal="right" vertical="top"/>
    </xf>
    <xf numFmtId="0" fontId="3" fillId="0" borderId="3" xfId="0" applyFont="1" applyBorder="1" applyAlignment="1" applyProtection="1">
      <alignment vertical="center"/>
    </xf>
    <xf numFmtId="0" fontId="3" fillId="0" borderId="3" xfId="0" applyFont="1" applyBorder="1" applyAlignment="1" applyProtection="1">
      <alignment vertical="top"/>
    </xf>
    <xf numFmtId="0" fontId="4" fillId="0" borderId="0" xfId="1" applyFont="1" applyAlignment="1" applyProtection="1">
      <alignment horizontal="left" vertical="top"/>
    </xf>
    <xf numFmtId="170" fontId="4" fillId="0" borderId="0" xfId="1" quotePrefix="1" applyNumberFormat="1" applyFont="1" applyAlignment="1" applyProtection="1">
      <alignment horizontal="right" vertical="top"/>
    </xf>
    <xf numFmtId="0" fontId="4" fillId="0" borderId="0" xfId="0" applyFont="1" applyAlignment="1" applyProtection="1">
      <alignment horizontal="left" vertical="top"/>
    </xf>
    <xf numFmtId="170" fontId="4" fillId="0" borderId="0" xfId="0" applyNumberFormat="1" applyFont="1" applyAlignment="1" applyProtection="1">
      <alignment vertical="top"/>
    </xf>
    <xf numFmtId="0" fontId="4" fillId="0" borderId="0" xfId="1" quotePrefix="1" applyFont="1" applyAlignment="1" applyProtection="1">
      <alignment horizontal="left" vertical="top"/>
    </xf>
    <xf numFmtId="170" fontId="4" fillId="0" borderId="0" xfId="1" applyNumberFormat="1" applyFont="1" applyAlignment="1" applyProtection="1">
      <alignment vertical="top"/>
    </xf>
    <xf numFmtId="0" fontId="4" fillId="0" borderId="0" xfId="0" quotePrefix="1" applyFont="1" applyAlignment="1" applyProtection="1">
      <alignment vertical="top"/>
    </xf>
    <xf numFmtId="10" fontId="4" fillId="0" borderId="0" xfId="2" applyNumberFormat="1" applyFont="1" applyAlignment="1" applyProtection="1">
      <alignment vertical="top"/>
    </xf>
    <xf numFmtId="168" fontId="4" fillId="0" borderId="0" xfId="0" applyNumberFormat="1" applyFont="1" applyAlignment="1" applyProtection="1">
      <alignment vertical="top"/>
    </xf>
    <xf numFmtId="173" fontId="3" fillId="0" borderId="3" xfId="1" applyNumberFormat="1" applyFont="1" applyBorder="1" applyAlignment="1" applyProtection="1">
      <alignment horizontal="right" vertical="center"/>
    </xf>
    <xf numFmtId="9" fontId="4" fillId="0" borderId="0" xfId="2" applyFont="1" applyAlignment="1" applyProtection="1">
      <alignment vertical="top"/>
    </xf>
    <xf numFmtId="0" fontId="5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168" fontId="4" fillId="0" borderId="0" xfId="1" applyNumberFormat="1" applyFont="1" applyAlignment="1" applyProtection="1">
      <alignment horizontal="right" vertical="top"/>
    </xf>
    <xf numFmtId="168" fontId="4" fillId="0" borderId="1" xfId="1" applyNumberFormat="1" applyFont="1" applyBorder="1" applyAlignment="1" applyProtection="1">
      <alignment horizontal="right" vertical="top"/>
    </xf>
    <xf numFmtId="0" fontId="4" fillId="0" borderId="3" xfId="1" applyFont="1" applyBorder="1" applyAlignment="1" applyProtection="1">
      <alignment horizontal="left" vertical="top"/>
    </xf>
    <xf numFmtId="3" fontId="4" fillId="0" borderId="3" xfId="1" applyNumberFormat="1" applyFont="1" applyBorder="1" applyAlignment="1" applyProtection="1">
      <alignment horizontal="right" vertical="top"/>
    </xf>
    <xf numFmtId="167" fontId="4" fillId="0" borderId="0" xfId="0" applyNumberFormat="1" applyFont="1" applyAlignment="1" applyProtection="1">
      <alignment vertical="top"/>
    </xf>
    <xf numFmtId="168" fontId="4" fillId="0" borderId="0" xfId="1" quotePrefix="1" applyNumberFormat="1" applyFont="1" applyAlignment="1" applyProtection="1">
      <alignment horizontal="right" vertical="top"/>
    </xf>
    <xf numFmtId="168" fontId="4" fillId="0" borderId="0" xfId="1" applyNumberFormat="1" applyFont="1" applyBorder="1" applyAlignment="1" applyProtection="1">
      <alignment horizontal="right" vertical="top"/>
    </xf>
    <xf numFmtId="168" fontId="4" fillId="0" borderId="0" xfId="1" applyNumberFormat="1" applyFont="1" applyAlignment="1" applyProtection="1">
      <alignment vertical="top"/>
    </xf>
    <xf numFmtId="0" fontId="3" fillId="0" borderId="0" xfId="1" applyFont="1" applyAlignment="1" applyProtection="1">
      <alignment horizontal="left" vertical="top"/>
    </xf>
    <xf numFmtId="167" fontId="3" fillId="0" borderId="0" xfId="1" applyNumberFormat="1" applyFont="1" applyAlignment="1" applyProtection="1">
      <alignment horizontal="right" vertical="top"/>
    </xf>
    <xf numFmtId="0" fontId="6" fillId="0" borderId="0" xfId="0" applyFont="1" applyAlignment="1" applyProtection="1">
      <alignment vertical="top"/>
    </xf>
    <xf numFmtId="0" fontId="6" fillId="0" borderId="1" xfId="0" applyFont="1" applyBorder="1" applyAlignment="1" applyProtection="1">
      <alignment vertical="top"/>
    </xf>
    <xf numFmtId="0" fontId="6" fillId="0" borderId="2" xfId="0" quotePrefix="1" applyFont="1" applyBorder="1" applyAlignment="1" applyProtection="1">
      <alignment horizontal="left" vertical="top"/>
    </xf>
    <xf numFmtId="0" fontId="6" fillId="0" borderId="2" xfId="0" applyFont="1" applyBorder="1" applyAlignment="1" applyProtection="1">
      <alignment vertical="top"/>
    </xf>
    <xf numFmtId="0" fontId="6" fillId="0" borderId="1" xfId="0" applyFont="1" applyBorder="1" applyAlignment="1" applyProtection="1">
      <alignment horizontal="center" vertical="top"/>
    </xf>
    <xf numFmtId="171" fontId="6" fillId="0" borderId="0" xfId="0" applyNumberFormat="1" applyFont="1" applyAlignment="1" applyProtection="1">
      <alignment vertical="top"/>
    </xf>
    <xf numFmtId="166" fontId="6" fillId="0" borderId="0" xfId="0" applyNumberFormat="1" applyFont="1" applyAlignment="1" applyProtection="1">
      <alignment vertical="top"/>
    </xf>
    <xf numFmtId="165" fontId="6" fillId="0" borderId="0" xfId="0" applyNumberFormat="1" applyFont="1" applyAlignment="1" applyProtection="1">
      <alignment vertical="top"/>
    </xf>
    <xf numFmtId="172" fontId="6" fillId="0" borderId="0" xfId="0" applyNumberFormat="1" applyFont="1" applyAlignment="1" applyProtection="1">
      <alignment vertical="top"/>
    </xf>
    <xf numFmtId="2" fontId="6" fillId="0" borderId="0" xfId="0" applyNumberFormat="1" applyFont="1" applyAlignment="1" applyProtection="1">
      <alignment vertical="top"/>
    </xf>
    <xf numFmtId="0" fontId="6" fillId="0" borderId="0" xfId="0" quotePrefix="1" applyFont="1" applyAlignment="1" applyProtection="1">
      <alignment vertical="top"/>
    </xf>
    <xf numFmtId="0" fontId="6" fillId="0" borderId="0" xfId="0" quotePrefix="1" applyFont="1" applyBorder="1" applyAlignment="1" applyProtection="1">
      <alignment vertical="top"/>
    </xf>
    <xf numFmtId="0" fontId="6" fillId="0" borderId="0" xfId="0" applyFont="1" applyBorder="1" applyAlignment="1" applyProtection="1">
      <alignment vertical="top"/>
    </xf>
    <xf numFmtId="0" fontId="6" fillId="0" borderId="1" xfId="0" quotePrefix="1" applyFont="1" applyBorder="1" applyAlignment="1" applyProtection="1">
      <alignment vertical="top"/>
    </xf>
    <xf numFmtId="10" fontId="6" fillId="0" borderId="0" xfId="0" applyNumberFormat="1" applyFont="1" applyAlignment="1" applyProtection="1">
      <alignment horizontal="center" vertical="top"/>
    </xf>
    <xf numFmtId="10" fontId="6" fillId="0" borderId="0" xfId="0" applyNumberFormat="1" applyFont="1" applyBorder="1" applyAlignment="1" applyProtection="1">
      <alignment horizontal="center" vertical="top"/>
    </xf>
    <xf numFmtId="0" fontId="25" fillId="6" borderId="0" xfId="0" applyFont="1" applyFill="1" applyAlignment="1" applyProtection="1"/>
    <xf numFmtId="0" fontId="10" fillId="6" borderId="0" xfId="0" applyFont="1" applyFill="1" applyAlignment="1" applyProtection="1"/>
    <xf numFmtId="0" fontId="17" fillId="2" borderId="0" xfId="0" applyFont="1" applyFill="1" applyAlignment="1" applyProtection="1"/>
    <xf numFmtId="0" fontId="28" fillId="6" borderId="0" xfId="0" applyFont="1" applyFill="1" applyAlignment="1" applyProtection="1"/>
    <xf numFmtId="0" fontId="28" fillId="2" borderId="0" xfId="0" applyFont="1" applyFill="1" applyAlignment="1" applyProtection="1"/>
    <xf numFmtId="0" fontId="33" fillId="13" borderId="0" xfId="4" applyFont="1" applyFill="1"/>
    <xf numFmtId="9" fontId="33" fillId="13" borderId="0" xfId="4" applyNumberFormat="1" applyFont="1" applyFill="1"/>
    <xf numFmtId="0" fontId="34" fillId="15" borderId="3" xfId="4" applyFont="1" applyFill="1" applyBorder="1"/>
    <xf numFmtId="180" fontId="34" fillId="15" borderId="3" xfId="4" applyNumberFormat="1" applyFont="1" applyFill="1" applyBorder="1" applyAlignment="1">
      <alignment horizontal="right"/>
    </xf>
    <xf numFmtId="180" fontId="34" fillId="13" borderId="0" xfId="4" applyNumberFormat="1" applyFont="1" applyFill="1" applyAlignment="1">
      <alignment horizontal="right"/>
    </xf>
    <xf numFmtId="180" fontId="35" fillId="13" borderId="0" xfId="4" applyNumberFormat="1" applyFont="1" applyFill="1" applyAlignment="1">
      <alignment horizontal="right"/>
    </xf>
    <xf numFmtId="2" fontId="33" fillId="13" borderId="0" xfId="4" applyNumberFormat="1" applyFont="1" applyFill="1"/>
    <xf numFmtId="170" fontId="33" fillId="13" borderId="0" xfId="4" applyNumberFormat="1" applyFont="1" applyFill="1"/>
    <xf numFmtId="172" fontId="33" fillId="13" borderId="0" xfId="4" applyNumberFormat="1" applyFont="1" applyFill="1"/>
    <xf numFmtId="0" fontId="36" fillId="13" borderId="0" xfId="4" applyFont="1" applyFill="1"/>
    <xf numFmtId="172" fontId="36" fillId="13" borderId="0" xfId="4" applyNumberFormat="1" applyFont="1" applyFill="1"/>
    <xf numFmtId="164" fontId="33" fillId="13" borderId="0" xfId="4" applyNumberFormat="1" applyFont="1" applyFill="1"/>
    <xf numFmtId="164" fontId="33" fillId="13" borderId="0" xfId="5" applyNumberFormat="1" applyFont="1" applyFill="1" applyProtection="1"/>
    <xf numFmtId="164" fontId="33" fillId="13" borderId="0" xfId="5" applyNumberFormat="1" applyFont="1" applyFill="1" applyBorder="1" applyProtection="1"/>
    <xf numFmtId="172" fontId="33" fillId="13" borderId="0" xfId="5" applyNumberFormat="1" applyFont="1" applyFill="1" applyBorder="1" applyProtection="1"/>
    <xf numFmtId="10" fontId="36" fillId="13" borderId="0" xfId="4" applyNumberFormat="1" applyFont="1" applyFill="1"/>
    <xf numFmtId="2" fontId="36" fillId="13" borderId="0" xfId="4" applyNumberFormat="1" applyFont="1" applyFill="1"/>
    <xf numFmtId="0" fontId="34" fillId="13" borderId="0" xfId="4" applyFont="1" applyFill="1"/>
    <xf numFmtId="10" fontId="33" fillId="13" borderId="0" xfId="5" applyNumberFormat="1" applyFont="1" applyFill="1" applyProtection="1"/>
    <xf numFmtId="10" fontId="33" fillId="13" borderId="0" xfId="4" applyNumberFormat="1" applyFont="1" applyFill="1"/>
    <xf numFmtId="0" fontId="37" fillId="13" borderId="0" xfId="4" applyFont="1" applyFill="1"/>
    <xf numFmtId="0" fontId="29" fillId="19" borderId="0" xfId="4" applyFont="1" applyFill="1"/>
    <xf numFmtId="0" fontId="38" fillId="19" borderId="0" xfId="4" applyFont="1" applyFill="1"/>
    <xf numFmtId="0" fontId="31" fillId="19" borderId="15" xfId="4" applyFont="1" applyFill="1" applyBorder="1" applyAlignment="1" applyProtection="1">
      <alignment horizontal="center" vertical="center"/>
      <protection locked="0"/>
    </xf>
    <xf numFmtId="0" fontId="29" fillId="19" borderId="15" xfId="4" applyFont="1" applyFill="1" applyBorder="1"/>
    <xf numFmtId="180" fontId="29" fillId="19" borderId="23" xfId="4" applyNumberFormat="1" applyFont="1" applyFill="1" applyBorder="1"/>
    <xf numFmtId="180" fontId="29" fillId="19" borderId="25" xfId="4" applyNumberFormat="1" applyFont="1" applyFill="1" applyBorder="1"/>
    <xf numFmtId="0" fontId="32" fillId="19" borderId="0" xfId="4" applyFont="1" applyFill="1" applyAlignment="1">
      <alignment horizontal="right"/>
    </xf>
    <xf numFmtId="0" fontId="32" fillId="19" borderId="0" xfId="4" applyFont="1" applyFill="1" applyAlignment="1">
      <alignment horizontal="center"/>
    </xf>
    <xf numFmtId="0" fontId="30" fillId="19" borderId="0" xfId="4" applyFont="1" applyFill="1"/>
    <xf numFmtId="0" fontId="29" fillId="19" borderId="20" xfId="4" applyFont="1" applyFill="1" applyBorder="1"/>
    <xf numFmtId="10" fontId="29" fillId="19" borderId="22" xfId="4" applyNumberFormat="1" applyFont="1" applyFill="1" applyBorder="1"/>
    <xf numFmtId="10" fontId="29" fillId="19" borderId="24" xfId="4" applyNumberFormat="1" applyFont="1" applyFill="1" applyBorder="1"/>
    <xf numFmtId="0" fontId="29" fillId="19" borderId="0" xfId="4" applyFont="1" applyFill="1" applyAlignment="1">
      <alignment horizontal="right"/>
    </xf>
    <xf numFmtId="0" fontId="29" fillId="19" borderId="22" xfId="4" applyFont="1" applyFill="1" applyBorder="1"/>
    <xf numFmtId="2" fontId="29" fillId="19" borderId="21" xfId="4" applyNumberFormat="1" applyFont="1" applyFill="1" applyBorder="1"/>
    <xf numFmtId="2" fontId="29" fillId="19" borderId="26" xfId="4" applyNumberFormat="1" applyFont="1" applyFill="1" applyBorder="1"/>
    <xf numFmtId="0" fontId="29" fillId="19" borderId="23" xfId="4" applyFont="1" applyFill="1" applyBorder="1" applyAlignment="1">
      <alignment horizontal="right"/>
    </xf>
    <xf numFmtId="9" fontId="29" fillId="19" borderId="0" xfId="4" applyNumberFormat="1" applyFont="1" applyFill="1"/>
    <xf numFmtId="0" fontId="27" fillId="2" borderId="0" xfId="0" applyFont="1" applyFill="1" applyAlignment="1" applyProtection="1">
      <alignment horizontal="left" vertical="top" wrapText="1"/>
    </xf>
    <xf numFmtId="176" fontId="10" fillId="2" borderId="9" xfId="0" applyNumberFormat="1" applyFont="1" applyFill="1" applyBorder="1" applyAlignment="1" applyProtection="1">
      <alignment horizontal="center" vertical="top" wrapText="1"/>
    </xf>
    <xf numFmtId="2" fontId="18" fillId="12" borderId="9" xfId="0" applyNumberFormat="1" applyFont="1" applyFill="1" applyBorder="1" applyAlignment="1" applyProtection="1">
      <alignment horizontal="center" vertical="center"/>
    </xf>
    <xf numFmtId="176" fontId="10" fillId="2" borderId="10" xfId="0" applyNumberFormat="1" applyFont="1" applyFill="1" applyBorder="1" applyAlignment="1" applyProtection="1">
      <alignment horizontal="center" vertical="top" wrapText="1"/>
    </xf>
    <xf numFmtId="176" fontId="10" fillId="2" borderId="2" xfId="0" applyNumberFormat="1" applyFont="1" applyFill="1" applyBorder="1" applyAlignment="1" applyProtection="1">
      <alignment horizontal="center" vertical="top" wrapText="1"/>
    </xf>
    <xf numFmtId="176" fontId="10" fillId="2" borderId="11" xfId="0" applyNumberFormat="1" applyFont="1" applyFill="1" applyBorder="1" applyAlignment="1" applyProtection="1">
      <alignment horizontal="center" vertical="top" wrapText="1"/>
    </xf>
    <xf numFmtId="2" fontId="18" fillId="8" borderId="12" xfId="0" applyNumberFormat="1" applyFont="1" applyFill="1" applyBorder="1" applyAlignment="1" applyProtection="1">
      <alignment horizontal="center" vertical="center"/>
    </xf>
    <xf numFmtId="2" fontId="18" fillId="8" borderId="13" xfId="0" applyNumberFormat="1" applyFont="1" applyFill="1" applyBorder="1" applyAlignment="1" applyProtection="1">
      <alignment horizontal="center" vertical="center"/>
    </xf>
    <xf numFmtId="2" fontId="18" fillId="8" borderId="14" xfId="0" applyNumberFormat="1" applyFont="1" applyFill="1" applyBorder="1" applyAlignment="1" applyProtection="1">
      <alignment horizontal="center" vertical="center"/>
    </xf>
    <xf numFmtId="0" fontId="16" fillId="2" borderId="0" xfId="0" applyFont="1" applyFill="1" applyBorder="1" applyAlignment="1" applyProtection="1">
      <alignment vertical="top"/>
    </xf>
    <xf numFmtId="0" fontId="29" fillId="19" borderId="20" xfId="4" applyFont="1" applyFill="1" applyBorder="1" applyAlignment="1">
      <alignment horizontal="center" vertical="center"/>
    </xf>
  </cellXfs>
  <cellStyles count="6">
    <cellStyle name="Comma" xfId="1" builtinId="3"/>
    <cellStyle name="Normal" xfId="0" builtinId="0"/>
    <cellStyle name="Normal 2" xfId="3" xr:uid="{1DD41B52-2285-0741-9ADF-114BAA77D48F}"/>
    <cellStyle name="Normal 3" xfId="4" xr:uid="{06FE0357-CC5B-934D-9155-1DB7A0E2D365}"/>
    <cellStyle name="Percent" xfId="2" builtinId="5"/>
    <cellStyle name="Percent 2" xfId="5" xr:uid="{C12C717B-F14B-0143-9278-7CDC8CA47CBA}"/>
  </cellStyles>
  <dxfs count="0"/>
  <tableStyles count="0" defaultTableStyle="TableStyleMedium9" defaultPivotStyle="PivotStyleLight16"/>
  <colors>
    <mruColors>
      <color rgb="FF00C057"/>
      <color rgb="FFFFCA6B"/>
      <color rgb="FFE08B8B"/>
      <color rgb="FF00DB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Working Capital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Dash!$B$36</c:f>
              <c:strCache>
                <c:ptCount val="1"/>
                <c:pt idx="0">
                  <c:v>Invested Capital less fixed assets (WC)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Dash!$C$35:$G$35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Dash!$C$36:$G$36</c:f>
              <c:numCache>
                <c:formatCode>0.00</c:formatCode>
                <c:ptCount val="5"/>
                <c:pt idx="0">
                  <c:v>4.6922049999999995</c:v>
                </c:pt>
                <c:pt idx="1">
                  <c:v>5.4890720650088127</c:v>
                </c:pt>
                <c:pt idx="2">
                  <c:v>6.6322267403552644</c:v>
                </c:pt>
                <c:pt idx="3">
                  <c:v>7.9306022716445561</c:v>
                </c:pt>
                <c:pt idx="4">
                  <c:v>9.3791370418197282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BE-4584-BB40-2A8ABC65B9BB}"/>
            </c:ext>
          </c:extLst>
        </c:ser>
        <c:ser>
          <c:idx val="1"/>
          <c:order val="1"/>
          <c:tx>
            <c:strRef>
              <c:f>Dash!$B$37</c:f>
              <c:strCache>
                <c:ptCount val="1"/>
                <c:pt idx="0">
                  <c:v>Current assets less ST payable debts (WC)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Dash!$C$35:$G$35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Dash!$C$37:$G$37</c:f>
              <c:numCache>
                <c:formatCode>0.00</c:formatCode>
                <c:ptCount val="5"/>
                <c:pt idx="0">
                  <c:v>4.6921000000000017</c:v>
                </c:pt>
                <c:pt idx="1">
                  <c:v>5.4890720650088127</c:v>
                </c:pt>
                <c:pt idx="2">
                  <c:v>6.6322267403552626</c:v>
                </c:pt>
                <c:pt idx="3">
                  <c:v>7.9306022716445543</c:v>
                </c:pt>
                <c:pt idx="4">
                  <c:v>9.3791370418197282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BE-4584-BB40-2A8ABC65B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70097575"/>
        <c:axId val="1872540087"/>
      </c:barChart>
      <c:lineChart>
        <c:grouping val="standard"/>
        <c:varyColors val="0"/>
        <c:ser>
          <c:idx val="2"/>
          <c:order val="2"/>
          <c:tx>
            <c:strRef>
              <c:f>Dash!$B$38</c:f>
              <c:strCache>
                <c:ptCount val="1"/>
                <c:pt idx="0">
                  <c:v>WC / ST debt payable (safety margin)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Dash!$C$35:$G$35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Dash!$C$38:$G$38</c:f>
              <c:numCache>
                <c:formatCode>0.00%</c:formatCode>
                <c:ptCount val="5"/>
                <c:pt idx="0" formatCode="0.0%">
                  <c:v>1.6485762144053604</c:v>
                </c:pt>
                <c:pt idx="1">
                  <c:v>1.6852199924359514</c:v>
                </c:pt>
                <c:pt idx="2">
                  <c:v>1.6577359586102363</c:v>
                </c:pt>
                <c:pt idx="3">
                  <c:v>1.6577359586102363</c:v>
                </c:pt>
                <c:pt idx="4">
                  <c:v>1.657735958610236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EBE-4584-BB40-2A8ABC65B9BB}"/>
            </c:ext>
          </c:extLst>
        </c:ser>
        <c:ser>
          <c:idx val="3"/>
          <c:order val="3"/>
          <c:tx>
            <c:strRef>
              <c:f>Dash!$B$39</c:f>
              <c:strCache>
                <c:ptCount val="1"/>
                <c:pt idx="0">
                  <c:v>Current assets / ST  debts (liquidity coef)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Dash!$C$35:$G$35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Dash!$C$39:$G$39</c:f>
              <c:numCache>
                <c:formatCode>0.00</c:formatCode>
                <c:ptCount val="5"/>
                <c:pt idx="0" formatCode="0.0">
                  <c:v>2.24998324958124</c:v>
                </c:pt>
                <c:pt idx="1">
                  <c:v>2.2864293160888498</c:v>
                </c:pt>
                <c:pt idx="2">
                  <c:v>2.3366733721867381</c:v>
                </c:pt>
                <c:pt idx="3">
                  <c:v>2.4126707184205154</c:v>
                </c:pt>
                <c:pt idx="4">
                  <c:v>2.5027337677709278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EBE-4584-BB40-2A8ABC65B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0838272"/>
        <c:axId val="1462180112"/>
      </c:lineChart>
      <c:catAx>
        <c:axId val="770097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872540087"/>
        <c:crosses val="autoZero"/>
        <c:auto val="1"/>
        <c:lblAlgn val="ctr"/>
        <c:lblOffset val="100"/>
        <c:noMultiLvlLbl val="0"/>
      </c:catAx>
      <c:valAx>
        <c:axId val="1872540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770097575"/>
        <c:crosses val="autoZero"/>
        <c:crossBetween val="between"/>
      </c:valAx>
      <c:valAx>
        <c:axId val="1462180112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470838272"/>
        <c:crosses val="max"/>
        <c:crossBetween val="between"/>
      </c:valAx>
      <c:catAx>
        <c:axId val="1470838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21801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Profitabilty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>
        <c:manualLayout>
          <c:layoutTarget val="inner"/>
          <c:xMode val="edge"/>
          <c:yMode val="edge"/>
          <c:x val="7.7175681863079659E-2"/>
          <c:y val="0.16187911481703621"/>
          <c:w val="0.88926055326034315"/>
          <c:h val="0.637064329917458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Dash!$B$51</c:f>
              <c:strCache>
                <c:ptCount val="1"/>
                <c:pt idx="0">
                  <c:v>Net results/turnover</c:v>
                </c:pt>
              </c:strCache>
            </c:strRef>
          </c:tx>
          <c:spPr>
            <a:solidFill>
              <a:schemeClr val="accent2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Dash!$C$50:$G$50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Dash!$C$51:$G$51</c:f>
              <c:numCache>
                <c:formatCode>0.0%</c:formatCode>
                <c:ptCount val="5"/>
                <c:pt idx="0" formatCode="0.00%">
                  <c:v>2.933036817395587E-2</c:v>
                </c:pt>
                <c:pt idx="1">
                  <c:v>2.8956627568471224E-2</c:v>
                </c:pt>
                <c:pt idx="2">
                  <c:v>3.6256627568471249E-2</c:v>
                </c:pt>
                <c:pt idx="3">
                  <c:v>3.6256627568471339E-2</c:v>
                </c:pt>
                <c:pt idx="4">
                  <c:v>3.6256627568471235E-2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5E-4E82-BCC9-4C451AE6004B}"/>
            </c:ext>
          </c:extLst>
        </c:ser>
        <c:ser>
          <c:idx val="1"/>
          <c:order val="1"/>
          <c:tx>
            <c:strRef>
              <c:f>Dash!$B$52</c:f>
              <c:strCache>
                <c:ptCount val="1"/>
                <c:pt idx="0">
                  <c:v>Net results/assets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Dash!$C$50:$G$50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Dash!$C$52:$G$52</c:f>
              <c:numCache>
                <c:formatCode>0.0%</c:formatCode>
                <c:ptCount val="5"/>
                <c:pt idx="0" formatCode="0.00%">
                  <c:v>3.9818852733981683E-2</c:v>
                </c:pt>
                <c:pt idx="1">
                  <c:v>4.0568900897432432E-2</c:v>
                </c:pt>
                <c:pt idx="2">
                  <c:v>5.0149743437193715E-2</c:v>
                </c:pt>
                <c:pt idx="3">
                  <c:v>4.9202373070732761E-2</c:v>
                </c:pt>
                <c:pt idx="4">
                  <c:v>4.8124990471912307E-2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5E-4E82-BCC9-4C451AE6004B}"/>
            </c:ext>
          </c:extLst>
        </c:ser>
        <c:ser>
          <c:idx val="2"/>
          <c:order val="2"/>
          <c:tx>
            <c:strRef>
              <c:f>Dash!$B$53</c:f>
              <c:strCache>
                <c:ptCount val="1"/>
                <c:pt idx="0">
                  <c:v>Net results/equity</c:v>
                </c:pt>
              </c:strCache>
            </c:strRef>
          </c:tx>
          <c:spPr>
            <a:solidFill>
              <a:schemeClr val="accent2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Dash!$C$50:$G$50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Dash!$C$53:$G$53</c:f>
              <c:numCache>
                <c:formatCode>0.00%</c:formatCode>
                <c:ptCount val="5"/>
                <c:pt idx="0">
                  <c:v>0.13803689899583027</c:v>
                </c:pt>
                <c:pt idx="1">
                  <c:v>0.1354862993672972</c:v>
                </c:pt>
                <c:pt idx="2">
                  <c:v>0.16085987829150214</c:v>
                </c:pt>
                <c:pt idx="3">
                  <c:v>0.15150293874469145</c:v>
                </c:pt>
                <c:pt idx="4">
                  <c:v>0.14173271700616608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A5E-4E82-BCC9-4C451AE60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2542648"/>
        <c:axId val="967288551"/>
      </c:barChart>
      <c:catAx>
        <c:axId val="1752542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967288551"/>
        <c:crosses val="autoZero"/>
        <c:auto val="1"/>
        <c:lblAlgn val="ctr"/>
        <c:lblOffset val="100"/>
        <c:noMultiLvlLbl val="0"/>
      </c:catAx>
      <c:valAx>
        <c:axId val="967288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752542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Dash!$C$20</c:f>
              <c:strCache>
                <c:ptCount val="1"/>
                <c:pt idx="0">
                  <c:v>FY11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Dash!$C$21:$C$25</c:f>
              <c:numCache>
                <c:formatCode>0.0%</c:formatCode>
                <c:ptCount val="5"/>
                <c:pt idx="0">
                  <c:v>0.28846528010734651</c:v>
                </c:pt>
                <c:pt idx="1">
                  <c:v>0.40540992881052285</c:v>
                </c:pt>
                <c:pt idx="2">
                  <c:v>0.27284577695869056</c:v>
                </c:pt>
                <c:pt idx="3">
                  <c:v>0.4067001675041868</c:v>
                </c:pt>
                <c:pt idx="4">
                  <c:v>0.43674941294867492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7C-4770-80A7-4340DDEFFA65}"/>
            </c:ext>
          </c:extLst>
        </c:ser>
        <c:ser>
          <c:idx val="1"/>
          <c:order val="1"/>
          <c:tx>
            <c:strRef>
              <c:f>Dash!$D$20</c:f>
              <c:strCache>
                <c:ptCount val="1"/>
                <c:pt idx="0">
                  <c:v>FY12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Dash!$D$21:$D$25</c:f>
              <c:numCache>
                <c:formatCode>0.0%</c:formatCode>
                <c:ptCount val="5"/>
                <c:pt idx="0">
                  <c:v>0.2994317586861826</c:v>
                </c:pt>
                <c:pt idx="1">
                  <c:v>0.42741269305134411</c:v>
                </c:pt>
                <c:pt idx="2">
                  <c:v>0.29632725291408707</c:v>
                </c:pt>
                <c:pt idx="3">
                  <c:v>0.40399660061636467</c:v>
                </c:pt>
                <c:pt idx="4">
                  <c:v>0.4132446606278477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7C-4770-80A7-4340DDEFFA65}"/>
            </c:ext>
          </c:extLst>
        </c:ser>
        <c:ser>
          <c:idx val="2"/>
          <c:order val="2"/>
          <c:tx>
            <c:strRef>
              <c:f>Dash!$E$20</c:f>
              <c:strCache>
                <c:ptCount val="1"/>
                <c:pt idx="0">
                  <c:v>FY13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Dash!$E$21:$E$25</c:f>
              <c:numCache>
                <c:formatCode>0.0%</c:formatCode>
                <c:ptCount val="5"/>
                <c:pt idx="0">
                  <c:v>0.31176042136694204</c:v>
                </c:pt>
                <c:pt idx="1">
                  <c:v>0.45298240764668418</c:v>
                </c:pt>
                <c:pt idx="2">
                  <c:v>0.33637147628085584</c:v>
                </c:pt>
                <c:pt idx="3">
                  <c:v>0.45859073583479248</c:v>
                </c:pt>
                <c:pt idx="4">
                  <c:v>0.40798415775940955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7C-4770-80A7-4340DDEFFA65}"/>
            </c:ext>
          </c:extLst>
        </c:ser>
        <c:ser>
          <c:idx val="3"/>
          <c:order val="3"/>
          <c:tx>
            <c:strRef>
              <c:f>Dash!$F$20</c:f>
              <c:strCache>
                <c:ptCount val="1"/>
                <c:pt idx="0">
                  <c:v>FY14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Dash!$F$21:$F$25</c:f>
              <c:numCache>
                <c:formatCode>0.0%</c:formatCode>
                <c:ptCount val="5"/>
                <c:pt idx="0">
                  <c:v>0.3247618394627132</c:v>
                </c:pt>
                <c:pt idx="1">
                  <c:v>0.48095895410339412</c:v>
                </c:pt>
                <c:pt idx="2">
                  <c:v>0.33637147628085623</c:v>
                </c:pt>
                <c:pt idx="3">
                  <c:v>0.45859073583479321</c:v>
                </c:pt>
                <c:pt idx="4">
                  <c:v>0.40027699767132452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97C-4770-80A7-4340DDEFFA65}"/>
            </c:ext>
          </c:extLst>
        </c:ser>
        <c:ser>
          <c:idx val="4"/>
          <c:order val="4"/>
          <c:tx>
            <c:strRef>
              <c:f>Dash!$G$20</c:f>
              <c:strCache>
                <c:ptCount val="1"/>
                <c:pt idx="0">
                  <c:v>FY15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Dash!$G$21:$G$25</c:f>
              <c:numCache>
                <c:formatCode>0.0%</c:formatCode>
                <c:ptCount val="5"/>
                <c:pt idx="0">
                  <c:v>0.33954750525115968</c:v>
                </c:pt>
                <c:pt idx="1">
                  <c:v>0.51411344184608498</c:v>
                </c:pt>
                <c:pt idx="2">
                  <c:v>0.33637147628085573</c:v>
                </c:pt>
                <c:pt idx="3">
                  <c:v>0.45859073583479237</c:v>
                </c:pt>
                <c:pt idx="4">
                  <c:v>0.39151214660653616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97C-4770-80A7-4340DDEFF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1799367"/>
        <c:axId val="1864752215"/>
      </c:barChart>
      <c:catAx>
        <c:axId val="2071799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864752215"/>
        <c:crosses val="autoZero"/>
        <c:auto val="1"/>
        <c:lblAlgn val="ctr"/>
        <c:lblOffset val="100"/>
        <c:noMultiLvlLbl val="0"/>
      </c:catAx>
      <c:valAx>
        <c:axId val="1864752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071799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KPI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Dash!$B$26</c:f>
              <c:strCache>
                <c:ptCount val="1"/>
                <c:pt idx="0">
                  <c:v>Debt to assets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Ref>
              <c:f>Dash!$C$20:$G$20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Dash!$C$26:$G$26</c:f>
              <c:numCache>
                <c:formatCode>0.00%</c:formatCode>
                <c:ptCount val="5"/>
                <c:pt idx="0">
                  <c:v>0.62348205300234816</c:v>
                </c:pt>
                <c:pt idx="1">
                  <c:v>0.60649411960606414</c:v>
                </c:pt>
                <c:pt idx="2">
                  <c:v>0.59877359866568158</c:v>
                </c:pt>
                <c:pt idx="3">
                  <c:v>0.58746226734639884</c:v>
                </c:pt>
                <c:pt idx="4">
                  <c:v>0.57459862714366594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2B-CA44-A0A6-2370F77BC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9199520"/>
        <c:axId val="1509201792"/>
      </c:barChart>
      <c:lineChart>
        <c:grouping val="standard"/>
        <c:varyColors val="0"/>
        <c:ser>
          <c:idx val="1"/>
          <c:order val="1"/>
          <c:tx>
            <c:strRef>
              <c:f>Dash!$B$27</c:f>
              <c:strCache>
                <c:ptCount val="1"/>
                <c:pt idx="0">
                  <c:v>Equity multiplier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strRef>
              <c:f>Dash!$C$20:$G$20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Dash!$C$27:$G$27</c:f>
              <c:numCache>
                <c:formatCode>0.00</c:formatCode>
                <c:ptCount val="5"/>
                <c:pt idx="0">
                  <c:v>3.466639144566614</c:v>
                </c:pt>
                <c:pt idx="1">
                  <c:v>3.3396591075966766</c:v>
                </c:pt>
                <c:pt idx="2">
                  <c:v>3.2075912510491511</c:v>
                </c:pt>
                <c:pt idx="3">
                  <c:v>3.0791795047546304</c:v>
                </c:pt>
                <c:pt idx="4">
                  <c:v>2.9450960013984218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2B-CA44-A0A6-2370F77BC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7561904"/>
        <c:axId val="1567037952"/>
      </c:lineChart>
      <c:catAx>
        <c:axId val="150919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509201792"/>
        <c:crosses val="autoZero"/>
        <c:auto val="1"/>
        <c:lblAlgn val="ctr"/>
        <c:lblOffset val="100"/>
        <c:noMultiLvlLbl val="0"/>
      </c:catAx>
      <c:valAx>
        <c:axId val="150920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509199520"/>
        <c:crosses val="autoZero"/>
        <c:crossBetween val="between"/>
      </c:valAx>
      <c:valAx>
        <c:axId val="1567037952"/>
        <c:scaling>
          <c:orientation val="minMax"/>
        </c:scaling>
        <c:delete val="0"/>
        <c:axPos val="r"/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567561904"/>
        <c:crosses val="max"/>
        <c:crossBetween val="between"/>
      </c:valAx>
      <c:catAx>
        <c:axId val="15675619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670379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Spin" dx="15" fmlaLink="OPT" max="3" page="10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152400</xdr:colOff>
          <xdr:row>2</xdr:row>
          <xdr:rowOff>215900</xdr:rowOff>
        </xdr:from>
        <xdr:to>
          <xdr:col>3</xdr:col>
          <xdr:colOff>419100</xdr:colOff>
          <xdr:row>4</xdr:row>
          <xdr:rowOff>114300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8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  <xdr:twoCellAnchor>
    <xdr:from>
      <xdr:col>3</xdr:col>
      <xdr:colOff>127000</xdr:colOff>
      <xdr:row>2</xdr:row>
      <xdr:rowOff>190500</xdr:rowOff>
    </xdr:from>
    <xdr:to>
      <xdr:col>3</xdr:col>
      <xdr:colOff>444500</xdr:colOff>
      <xdr:row>4</xdr:row>
      <xdr:rowOff>139700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3962400" y="647700"/>
          <a:ext cx="317500" cy="482600"/>
        </a:xfrm>
        <a:prstGeom prst="roundRect">
          <a:avLst/>
        </a:prstGeom>
        <a:noFill/>
        <a:ln w="38100"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734963</xdr:colOff>
      <xdr:row>22</xdr:row>
      <xdr:rowOff>104967</xdr:rowOff>
    </xdr:from>
    <xdr:to>
      <xdr:col>19</xdr:col>
      <xdr:colOff>156632</xdr:colOff>
      <xdr:row>34</xdr:row>
      <xdr:rowOff>122767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800-000009000000}"/>
            </a:ext>
            <a:ext uri="{147F2762-F138-4A5C-976F-8EAC2B608ADB}">
              <a16:predDERef xmlns:a16="http://schemas.microsoft.com/office/drawing/2014/main" pred="{00000000-0008-0000-08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788650</xdr:colOff>
      <xdr:row>36</xdr:row>
      <xdr:rowOff>43294</xdr:rowOff>
    </xdr:from>
    <xdr:to>
      <xdr:col>19</xdr:col>
      <xdr:colOff>141817</xdr:colOff>
      <xdr:row>48</xdr:row>
      <xdr:rowOff>48683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800-00000A000000}"/>
            </a:ext>
            <a:ext uri="{147F2762-F138-4A5C-976F-8EAC2B608ADB}">
              <a16:predDERef xmlns:a16="http://schemas.microsoft.com/office/drawing/2014/main" pred="{22F83724-10CD-59D7-EBDC-28FBF3E053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645584</xdr:colOff>
      <xdr:row>10</xdr:row>
      <xdr:rowOff>71967</xdr:rowOff>
    </xdr:from>
    <xdr:to>
      <xdr:col>19</xdr:col>
      <xdr:colOff>27901</xdr:colOff>
      <xdr:row>20</xdr:row>
      <xdr:rowOff>114301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800-00000B000000}"/>
            </a:ext>
            <a:ext uri="{147F2762-F138-4A5C-976F-8EAC2B608ADB}">
              <a16:predDERef xmlns:a16="http://schemas.microsoft.com/office/drawing/2014/main" pred="{00000000-0008-0000-08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635000</xdr:colOff>
      <xdr:row>0</xdr:row>
      <xdr:rowOff>114492</xdr:rowOff>
    </xdr:from>
    <xdr:to>
      <xdr:col>17</xdr:col>
      <xdr:colOff>261947</xdr:colOff>
      <xdr:row>8</xdr:row>
      <xdr:rowOff>130105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148A-9500-6B44-AD73-847E01DA0600}">
  <sheetPr codeName="Sheet13">
    <tabColor rgb="FF7030A0"/>
  </sheetPr>
  <dimension ref="A2:D30"/>
  <sheetViews>
    <sheetView zoomScaleNormal="140" workbookViewId="0">
      <selection activeCell="C34" sqref="C34"/>
    </sheetView>
  </sheetViews>
  <sheetFormatPr baseColWidth="10" defaultColWidth="10.75" defaultRowHeight="16" x14ac:dyDescent="0.15"/>
  <cols>
    <col min="1" max="1" width="5.75" style="6" customWidth="1"/>
    <col min="2" max="2" width="29.75" style="6" customWidth="1"/>
    <col min="3" max="3" width="96.75" style="6" customWidth="1"/>
    <col min="4" max="4" width="14" style="6" customWidth="1"/>
    <col min="5" max="16384" width="10.75" style="6"/>
  </cols>
  <sheetData>
    <row r="2" spans="1:4" ht="18" x14ac:dyDescent="0.15">
      <c r="A2" s="5" t="s">
        <v>0</v>
      </c>
    </row>
    <row r="4" spans="1:4" ht="68" x14ac:dyDescent="0.15">
      <c r="B4" s="6" t="s">
        <v>368</v>
      </c>
      <c r="C4" s="6" t="s">
        <v>367</v>
      </c>
    </row>
    <row r="5" spans="1:4" ht="53" customHeight="1" x14ac:dyDescent="0.15">
      <c r="B5" s="6" t="s">
        <v>369</v>
      </c>
      <c r="C5" s="6" t="s">
        <v>370</v>
      </c>
    </row>
    <row r="8" spans="1:4" ht="17" customHeight="1" x14ac:dyDescent="0.15">
      <c r="A8" s="7" t="s">
        <v>1</v>
      </c>
    </row>
    <row r="9" spans="1:4" ht="17" customHeight="1" x14ac:dyDescent="0.15">
      <c r="A9" s="7"/>
    </row>
    <row r="10" spans="1:4" ht="20" customHeight="1" x14ac:dyDescent="0.15">
      <c r="A10" s="8" t="s">
        <v>2</v>
      </c>
      <c r="B10" s="8" t="s">
        <v>3</v>
      </c>
      <c r="C10" s="8" t="s">
        <v>4</v>
      </c>
      <c r="D10" s="8" t="s">
        <v>5</v>
      </c>
    </row>
    <row r="11" spans="1:4" ht="26" customHeight="1" x14ac:dyDescent="0.15">
      <c r="A11" s="9" t="s">
        <v>6</v>
      </c>
      <c r="B11" s="10" t="s">
        <v>7</v>
      </c>
      <c r="C11" s="8" t="s">
        <v>8</v>
      </c>
      <c r="D11" s="11"/>
    </row>
    <row r="12" spans="1:4" ht="23" customHeight="1" x14ac:dyDescent="0.15">
      <c r="A12" s="9" t="s">
        <v>9</v>
      </c>
      <c r="B12" s="10" t="s">
        <v>342</v>
      </c>
      <c r="C12" s="8" t="s">
        <v>11</v>
      </c>
      <c r="D12" s="12"/>
    </row>
    <row r="13" spans="1:4" ht="23" customHeight="1" x14ac:dyDescent="0.15">
      <c r="A13" s="9" t="s">
        <v>12</v>
      </c>
      <c r="B13" s="10" t="s">
        <v>345</v>
      </c>
      <c r="C13" s="8" t="s">
        <v>13</v>
      </c>
      <c r="D13" s="13"/>
    </row>
    <row r="14" spans="1:4" ht="30" customHeight="1" x14ac:dyDescent="0.15">
      <c r="A14" s="9" t="s">
        <v>14</v>
      </c>
      <c r="B14" s="10" t="s">
        <v>346</v>
      </c>
      <c r="C14" s="8" t="s">
        <v>343</v>
      </c>
      <c r="D14" s="14"/>
    </row>
    <row r="15" spans="1:4" ht="32" customHeight="1" x14ac:dyDescent="0.15">
      <c r="A15" s="9" t="s">
        <v>14</v>
      </c>
      <c r="B15" s="10" t="s">
        <v>16</v>
      </c>
      <c r="C15" s="8" t="s">
        <v>17</v>
      </c>
      <c r="D15" s="14"/>
    </row>
    <row r="16" spans="1:4" ht="31" customHeight="1" x14ac:dyDescent="0.15">
      <c r="A16" s="9" t="s">
        <v>15</v>
      </c>
      <c r="B16" s="10" t="s">
        <v>344</v>
      </c>
      <c r="C16" s="8" t="s">
        <v>371</v>
      </c>
      <c r="D16" s="15"/>
    </row>
    <row r="18" spans="1:3" ht="18" x14ac:dyDescent="0.15">
      <c r="A18" s="5" t="s">
        <v>18</v>
      </c>
    </row>
    <row r="20" spans="1:3" ht="31" customHeight="1" x14ac:dyDescent="0.15">
      <c r="B20" s="16" t="s">
        <v>19</v>
      </c>
      <c r="C20" s="16"/>
    </row>
    <row r="21" spans="1:3" ht="19" customHeight="1" x14ac:dyDescent="0.15">
      <c r="B21" s="17" t="s">
        <v>20</v>
      </c>
      <c r="C21" s="17"/>
    </row>
    <row r="22" spans="1:3" ht="19" customHeight="1" x14ac:dyDescent="0.15">
      <c r="B22" s="17" t="s">
        <v>21</v>
      </c>
      <c r="C22" s="17"/>
    </row>
    <row r="23" spans="1:3" ht="15.75" customHeight="1" x14ac:dyDescent="0.15"/>
    <row r="25" spans="1:3" x14ac:dyDescent="0.2">
      <c r="B25" s="303" t="s">
        <v>377</v>
      </c>
      <c r="C25" s="304"/>
    </row>
    <row r="26" spans="1:3" x14ac:dyDescent="0.2">
      <c r="B26" s="305"/>
      <c r="C26" s="305"/>
    </row>
    <row r="27" spans="1:3" x14ac:dyDescent="0.2">
      <c r="B27" s="305"/>
      <c r="C27" s="305"/>
    </row>
    <row r="28" spans="1:3" ht="18" x14ac:dyDescent="0.2">
      <c r="B28" s="306" t="s">
        <v>375</v>
      </c>
      <c r="C28" s="306"/>
    </row>
    <row r="29" spans="1:3" ht="18" x14ac:dyDescent="0.2">
      <c r="B29" s="307" t="s">
        <v>378</v>
      </c>
      <c r="C29" s="307"/>
    </row>
    <row r="30" spans="1:3" ht="18" x14ac:dyDescent="0.2">
      <c r="B30" s="307" t="s">
        <v>376</v>
      </c>
      <c r="C30" s="305"/>
    </row>
  </sheetData>
  <sheetProtection select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A7F3A-72F0-5641-ADF4-47F6E05032A9}">
  <sheetPr codeName="Sheet1">
    <tabColor theme="1"/>
  </sheetPr>
  <dimension ref="A1:X145"/>
  <sheetViews>
    <sheetView zoomScaleNormal="150" workbookViewId="0">
      <selection activeCell="K24" sqref="K24"/>
    </sheetView>
  </sheetViews>
  <sheetFormatPr baseColWidth="10" defaultColWidth="10.75" defaultRowHeight="16" x14ac:dyDescent="0.15"/>
  <cols>
    <col min="1" max="1" width="14.5" style="6" customWidth="1"/>
    <col min="2" max="2" width="75" style="6" customWidth="1"/>
    <col min="3" max="3" width="12.25" style="6" customWidth="1"/>
    <col min="4" max="8" width="18.75" style="6" customWidth="1"/>
    <col min="9" max="9" width="25.25" style="6" customWidth="1"/>
    <col min="10" max="24" width="10.75" style="6"/>
    <col min="25" max="16384" width="10.75" style="19"/>
  </cols>
  <sheetData>
    <row r="1" spans="2:8" ht="19" x14ac:dyDescent="0.15">
      <c r="B1" s="18" t="str">
        <f>'Noname co'!A1</f>
        <v>Noname co, by elie diwambuena</v>
      </c>
    </row>
    <row r="3" spans="2:8" ht="17" thickBot="1" x14ac:dyDescent="0.2">
      <c r="B3" s="7"/>
      <c r="C3" s="7"/>
      <c r="D3" s="20"/>
      <c r="E3" s="20"/>
      <c r="F3" s="20"/>
      <c r="G3" s="20"/>
      <c r="H3" s="20"/>
    </row>
    <row r="4" spans="2:8" ht="17" thickBot="1" x14ac:dyDescent="0.2">
      <c r="B4" s="21" t="s">
        <v>22</v>
      </c>
      <c r="C4" s="20"/>
      <c r="D4" s="22">
        <v>39263</v>
      </c>
      <c r="E4" s="22">
        <v>39629</v>
      </c>
      <c r="F4" s="22">
        <v>39994</v>
      </c>
      <c r="G4" s="22">
        <v>40359</v>
      </c>
      <c r="H4" s="22">
        <v>40724</v>
      </c>
    </row>
    <row r="5" spans="2:8" x14ac:dyDescent="0.15">
      <c r="B5" s="7" t="str">
        <f>'Noname co'!A8</f>
        <v>Net Sales</v>
      </c>
      <c r="C5" s="7"/>
      <c r="D5" s="23">
        <f>'Noname co'!C8/'Noname co'!C$8</f>
        <v>1</v>
      </c>
      <c r="E5" s="23">
        <f>'Noname co'!D8/'Noname co'!D$8</f>
        <v>1</v>
      </c>
      <c r="F5" s="23">
        <f>'Noname co'!E8/'Noname co'!E$8</f>
        <v>1</v>
      </c>
      <c r="G5" s="23">
        <f>'Noname co'!F8/'Noname co'!F$8</f>
        <v>1</v>
      </c>
      <c r="H5" s="23">
        <f>'Noname co'!G8/'Noname co'!G$8</f>
        <v>1</v>
      </c>
    </row>
    <row r="6" spans="2:8" ht="17" thickBot="1" x14ac:dyDescent="0.2">
      <c r="B6" s="24" t="str">
        <f>'Noname co'!A9</f>
        <v>Cost of Goods Sold</v>
      </c>
      <c r="C6" s="24"/>
      <c r="D6" s="25">
        <f>'Noname co'!C9/'Noname co'!C$8</f>
        <v>0.57999133824166305</v>
      </c>
      <c r="E6" s="25">
        <f>'Noname co'!D9/'Noname co'!D$8</f>
        <v>0.57999887020543428</v>
      </c>
      <c r="F6" s="25">
        <f>'Noname co'!E9/'Noname co'!E$8</f>
        <v>0.58000932851935683</v>
      </c>
      <c r="G6" s="25">
        <f>'Noname co'!F9/'Noname co'!F$8</f>
        <v>0.58500080862137405</v>
      </c>
      <c r="H6" s="25">
        <f>'Noname co'!G9/'Noname co'!G$8</f>
        <v>0.58700271806276261</v>
      </c>
    </row>
    <row r="7" spans="2:8" x14ac:dyDescent="0.15">
      <c r="B7" s="24" t="str">
        <f>'Noname co'!A10</f>
        <v>Gross Profit Margin</v>
      </c>
      <c r="C7" s="24"/>
      <c r="D7" s="23">
        <f>'Noname co'!C10/'Noname co'!C$8</f>
        <v>0.42000866175833695</v>
      </c>
      <c r="E7" s="23">
        <f>'Noname co'!D10/'Noname co'!D$8</f>
        <v>0.42000112979456572</v>
      </c>
      <c r="F7" s="23">
        <f>'Noname co'!E10/'Noname co'!E$8</f>
        <v>0.41999067148064317</v>
      </c>
      <c r="G7" s="23">
        <f>'Noname co'!F10/'Noname co'!F$8</f>
        <v>0.41499919137862595</v>
      </c>
      <c r="H7" s="23">
        <f>'Noname co'!G10/'Noname co'!G$8</f>
        <v>0.41299728193723739</v>
      </c>
    </row>
    <row r="8" spans="2:8" x14ac:dyDescent="0.15">
      <c r="B8" s="7"/>
      <c r="C8" s="7"/>
      <c r="D8" s="26"/>
      <c r="E8" s="26"/>
      <c r="F8" s="26"/>
      <c r="G8" s="26"/>
      <c r="H8" s="26"/>
    </row>
    <row r="9" spans="2:8" x14ac:dyDescent="0.15">
      <c r="B9" s="7" t="str">
        <f>'Noname co'!A12</f>
        <v>R&amp;D Expense</v>
      </c>
      <c r="C9" s="7"/>
      <c r="D9" s="26">
        <f>'Noname co'!C12/'Noname co'!C$8</f>
        <v>1.6002598527501081E-2</v>
      </c>
      <c r="E9" s="26">
        <f>'Noname co'!D12/'Noname co'!D$8</f>
        <v>1.6005423013915301E-2</v>
      </c>
      <c r="F9" s="26">
        <f>'Noname co'!E12/'Noname co'!E$8</f>
        <v>1.5996683193117627E-2</v>
      </c>
      <c r="G9" s="26">
        <f>'Noname co'!F12/'Noname co'!F$8</f>
        <v>1.5996000999750064E-2</v>
      </c>
      <c r="H9" s="26">
        <f>'Noname co'!G12/'Noname co'!G$8</f>
        <v>1.599950580677045E-2</v>
      </c>
    </row>
    <row r="10" spans="2:8" ht="17" thickBot="1" x14ac:dyDescent="0.2">
      <c r="B10" s="7" t="str">
        <f>'Noname co'!A13</f>
        <v>SG&amp;A Expense</v>
      </c>
      <c r="C10" s="7"/>
      <c r="D10" s="25">
        <f>'Noname co'!C13/'Noname co'!C$8</f>
        <v>0.32299696838458208</v>
      </c>
      <c r="E10" s="25">
        <f>'Noname co'!D13/'Noname co'!D$8</f>
        <v>0.32500423672962137</v>
      </c>
      <c r="F10" s="25">
        <f>'Noname co'!E13/'Noname co'!E$8</f>
        <v>0.32599720144419297</v>
      </c>
      <c r="G10" s="25">
        <f>'Noname co'!F13/'Noname co'!F$8</f>
        <v>0.32200773336077748</v>
      </c>
      <c r="H10" s="25">
        <f>'Noname co'!G13/'Noname co'!G$8</f>
        <v>0.32200395354583644</v>
      </c>
    </row>
    <row r="11" spans="2:8" x14ac:dyDescent="0.15">
      <c r="B11" s="7" t="str">
        <f>'Noname co'!A14</f>
        <v>Earnings Before Interest &amp; Taxes</v>
      </c>
      <c r="C11" s="7"/>
      <c r="D11" s="26">
        <f>'Noname co'!C14/'Noname co'!C$8</f>
        <v>8.1009094846253807E-2</v>
      </c>
      <c r="E11" s="26">
        <f>'Noname co'!D14/'Noname co'!D$8</f>
        <v>7.8991470051029064E-2</v>
      </c>
      <c r="F11" s="26">
        <f>'Noname co'!E14/'Noname co'!E$8</f>
        <v>7.7996786843332597E-2</v>
      </c>
      <c r="G11" s="26">
        <f>'Noname co'!F14/'Noname co'!F$8</f>
        <v>7.6995457018098359E-2</v>
      </c>
      <c r="H11" s="26">
        <f>'Noname co'!G14/'Noname co'!G$8</f>
        <v>7.4993822584630457E-2</v>
      </c>
    </row>
    <row r="12" spans="2:8" x14ac:dyDescent="0.15">
      <c r="B12" s="7"/>
      <c r="C12" s="7"/>
      <c r="D12" s="26"/>
      <c r="E12" s="26"/>
      <c r="F12" s="26"/>
      <c r="G12" s="26"/>
      <c r="H12" s="26"/>
    </row>
    <row r="13" spans="2:8" ht="17" thickBot="1" x14ac:dyDescent="0.2">
      <c r="B13" s="7" t="str">
        <f>'Noname co'!A16</f>
        <v>Interest Expense</v>
      </c>
      <c r="C13" s="7"/>
      <c r="D13" s="25">
        <f>'Noname co'!C16/'Noname co'!C$8</f>
        <v>6.2927674317886539E-2</v>
      </c>
      <c r="E13" s="25">
        <f>'Noname co'!D16/'Noname co'!D$8</f>
        <v>5.5359933718718807E-2</v>
      </c>
      <c r="F13" s="25">
        <f>'Noname co'!E16/'Noname co'!E$8</f>
        <v>4.6089795636325953E-2</v>
      </c>
      <c r="G13" s="25">
        <f>'Noname co'!F16/'Noname co'!F$8</f>
        <v>3.5623447079406616E-2</v>
      </c>
      <c r="H13" s="25">
        <f>'Noname co'!G16/'Noname co'!G$8</f>
        <v>3.480355819125279E-2</v>
      </c>
    </row>
    <row r="14" spans="2:8" x14ac:dyDescent="0.15">
      <c r="B14" s="7" t="str">
        <f>'Noname co'!A17</f>
        <v>Earnings Before Income Taxes</v>
      </c>
      <c r="C14" s="7"/>
      <c r="D14" s="26">
        <f>'Noname co'!C17/'Noname co'!C$8</f>
        <v>1.8081420528367267E-2</v>
      </c>
      <c r="E14" s="26">
        <f>'Noname co'!D17/'Noname co'!D$8</f>
        <v>2.3631536332310261E-2</v>
      </c>
      <c r="F14" s="26">
        <f>'Noname co'!E17/'Noname co'!E$8</f>
        <v>3.1906991207006637E-2</v>
      </c>
      <c r="G14" s="26">
        <f>'Noname co'!F17/'Noname co'!F$8</f>
        <v>4.1372009938691737E-2</v>
      </c>
      <c r="H14" s="26">
        <f>'Noname co'!G17/'Noname co'!G$8</f>
        <v>4.0190264393377667E-2</v>
      </c>
    </row>
    <row r="15" spans="2:8" x14ac:dyDescent="0.15">
      <c r="B15" s="7"/>
      <c r="C15" s="7"/>
      <c r="D15" s="26"/>
      <c r="E15" s="26"/>
      <c r="F15" s="26"/>
      <c r="G15" s="26"/>
      <c r="H15" s="26"/>
    </row>
    <row r="16" spans="2:8" ht="17" thickBot="1" x14ac:dyDescent="0.2">
      <c r="B16" s="7" t="str">
        <f>'Noname co'!A19</f>
        <v>Income Taxes</v>
      </c>
      <c r="C16" s="7"/>
      <c r="D16" s="25">
        <f>'Noname co'!C19/'Noname co'!C$8</f>
        <v>4.8722390645300996E-3</v>
      </c>
      <c r="E16" s="25">
        <f>'Noname co'!D19/'Noname co'!D$8</f>
        <v>6.3833392961379857E-3</v>
      </c>
      <c r="F16" s="25">
        <f>'Noname co'!E19/'Noname co'!E$8</f>
        <v>8.6202428870039913E-3</v>
      </c>
      <c r="G16" s="25">
        <f>'Noname co'!F19/'Noname co'!F$8</f>
        <v>1.1173677168943059E-2</v>
      </c>
      <c r="H16" s="25">
        <f>'Noname co'!G19/'Noname co'!G$8</f>
        <v>1.0859896219421796E-2</v>
      </c>
    </row>
    <row r="17" spans="2:9" x14ac:dyDescent="0.15">
      <c r="B17" s="7" t="str">
        <f>'Noname co'!A20</f>
        <v>Net Income</v>
      </c>
      <c r="C17" s="7"/>
      <c r="D17" s="26">
        <f>'Noname co'!C20/'Noname co'!C$8</f>
        <v>1.3209181463837167E-2</v>
      </c>
      <c r="E17" s="26">
        <f>'Noname co'!D20/'Noname co'!D$8</f>
        <v>1.7248197036172273E-2</v>
      </c>
      <c r="F17" s="26">
        <f>'Noname co'!E20/'Noname co'!E$8</f>
        <v>2.3286748320002649E-2</v>
      </c>
      <c r="G17" s="26">
        <f>'Noname co'!F20/'Noname co'!F$8</f>
        <v>3.0198332769748679E-2</v>
      </c>
      <c r="H17" s="26">
        <f>'Noname co'!G20/'Noname co'!G$8</f>
        <v>2.933036817395587E-2</v>
      </c>
    </row>
    <row r="18" spans="2:9" x14ac:dyDescent="0.15">
      <c r="B18" s="7"/>
      <c r="C18" s="7"/>
      <c r="D18" s="7"/>
      <c r="E18" s="7"/>
      <c r="F18" s="7"/>
      <c r="G18" s="7"/>
      <c r="H18" s="7"/>
    </row>
    <row r="19" spans="2:9" x14ac:dyDescent="0.15">
      <c r="B19" s="7" t="s">
        <v>23</v>
      </c>
      <c r="C19" s="7"/>
      <c r="D19" s="27">
        <f>'Noname co'!C19/'Noname co'!C17</f>
        <v>0.26946107784431128</v>
      </c>
      <c r="E19" s="27">
        <f>'Noname co'!D19/'Noname co'!D17</f>
        <v>0.27011952191235039</v>
      </c>
      <c r="F19" s="27">
        <f>'Noname co'!E19/'Noname co'!E17</f>
        <v>0.2701678397401201</v>
      </c>
      <c r="G19" s="27">
        <f>'Noname co'!F19/'Noname co'!F17</f>
        <v>0.27007818052594212</v>
      </c>
      <c r="H19" s="27">
        <f>'Noname co'!G19/'Noname co'!G17</f>
        <v>0.27021211189671179</v>
      </c>
    </row>
    <row r="20" spans="2:9" x14ac:dyDescent="0.15">
      <c r="B20" s="7"/>
      <c r="C20" s="7"/>
      <c r="D20" s="7"/>
      <c r="E20" s="7"/>
      <c r="F20" s="7"/>
      <c r="G20" s="7"/>
      <c r="H20" s="7"/>
    </row>
    <row r="21" spans="2:9" x14ac:dyDescent="0.15">
      <c r="B21" s="7"/>
      <c r="C21" s="7"/>
      <c r="D21" s="7"/>
      <c r="E21" s="7"/>
      <c r="F21" s="7"/>
      <c r="G21" s="7"/>
      <c r="H21" s="7"/>
    </row>
    <row r="22" spans="2:9" ht="17" thickBot="1" x14ac:dyDescent="0.2">
      <c r="B22" s="28" t="s">
        <v>24</v>
      </c>
      <c r="C22" s="20"/>
      <c r="D22" s="20"/>
      <c r="E22" s="20"/>
      <c r="F22" s="20"/>
      <c r="G22" s="20"/>
      <c r="H22" s="20"/>
    </row>
    <row r="23" spans="2:9" x14ac:dyDescent="0.15">
      <c r="B23" s="7" t="s">
        <v>25</v>
      </c>
      <c r="C23" s="7"/>
      <c r="D23" s="29">
        <f>'Noname co'!C44/'Noname co'!C9*365</f>
        <v>91.263627538829155</v>
      </c>
      <c r="E23" s="29">
        <f>'Noname co'!D44/'Noname co'!D9*365</f>
        <v>91.255924939938964</v>
      </c>
      <c r="F23" s="29">
        <f>'Noname co'!E44/'Noname co'!E9*365</f>
        <v>91.252717795979137</v>
      </c>
      <c r="G23" s="29">
        <f>'Noname co'!F44/'Noname co'!F9*365</f>
        <v>91.24541342045741</v>
      </c>
      <c r="H23" s="29">
        <f>'Noname co'!G44/'Noname co'!G9*365</f>
        <v>91.25</v>
      </c>
    </row>
    <row r="24" spans="2:9" x14ac:dyDescent="0.15">
      <c r="B24" s="7" t="s">
        <v>26</v>
      </c>
      <c r="C24" s="7"/>
      <c r="D24" s="29">
        <f>'Noname co'!C43/'Noname co'!C8*365</f>
        <v>74.999675184062369</v>
      </c>
      <c r="E24" s="29">
        <f>'Noname co'!D43/'Noname co'!D8*365</f>
        <v>74.997269663132911</v>
      </c>
      <c r="F24" s="29">
        <f>'Noname co'!E43/'Noname co'!E8*365</f>
        <v>75.002591255376856</v>
      </c>
      <c r="G24" s="29">
        <f>'Noname co'!F43/'Noname co'!F8*365</f>
        <v>74.999485422761964</v>
      </c>
      <c r="H24" s="29">
        <f>'Noname co'!G43/'Noname co'!G8*365</f>
        <v>75.002223869532997</v>
      </c>
    </row>
    <row r="25" spans="2:9" x14ac:dyDescent="0.15">
      <c r="B25" s="7" t="s">
        <v>27</v>
      </c>
      <c r="C25" s="7"/>
      <c r="D25" s="29">
        <f>'Noname co'!C59/'Noname co'!C9*365</f>
        <v>30.021468040621269</v>
      </c>
      <c r="E25" s="29">
        <f>'Noname co'!D59/'Noname co'!D9*365</f>
        <v>30.003895850918774</v>
      </c>
      <c r="F25" s="29">
        <f>'Noname co'!E59/'Noname co'!E9*365</f>
        <v>30.004467609828733</v>
      </c>
      <c r="G25" s="29">
        <f>'Noname co'!F59/'Noname co'!F9*365</f>
        <v>30.005403367680323</v>
      </c>
      <c r="H25" s="29">
        <f>'Noname co'!G59/'Noname co'!G9*365</f>
        <v>29.999263343997306</v>
      </c>
    </row>
    <row r="26" spans="2:9" x14ac:dyDescent="0.15">
      <c r="B26" s="7" t="s">
        <v>28</v>
      </c>
      <c r="C26" s="7"/>
      <c r="D26" s="29">
        <f>'Noname co'!C42/('Noname co'!C9+'Noname co'!C12+'Noname co'!C13) * 365</f>
        <v>19.996347699050407</v>
      </c>
      <c r="E26" s="29">
        <f>'Noname co'!D42/('Noname co'!D9+'Noname co'!D12+'Noname co'!D13) * 365</f>
        <v>19.999182204775924</v>
      </c>
      <c r="F26" s="29">
        <f>'Noname co'!E42/('Noname co'!E9+'Noname co'!E12+'Noname co'!E13) * 365</f>
        <v>19.996627445102305</v>
      </c>
      <c r="G26" s="29">
        <f>'Noname co'!F42/('Noname co'!F9+'Noname co'!F12+'Noname co'!F13) * 365</f>
        <v>20</v>
      </c>
      <c r="H26" s="29">
        <f>'Noname co'!G42/('Noname co'!G9+'Noname co'!G12+'Noname co'!G13) * 365</f>
        <v>19.997729397622546</v>
      </c>
    </row>
    <row r="27" spans="2:9" x14ac:dyDescent="0.15">
      <c r="B27" s="7"/>
      <c r="C27" s="7"/>
      <c r="D27" s="7"/>
      <c r="E27" s="7"/>
      <c r="F27" s="7"/>
      <c r="G27" s="7"/>
      <c r="H27" s="7"/>
    </row>
    <row r="28" spans="2:9" ht="20" customHeight="1" thickBot="1" x14ac:dyDescent="0.2">
      <c r="B28" s="20" t="s">
        <v>29</v>
      </c>
      <c r="C28" s="20"/>
      <c r="D28" s="20"/>
      <c r="E28" s="20"/>
      <c r="F28" s="20"/>
      <c r="G28" s="20"/>
      <c r="H28" s="20"/>
      <c r="I28" s="30" t="s">
        <v>30</v>
      </c>
    </row>
    <row r="29" spans="2:9" x14ac:dyDescent="0.15">
      <c r="B29" s="31" t="s">
        <v>31</v>
      </c>
      <c r="C29" s="7"/>
      <c r="D29" s="7"/>
      <c r="E29" s="7"/>
      <c r="F29" s="7"/>
      <c r="G29" s="7"/>
      <c r="H29" s="7"/>
      <c r="I29" s="32"/>
    </row>
    <row r="30" spans="2:9" x14ac:dyDescent="0.15">
      <c r="B30" s="7" t="s">
        <v>32</v>
      </c>
      <c r="C30" s="7"/>
      <c r="D30" s="26">
        <f>'Noname co'!C48/'Noname co'!C8</f>
        <v>0.32914681680381114</v>
      </c>
      <c r="E30" s="26">
        <f>'Noname co'!D48/'Noname co'!D8</f>
        <v>0.30127855085017036</v>
      </c>
      <c r="F30" s="26">
        <f>'Noname co'!E48/'Noname co'!E8</f>
        <v>0.29885812013059931</v>
      </c>
      <c r="G30" s="26">
        <f>'Noname co'!F48/'Noname co'!F8</f>
        <v>0.28081214990370057</v>
      </c>
      <c r="H30" s="26">
        <f>'Noname co'!G48/'Noname co'!G8</f>
        <v>0.27674820854954285</v>
      </c>
      <c r="I30" s="33">
        <f>(H30/D30)^(1/5)-1</f>
        <v>-3.4084730068232316E-2</v>
      </c>
    </row>
    <row r="31" spans="2:9" x14ac:dyDescent="0.15">
      <c r="B31" s="7" t="s">
        <v>33</v>
      </c>
      <c r="C31" s="7"/>
      <c r="D31" s="34">
        <f>'Noname co'!C49/'Noname co'!C8</f>
        <v>4.8527501082719797E-2</v>
      </c>
      <c r="E31" s="34">
        <f>'Noname co'!D49/'Noname co'!D8</f>
        <v>4.6679345472348276E-2</v>
      </c>
      <c r="F31" s="34">
        <f>'Noname co'!E49/'Noname co'!E8</f>
        <v>4.6141620743863042E-2</v>
      </c>
      <c r="G31" s="34">
        <f>'Noname co'!F49/'Noname co'!F8</f>
        <v>4.519458370701443E-2</v>
      </c>
      <c r="H31" s="34">
        <f>'Noname co'!G49/'Noname co'!G8</f>
        <v>4.4959229058561902E-2</v>
      </c>
      <c r="I31" s="33">
        <f>(H31/D31)^(1/5)-1</f>
        <v>-1.5158852453433513E-2</v>
      </c>
    </row>
    <row r="32" spans="2:9" x14ac:dyDescent="0.15">
      <c r="B32" s="7" t="s">
        <v>34</v>
      </c>
      <c r="C32" s="7"/>
      <c r="D32" s="34">
        <f>'Noname co'!C50/'Noname co'!C8</f>
        <v>0.37767431788653094</v>
      </c>
      <c r="E32" s="34">
        <f>'Noname co'!D50/'Noname co'!D8</f>
        <v>0.34795789632251872</v>
      </c>
      <c r="F32" s="34">
        <f>'Noname co'!E50/'Noname co'!E8</f>
        <v>0.34499974087446234</v>
      </c>
      <c r="G32" s="34">
        <f>'Noname co'!F50/'Noname co'!F8</f>
        <v>0.32600673361071497</v>
      </c>
      <c r="H32" s="34">
        <f>'Noname co'!G50/'Noname co'!G8</f>
        <v>0.32170743760810477</v>
      </c>
      <c r="I32" s="33">
        <f>(H32/D32)^(1/5)-1</f>
        <v>-3.1568896055789608E-2</v>
      </c>
    </row>
    <row r="33" spans="1:9" x14ac:dyDescent="0.15">
      <c r="I33" s="32"/>
    </row>
    <row r="34" spans="1:9" ht="17" thickBot="1" x14ac:dyDescent="0.2">
      <c r="B34" s="35" t="s">
        <v>35</v>
      </c>
      <c r="C34" s="36"/>
      <c r="D34" s="36"/>
      <c r="E34" s="36"/>
      <c r="F34" s="36"/>
      <c r="G34" s="36"/>
      <c r="H34" s="36"/>
      <c r="I34" s="33"/>
    </row>
    <row r="35" spans="1:9" x14ac:dyDescent="0.15">
      <c r="A35" s="26"/>
      <c r="B35" s="7" t="s">
        <v>36</v>
      </c>
      <c r="C35" s="7"/>
      <c r="D35" s="29">
        <f>'Noname co'!C8/'Noname co'!C51</f>
        <v>1.2575567779532706</v>
      </c>
      <c r="E35" s="29">
        <f>'Noname co'!D8/'Noname co'!D51</f>
        <v>1.3076676844282478</v>
      </c>
      <c r="F35" s="29">
        <f>'Noname co'!E8/'Noname co'!E51</f>
        <v>1.3128089989567742</v>
      </c>
      <c r="G35" s="29">
        <f>'Noname co'!F8/'Noname co'!F51</f>
        <v>1.3504814851583442</v>
      </c>
      <c r="H35" s="29">
        <f>'Noname co'!G8/'Noname co'!G51</f>
        <v>1.3575981214357595</v>
      </c>
      <c r="I35" s="33">
        <f>(H35/D35)^(1/5)-1</f>
        <v>1.5427042516384049E-2</v>
      </c>
    </row>
    <row r="36" spans="1:9" x14ac:dyDescent="0.15">
      <c r="B36" s="7" t="s">
        <v>37</v>
      </c>
      <c r="C36" s="7"/>
      <c r="D36" s="26">
        <f>('Noname co'!C58+'Noname co'!C60+'Noname co'!C64)/'Noname co'!C51</f>
        <v>0.63291759708076911</v>
      </c>
      <c r="E36" s="26">
        <f>('Noname co'!D58+'Noname co'!D60+'Noname co'!D64)/'Noname co'!D51</f>
        <v>0.63464000787944452</v>
      </c>
      <c r="F36" s="26">
        <f>('Noname co'!E58+'Noname co'!E60+'Noname co'!E64)/'Noname co'!E51</f>
        <v>0.62591282260625025</v>
      </c>
      <c r="G36" s="26">
        <f>('Noname co'!F58+'Noname co'!F60+'Noname co'!F64)/'Noname co'!F51</f>
        <v>0.61830636354611357</v>
      </c>
      <c r="H36" s="26">
        <f>('Noname co'!G58+'Noname co'!G60+'Noname co'!G64)/'Noname co'!G51</f>
        <v>0.62348205300234816</v>
      </c>
      <c r="I36" s="33">
        <f>(H36/D36)^(1/5)-1</f>
        <v>-2.9995433248481973E-3</v>
      </c>
    </row>
    <row r="37" spans="1:9" x14ac:dyDescent="0.15">
      <c r="B37" s="7" t="s">
        <v>38</v>
      </c>
      <c r="C37" s="7"/>
      <c r="D37" s="29">
        <f>'Noname co'!C51/'Noname co'!C69</f>
        <v>3.4952361916183623</v>
      </c>
      <c r="E37" s="29">
        <f>'Noname co'!D51/'Noname co'!D69</f>
        <v>3.5555010812183183</v>
      </c>
      <c r="F37" s="29">
        <f>'Noname co'!E51/'Noname co'!E69</f>
        <v>3.4528554536698435</v>
      </c>
      <c r="G37" s="29">
        <f>'Noname co'!F51/'Noname co'!F69</f>
        <v>3.3974622747785728</v>
      </c>
      <c r="H37" s="29">
        <f>'Noname co'!G51/'Noname co'!G69</f>
        <v>3.4666217009820741</v>
      </c>
      <c r="I37" s="33">
        <f>(H37/D37)^(1/5)-1</f>
        <v>-1.6427305866180131E-3</v>
      </c>
    </row>
    <row r="38" spans="1:9" x14ac:dyDescent="0.15">
      <c r="I38" s="33"/>
    </row>
    <row r="39" spans="1:9" x14ac:dyDescent="0.15">
      <c r="B39" s="37" t="s">
        <v>39</v>
      </c>
      <c r="C39" s="37"/>
      <c r="D39" s="38">
        <f>('Noname co'!C64+'Noname co'!C58+'Noname co'!C60)/'Noname co'!C8</f>
        <v>0.50329146816803816</v>
      </c>
      <c r="E39" s="38">
        <f>('Noname co'!D64+'Noname co'!D58+'Noname co'!D60)/'Noname co'!D8</f>
        <v>0.48532208560076828</v>
      </c>
      <c r="F39" s="38">
        <f>('Noname co'!E64+'Noname co'!E58+'Noname co'!E60)/'Noname co'!E8</f>
        <v>0.47677371430545717</v>
      </c>
      <c r="G39" s="38">
        <f>('Noname co'!F64+'Noname co'!F58+'Noname co'!F60)/'Noname co'!F8</f>
        <v>0.45784142199744182</v>
      </c>
      <c r="H39" s="38">
        <f>('Noname co'!G64+'Noname co'!G58+'Noname co'!G60)/'Noname co'!G8</f>
        <v>0.45925376822337538</v>
      </c>
      <c r="I39" s="33">
        <f>(H40/D40)^(1/5)-1</f>
        <v>-1.2605757041893817E-2</v>
      </c>
    </row>
    <row r="40" spans="1:9" x14ac:dyDescent="0.15">
      <c r="B40" s="7" t="s">
        <v>40</v>
      </c>
      <c r="C40" s="7"/>
      <c r="D40" s="27">
        <f>'Noname co'!C64/'Noname co'!C51</f>
        <v>0.39758183105495348</v>
      </c>
      <c r="E40" s="27">
        <f>'Noname co'!D64/'Noname co'!D51</f>
        <v>0.39136215896779275</v>
      </c>
      <c r="F40" s="27">
        <f>'Noname co'!E64/'Noname co'!E51</f>
        <v>0.38241030525695108</v>
      </c>
      <c r="G40" s="27">
        <f>'Noname co'!F64/'Noname co'!F51</f>
        <v>0.36942321056289096</v>
      </c>
      <c r="H40" s="27">
        <f>'Noname co'!G64/'Noname co'!G51</f>
        <v>0.37314659510231463</v>
      </c>
      <c r="I40" s="33">
        <f t="shared" ref="I40:I43" si="0">(H41/D41)^(1/5)-1</f>
        <v>5.0525397409240114E-5</v>
      </c>
    </row>
    <row r="41" spans="1:9" x14ac:dyDescent="0.15">
      <c r="B41" s="7" t="s">
        <v>41</v>
      </c>
      <c r="C41" s="7"/>
      <c r="D41" s="27">
        <f>'Noname co'!C60/'Noname co'!C64</f>
        <v>6.6643835616438357E-2</v>
      </c>
      <c r="E41" s="27">
        <f>'Noname co'!D60/'Noname co'!D64</f>
        <v>6.6691833396250164E-2</v>
      </c>
      <c r="F41" s="27">
        <f>'Noname co'!E60/'Noname co'!E64</f>
        <v>6.6658759340529006E-2</v>
      </c>
      <c r="G41" s="27">
        <f>'Noname co'!F60/'Noname co'!F64</f>
        <v>6.6645168225303655E-2</v>
      </c>
      <c r="H41" s="27">
        <f>'Noname co'!G60/'Noname co'!G64</f>
        <v>6.6660673349215632E-2</v>
      </c>
      <c r="I41" s="33">
        <f t="shared" si="0"/>
        <v>1.2640063704502769E-2</v>
      </c>
    </row>
    <row r="42" spans="1:9" x14ac:dyDescent="0.15">
      <c r="B42" s="7" t="s">
        <v>42</v>
      </c>
      <c r="C42" s="7"/>
      <c r="D42" s="27">
        <f>'Noname co'!C14/('Noname co'!C64+'Noname co'!C60)</f>
        <v>0.24022346368715086</v>
      </c>
      <c r="E42" s="27">
        <f>'Noname co'!D14/('Noname co'!D64+'Noname co'!D60)</f>
        <v>0.24743423380913065</v>
      </c>
      <c r="F42" s="27">
        <f>'Noname co'!E14/('Noname co'!E64+'Noname co'!E60)</f>
        <v>0.25102857778271953</v>
      </c>
      <c r="G42" s="27">
        <f>'Noname co'!F14/('Noname co'!F64+'Noname co'!F60)</f>
        <v>0.26388189055729089</v>
      </c>
      <c r="H42" s="27">
        <f>'Noname co'!G14/('Noname co'!G64+'Noname co'!G60)</f>
        <v>0.25579435313948545</v>
      </c>
      <c r="I42" s="33">
        <f t="shared" si="0"/>
        <v>-4.0776172650730524E-3</v>
      </c>
    </row>
    <row r="43" spans="1:9" x14ac:dyDescent="0.15">
      <c r="B43" s="7" t="s">
        <v>43</v>
      </c>
      <c r="C43" s="7"/>
      <c r="D43" s="27">
        <f>'Noname co'!C50/('Noname co'!C64+'Noname co'!C60)</f>
        <v>1.1199511975855645</v>
      </c>
      <c r="E43" s="27">
        <f>'Noname co'!D50/('Noname co'!D64+'Noname co'!D60)</f>
        <v>1.089949274507491</v>
      </c>
      <c r="F43" s="27">
        <f>'Noname co'!E50/('Noname co'!E64+'Noname co'!E60)</f>
        <v>1.1103636161458912</v>
      </c>
      <c r="G43" s="27">
        <f>'Noname co'!F50/('Noname co'!F64+'Noname co'!F60)</f>
        <v>1.1173032349087975</v>
      </c>
      <c r="H43" s="27">
        <f>'Noname co'!G50/('Noname co'!G64+'Noname co'!G60)</f>
        <v>1.0973029919932578</v>
      </c>
      <c r="I43" s="33">
        <f t="shared" si="0"/>
        <v>2.9199369347086002E-2</v>
      </c>
    </row>
    <row r="44" spans="1:9" x14ac:dyDescent="0.15">
      <c r="B44" s="7" t="s">
        <v>44</v>
      </c>
      <c r="C44" s="7"/>
      <c r="D44" s="27">
        <f>('Noname co'!C43+'Noname co'!C44-'Noname co'!C59)/('Noname co'!C60+'Noname co'!C64)</f>
        <v>0.89790021190522062</v>
      </c>
      <c r="E44" s="27">
        <f>('Noname co'!D43+'Noname co'!D44-'Noname co'!D59)/('Noname co'!D60+'Noname co'!D64)</f>
        <v>0.94850772679013817</v>
      </c>
      <c r="F44" s="27">
        <f>('Noname co'!E43+'Noname co'!E44-'Noname co'!E59)/('Noname co'!E60+'Noname co'!E64)</f>
        <v>0.97459134882686527</v>
      </c>
      <c r="G44" s="27">
        <f>('Noname co'!F43+'Noname co'!F44-'Noname co'!F59)/('Noname co'!F60+'Noname co'!F64)</f>
        <v>1.0406127179280458</v>
      </c>
      <c r="H44" s="27">
        <f>('Noname co'!G43+'Noname co'!G44-'Noname co'!G59)/('Noname co'!G60+'Noname co'!G64)</f>
        <v>1.0368731563421831</v>
      </c>
      <c r="I44" s="33"/>
    </row>
    <row r="45" spans="1:9" x14ac:dyDescent="0.15">
      <c r="B45" s="7" t="s">
        <v>45</v>
      </c>
      <c r="C45" s="7"/>
      <c r="D45" s="27">
        <f>('Noname co'!C50+'Noname co'!C44+'Noname co'!C45)/('Noname co'!C60+'Noname co'!C64)</f>
        <v>1.5994349194118023</v>
      </c>
      <c r="E45" s="27">
        <f>('Noname co'!D50+'Noname co'!D44+'Noname co'!D45)/('Noname co'!D60+'Noname co'!D64)</f>
        <v>1.5937241948802645</v>
      </c>
      <c r="F45" s="27">
        <f>('Noname co'!E50+'Noname co'!E44+'Noname co'!E45)/('Noname co'!E60+'Noname co'!E64)</f>
        <v>1.6276548426553987</v>
      </c>
      <c r="G45" s="27">
        <f>('Noname co'!F50+'Noname co'!F44+'Noname co'!F45)/('Noname co'!F60+'Noname co'!F64)</f>
        <v>1.6602338002620169</v>
      </c>
      <c r="H45" s="27">
        <f>('Noname co'!G50+'Noname co'!G44+'Noname co'!G45)/('Noname co'!G60+'Noname co'!G64)</f>
        <v>1.6386852085967132</v>
      </c>
      <c r="I45" s="33"/>
    </row>
    <row r="46" spans="1:9" x14ac:dyDescent="0.15">
      <c r="B46" s="7"/>
      <c r="C46" s="7"/>
      <c r="D46" s="27"/>
      <c r="E46" s="27"/>
      <c r="F46" s="27"/>
      <c r="G46" s="27"/>
      <c r="H46" s="27"/>
      <c r="I46" s="33"/>
    </row>
    <row r="47" spans="1:9" x14ac:dyDescent="0.15">
      <c r="B47" s="19"/>
      <c r="C47" s="19"/>
      <c r="D47" s="19"/>
      <c r="E47" s="19"/>
      <c r="F47" s="19"/>
      <c r="G47" s="19"/>
      <c r="H47" s="19"/>
      <c r="I47" s="33">
        <f>(H41/D41)^(1/5)-1</f>
        <v>5.0525397409240114E-5</v>
      </c>
    </row>
    <row r="48" spans="1:9" ht="17" customHeight="1" x14ac:dyDescent="0.15">
      <c r="B48" s="7" t="s">
        <v>46</v>
      </c>
      <c r="C48" s="7"/>
      <c r="D48" s="27">
        <f>'Noname co'!C58/'Noname co'!C43</f>
        <v>0.80819896722520801</v>
      </c>
      <c r="E48" s="27">
        <f>'Noname co'!D58/'Noname co'!D43</f>
        <v>0.80828445747800592</v>
      </c>
      <c r="F48" s="27">
        <f>'Noname co'!E58/'Noname co'!E43</f>
        <v>0.80815468684321146</v>
      </c>
      <c r="G48" s="27">
        <f>'Noname co'!F58/'Noname co'!F43</f>
        <v>0.80817115054378919</v>
      </c>
      <c r="H48" s="27">
        <f>'Noname co'!G58/'Noname co'!G43</f>
        <v>0.80820105820105814</v>
      </c>
      <c r="I48" s="33">
        <f>(H48/D48)^(1/5)-1</f>
        <v>5.1744032614209345E-7</v>
      </c>
    </row>
    <row r="49" spans="2:9" ht="17" customHeight="1" x14ac:dyDescent="0.15">
      <c r="B49" s="6" t="s">
        <v>47</v>
      </c>
      <c r="D49" s="39">
        <f>'Noname co'!C65/'Noname co'!C71</f>
        <v>0.71389863924645247</v>
      </c>
      <c r="E49" s="39">
        <f>'Noname co'!D65/'Noname co'!D71</f>
        <v>0.71874776853317834</v>
      </c>
      <c r="F49" s="39">
        <f>'Noname co'!E65/'Noname co'!E71</f>
        <v>0.71038660325711034</v>
      </c>
      <c r="G49" s="39">
        <f>'Noname co'!F65/'Noname co'!F71</f>
        <v>0.70566441577832362</v>
      </c>
      <c r="H49" s="39">
        <f>'Noname co'!G65/'Noname co'!G71</f>
        <v>0.71153617140470615</v>
      </c>
      <c r="I49" s="33">
        <f>(H49/D49)^(1/5)-1</f>
        <v>-6.6272748885465305E-4</v>
      </c>
    </row>
    <row r="50" spans="2:9" ht="17" customHeight="1" x14ac:dyDescent="0.15">
      <c r="D50" s="39"/>
      <c r="E50" s="39"/>
      <c r="F50" s="39"/>
      <c r="G50" s="39"/>
      <c r="H50" s="39"/>
      <c r="I50" s="33"/>
    </row>
    <row r="51" spans="2:9" ht="18" customHeight="1" x14ac:dyDescent="0.15">
      <c r="B51" s="40" t="s">
        <v>48</v>
      </c>
      <c r="C51" s="40"/>
      <c r="D51" s="41">
        <f>'Noname co'!C14/'Noname co'!C51</f>
        <v>0.10187353629976584</v>
      </c>
      <c r="E51" s="41">
        <f>'Noname co'!D14/'Noname co'!D51</f>
        <v>0.10329459273121247</v>
      </c>
      <c r="F51" s="41">
        <f>'Noname co'!E14/'Noname co'!E51</f>
        <v>0.10239488365764035</v>
      </c>
      <c r="G51" s="41">
        <f>'Noname co'!F14/'Noname co'!F51</f>
        <v>0.10398093914424691</v>
      </c>
      <c r="H51" s="41">
        <f>'Noname co'!G14/'Noname co'!G51</f>
        <v>0.10181147266018094</v>
      </c>
      <c r="I51" s="33"/>
    </row>
    <row r="52" spans="2:9" x14ac:dyDescent="0.15">
      <c r="B52" s="6">
        <f>'Noname co'!C51/'Noname co'!C8</f>
        <v>0.79519272412299691</v>
      </c>
      <c r="D52" s="39"/>
      <c r="E52" s="39"/>
      <c r="F52" s="39"/>
      <c r="G52" s="39"/>
      <c r="H52" s="39"/>
      <c r="I52" s="33"/>
    </row>
    <row r="53" spans="2:9" ht="17" thickBot="1" x14ac:dyDescent="0.2">
      <c r="B53" s="35" t="s">
        <v>49</v>
      </c>
      <c r="C53" s="36"/>
      <c r="D53" s="36"/>
      <c r="E53" s="42"/>
      <c r="F53" s="42"/>
      <c r="G53" s="42"/>
      <c r="H53" s="42"/>
      <c r="I53" s="33"/>
    </row>
    <row r="54" spans="2:9" x14ac:dyDescent="0.15">
      <c r="B54" s="7" t="s">
        <v>50</v>
      </c>
      <c r="C54" s="7"/>
      <c r="D54" s="29">
        <f>'Noname co'!C14/'Noname co'!C16</f>
        <v>1.2873365450791467</v>
      </c>
      <c r="E54" s="29">
        <f>'Noname co'!D14/'Noname co'!D16</f>
        <v>1.4268707482993201</v>
      </c>
      <c r="F54" s="29">
        <f>'Noname co'!E14/'Noname co'!E16</f>
        <v>1.6922788605697126</v>
      </c>
      <c r="G54" s="29">
        <f>'Noname co'!F14/'Noname co'!F16</f>
        <v>2.1613702022286407</v>
      </c>
      <c r="H54" s="29">
        <f>'Noname co'!G14/'Noname co'!G16</f>
        <v>2.1547745828895946</v>
      </c>
      <c r="I54" s="33">
        <f>(H54/D54)^(1/5)-1</f>
        <v>0.10851595710273498</v>
      </c>
    </row>
    <row r="55" spans="2:9" x14ac:dyDescent="0.15">
      <c r="B55" s="7" t="s">
        <v>51</v>
      </c>
      <c r="C55" s="7"/>
      <c r="D55" s="26">
        <f>'Noname co'!C16/('Noname co'!C58+'Noname co'!C60+'Noname co'!C64)</f>
        <v>0.12503226916788573</v>
      </c>
      <c r="E55" s="26">
        <f>'Noname co'!D16/('Noname co'!D58+'Noname co'!D60+'Noname co'!D64)</f>
        <v>0.11406844106463876</v>
      </c>
      <c r="F55" s="26">
        <f>'Noname co'!E16/('Noname co'!E58+'Noname co'!E60+'Noname co'!E64)</f>
        <v>9.6670169209029322E-2</v>
      </c>
      <c r="G55" s="26">
        <f>'Noname co'!F16/('Noname co'!F58+'Noname co'!F60+'Noname co'!F64)</f>
        <v>7.7807392183937563E-2</v>
      </c>
      <c r="H55" s="26">
        <f>'Noname co'!G16/('Noname co'!G58+'Noname co'!G60+'Noname co'!G64)</f>
        <v>7.5782847304422696E-2</v>
      </c>
      <c r="I55" s="33">
        <f>(H55/D55)^(1/5)-1</f>
        <v>-9.5289228468399823E-2</v>
      </c>
    </row>
    <row r="56" spans="2:9" x14ac:dyDescent="0.15">
      <c r="B56" s="7"/>
      <c r="C56" s="7"/>
      <c r="D56" s="7"/>
      <c r="E56" s="7"/>
      <c r="F56" s="7"/>
      <c r="G56" s="7"/>
      <c r="H56" s="7"/>
      <c r="I56" s="33"/>
    </row>
    <row r="57" spans="2:9" ht="17" thickBot="1" x14ac:dyDescent="0.2">
      <c r="B57" s="35" t="s">
        <v>52</v>
      </c>
      <c r="C57" s="36"/>
      <c r="D57" s="36"/>
      <c r="E57" s="36"/>
      <c r="F57" s="36"/>
      <c r="G57" s="36"/>
      <c r="H57" s="36"/>
      <c r="I57" s="33"/>
    </row>
    <row r="58" spans="2:9" x14ac:dyDescent="0.15">
      <c r="B58" s="7" t="s">
        <v>53</v>
      </c>
      <c r="C58" s="7"/>
      <c r="D58" s="34">
        <f>'Noname co'!C45/'Noname co'!C8</f>
        <v>1.6673884798614119E-2</v>
      </c>
      <c r="E58" s="34">
        <f>'Noname co'!D45/'Noname co'!D8</f>
        <v>1.5817123919633944E-2</v>
      </c>
      <c r="F58" s="34">
        <f>'Noname co'!E45/'Noname co'!E8</f>
        <v>1.5720282619586436E-2</v>
      </c>
      <c r="G58" s="34">
        <f>'Noname co'!F45/'Noname co'!F8</f>
        <v>1.2173427231427435E-2</v>
      </c>
      <c r="H58" s="34">
        <f>'Noname co'!G45/'Noname co'!G8</f>
        <v>1.1971830985915493E-2</v>
      </c>
      <c r="I58" s="33">
        <f>(H58/D58)^(1/5)-1</f>
        <v>-6.4110109421840922E-2</v>
      </c>
    </row>
    <row r="59" spans="2:9" x14ac:dyDescent="0.15">
      <c r="B59" s="7" t="s">
        <v>54</v>
      </c>
      <c r="C59" s="7"/>
      <c r="D59" s="34">
        <f>'Noname co'!C61/'Noname co'!C8</f>
        <v>1.6695539194456478E-2</v>
      </c>
      <c r="E59" s="34">
        <f>'Noname co'!D61/'Noname co'!D8</f>
        <v>1.6645639934471917E-2</v>
      </c>
      <c r="F59" s="34">
        <f>'Noname co'!E61/'Noname co'!E8</f>
        <v>1.6670409591099902E-2</v>
      </c>
      <c r="G59" s="34">
        <f>'Noname co'!F61/'Noname co'!F8</f>
        <v>1.6598791478600938E-2</v>
      </c>
      <c r="H59" s="34">
        <f>'Noname co'!G61/'Noname co'!G8</f>
        <v>1.6617247343711391E-2</v>
      </c>
      <c r="I59" s="43">
        <f>(H59/D59)^(1/5)-1</f>
        <v>-9.3964166977844599E-4</v>
      </c>
    </row>
    <row r="60" spans="2:9" x14ac:dyDescent="0.15">
      <c r="B60" s="7" t="s">
        <v>55</v>
      </c>
      <c r="C60" s="7"/>
      <c r="D60" s="34"/>
      <c r="E60" s="34">
        <f>SUM('Noname co'!D60,'Noname co'!D64)/SUM('Noname co'!C60,'Noname co'!C64)-1</f>
        <v>8.867912412508816E-2</v>
      </c>
      <c r="F60" s="34">
        <f>SUM('Noname co'!E60,'Noname co'!E64)/SUM('Noname co'!D60,'Noname co'!D64)-1</f>
        <v>6.0870591010970809E-2</v>
      </c>
      <c r="G60" s="34">
        <f>SUM('Noname co'!F60,'Noname co'!F64)/SUM('Noname co'!E60,'Noname co'!E64)-1</f>
        <v>0.10341376626264909</v>
      </c>
      <c r="H60" s="34">
        <f>SUM('Noname co'!G60,'Noname co'!G64)/SUM('Noname co'!F60,'Noname co'!F64)-1</f>
        <v>0.19570694346467765</v>
      </c>
      <c r="I60" s="44"/>
    </row>
    <row r="61" spans="2:9" x14ac:dyDescent="0.15">
      <c r="B61" s="7"/>
      <c r="C61" s="7"/>
      <c r="D61" s="34"/>
      <c r="E61" s="34"/>
      <c r="F61" s="34"/>
      <c r="G61" s="34"/>
      <c r="H61" s="45"/>
      <c r="I61" s="44"/>
    </row>
    <row r="63" spans="2:9" x14ac:dyDescent="0.15">
      <c r="B63" s="24"/>
      <c r="D63" s="46"/>
      <c r="E63" s="46"/>
      <c r="F63" s="46"/>
      <c r="G63" s="46"/>
      <c r="H63" s="46"/>
    </row>
    <row r="67" spans="2:8" ht="29" customHeight="1" thickBot="1" x14ac:dyDescent="0.2">
      <c r="B67" s="47" t="str">
        <f>Input!B83</f>
        <v>Target co</v>
      </c>
      <c r="C67" s="48"/>
      <c r="D67" s="48"/>
      <c r="E67" s="49">
        <v>39629</v>
      </c>
      <c r="F67" s="49">
        <v>39994</v>
      </c>
      <c r="G67" s="49">
        <v>40359</v>
      </c>
      <c r="H67" s="49">
        <v>40724</v>
      </c>
    </row>
    <row r="69" spans="2:8" ht="17" x14ac:dyDescent="0.15">
      <c r="B69" s="6" t="str">
        <f>'Target co'!A7</f>
        <v>Net Sales</v>
      </c>
      <c r="E69" s="50">
        <f>'Target co'!B7/'Target co'!B$7</f>
        <v>1</v>
      </c>
      <c r="F69" s="50">
        <f>'Target co'!C7/'Target co'!C$7</f>
        <v>1</v>
      </c>
      <c r="G69" s="50">
        <f>'Target co'!D7/'Target co'!D$7</f>
        <v>1</v>
      </c>
      <c r="H69" s="50">
        <f>'Target co'!E7/'Target co'!E$7</f>
        <v>1</v>
      </c>
    </row>
    <row r="70" spans="2:8" ht="17" x14ac:dyDescent="0.15">
      <c r="B70" s="6" t="str">
        <f>'Target co'!A8</f>
        <v>Cost of Goods Sold</v>
      </c>
      <c r="E70" s="50">
        <f>'Target co'!B8/'Target co'!B$7</f>
        <v>0.64197130056489848</v>
      </c>
      <c r="F70" s="50">
        <f>'Target co'!C8/'Target co'!C$7</f>
        <v>0.64602047867328349</v>
      </c>
      <c r="G70" s="50">
        <f>'Target co'!D8/'Target co'!D$7</f>
        <v>0.64402304368698982</v>
      </c>
      <c r="H70" s="50">
        <f>'Target co'!E8/'Target co'!E$7</f>
        <v>0.64501252562058753</v>
      </c>
    </row>
    <row r="71" spans="2:8" ht="17" x14ac:dyDescent="0.15">
      <c r="B71" s="6" t="str">
        <f>'Target co'!A9</f>
        <v>Gross Profit Margin</v>
      </c>
      <c r="E71" s="50">
        <f>'Target co'!B9/'Target co'!B$7</f>
        <v>0.35802869943510163</v>
      </c>
      <c r="F71" s="50">
        <f>'Target co'!C9/'Target co'!C$7</f>
        <v>0.35397952132671651</v>
      </c>
      <c r="G71" s="50">
        <f>'Target co'!D9/'Target co'!D$7</f>
        <v>0.35597695631301018</v>
      </c>
      <c r="H71" s="50">
        <f>'Target co'!E9/'Target co'!E$7</f>
        <v>0.35498747437941242</v>
      </c>
    </row>
    <row r="72" spans="2:8" x14ac:dyDescent="0.15">
      <c r="E72" s="50"/>
      <c r="F72" s="50"/>
      <c r="G72" s="50"/>
      <c r="H72" s="50"/>
    </row>
    <row r="73" spans="2:8" ht="17" x14ac:dyDescent="0.15">
      <c r="B73" s="6" t="str">
        <f>'Target co'!A11</f>
        <v>R&amp;D Expense</v>
      </c>
      <c r="E73" s="50">
        <f>'Target co'!B11/'Target co'!B$7</f>
        <v>0</v>
      </c>
      <c r="F73" s="50">
        <f>'Target co'!C11/'Target co'!C$7</f>
        <v>0</v>
      </c>
      <c r="G73" s="50">
        <f>'Target co'!D11/'Target co'!D$7</f>
        <v>0</v>
      </c>
      <c r="H73" s="50">
        <f>'Target co'!E11/'Target co'!E$7</f>
        <v>0</v>
      </c>
    </row>
    <row r="74" spans="2:8" ht="17" x14ac:dyDescent="0.15">
      <c r="B74" s="6" t="str">
        <f>'Target co'!A12</f>
        <v>SG&amp;A Expense</v>
      </c>
      <c r="E74" s="50">
        <f>'Target co'!B12/'Target co'!B$7</f>
        <v>0.28303356924875006</v>
      </c>
      <c r="F74" s="50">
        <f>'Target co'!C12/'Target co'!C$7</f>
        <v>0.28601042779069036</v>
      </c>
      <c r="G74" s="50">
        <f>'Target co'!D12/'Target co'!D$7</f>
        <v>0.2890062409985597</v>
      </c>
      <c r="H74" s="50">
        <f>'Target co'!E12/'Target co'!E$7</f>
        <v>0.28700751537235258</v>
      </c>
    </row>
    <row r="75" spans="2:8" ht="17" x14ac:dyDescent="0.15">
      <c r="B75" s="6" t="str">
        <f>'Target co'!A13</f>
        <v>Earnings Before Interest &amp; Taxes</v>
      </c>
      <c r="E75" s="50">
        <f>'Target co'!B13/'Target co'!B$7</f>
        <v>7.4995130186351497E-2</v>
      </c>
      <c r="F75" s="50">
        <f>'Target co'!C13/'Target co'!C$7</f>
        <v>6.7969093536026121E-2</v>
      </c>
      <c r="G75" s="50">
        <f>'Target co'!D13/'Target co'!D$7</f>
        <v>6.6970715314450452E-2</v>
      </c>
      <c r="H75" s="50">
        <f>'Target co'!E13/'Target co'!E$7</f>
        <v>6.7979959007059831E-2</v>
      </c>
    </row>
    <row r="76" spans="2:8" x14ac:dyDescent="0.15">
      <c r="E76" s="50"/>
      <c r="F76" s="50"/>
      <c r="G76" s="50"/>
      <c r="H76" s="50"/>
    </row>
    <row r="77" spans="2:8" ht="17" x14ac:dyDescent="0.15">
      <c r="B77" s="6" t="str">
        <f>'Target co'!A15</f>
        <v>Interest Expense</v>
      </c>
      <c r="E77" s="50">
        <f>'Target co'!B15/'Target co'!B$7</f>
        <v>3.7010583728329335E-3</v>
      </c>
      <c r="F77" s="50">
        <f>'Target co'!C15/'Target co'!C$7</f>
        <v>4.5228971669074693E-3</v>
      </c>
      <c r="G77" s="50">
        <f>'Target co'!D15/'Target co'!D$7</f>
        <v>3.6005760921747473E-3</v>
      </c>
      <c r="H77" s="50">
        <f>'Target co'!E15/'Target co'!E$7</f>
        <v>3.5868822591664769E-3</v>
      </c>
    </row>
    <row r="78" spans="2:8" ht="17" x14ac:dyDescent="0.15">
      <c r="B78" s="6" t="str">
        <f>'Target co'!A16</f>
        <v>Earnings Before Income Taxes</v>
      </c>
      <c r="E78" s="50">
        <f>'Target co'!B16/'Target co'!B$7</f>
        <v>7.1294071813518572E-2</v>
      </c>
      <c r="F78" s="50">
        <f>'Target co'!C16/'Target co'!C$7</f>
        <v>6.3446196369118649E-2</v>
      </c>
      <c r="G78" s="50">
        <f>'Target co'!D16/'Target co'!D$7</f>
        <v>6.337013922227569E-2</v>
      </c>
      <c r="H78" s="50">
        <f>'Target co'!E16/'Target co'!E$7</f>
        <v>6.4393076747893366E-2</v>
      </c>
    </row>
    <row r="79" spans="2:8" x14ac:dyDescent="0.15">
      <c r="E79" s="50"/>
      <c r="F79" s="50"/>
      <c r="G79" s="50"/>
      <c r="H79" s="50"/>
    </row>
    <row r="80" spans="2:8" ht="17" x14ac:dyDescent="0.15">
      <c r="B80" s="6" t="str">
        <f>'Target co'!A18</f>
        <v>Income Taxes</v>
      </c>
      <c r="E80" s="50">
        <f>'Target co'!B18/'Target co'!B$7</f>
        <v>1.9284462047918966E-2</v>
      </c>
      <c r="F80" s="50">
        <f>'Target co'!C18/'Target co'!C$7</f>
        <v>1.7149318424524152E-2</v>
      </c>
      <c r="G80" s="50">
        <f>'Target co'!D18/'Target co'!D$7</f>
        <v>1.710273643783005E-2</v>
      </c>
      <c r="H80" s="50">
        <f>'Target co'!E18/'Target co'!E$7</f>
        <v>1.7421999544522886E-2</v>
      </c>
    </row>
    <row r="81" spans="2:8" ht="17" x14ac:dyDescent="0.15">
      <c r="B81" s="6" t="str">
        <f>'Target co'!A19</f>
        <v>Net Income</v>
      </c>
      <c r="E81" s="50">
        <f>'Target co'!B19/'Target co'!B$7</f>
        <v>5.2009609765599603E-2</v>
      </c>
      <c r="F81" s="50">
        <f>'Target co'!C19/'Target co'!C$7</f>
        <v>4.6296877944594493E-2</v>
      </c>
      <c r="G81" s="50">
        <f>'Target co'!D19/'Target co'!D$7</f>
        <v>4.6267402784445646E-2</v>
      </c>
      <c r="H81" s="50">
        <f>'Target co'!E19/'Target co'!E$7</f>
        <v>4.6971077203370473E-2</v>
      </c>
    </row>
    <row r="82" spans="2:8" x14ac:dyDescent="0.15">
      <c r="E82" s="50"/>
      <c r="F82" s="50"/>
      <c r="G82" s="50"/>
      <c r="H82" s="50"/>
    </row>
    <row r="83" spans="2:8" ht="17" x14ac:dyDescent="0.15">
      <c r="B83" s="6" t="s">
        <v>56</v>
      </c>
      <c r="E83" s="50">
        <f>'Target co'!B18/'Target co'!B16</f>
        <v>0.2704918032786886</v>
      </c>
      <c r="F83" s="50">
        <f>'Target co'!C18/'Target co'!C16</f>
        <v>0.27029702970297037</v>
      </c>
      <c r="G83" s="50">
        <f>'Target co'!D18/'Target co'!D16</f>
        <v>0.26988636363636304</v>
      </c>
      <c r="H83" s="50">
        <f>'Target co'!E18/'Target co'!E16</f>
        <v>0.27055702917771907</v>
      </c>
    </row>
    <row r="84" spans="2:8" x14ac:dyDescent="0.15">
      <c r="E84" s="50"/>
      <c r="F84" s="50"/>
      <c r="G84" s="50"/>
      <c r="H84" s="50"/>
    </row>
    <row r="85" spans="2:8" x14ac:dyDescent="0.15">
      <c r="E85" s="50"/>
      <c r="F85" s="50"/>
      <c r="G85" s="50"/>
      <c r="H85" s="50"/>
    </row>
    <row r="86" spans="2:8" x14ac:dyDescent="0.15">
      <c r="B86" s="7" t="s">
        <v>53</v>
      </c>
      <c r="E86" s="50">
        <f>'Target co'!B36/'Target co'!B7</f>
        <v>1.4999026037270309E-2</v>
      </c>
      <c r="F86" s="50">
        <f>'Target co'!C36/'Target co'!C7</f>
        <v>1.5013505873484516E-2</v>
      </c>
      <c r="G86" s="50">
        <f>'Target co'!D36/'Target co'!D7</f>
        <v>1.5002400384061447E-2</v>
      </c>
      <c r="H86" s="50">
        <f>'Target co'!E36/'Target co'!E7</f>
        <v>1.4973810066044181E-2</v>
      </c>
    </row>
    <row r="87" spans="2:8" x14ac:dyDescent="0.15">
      <c r="B87" s="7" t="s">
        <v>54</v>
      </c>
      <c r="E87" s="50">
        <f>'Target co'!B49/'Target co'!B7</f>
        <v>1.7011882345302255E-2</v>
      </c>
      <c r="F87" s="50">
        <f>'Target co'!C49/'Target co'!C7</f>
        <v>1.7023682392110061E-2</v>
      </c>
      <c r="G87" s="50">
        <f>'Target co'!D49/'Target co'!D7</f>
        <v>1.6982717234757558E-2</v>
      </c>
      <c r="H87" s="50">
        <f>'Target co'!E49/'Target co'!E7</f>
        <v>1.7023457071282166E-2</v>
      </c>
    </row>
    <row r="88" spans="2:8" ht="17" x14ac:dyDescent="0.15">
      <c r="B88" s="51" t="s">
        <v>57</v>
      </c>
      <c r="E88" s="50">
        <f>1-('Target co'!B21/'Target co'!B19)</f>
        <v>0.64044943820224698</v>
      </c>
      <c r="F88" s="50">
        <f>1-('Target co'!C21/'Target co'!C19)</f>
        <v>0.65535956580732679</v>
      </c>
      <c r="G88" s="50">
        <f>1-('Target co'!D21/'Target co'!D19)</f>
        <v>0.45265888456550096</v>
      </c>
      <c r="H88" s="50">
        <f>1-('Target co'!E21/'Target co'!E19)</f>
        <v>0.51393939393939325</v>
      </c>
    </row>
    <row r="91" spans="2:8" ht="18" thickBot="1" x14ac:dyDescent="0.2">
      <c r="B91" s="52" t="s">
        <v>24</v>
      </c>
      <c r="C91" s="48"/>
      <c r="D91" s="48"/>
      <c r="E91" s="48"/>
      <c r="F91" s="48"/>
      <c r="G91" s="48"/>
      <c r="H91" s="48"/>
    </row>
    <row r="92" spans="2:8" ht="17" x14ac:dyDescent="0.15">
      <c r="B92" s="6" t="s">
        <v>25</v>
      </c>
      <c r="E92" s="53">
        <f>'Target co'!B35/'Target co'!B8*365</f>
        <v>76.04935774249013</v>
      </c>
      <c r="F92" s="53">
        <f>'Target co'!C35/'Target co'!C8*365</f>
        <v>76.023920653442232</v>
      </c>
      <c r="G92" s="53">
        <f>'Target co'!D35/'Target co'!D8*365</f>
        <v>76.047335072679843</v>
      </c>
      <c r="H92" s="53">
        <f>'Target co'!E35/'Target co'!E8*365</f>
        <v>76.034954541442318</v>
      </c>
    </row>
    <row r="93" spans="2:8" ht="17" x14ac:dyDescent="0.15">
      <c r="B93" s="6" t="s">
        <v>26</v>
      </c>
      <c r="E93" s="53">
        <f>'Target co'!B34/'Target co'!B7*365</f>
        <v>75.009739627296923</v>
      </c>
      <c r="F93" s="53">
        <f>'Target co'!C34/'Target co'!C7*365</f>
        <v>74.999371819837918</v>
      </c>
      <c r="G93" s="53">
        <f>'Target co'!D34/'Target co'!D7*365</f>
        <v>74.99759961593854</v>
      </c>
      <c r="H93" s="53">
        <f>'Target co'!E34/'Target co'!E7*365</f>
        <v>74.999145980414482</v>
      </c>
    </row>
    <row r="94" spans="2:8" ht="17" x14ac:dyDescent="0.15">
      <c r="B94" s="6" t="s">
        <v>27</v>
      </c>
      <c r="E94" s="53">
        <f>'Target co'!B47/'Target co'!B8*365</f>
        <v>30.013654293516733</v>
      </c>
      <c r="F94" s="53">
        <f>'Target co'!C47/'Target co'!C8*365</f>
        <v>29.990762349280434</v>
      </c>
      <c r="G94" s="53">
        <f>'Target co'!D47/'Target co'!D8*365</f>
        <v>29.997204621692141</v>
      </c>
      <c r="H94" s="53">
        <f>'Target co'!E47/'Target co'!E8*365</f>
        <v>29.995145202577458</v>
      </c>
    </row>
    <row r="95" spans="2:8" ht="17" x14ac:dyDescent="0.15">
      <c r="B95" s="6" t="s">
        <v>28</v>
      </c>
      <c r="E95" s="53">
        <f>'Target co'!B33/SUM('Target co'!B8,'Target co'!B11:B12)*365</f>
        <v>14.988417801488135</v>
      </c>
      <c r="F95" s="53">
        <f>'Target co'!C33/SUM('Target co'!C8,'Target co'!C11:C12)*365</f>
        <v>15.006402911639817</v>
      </c>
      <c r="G95" s="53">
        <f>'Target co'!D33/SUM('Target co'!D8,'Target co'!D11:D12)*365</f>
        <v>15.000964754309235</v>
      </c>
      <c r="H95" s="53">
        <f>'Target co'!E33/SUM('Target co'!E8,'Target co'!E11:E12)*365</f>
        <v>15.005803298717167</v>
      </c>
    </row>
    <row r="98" spans="2:8" ht="18" thickBot="1" x14ac:dyDescent="0.2">
      <c r="B98" s="52" t="s">
        <v>29</v>
      </c>
      <c r="C98" s="48"/>
      <c r="D98" s="48"/>
      <c r="E98" s="48"/>
      <c r="F98" s="48"/>
      <c r="G98" s="48"/>
      <c r="H98" s="48"/>
    </row>
    <row r="99" spans="2:8" ht="17" x14ac:dyDescent="0.15">
      <c r="B99" s="40" t="s">
        <v>58</v>
      </c>
    </row>
    <row r="100" spans="2:8" ht="17" x14ac:dyDescent="0.15">
      <c r="B100" s="6" t="s">
        <v>32</v>
      </c>
      <c r="E100" s="50">
        <f>'Target co'!B39/'Target co'!B7</f>
        <v>0.24875008116356084</v>
      </c>
      <c r="F100" s="50">
        <f>'Target co'!C39/'Target co'!C7</f>
        <v>0.26044349519442173</v>
      </c>
      <c r="G100" s="50">
        <f>'Target co'!D39/'Target co'!D7</f>
        <v>0.25642102736437827</v>
      </c>
      <c r="H100" s="50">
        <f>'Target co'!E39/'Target co'!E7</f>
        <v>0.25187884308813485</v>
      </c>
    </row>
    <row r="101" spans="2:8" ht="17" x14ac:dyDescent="0.15">
      <c r="B101" s="6" t="s">
        <v>33</v>
      </c>
      <c r="E101" s="50">
        <f>'Target co'!B40/'Target co'!B7</f>
        <v>2.9998052074540617E-2</v>
      </c>
      <c r="F101" s="50">
        <f>'Target co'!C40/'Target co'!C7</f>
        <v>2.9964193730761979E-2</v>
      </c>
      <c r="G101" s="50">
        <f>'Target co'!D40/'Target co'!D7</f>
        <v>3.0004800768122893E-2</v>
      </c>
      <c r="H101" s="50">
        <f>'Target co'!E40/'Target co'!E7</f>
        <v>3.0004554771122752E-2</v>
      </c>
    </row>
    <row r="104" spans="2:8" ht="18" thickBot="1" x14ac:dyDescent="0.2">
      <c r="B104" s="52" t="s">
        <v>35</v>
      </c>
      <c r="C104" s="48"/>
      <c r="D104" s="48"/>
      <c r="E104" s="48"/>
      <c r="F104" s="48"/>
      <c r="G104" s="48"/>
      <c r="H104" s="48"/>
    </row>
    <row r="105" spans="2:8" ht="17" x14ac:dyDescent="0.15">
      <c r="B105" s="6" t="s">
        <v>36</v>
      </c>
      <c r="E105" s="54">
        <f>'Target co'!B7/'Target co'!B42</f>
        <v>1.490323204954519</v>
      </c>
      <c r="F105" s="54">
        <f>'Target co'!C7/'Target co'!C42</f>
        <v>1.4624712907671107</v>
      </c>
      <c r="G105" s="54">
        <f>'Target co'!D7/'Target co'!D42</f>
        <v>1.4718247659424133</v>
      </c>
      <c r="H105" s="54">
        <f>'Target co'!E7/'Target co'!E42</f>
        <v>1.4814439946018891</v>
      </c>
    </row>
    <row r="106" spans="2:8" ht="17" x14ac:dyDescent="0.15">
      <c r="B106" s="6" t="s">
        <v>37</v>
      </c>
      <c r="E106" s="39">
        <f>SUM('Target co'!B46,'Target co'!B48,'Target co'!B52)/'Target co'!B59</f>
        <v>7.6543448809754222E-2</v>
      </c>
      <c r="F106" s="39">
        <f>SUM('Target co'!C46,'Target co'!C48,'Target co'!C52)/'Target co'!C59</f>
        <v>7.5149288011024357E-2</v>
      </c>
      <c r="G106" s="39">
        <f>SUM('Target co'!D46,'Target co'!D48,'Target co'!D52)/'Target co'!D59</f>
        <v>7.5611695079939936E-2</v>
      </c>
      <c r="H106" s="39">
        <f>SUM('Target co'!E46,'Target co'!E48,'Target co'!E52)/'Target co'!E59</f>
        <v>7.6079622132253721E-2</v>
      </c>
    </row>
    <row r="107" spans="2:8" ht="17" x14ac:dyDescent="0.15">
      <c r="B107" s="6" t="s">
        <v>38</v>
      </c>
      <c r="E107" s="54">
        <f>'Target co'!B59/'Target co'!B57</f>
        <v>1.2203589985829002</v>
      </c>
      <c r="F107" s="54">
        <f>'Target co'!C59/'Target co'!C57</f>
        <v>1.2160652441068036</v>
      </c>
      <c r="G107" s="54">
        <f>'Target co'!D59/'Target co'!D57</f>
        <v>1.2173118279569892</v>
      </c>
      <c r="H107" s="54">
        <f>'Target co'!E59/'Target co'!E57</f>
        <v>1.2192513368983957</v>
      </c>
    </row>
    <row r="108" spans="2:8" ht="17" x14ac:dyDescent="0.15">
      <c r="B108" s="6" t="s">
        <v>46</v>
      </c>
      <c r="E108" s="39">
        <f>'Target co'!B46/'Target co'!B34</f>
        <v>0.2499210110584518</v>
      </c>
      <c r="F108" s="39">
        <f>'Target co'!C46/'Target co'!C34</f>
        <v>0.25007642922653622</v>
      </c>
      <c r="G108" s="39">
        <f>'Target co'!D46/'Target co'!D34</f>
        <v>0.25</v>
      </c>
      <c r="H108" s="39">
        <f>'Target co'!E46/'Target co'!E34</f>
        <v>0.24993072873372124</v>
      </c>
    </row>
    <row r="109" spans="2:8" ht="17" x14ac:dyDescent="0.15">
      <c r="B109" s="6" t="s">
        <v>47</v>
      </c>
      <c r="E109" s="39">
        <f>'Target co'!B53/'Target co'!B59</f>
        <v>0.18056899554867428</v>
      </c>
      <c r="F109" s="39">
        <f>'Target co'!C53/'Target co'!C59</f>
        <v>0.17767570050528253</v>
      </c>
      <c r="G109" s="39">
        <f>'Target co'!D53/'Target co'!D59</f>
        <v>0.17851779878102642</v>
      </c>
      <c r="H109" s="39">
        <f>'Target co'!E53/'Target co'!E59</f>
        <v>0.1798245614035088</v>
      </c>
    </row>
    <row r="110" spans="2:8" ht="17" x14ac:dyDescent="0.15">
      <c r="B110" s="6" t="s">
        <v>59</v>
      </c>
      <c r="E110" s="55">
        <f>1-E109</f>
        <v>0.81943100445132577</v>
      </c>
      <c r="F110" s="55">
        <f t="shared" ref="F110:H110" si="1">1-F109</f>
        <v>0.82232429949471753</v>
      </c>
      <c r="G110" s="55">
        <f t="shared" si="1"/>
        <v>0.82148220121897353</v>
      </c>
      <c r="H110" s="55">
        <f t="shared" si="1"/>
        <v>0.82017543859649122</v>
      </c>
    </row>
    <row r="112" spans="2:8" ht="18" thickBot="1" x14ac:dyDescent="0.2">
      <c r="B112" s="52" t="s">
        <v>49</v>
      </c>
      <c r="C112" s="52"/>
      <c r="D112" s="52"/>
      <c r="E112" s="52"/>
      <c r="F112" s="52"/>
      <c r="G112" s="52"/>
      <c r="H112" s="52"/>
    </row>
    <row r="113" spans="2:8" ht="22" customHeight="1" x14ac:dyDescent="0.15">
      <c r="B113" s="6" t="s">
        <v>50</v>
      </c>
      <c r="E113" s="56">
        <f>'Target co'!B13/'Target co'!B15</f>
        <v>20.263157894736828</v>
      </c>
      <c r="F113" s="56">
        <f>'Target co'!C13/'Target co'!C15</f>
        <v>15.027777777777775</v>
      </c>
      <c r="G113" s="56">
        <f>'Target co'!D13/'Target co'!D15</f>
        <v>18.600000000000041</v>
      </c>
      <c r="H113" s="56">
        <f>'Target co'!E13/'Target co'!E15</f>
        <v>18.952380952380938</v>
      </c>
    </row>
    <row r="114" spans="2:8" ht="17" x14ac:dyDescent="0.15">
      <c r="B114" s="6" t="s">
        <v>51</v>
      </c>
      <c r="E114" s="39">
        <f>'Target co'!B15/SUM('Target co'!B46,'Target co'!B48,'Target co'!B52)</f>
        <v>7.2060682680151714E-2</v>
      </c>
      <c r="F114" s="39">
        <f>'Target co'!C15/SUM('Target co'!C46,'Target co'!C48,'Target co'!C52)</f>
        <v>8.8019559902200492E-2</v>
      </c>
      <c r="G114" s="39">
        <f>'Target co'!D15/SUM('Target co'!D46,'Target co'!D48,'Target co'!D52)</f>
        <v>7.0093457943925228E-2</v>
      </c>
      <c r="H114" s="39">
        <f>'Target co'!E15/SUM('Target co'!E46,'Target co'!E48,'Target co'!E52)</f>
        <v>6.9844789356984488E-2</v>
      </c>
    </row>
    <row r="118" spans="2:8" ht="18" thickBot="1" x14ac:dyDescent="0.2">
      <c r="B118" s="52" t="s">
        <v>60</v>
      </c>
      <c r="C118" s="52"/>
    </row>
    <row r="119" spans="2:8" ht="17" x14ac:dyDescent="0.15">
      <c r="B119" s="51" t="s">
        <v>61</v>
      </c>
      <c r="C119" s="57">
        <v>4.2500000000000003E-2</v>
      </c>
    </row>
    <row r="120" spans="2:8" ht="18" thickBot="1" x14ac:dyDescent="0.2">
      <c r="B120" s="58" t="s">
        <v>62</v>
      </c>
      <c r="C120" s="59">
        <v>7.0000000000000007E-2</v>
      </c>
    </row>
    <row r="121" spans="2:8" ht="18" thickTop="1" x14ac:dyDescent="0.15">
      <c r="B121" s="51" t="str">
        <f>"Levered Beta for " &amp;Market!B5</f>
        <v>Levered Beta for Competitor A</v>
      </c>
      <c r="C121" s="60">
        <f>Market!C22</f>
        <v>0.5</v>
      </c>
    </row>
    <row r="122" spans="2:8" ht="17" x14ac:dyDescent="0.15">
      <c r="B122" s="51" t="str">
        <f>"Levered Beta for "&amp;Market!E5</f>
        <v>Levered Beta for Competitor B</v>
      </c>
      <c r="C122" s="60">
        <f>Market!F22</f>
        <v>0.6</v>
      </c>
    </row>
    <row r="123" spans="2:8" ht="22" customHeight="1" thickBot="1" x14ac:dyDescent="0.2">
      <c r="B123" s="58" t="str">
        <f>"Levered Beta for "&amp;Market!H5</f>
        <v>Levered Beta for Noname Co</v>
      </c>
      <c r="C123" s="61">
        <f>Market!I22</f>
        <v>0.85</v>
      </c>
    </row>
    <row r="124" spans="2:8" ht="18" thickTop="1" x14ac:dyDescent="0.15">
      <c r="B124" s="6" t="str">
        <f>"MV of equity " &amp;Market!B5</f>
        <v>MV of equity Competitor A</v>
      </c>
      <c r="C124" s="19">
        <f>Market!C20</f>
        <v>33.894400000000005</v>
      </c>
    </row>
    <row r="125" spans="2:8" ht="17" x14ac:dyDescent="0.15">
      <c r="B125" s="6" t="str">
        <f>"MV of equity " &amp;Market!E5</f>
        <v>MV of equity Competitor B</v>
      </c>
      <c r="C125" s="51">
        <f>Market!F20</f>
        <v>80.611720000000005</v>
      </c>
    </row>
    <row r="126" spans="2:8" ht="19" customHeight="1" thickBot="1" x14ac:dyDescent="0.2">
      <c r="B126" s="58" t="str">
        <f>"MV of equity " &amp;Market!H5</f>
        <v>MV of equity Noname Co</v>
      </c>
      <c r="C126" s="58">
        <f>Market!I20</f>
        <v>7.63514465</v>
      </c>
    </row>
    <row r="127" spans="2:8" ht="18" thickTop="1" x14ac:dyDescent="0.15">
      <c r="B127" s="6" t="str">
        <f>"Debt "&amp;Market!B5</f>
        <v>Debt Competitor A</v>
      </c>
      <c r="C127" s="6">
        <f>Market!C15</f>
        <v>9.8970000000000002</v>
      </c>
    </row>
    <row r="128" spans="2:8" ht="17" x14ac:dyDescent="0.15">
      <c r="B128" s="6" t="str">
        <f>"Debt "&amp;Market!E5</f>
        <v>Debt Competitor B</v>
      </c>
      <c r="C128" s="6">
        <f>Market!F15</f>
        <v>32.338000000000001</v>
      </c>
    </row>
    <row r="129" spans="2:4" ht="18" thickBot="1" x14ac:dyDescent="0.2">
      <c r="B129" s="58" t="str">
        <f xml:space="preserve"> "Debt "&amp;Market!H5</f>
        <v>Debt Noname Co</v>
      </c>
      <c r="C129" s="58">
        <f>Market!I15</f>
        <v>13.010199999999999</v>
      </c>
    </row>
    <row r="130" spans="2:4" ht="18" thickTop="1" x14ac:dyDescent="0.15">
      <c r="B130" s="51" t="str">
        <f xml:space="preserve"> "D/E "&amp;Market!B5</f>
        <v>D/E Competitor A</v>
      </c>
      <c r="C130" s="6">
        <f>C127/C124</f>
        <v>0.29199513783987913</v>
      </c>
    </row>
    <row r="131" spans="2:4" ht="17" x14ac:dyDescent="0.15">
      <c r="B131" s="51" t="str">
        <f>"D/E "&amp;Market!E5</f>
        <v>D/E Competitor B</v>
      </c>
      <c r="C131" s="6">
        <f t="shared" ref="C131:C132" si="2">C128/C125</f>
        <v>0.40115754880307725</v>
      </c>
    </row>
    <row r="132" spans="2:4" ht="17" x14ac:dyDescent="0.15">
      <c r="B132" s="51" t="str">
        <f>"D/E "&amp;Market!H5</f>
        <v>D/E Noname Co</v>
      </c>
      <c r="C132" s="6">
        <f t="shared" si="2"/>
        <v>1.7039886729585403</v>
      </c>
    </row>
    <row r="134" spans="2:4" ht="17" x14ac:dyDescent="0.15">
      <c r="B134" s="6" t="s">
        <v>56</v>
      </c>
      <c r="C134" s="62">
        <v>0.27</v>
      </c>
    </row>
    <row r="136" spans="2:4" ht="17" x14ac:dyDescent="0.15">
      <c r="B136" s="51" t="str">
        <f xml:space="preserve"> "Unlevered Beta "&amp;Market!B5</f>
        <v>Unlevered Beta Competitor A</v>
      </c>
      <c r="C136" s="6">
        <f>C121/(1+(1-C$134)*C130)</f>
        <v>0.41214799603397045</v>
      </c>
    </row>
    <row r="137" spans="2:4" ht="17" x14ac:dyDescent="0.15">
      <c r="B137" s="51" t="str">
        <f xml:space="preserve"> "Unlevered Beta "&amp;Market!E5</f>
        <v>Unlevered Beta Competitor B</v>
      </c>
      <c r="C137" s="6">
        <f t="shared" ref="C137:C138" si="3">C122/(1+(1-C$134)*C131)</f>
        <v>0.46409275285779505</v>
      </c>
    </row>
    <row r="138" spans="2:4" ht="18" thickBot="1" x14ac:dyDescent="0.2">
      <c r="B138" s="58" t="str">
        <f>"Unlevered Beta "&amp;Market!H5</f>
        <v>Unlevered Beta Noname Co</v>
      </c>
      <c r="C138" s="58">
        <f t="shared" si="3"/>
        <v>0.37880277916404897</v>
      </c>
    </row>
    <row r="139" spans="2:4" ht="18" thickTop="1" x14ac:dyDescent="0.15">
      <c r="B139" s="6" t="s">
        <v>63</v>
      </c>
      <c r="C139" s="6">
        <f>AVERAGE(C136:C138)</f>
        <v>0.41834784268527153</v>
      </c>
    </row>
    <row r="143" spans="2:4" ht="18" thickBot="1" x14ac:dyDescent="0.2">
      <c r="B143" s="58" t="s">
        <v>64</v>
      </c>
      <c r="C143" s="58"/>
      <c r="D143" s="63" t="s">
        <v>65</v>
      </c>
    </row>
    <row r="144" spans="2:4" ht="18" thickTop="1" x14ac:dyDescent="0.15">
      <c r="B144" s="6" t="s">
        <v>66</v>
      </c>
      <c r="C144" s="50">
        <v>5.1999999999999998E-2</v>
      </c>
      <c r="D144" s="64">
        <f>C144-C119</f>
        <v>9.4999999999999946E-3</v>
      </c>
    </row>
    <row r="145" spans="2:4" ht="17" x14ac:dyDescent="0.15">
      <c r="B145" s="6" t="s">
        <v>67</v>
      </c>
      <c r="C145" s="50">
        <v>5.6500000000000002E-2</v>
      </c>
      <c r="D145" s="64">
        <f>C145-C119</f>
        <v>1.3999999999999999E-2</v>
      </c>
    </row>
  </sheetData>
  <sheetProtection select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A5C2-8F60-3648-A85E-477314AA232B}">
  <sheetPr codeName="Sheet2">
    <tabColor rgb="FFFFC000"/>
  </sheetPr>
  <dimension ref="B2:M139"/>
  <sheetViews>
    <sheetView zoomScaleNormal="140" workbookViewId="0">
      <selection activeCell="J50" sqref="J50"/>
    </sheetView>
  </sheetViews>
  <sheetFormatPr baseColWidth="10" defaultColWidth="10.75" defaultRowHeight="16" x14ac:dyDescent="0.15"/>
  <cols>
    <col min="1" max="1" width="10.75" style="51"/>
    <col min="2" max="2" width="62.25" style="51" customWidth="1"/>
    <col min="3" max="3" width="19.75" style="51" customWidth="1"/>
    <col min="4" max="7" width="18" style="51" customWidth="1"/>
    <col min="8" max="9" width="10.75" style="51"/>
    <col min="10" max="10" width="13" style="51" customWidth="1"/>
    <col min="11" max="11" width="12.25" style="51" customWidth="1"/>
    <col min="12" max="12" width="13" style="51" customWidth="1"/>
    <col min="13" max="16384" width="10.75" style="51"/>
  </cols>
  <sheetData>
    <row r="2" spans="2:13" ht="20" x14ac:dyDescent="0.15">
      <c r="B2" s="65" t="s">
        <v>374</v>
      </c>
      <c r="C2" s="65"/>
    </row>
    <row r="4" spans="2:13" ht="18" x14ac:dyDescent="0.15">
      <c r="B4" s="66" t="s">
        <v>10</v>
      </c>
      <c r="C4" s="66"/>
      <c r="D4" s="24"/>
    </row>
    <row r="5" spans="2:13" x14ac:dyDescent="0.15">
      <c r="B5" s="67"/>
      <c r="C5" s="67"/>
      <c r="D5" s="24"/>
    </row>
    <row r="6" spans="2:13" x14ac:dyDescent="0.15">
      <c r="D6" s="68">
        <v>41090</v>
      </c>
      <c r="E6" s="68">
        <v>41455</v>
      </c>
      <c r="F6" s="68">
        <v>41820</v>
      </c>
      <c r="G6" s="68">
        <v>42185</v>
      </c>
    </row>
    <row r="7" spans="2:13" ht="17" x14ac:dyDescent="0.15">
      <c r="B7" s="69" t="s">
        <v>68</v>
      </c>
      <c r="C7" s="70" t="s">
        <v>69</v>
      </c>
      <c r="D7" s="70" t="s">
        <v>70</v>
      </c>
      <c r="E7" s="70" t="s">
        <v>71</v>
      </c>
      <c r="F7" s="70" t="s">
        <v>72</v>
      </c>
      <c r="G7" s="70" t="s">
        <v>73</v>
      </c>
    </row>
    <row r="8" spans="2:13" x14ac:dyDescent="0.15">
      <c r="D8" s="71"/>
    </row>
    <row r="9" spans="2:13" ht="17" x14ac:dyDescent="0.15">
      <c r="B9" s="51" t="s">
        <v>74</v>
      </c>
      <c r="D9" s="71">
        <v>0.15</v>
      </c>
      <c r="E9" s="71">
        <v>0.13</v>
      </c>
      <c r="F9" s="71">
        <v>0.11</v>
      </c>
      <c r="G9" s="71">
        <v>0.09</v>
      </c>
      <c r="J9" s="71"/>
      <c r="K9" s="71"/>
      <c r="L9" s="71"/>
      <c r="M9" s="71"/>
    </row>
    <row r="11" spans="2:13" ht="17" x14ac:dyDescent="0.15">
      <c r="B11" s="69" t="s">
        <v>75</v>
      </c>
      <c r="C11" s="70" t="str">
        <f>C7</f>
        <v>FY11</v>
      </c>
      <c r="D11" s="70" t="str">
        <f>D7</f>
        <v>FY12</v>
      </c>
      <c r="E11" s="70" t="str">
        <f t="shared" ref="E11:G11" si="0">E7</f>
        <v>FY13</v>
      </c>
      <c r="F11" s="70" t="str">
        <f t="shared" si="0"/>
        <v>FY14</v>
      </c>
      <c r="G11" s="70" t="str">
        <f t="shared" si="0"/>
        <v>FY15</v>
      </c>
    </row>
    <row r="12" spans="2:13" x14ac:dyDescent="0.15">
      <c r="B12" s="24" t="s">
        <v>76</v>
      </c>
      <c r="C12" s="24"/>
      <c r="D12" s="23">
        <v>0.30099999999999999</v>
      </c>
      <c r="E12" s="57">
        <v>0.315</v>
      </c>
      <c r="F12" s="57">
        <f t="shared" ref="F12:G12" si="1">E12</f>
        <v>0.315</v>
      </c>
      <c r="G12" s="57">
        <f t="shared" si="1"/>
        <v>0.315</v>
      </c>
    </row>
    <row r="13" spans="2:13" x14ac:dyDescent="0.15">
      <c r="B13" s="24" t="s">
        <v>77</v>
      </c>
      <c r="C13" s="24"/>
      <c r="D13" s="23">
        <v>0.01</v>
      </c>
      <c r="E13" s="57">
        <v>1.6E-2</v>
      </c>
      <c r="F13" s="57">
        <f t="shared" ref="F13:G13" si="2">E13</f>
        <v>1.6E-2</v>
      </c>
      <c r="G13" s="57">
        <f t="shared" si="2"/>
        <v>1.6E-2</v>
      </c>
    </row>
    <row r="14" spans="2:13" x14ac:dyDescent="0.15">
      <c r="B14" s="24" t="s">
        <v>78</v>
      </c>
      <c r="C14" s="24"/>
      <c r="D14" s="23">
        <f>1-SUM(D12+D13+D15)</f>
        <v>7.4000000000000066E-2</v>
      </c>
      <c r="E14" s="23">
        <f t="shared" ref="E14:G14" si="3">1-SUM(E12+E13+E15)</f>
        <v>8.4000000000000075E-2</v>
      </c>
      <c r="F14" s="23">
        <f t="shared" si="3"/>
        <v>8.4000000000000075E-2</v>
      </c>
      <c r="G14" s="23">
        <f t="shared" si="3"/>
        <v>8.4000000000000075E-2</v>
      </c>
    </row>
    <row r="15" spans="2:13" x14ac:dyDescent="0.15">
      <c r="B15" s="24" t="s">
        <v>79</v>
      </c>
      <c r="C15" s="24"/>
      <c r="D15" s="23">
        <v>0.61499999999999999</v>
      </c>
      <c r="E15" s="23">
        <v>0.58499999999999996</v>
      </c>
      <c r="F15" s="23">
        <f>E15</f>
        <v>0.58499999999999996</v>
      </c>
      <c r="G15" s="23">
        <f>F15</f>
        <v>0.58499999999999996</v>
      </c>
    </row>
    <row r="16" spans="2:13" x14ac:dyDescent="0.15">
      <c r="B16" s="72" t="s">
        <v>53</v>
      </c>
      <c r="C16" s="72"/>
      <c r="D16" s="73">
        <f>'Pre-analysis'!G58</f>
        <v>1.2173427231427435E-2</v>
      </c>
      <c r="E16" s="74">
        <f t="shared" ref="E16:G16" si="4">D16</f>
        <v>1.2173427231427435E-2</v>
      </c>
      <c r="F16" s="74">
        <f t="shared" si="4"/>
        <v>1.2173427231427435E-2</v>
      </c>
      <c r="G16" s="74">
        <f t="shared" si="4"/>
        <v>1.2173427231427435E-2</v>
      </c>
    </row>
    <row r="17" spans="2:7" x14ac:dyDescent="0.15">
      <c r="B17" s="72" t="s">
        <v>54</v>
      </c>
      <c r="C17" s="72"/>
      <c r="D17" s="73">
        <f>'Pre-analysis'!G59</f>
        <v>1.6598791478600938E-2</v>
      </c>
      <c r="E17" s="74">
        <f t="shared" ref="E17:G17" si="5">D17</f>
        <v>1.6598791478600938E-2</v>
      </c>
      <c r="F17" s="74">
        <f t="shared" si="5"/>
        <v>1.6598791478600938E-2</v>
      </c>
      <c r="G17" s="74">
        <f t="shared" si="5"/>
        <v>1.6598791478600938E-2</v>
      </c>
    </row>
    <row r="19" spans="2:7" x14ac:dyDescent="0.15">
      <c r="B19" s="75" t="s">
        <v>80</v>
      </c>
      <c r="C19" s="75"/>
      <c r="D19" s="76">
        <v>0.27</v>
      </c>
      <c r="E19" s="57">
        <f t="shared" ref="E19:G19" si="6">D19</f>
        <v>0.27</v>
      </c>
      <c r="F19" s="57">
        <f t="shared" si="6"/>
        <v>0.27</v>
      </c>
      <c r="G19" s="57">
        <f t="shared" si="6"/>
        <v>0.27</v>
      </c>
    </row>
    <row r="20" spans="2:7" x14ac:dyDescent="0.15">
      <c r="B20" s="24"/>
      <c r="C20" s="24"/>
      <c r="D20" s="23"/>
    </row>
    <row r="21" spans="2:7" ht="17" x14ac:dyDescent="0.15">
      <c r="B21" s="69" t="s">
        <v>81</v>
      </c>
      <c r="C21" s="70" t="str">
        <f>C7</f>
        <v>FY11</v>
      </c>
      <c r="D21" s="70" t="str">
        <f>D11</f>
        <v>FY12</v>
      </c>
      <c r="E21" s="70" t="str">
        <f>E11</f>
        <v>FY13</v>
      </c>
      <c r="F21" s="70" t="str">
        <f>F11</f>
        <v>FY14</v>
      </c>
      <c r="G21" s="70" t="str">
        <f>G11</f>
        <v>FY15</v>
      </c>
    </row>
    <row r="22" spans="2:7" x14ac:dyDescent="0.15">
      <c r="B22" s="24" t="s">
        <v>26</v>
      </c>
      <c r="C22" s="24"/>
      <c r="D22" s="77">
        <v>75</v>
      </c>
      <c r="E22" s="60">
        <f>D22</f>
        <v>75</v>
      </c>
      <c r="F22" s="60">
        <f t="shared" ref="F22:G22" si="7">E22</f>
        <v>75</v>
      </c>
      <c r="G22" s="60">
        <f t="shared" si="7"/>
        <v>75</v>
      </c>
    </row>
    <row r="23" spans="2:7" x14ac:dyDescent="0.15">
      <c r="B23" s="24" t="s">
        <v>27</v>
      </c>
      <c r="C23" s="24"/>
      <c r="D23" s="77">
        <v>30</v>
      </c>
      <c r="E23" s="60">
        <f t="shared" ref="E23:G24" si="8">D23</f>
        <v>30</v>
      </c>
      <c r="F23" s="60">
        <f t="shared" si="8"/>
        <v>30</v>
      </c>
      <c r="G23" s="60">
        <f t="shared" si="8"/>
        <v>30</v>
      </c>
    </row>
    <row r="24" spans="2:7" x14ac:dyDescent="0.15">
      <c r="B24" s="24" t="s">
        <v>25</v>
      </c>
      <c r="C24" s="24"/>
      <c r="D24" s="77">
        <f>1/4*365</f>
        <v>91.25</v>
      </c>
      <c r="E24" s="60">
        <f t="shared" si="8"/>
        <v>91.25</v>
      </c>
      <c r="F24" s="60">
        <f t="shared" si="8"/>
        <v>91.25</v>
      </c>
      <c r="G24" s="60">
        <f t="shared" si="8"/>
        <v>91.25</v>
      </c>
    </row>
    <row r="26" spans="2:7" ht="17" x14ac:dyDescent="0.15">
      <c r="B26" s="69" t="s">
        <v>82</v>
      </c>
      <c r="C26" s="70" t="str">
        <f>C21</f>
        <v>FY11</v>
      </c>
      <c r="D26" s="70" t="str">
        <f>D21</f>
        <v>FY12</v>
      </c>
      <c r="E26" s="70" t="str">
        <f>E21</f>
        <v>FY13</v>
      </c>
      <c r="F26" s="70" t="str">
        <f>F21</f>
        <v>FY14</v>
      </c>
      <c r="G26" s="70" t="str">
        <f>G21</f>
        <v>FY15</v>
      </c>
    </row>
    <row r="27" spans="2:7" x14ac:dyDescent="0.15">
      <c r="B27" s="24" t="s">
        <v>32</v>
      </c>
      <c r="C27" s="23"/>
      <c r="D27" s="78">
        <v>0.25</v>
      </c>
      <c r="E27" s="78">
        <f>D27</f>
        <v>0.25</v>
      </c>
      <c r="F27" s="78">
        <f t="shared" ref="F27:G27" si="9">E27</f>
        <v>0.25</v>
      </c>
      <c r="G27" s="78">
        <f t="shared" si="9"/>
        <v>0.25</v>
      </c>
    </row>
    <row r="28" spans="2:7" ht="17" x14ac:dyDescent="0.15">
      <c r="B28" s="51" t="s">
        <v>33</v>
      </c>
      <c r="C28" s="23"/>
      <c r="D28" s="78">
        <f>'Pre-analysis'!H31</f>
        <v>4.4959229058561902E-2</v>
      </c>
      <c r="E28" s="78">
        <f>D28</f>
        <v>4.4959229058561902E-2</v>
      </c>
      <c r="F28" s="78">
        <f t="shared" ref="F28:G28" si="10">E28</f>
        <v>4.4959229058561902E-2</v>
      </c>
      <c r="G28" s="78">
        <f t="shared" si="10"/>
        <v>4.4959229058561902E-2</v>
      </c>
    </row>
    <row r="31" spans="2:7" ht="17" x14ac:dyDescent="0.15">
      <c r="B31" s="69" t="s">
        <v>83</v>
      </c>
      <c r="C31" s="70" t="str">
        <f>C26</f>
        <v>FY11</v>
      </c>
      <c r="D31" s="70" t="str">
        <f>D26</f>
        <v>FY12</v>
      </c>
      <c r="E31" s="70" t="str">
        <f>E26</f>
        <v>FY13</v>
      </c>
      <c r="F31" s="70" t="str">
        <f>F26</f>
        <v>FY14</v>
      </c>
      <c r="G31" s="70" t="str">
        <f>G26</f>
        <v>FY15</v>
      </c>
    </row>
    <row r="32" spans="2:7" x14ac:dyDescent="0.15">
      <c r="B32" s="24" t="s">
        <v>84</v>
      </c>
      <c r="C32" s="24"/>
      <c r="D32" s="23">
        <v>3.2500000000000001E-2</v>
      </c>
      <c r="E32" s="57">
        <f>D32</f>
        <v>3.2500000000000001E-2</v>
      </c>
      <c r="F32" s="57">
        <f t="shared" ref="F32:G32" si="11">E32</f>
        <v>3.2500000000000001E-2</v>
      </c>
      <c r="G32" s="57">
        <f t="shared" si="11"/>
        <v>3.2500000000000001E-2</v>
      </c>
    </row>
    <row r="33" spans="2:7" x14ac:dyDescent="0.15">
      <c r="B33" s="24" t="s">
        <v>85</v>
      </c>
      <c r="C33" s="24"/>
      <c r="D33" s="79">
        <v>0.05</v>
      </c>
      <c r="E33" s="80">
        <f>D33</f>
        <v>0.05</v>
      </c>
      <c r="F33" s="80">
        <f t="shared" ref="F33:G33" si="12">E33</f>
        <v>0.05</v>
      </c>
      <c r="G33" s="80">
        <f t="shared" si="12"/>
        <v>0.05</v>
      </c>
    </row>
    <row r="34" spans="2:7" x14ac:dyDescent="0.15">
      <c r="B34" s="81" t="s">
        <v>86</v>
      </c>
      <c r="C34" s="81"/>
      <c r="D34" s="82">
        <v>0.81</v>
      </c>
      <c r="E34" s="83">
        <f>D34</f>
        <v>0.81</v>
      </c>
      <c r="F34" s="83">
        <f t="shared" ref="F34:G34" si="13">E34</f>
        <v>0.81</v>
      </c>
      <c r="G34" s="83">
        <f t="shared" si="13"/>
        <v>0.81</v>
      </c>
    </row>
    <row r="35" spans="2:7" x14ac:dyDescent="0.15">
      <c r="B35" s="7" t="s">
        <v>41</v>
      </c>
      <c r="C35" s="7"/>
      <c r="D35" s="84">
        <v>6.7000000000000004E-2</v>
      </c>
      <c r="E35" s="85">
        <f>D35</f>
        <v>6.7000000000000004E-2</v>
      </c>
      <c r="F35" s="85">
        <f>E35</f>
        <v>6.7000000000000004E-2</v>
      </c>
      <c r="G35" s="85">
        <f>F35</f>
        <v>6.7000000000000004E-2</v>
      </c>
    </row>
    <row r="36" spans="2:7" x14ac:dyDescent="0.15">
      <c r="B36" s="7" t="s">
        <v>43</v>
      </c>
      <c r="C36" s="7"/>
      <c r="D36" s="86">
        <f>AVERAGE('Pre-analysis'!D43:H43)</f>
        <v>1.1069740630282006</v>
      </c>
      <c r="E36" s="85">
        <f>D36</f>
        <v>1.1069740630282006</v>
      </c>
      <c r="F36" s="85">
        <f t="shared" ref="F36:G36" si="14">E36</f>
        <v>1.1069740630282006</v>
      </c>
      <c r="G36" s="85">
        <f t="shared" si="14"/>
        <v>1.1069740630282006</v>
      </c>
    </row>
    <row r="37" spans="2:7" x14ac:dyDescent="0.15">
      <c r="B37" s="6"/>
      <c r="C37" s="6"/>
    </row>
    <row r="38" spans="2:7" ht="17" x14ac:dyDescent="0.15">
      <c r="B38" s="51" t="s">
        <v>57</v>
      </c>
      <c r="C38" s="87">
        <v>1</v>
      </c>
      <c r="D38" s="80">
        <v>1</v>
      </c>
      <c r="E38" s="80">
        <f t="shared" ref="E38:G38" si="15">D38</f>
        <v>1</v>
      </c>
      <c r="F38" s="80">
        <f t="shared" si="15"/>
        <v>1</v>
      </c>
      <c r="G38" s="80">
        <f t="shared" si="15"/>
        <v>1</v>
      </c>
    </row>
    <row r="39" spans="2:7" x14ac:dyDescent="0.15">
      <c r="C39" s="87"/>
      <c r="D39" s="60"/>
      <c r="E39" s="56"/>
      <c r="F39" s="56"/>
      <c r="G39" s="56"/>
    </row>
    <row r="40" spans="2:7" x14ac:dyDescent="0.15">
      <c r="C40" s="87"/>
      <c r="D40" s="87"/>
      <c r="E40" s="87"/>
      <c r="F40" s="87"/>
      <c r="G40" s="87"/>
    </row>
    <row r="43" spans="2:7" ht="18" x14ac:dyDescent="0.15">
      <c r="B43" s="88" t="s">
        <v>87</v>
      </c>
      <c r="C43" s="88"/>
      <c r="D43" s="89"/>
      <c r="E43" s="89"/>
      <c r="F43" s="89"/>
      <c r="G43" s="89"/>
    </row>
    <row r="45" spans="2:7" ht="17" x14ac:dyDescent="0.15">
      <c r="B45" s="69" t="str">
        <f>B7</f>
        <v>Sales</v>
      </c>
      <c r="C45" s="70" t="str">
        <f>C31</f>
        <v>FY11</v>
      </c>
      <c r="D45" s="70" t="str">
        <f>D31</f>
        <v>FY12</v>
      </c>
      <c r="E45" s="70" t="str">
        <f>E31</f>
        <v>FY13</v>
      </c>
      <c r="F45" s="70" t="str">
        <f>F31</f>
        <v>FY14</v>
      </c>
      <c r="G45" s="70" t="str">
        <f>G31</f>
        <v>FY15</v>
      </c>
    </row>
    <row r="46" spans="2:7" x14ac:dyDescent="0.15">
      <c r="B46" s="24" t="s">
        <v>88</v>
      </c>
      <c r="C46" s="24"/>
      <c r="D46" s="24">
        <v>8.1</v>
      </c>
    </row>
    <row r="47" spans="2:7" x14ac:dyDescent="0.15">
      <c r="B47" s="24" t="s">
        <v>89</v>
      </c>
      <c r="C47" s="24"/>
      <c r="D47" s="90"/>
      <c r="E47" s="87">
        <v>0.05</v>
      </c>
      <c r="F47" s="87">
        <f t="shared" ref="F47:G47" si="16">E47</f>
        <v>0.05</v>
      </c>
      <c r="G47" s="87">
        <f t="shared" si="16"/>
        <v>0.05</v>
      </c>
    </row>
    <row r="49" spans="2:7" ht="20" customHeight="1" x14ac:dyDescent="0.15">
      <c r="B49" s="69" t="str">
        <f>B11</f>
        <v>Operating Expenses</v>
      </c>
      <c r="C49" s="70" t="str">
        <f>C45</f>
        <v>FY11</v>
      </c>
      <c r="D49" s="70" t="str">
        <f t="shared" ref="D49:G49" si="17">D45</f>
        <v>FY12</v>
      </c>
      <c r="E49" s="70" t="str">
        <f t="shared" si="17"/>
        <v>FY13</v>
      </c>
      <c r="F49" s="70" t="str">
        <f t="shared" si="17"/>
        <v>FY14</v>
      </c>
      <c r="G49" s="70" t="str">
        <f t="shared" si="17"/>
        <v>FY15</v>
      </c>
    </row>
    <row r="50" spans="2:7" x14ac:dyDescent="0.15">
      <c r="B50" s="24" t="s">
        <v>90</v>
      </c>
      <c r="C50" s="24"/>
      <c r="D50" s="23">
        <v>0.58499999999999996</v>
      </c>
      <c r="E50" s="57">
        <f>D50</f>
        <v>0.58499999999999996</v>
      </c>
      <c r="F50" s="57">
        <f t="shared" ref="F50:G50" si="18">E50</f>
        <v>0.58499999999999996</v>
      </c>
      <c r="G50" s="57">
        <f t="shared" si="18"/>
        <v>0.58499999999999996</v>
      </c>
    </row>
    <row r="51" spans="2:7" x14ac:dyDescent="0.15">
      <c r="B51" s="24" t="s">
        <v>91</v>
      </c>
      <c r="C51" s="24"/>
      <c r="D51" s="90">
        <v>0.11</v>
      </c>
      <c r="E51" s="57">
        <v>0.11</v>
      </c>
      <c r="F51" s="57">
        <v>0.11</v>
      </c>
      <c r="G51" s="57">
        <v>0.11</v>
      </c>
    </row>
    <row r="52" spans="2:7" x14ac:dyDescent="0.15">
      <c r="B52" s="24" t="s">
        <v>92</v>
      </c>
      <c r="C52" s="24"/>
      <c r="D52" s="24">
        <v>0.76</v>
      </c>
    </row>
    <row r="53" spans="2:7" x14ac:dyDescent="0.15">
      <c r="B53" s="24" t="s">
        <v>93</v>
      </c>
      <c r="C53" s="24"/>
      <c r="D53" s="90"/>
      <c r="E53" s="87">
        <v>0.05</v>
      </c>
      <c r="F53" s="87">
        <f t="shared" ref="F53:G53" si="19">E53</f>
        <v>0.05</v>
      </c>
      <c r="G53" s="87">
        <f t="shared" si="19"/>
        <v>0.05</v>
      </c>
    </row>
    <row r="54" spans="2:7" x14ac:dyDescent="0.15">
      <c r="B54" s="75" t="s">
        <v>80</v>
      </c>
      <c r="C54" s="75"/>
      <c r="D54" s="76">
        <v>0.27</v>
      </c>
      <c r="E54" s="87">
        <f>D54</f>
        <v>0.27</v>
      </c>
      <c r="F54" s="87">
        <f t="shared" ref="F54:G54" si="20">E54</f>
        <v>0.27</v>
      </c>
      <c r="G54" s="87">
        <f t="shared" si="20"/>
        <v>0.27</v>
      </c>
    </row>
    <row r="56" spans="2:7" ht="23" customHeight="1" x14ac:dyDescent="0.15">
      <c r="B56" s="69" t="str">
        <f>B21</f>
        <v>Working Capital</v>
      </c>
      <c r="C56" s="70" t="str">
        <f>C49</f>
        <v>FY11</v>
      </c>
      <c r="D56" s="70" t="str">
        <f t="shared" ref="D56:G56" si="21">D49</f>
        <v>FY12</v>
      </c>
      <c r="E56" s="70" t="str">
        <f t="shared" si="21"/>
        <v>FY13</v>
      </c>
      <c r="F56" s="70" t="str">
        <f t="shared" si="21"/>
        <v>FY14</v>
      </c>
      <c r="G56" s="70" t="str">
        <f t="shared" si="21"/>
        <v>FY15</v>
      </c>
    </row>
    <row r="57" spans="2:7" x14ac:dyDescent="0.15">
      <c r="B57" s="24" t="s">
        <v>26</v>
      </c>
      <c r="C57" s="24"/>
      <c r="D57" s="24">
        <v>75</v>
      </c>
      <c r="E57" s="51">
        <f>D57</f>
        <v>75</v>
      </c>
      <c r="F57" s="51">
        <f t="shared" ref="F57:G57" si="22">E57</f>
        <v>75</v>
      </c>
      <c r="G57" s="51">
        <f t="shared" si="22"/>
        <v>75</v>
      </c>
    </row>
    <row r="58" spans="2:7" x14ac:dyDescent="0.15">
      <c r="B58" s="24" t="s">
        <v>25</v>
      </c>
      <c r="C58" s="24"/>
      <c r="D58" s="91">
        <f>1/4*365</f>
        <v>91.25</v>
      </c>
      <c r="E58" s="92">
        <f>D58</f>
        <v>91.25</v>
      </c>
      <c r="F58" s="92">
        <f t="shared" ref="F58:G58" si="23">E58</f>
        <v>91.25</v>
      </c>
      <c r="G58" s="92">
        <f t="shared" si="23"/>
        <v>91.25</v>
      </c>
    </row>
    <row r="59" spans="2:7" x14ac:dyDescent="0.15">
      <c r="B59" s="24" t="s">
        <v>27</v>
      </c>
      <c r="C59" s="24"/>
      <c r="D59" s="24">
        <v>30</v>
      </c>
      <c r="E59" s="51">
        <f>D59</f>
        <v>30</v>
      </c>
      <c r="F59" s="51">
        <f t="shared" ref="F59:G59" si="24">E59</f>
        <v>30</v>
      </c>
      <c r="G59" s="51">
        <f t="shared" si="24"/>
        <v>30</v>
      </c>
    </row>
    <row r="61" spans="2:7" ht="23" customHeight="1" x14ac:dyDescent="0.15">
      <c r="B61" s="69" t="str">
        <f>B26</f>
        <v xml:space="preserve">Fixed Assets </v>
      </c>
      <c r="C61" s="70" t="str">
        <f>C56</f>
        <v>FY11</v>
      </c>
      <c r="D61" s="70" t="str">
        <f t="shared" ref="D61:G61" si="25">D56</f>
        <v>FY12</v>
      </c>
      <c r="E61" s="70" t="str">
        <f t="shared" si="25"/>
        <v>FY13</v>
      </c>
      <c r="F61" s="70" t="str">
        <f t="shared" si="25"/>
        <v>FY14</v>
      </c>
      <c r="G61" s="70" t="str">
        <f t="shared" si="25"/>
        <v>FY15</v>
      </c>
    </row>
    <row r="62" spans="2:7" x14ac:dyDescent="0.15">
      <c r="B62" s="24" t="s">
        <v>94</v>
      </c>
      <c r="C62" s="24"/>
      <c r="D62" s="24">
        <v>1.44</v>
      </c>
    </row>
    <row r="63" spans="2:7" x14ac:dyDescent="0.15">
      <c r="B63" s="24" t="s">
        <v>95</v>
      </c>
      <c r="C63" s="24"/>
      <c r="D63" s="24">
        <v>5</v>
      </c>
    </row>
    <row r="64" spans="2:7" ht="17" x14ac:dyDescent="0.15">
      <c r="B64" s="51" t="s">
        <v>96</v>
      </c>
      <c r="D64" s="51">
        <v>0</v>
      </c>
    </row>
    <row r="67" spans="2:7" ht="19" thickBot="1" x14ac:dyDescent="0.2">
      <c r="B67" s="93" t="s">
        <v>97</v>
      </c>
      <c r="C67" s="93"/>
      <c r="D67" s="48"/>
      <c r="E67" s="48"/>
      <c r="F67" s="94" t="s">
        <v>98</v>
      </c>
      <c r="G67" s="95">
        <v>1000000</v>
      </c>
    </row>
    <row r="68" spans="2:7" ht="17" x14ac:dyDescent="0.15">
      <c r="B68" s="69" t="s">
        <v>99</v>
      </c>
      <c r="C68" s="70" t="str">
        <f>C61</f>
        <v>FY11</v>
      </c>
      <c r="D68" s="96"/>
      <c r="E68" s="96"/>
      <c r="F68" s="96"/>
      <c r="G68" s="96"/>
    </row>
    <row r="69" spans="2:7" ht="17" x14ac:dyDescent="0.15">
      <c r="B69" s="51" t="s">
        <v>100</v>
      </c>
      <c r="C69" s="51">
        <f>'Noname co'!G26</f>
        <v>8.41</v>
      </c>
    </row>
    <row r="70" spans="2:7" ht="18" customHeight="1" x14ac:dyDescent="0.15">
      <c r="B70" s="51" t="s">
        <v>101</v>
      </c>
      <c r="C70" s="97">
        <f>'Noname co'!G24</f>
        <v>907865</v>
      </c>
    </row>
    <row r="71" spans="2:7" ht="17" x14ac:dyDescent="0.15">
      <c r="B71" s="51" t="s">
        <v>361</v>
      </c>
      <c r="C71" s="60">
        <f>C69*C70/inM</f>
        <v>7.63514465</v>
      </c>
    </row>
    <row r="73" spans="2:7" ht="17" x14ac:dyDescent="0.15">
      <c r="B73" s="69" t="s">
        <v>102</v>
      </c>
      <c r="C73" s="70" t="str">
        <f>C68</f>
        <v>FY11</v>
      </c>
      <c r="D73" s="96"/>
      <c r="E73" s="96"/>
      <c r="F73" s="96"/>
      <c r="G73" s="96"/>
    </row>
    <row r="74" spans="2:7" ht="17" x14ac:dyDescent="0.15">
      <c r="B74" s="51" t="s">
        <v>103</v>
      </c>
      <c r="C74" s="87">
        <v>0.25</v>
      </c>
    </row>
    <row r="75" spans="2:7" ht="17" x14ac:dyDescent="0.15">
      <c r="B75" s="51" t="s">
        <v>104</v>
      </c>
      <c r="C75" s="87">
        <v>7.0000000000000007E-2</v>
      </c>
    </row>
    <row r="76" spans="2:7" ht="17" x14ac:dyDescent="0.15">
      <c r="B76" s="51" t="s">
        <v>105</v>
      </c>
      <c r="C76" s="87">
        <f>1-SUM(C74:C75)</f>
        <v>0.67999999999999994</v>
      </c>
    </row>
    <row r="78" spans="2:7" ht="18" thickBot="1" x14ac:dyDescent="0.2">
      <c r="B78" s="52" t="s">
        <v>362</v>
      </c>
    </row>
    <row r="79" spans="2:7" ht="17" x14ac:dyDescent="0.15">
      <c r="B79" s="51" t="s">
        <v>106</v>
      </c>
      <c r="C79" s="51">
        <v>400000</v>
      </c>
    </row>
    <row r="80" spans="2:7" ht="17" x14ac:dyDescent="0.15">
      <c r="B80" s="51" t="s">
        <v>107</v>
      </c>
      <c r="C80" s="51">
        <v>10</v>
      </c>
    </row>
    <row r="83" spans="2:10" ht="18" x14ac:dyDescent="0.15">
      <c r="B83" s="88" t="s">
        <v>356</v>
      </c>
    </row>
    <row r="84" spans="2:10" ht="18" x14ac:dyDescent="0.15">
      <c r="B84" s="98" t="str">
        <f xml:space="preserve"> "Proposal for " &amp;B83</f>
        <v>Proposal for Target co</v>
      </c>
      <c r="C84" s="66"/>
    </row>
    <row r="85" spans="2:10" ht="17" x14ac:dyDescent="0.15">
      <c r="B85" s="51" t="s">
        <v>108</v>
      </c>
      <c r="C85" s="99">
        <f>C86*'Target co'!E19</f>
        <v>1.3282499999999984</v>
      </c>
    </row>
    <row r="86" spans="2:10" ht="17" x14ac:dyDescent="0.15">
      <c r="B86" s="51" t="s">
        <v>373</v>
      </c>
      <c r="C86" s="100">
        <v>4.5999999999999996</v>
      </c>
    </row>
    <row r="87" spans="2:10" ht="17" x14ac:dyDescent="0.15">
      <c r="B87" s="51" t="s">
        <v>109</v>
      </c>
      <c r="C87" s="51">
        <v>404908</v>
      </c>
    </row>
    <row r="88" spans="2:10" ht="34" x14ac:dyDescent="0.15">
      <c r="B88" s="51" t="str">
        <f xml:space="preserve"> "Share price of " &amp;B2</f>
        <v>Share price of Noname co, by elie diwambuena</v>
      </c>
      <c r="C88" s="51">
        <f>C69</f>
        <v>8.41</v>
      </c>
    </row>
    <row r="90" spans="2:10" ht="17" x14ac:dyDescent="0.15">
      <c r="B90" s="101" t="str">
        <f>B83&amp;"future outlook"</f>
        <v>Target cofuture outlook</v>
      </c>
      <c r="C90" s="102"/>
      <c r="D90" s="102"/>
      <c r="E90" s="102"/>
      <c r="F90" s="102"/>
      <c r="G90" s="102"/>
    </row>
    <row r="91" spans="2:10" ht="17" x14ac:dyDescent="0.15">
      <c r="B91" s="69" t="s">
        <v>68</v>
      </c>
      <c r="C91" s="70" t="str">
        <f>C61</f>
        <v>FY11</v>
      </c>
      <c r="D91" s="70" t="str">
        <f>D61</f>
        <v>FY12</v>
      </c>
      <c r="E91" s="70" t="str">
        <f>E61</f>
        <v>FY13</v>
      </c>
      <c r="F91" s="70" t="str">
        <f>F61</f>
        <v>FY14</v>
      </c>
      <c r="G91" s="70" t="str">
        <f>G61</f>
        <v>FY15</v>
      </c>
    </row>
    <row r="92" spans="2:10" x14ac:dyDescent="0.15">
      <c r="D92" s="87"/>
    </row>
    <row r="93" spans="2:10" ht="17" x14ac:dyDescent="0.15">
      <c r="B93" s="51" t="s">
        <v>89</v>
      </c>
      <c r="D93" s="87">
        <v>7.0000000000000007E-2</v>
      </c>
      <c r="E93" s="87">
        <v>0.06</v>
      </c>
      <c r="F93" s="87">
        <v>0.05</v>
      </c>
      <c r="G93" s="57">
        <v>2.8000000000000001E-2</v>
      </c>
    </row>
    <row r="95" spans="2:10" ht="17" x14ac:dyDescent="0.15">
      <c r="B95" s="69" t="s">
        <v>75</v>
      </c>
      <c r="C95" s="70" t="str">
        <f>C91</f>
        <v>FY11</v>
      </c>
      <c r="D95" s="70" t="str">
        <f t="shared" ref="D95:G95" si="26">D91</f>
        <v>FY12</v>
      </c>
      <c r="E95" s="70" t="str">
        <f t="shared" si="26"/>
        <v>FY13</v>
      </c>
      <c r="F95" s="70" t="str">
        <f t="shared" si="26"/>
        <v>FY14</v>
      </c>
      <c r="G95" s="70" t="str">
        <f t="shared" si="26"/>
        <v>FY15</v>
      </c>
    </row>
    <row r="96" spans="2:10" ht="17" x14ac:dyDescent="0.15">
      <c r="B96" s="51" t="s">
        <v>90</v>
      </c>
      <c r="D96" s="57">
        <v>0.61499999999999999</v>
      </c>
      <c r="E96" s="57">
        <v>0.58499999999999996</v>
      </c>
      <c r="F96" s="57">
        <f t="shared" ref="F96:G98" si="27">E96</f>
        <v>0.58499999999999996</v>
      </c>
      <c r="G96" s="57">
        <f t="shared" si="27"/>
        <v>0.58499999999999996</v>
      </c>
      <c r="J96" s="57"/>
    </row>
    <row r="97" spans="2:10" ht="17" x14ac:dyDescent="0.15">
      <c r="B97" s="51" t="s">
        <v>110</v>
      </c>
      <c r="D97" s="87">
        <v>0.01</v>
      </c>
      <c r="E97" s="57">
        <v>1.6E-2</v>
      </c>
      <c r="F97" s="57">
        <f t="shared" si="27"/>
        <v>1.6E-2</v>
      </c>
      <c r="G97" s="57">
        <f t="shared" si="27"/>
        <v>1.6E-2</v>
      </c>
      <c r="J97" s="87"/>
    </row>
    <row r="98" spans="2:10" ht="17" x14ac:dyDescent="0.15">
      <c r="B98" s="51" t="s">
        <v>111</v>
      </c>
      <c r="D98" s="57">
        <v>0.30099999999999999</v>
      </c>
      <c r="E98" s="57">
        <v>0.315</v>
      </c>
      <c r="F98" s="57">
        <f t="shared" si="27"/>
        <v>0.315</v>
      </c>
      <c r="G98" s="57">
        <f t="shared" si="27"/>
        <v>0.315</v>
      </c>
      <c r="J98" s="57"/>
    </row>
    <row r="99" spans="2:10" ht="17" x14ac:dyDescent="0.15">
      <c r="B99" s="51" t="s">
        <v>53</v>
      </c>
      <c r="D99" s="57">
        <v>1.2E-2</v>
      </c>
      <c r="E99" s="57">
        <f>D99</f>
        <v>1.2E-2</v>
      </c>
      <c r="F99" s="57">
        <f t="shared" ref="F99:G100" si="28">E99</f>
        <v>1.2E-2</v>
      </c>
      <c r="G99" s="57">
        <f t="shared" si="28"/>
        <v>1.2E-2</v>
      </c>
      <c r="J99" s="57"/>
    </row>
    <row r="100" spans="2:10" ht="17" x14ac:dyDescent="0.15">
      <c r="B100" s="51" t="s">
        <v>54</v>
      </c>
      <c r="D100" s="57">
        <v>1.66E-2</v>
      </c>
      <c r="E100" s="57">
        <f>D100</f>
        <v>1.66E-2</v>
      </c>
      <c r="F100" s="57">
        <f t="shared" si="28"/>
        <v>1.66E-2</v>
      </c>
      <c r="G100" s="57">
        <f t="shared" si="28"/>
        <v>1.66E-2</v>
      </c>
      <c r="J100" s="57"/>
    </row>
    <row r="101" spans="2:10" x14ac:dyDescent="0.15">
      <c r="D101" s="57"/>
      <c r="E101" s="57"/>
      <c r="F101" s="57"/>
      <c r="G101" s="57"/>
    </row>
    <row r="102" spans="2:10" x14ac:dyDescent="0.15">
      <c r="D102" s="57"/>
      <c r="E102" s="57"/>
      <c r="F102" s="57"/>
      <c r="G102" s="57"/>
    </row>
    <row r="103" spans="2:10" ht="17" x14ac:dyDescent="0.15">
      <c r="B103" s="51" t="s">
        <v>80</v>
      </c>
      <c r="D103" s="103">
        <v>0.27</v>
      </c>
      <c r="E103" s="103">
        <v>0.27</v>
      </c>
      <c r="F103" s="103">
        <v>0.27</v>
      </c>
      <c r="G103" s="103">
        <v>0.27</v>
      </c>
    </row>
    <row r="105" spans="2:10" ht="17" x14ac:dyDescent="0.15">
      <c r="B105" s="69" t="s">
        <v>81</v>
      </c>
      <c r="C105" s="70" t="str">
        <f>C95</f>
        <v>FY11</v>
      </c>
      <c r="D105" s="70" t="str">
        <f>D95</f>
        <v>FY12</v>
      </c>
      <c r="E105" s="70" t="str">
        <f>E95</f>
        <v>FY13</v>
      </c>
      <c r="F105" s="70" t="str">
        <f>F95</f>
        <v>FY14</v>
      </c>
      <c r="G105" s="70" t="str">
        <f>G95</f>
        <v>FY15</v>
      </c>
    </row>
    <row r="106" spans="2:10" ht="17" x14ac:dyDescent="0.15">
      <c r="B106" s="51" t="s">
        <v>26</v>
      </c>
      <c r="D106" s="51">
        <v>75</v>
      </c>
      <c r="E106" s="51">
        <v>75</v>
      </c>
      <c r="F106" s="51">
        <v>75</v>
      </c>
      <c r="G106" s="51">
        <v>75</v>
      </c>
    </row>
    <row r="107" spans="2:10" ht="17" x14ac:dyDescent="0.15">
      <c r="B107" s="51" t="s">
        <v>25</v>
      </c>
      <c r="D107" s="51">
        <v>91.25</v>
      </c>
      <c r="E107" s="51">
        <v>91.25</v>
      </c>
      <c r="F107" s="51">
        <v>91.25</v>
      </c>
      <c r="G107" s="51">
        <v>91.25</v>
      </c>
    </row>
    <row r="108" spans="2:10" ht="17" x14ac:dyDescent="0.15">
      <c r="B108" s="51" t="s">
        <v>27</v>
      </c>
      <c r="D108" s="51">
        <v>30</v>
      </c>
      <c r="E108" s="51">
        <v>30</v>
      </c>
      <c r="F108" s="51">
        <v>30</v>
      </c>
      <c r="G108" s="51">
        <v>30</v>
      </c>
    </row>
    <row r="109" spans="2:10" ht="17" x14ac:dyDescent="0.15">
      <c r="B109" s="51" t="s">
        <v>112</v>
      </c>
      <c r="D109" s="51">
        <v>20</v>
      </c>
      <c r="E109" s="104">
        <f>D109</f>
        <v>20</v>
      </c>
      <c r="F109" s="104">
        <f t="shared" ref="F109:G109" si="29">E109</f>
        <v>20</v>
      </c>
      <c r="G109" s="104">
        <f t="shared" si="29"/>
        <v>20</v>
      </c>
    </row>
    <row r="111" spans="2:10" ht="17" x14ac:dyDescent="0.15">
      <c r="B111" s="69" t="s">
        <v>82</v>
      </c>
      <c r="C111" s="70" t="str">
        <f>C105</f>
        <v>FY11</v>
      </c>
      <c r="D111" s="70" t="str">
        <f t="shared" ref="D111:G111" si="30">D105</f>
        <v>FY12</v>
      </c>
      <c r="E111" s="70" t="str">
        <f t="shared" si="30"/>
        <v>FY13</v>
      </c>
      <c r="F111" s="70" t="str">
        <f t="shared" si="30"/>
        <v>FY14</v>
      </c>
      <c r="G111" s="70" t="str">
        <f t="shared" si="30"/>
        <v>FY15</v>
      </c>
      <c r="J111" s="87"/>
    </row>
    <row r="112" spans="2:10" ht="17" x14ac:dyDescent="0.15">
      <c r="B112" s="51" t="s">
        <v>32</v>
      </c>
      <c r="D112" s="87">
        <v>0.25</v>
      </c>
      <c r="E112" s="87">
        <f>D112</f>
        <v>0.25</v>
      </c>
      <c r="F112" s="87">
        <f t="shared" ref="F112:G112" si="31">E112</f>
        <v>0.25</v>
      </c>
      <c r="G112" s="87">
        <f t="shared" si="31"/>
        <v>0.25</v>
      </c>
      <c r="J112" s="57"/>
    </row>
    <row r="113" spans="2:10" ht="17" x14ac:dyDescent="0.15">
      <c r="B113" s="51" t="s">
        <v>113</v>
      </c>
      <c r="D113" s="57">
        <v>4.4999999999999998E-2</v>
      </c>
      <c r="E113" s="87">
        <f>D113</f>
        <v>4.4999999999999998E-2</v>
      </c>
      <c r="F113" s="87">
        <f t="shared" ref="F113:G113" si="32">E113</f>
        <v>4.4999999999999998E-2</v>
      </c>
      <c r="G113" s="87">
        <f t="shared" si="32"/>
        <v>4.4999999999999998E-2</v>
      </c>
    </row>
    <row r="115" spans="2:10" ht="17" x14ac:dyDescent="0.15">
      <c r="B115" s="69" t="s">
        <v>83</v>
      </c>
      <c r="C115" s="70" t="str">
        <f>C111</f>
        <v>FY11</v>
      </c>
      <c r="D115" s="70" t="str">
        <f t="shared" ref="D115:G115" si="33">D111</f>
        <v>FY12</v>
      </c>
      <c r="E115" s="70" t="str">
        <f t="shared" si="33"/>
        <v>FY13</v>
      </c>
      <c r="F115" s="70" t="str">
        <f t="shared" si="33"/>
        <v>FY14</v>
      </c>
      <c r="G115" s="70" t="str">
        <f t="shared" si="33"/>
        <v>FY15</v>
      </c>
    </row>
    <row r="116" spans="2:10" ht="17" x14ac:dyDescent="0.15">
      <c r="B116" s="51" t="s">
        <v>114</v>
      </c>
      <c r="C116" s="57">
        <v>3.2500000000000001E-2</v>
      </c>
      <c r="D116" s="57">
        <v>3.2500000000000001E-2</v>
      </c>
      <c r="E116" s="57">
        <f t="shared" ref="E116:G116" si="34">D116</f>
        <v>3.2500000000000001E-2</v>
      </c>
      <c r="F116" s="57">
        <f t="shared" si="34"/>
        <v>3.2500000000000001E-2</v>
      </c>
      <c r="G116" s="57">
        <f t="shared" si="34"/>
        <v>3.2500000000000001E-2</v>
      </c>
      <c r="J116" s="57"/>
    </row>
    <row r="117" spans="2:10" ht="17" x14ac:dyDescent="0.15">
      <c r="B117" s="51" t="s">
        <v>85</v>
      </c>
      <c r="C117" s="87">
        <v>0.04</v>
      </c>
      <c r="D117" s="87">
        <v>0.04</v>
      </c>
      <c r="E117" s="57">
        <f t="shared" ref="E117:G117" si="35">D117</f>
        <v>0.04</v>
      </c>
      <c r="F117" s="57">
        <f t="shared" si="35"/>
        <v>0.04</v>
      </c>
      <c r="G117" s="57">
        <f t="shared" si="35"/>
        <v>0.04</v>
      </c>
      <c r="J117" s="87"/>
    </row>
    <row r="118" spans="2:10" ht="18.75" customHeight="1" x14ac:dyDescent="0.15">
      <c r="B118" s="51" t="s">
        <v>347</v>
      </c>
      <c r="C118" s="87"/>
      <c r="D118" s="60">
        <v>-0.2</v>
      </c>
      <c r="E118" s="60">
        <v>-0.1</v>
      </c>
      <c r="F118" s="60">
        <v>-0.1</v>
      </c>
      <c r="G118" s="60">
        <v>-0.1</v>
      </c>
      <c r="J118" s="87"/>
    </row>
    <row r="119" spans="2:10" x14ac:dyDescent="0.15">
      <c r="C119" s="44"/>
      <c r="D119" s="60"/>
      <c r="E119" s="60"/>
      <c r="F119" s="60"/>
      <c r="G119" s="60"/>
    </row>
    <row r="120" spans="2:10" ht="17" x14ac:dyDescent="0.15">
      <c r="B120" s="6" t="s">
        <v>115</v>
      </c>
      <c r="C120" s="44">
        <f>'Pre-analysis'!E108</f>
        <v>0.2499210110584518</v>
      </c>
      <c r="D120" s="44">
        <f>C120</f>
        <v>0.2499210110584518</v>
      </c>
      <c r="E120" s="44">
        <f t="shared" ref="E120:G120" si="36">D120</f>
        <v>0.2499210110584518</v>
      </c>
      <c r="F120" s="44">
        <f t="shared" si="36"/>
        <v>0.2499210110584518</v>
      </c>
      <c r="G120" s="44">
        <f t="shared" si="36"/>
        <v>0.2499210110584518</v>
      </c>
    </row>
    <row r="121" spans="2:10" ht="17" x14ac:dyDescent="0.15">
      <c r="B121" s="51" t="s">
        <v>57</v>
      </c>
      <c r="C121" s="57">
        <v>1</v>
      </c>
      <c r="D121" s="57">
        <f>C121</f>
        <v>1</v>
      </c>
      <c r="E121" s="57">
        <f t="shared" ref="E121:G121" si="37">D121</f>
        <v>1</v>
      </c>
      <c r="F121" s="57">
        <f t="shared" si="37"/>
        <v>1</v>
      </c>
      <c r="G121" s="57">
        <f t="shared" si="37"/>
        <v>1</v>
      </c>
    </row>
    <row r="124" spans="2:10" ht="68" x14ac:dyDescent="0.15">
      <c r="B124" s="69" t="s">
        <v>116</v>
      </c>
      <c r="C124" s="70" t="str">
        <f>B83</f>
        <v>Target co</v>
      </c>
      <c r="D124" s="70" t="str">
        <f>B2</f>
        <v>Noname co, by elie diwambuena</v>
      </c>
    </row>
    <row r="125" spans="2:10" ht="17" x14ac:dyDescent="0.15">
      <c r="B125" s="51" t="s">
        <v>61</v>
      </c>
      <c r="C125" s="57">
        <f>Market!E32</f>
        <v>4.2500000000000003E-2</v>
      </c>
      <c r="D125" s="57">
        <f>C125</f>
        <v>4.2500000000000003E-2</v>
      </c>
    </row>
    <row r="126" spans="2:10" ht="17" x14ac:dyDescent="0.15">
      <c r="B126" s="51" t="s">
        <v>62</v>
      </c>
      <c r="C126" s="57">
        <f>Market!E38</f>
        <v>7.0000000000000007E-2</v>
      </c>
      <c r="D126" s="57">
        <f>C126</f>
        <v>7.0000000000000007E-2</v>
      </c>
    </row>
    <row r="127" spans="2:10" ht="17" x14ac:dyDescent="0.15">
      <c r="B127" s="51" t="s">
        <v>117</v>
      </c>
      <c r="C127" s="105">
        <f>'Pre-analysis'!C139</f>
        <v>0.41834784268527153</v>
      </c>
      <c r="D127" s="105">
        <f>'Pre-analysis'!C138</f>
        <v>0.37880277916404897</v>
      </c>
    </row>
    <row r="128" spans="2:10" ht="17" x14ac:dyDescent="0.15">
      <c r="B128" s="51" t="s">
        <v>118</v>
      </c>
      <c r="C128" s="51">
        <f>'Target co'!E46</f>
        <v>0.31569999999999998</v>
      </c>
      <c r="D128" s="51">
        <f>Market!I15</f>
        <v>13.010199999999999</v>
      </c>
    </row>
    <row r="129" spans="2:4" ht="17" x14ac:dyDescent="0.15">
      <c r="B129" s="51" t="s">
        <v>119</v>
      </c>
      <c r="C129" s="51">
        <f>C130*'Target co'!E19</f>
        <v>4.6199999999999948</v>
      </c>
      <c r="D129" s="51">
        <f>Market!I20</f>
        <v>7.63514465</v>
      </c>
    </row>
    <row r="130" spans="2:4" ht="17" x14ac:dyDescent="0.15">
      <c r="B130" s="51" t="s">
        <v>120</v>
      </c>
      <c r="C130" s="51">
        <v>16</v>
      </c>
      <c r="D130" s="51">
        <v>16</v>
      </c>
    </row>
    <row r="131" spans="2:4" ht="17" x14ac:dyDescent="0.15">
      <c r="B131" s="51" t="s">
        <v>121</v>
      </c>
      <c r="C131" s="44">
        <f>C128/C129</f>
        <v>6.8333333333333413E-2</v>
      </c>
      <c r="D131" s="57">
        <f>'Pre-analysis'!C132</f>
        <v>1.7039886729585403</v>
      </c>
    </row>
    <row r="132" spans="2:4" ht="17" x14ac:dyDescent="0.15">
      <c r="B132" s="51" t="s">
        <v>122</v>
      </c>
      <c r="C132" s="106">
        <f>C127*(1+(1-$D103)*C131)</f>
        <v>0.43921642757122181</v>
      </c>
      <c r="D132" s="60">
        <f>'Pre-analysis'!C123</f>
        <v>0.85</v>
      </c>
    </row>
    <row r="135" spans="2:4" ht="68" x14ac:dyDescent="0.15">
      <c r="B135" s="69" t="s">
        <v>123</v>
      </c>
      <c r="C135" s="70" t="str">
        <f>C124</f>
        <v>Target co</v>
      </c>
      <c r="D135" s="70" t="str">
        <f>D124</f>
        <v>Noname co, by elie diwambuena</v>
      </c>
    </row>
    <row r="136" spans="2:4" ht="17" x14ac:dyDescent="0.15">
      <c r="B136" s="51" t="s">
        <v>124</v>
      </c>
      <c r="C136" s="57">
        <f>SUM(D116:D117)</f>
        <v>7.2500000000000009E-2</v>
      </c>
      <c r="D136" s="57">
        <f>SUM(D32:D33)</f>
        <v>8.2500000000000004E-2</v>
      </c>
    </row>
    <row r="138" spans="2:4" ht="68" x14ac:dyDescent="0.15">
      <c r="B138" s="69" t="s">
        <v>125</v>
      </c>
      <c r="C138" s="70" t="str">
        <f>C135</f>
        <v>Target co</v>
      </c>
      <c r="D138" s="70" t="str">
        <f>D135</f>
        <v>Noname co, by elie diwambuena</v>
      </c>
    </row>
    <row r="139" spans="2:4" ht="17" x14ac:dyDescent="0.15">
      <c r="B139" s="51" t="s">
        <v>126</v>
      </c>
      <c r="C139" s="57">
        <v>2.8000000000000001E-2</v>
      </c>
      <c r="D139" s="57">
        <f>Market!E32</f>
        <v>4.2500000000000003E-2</v>
      </c>
    </row>
  </sheetData>
  <sheetProtection selectLockedCell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6A6F7-B802-4C82-ADF9-CE96EFB3D3DD}">
  <sheetPr codeName="Sheet3">
    <tabColor rgb="FFC00000"/>
  </sheetPr>
  <dimension ref="B1:K121"/>
  <sheetViews>
    <sheetView zoomScaleNormal="140" workbookViewId="0">
      <selection activeCell="H42" sqref="H42"/>
    </sheetView>
  </sheetViews>
  <sheetFormatPr baseColWidth="10" defaultColWidth="8.75" defaultRowHeight="16" x14ac:dyDescent="0.15"/>
  <cols>
    <col min="1" max="1" width="8.75" style="6"/>
    <col min="2" max="2" width="60.75" style="6" customWidth="1"/>
    <col min="3" max="3" width="17.75" style="6" customWidth="1"/>
    <col min="4" max="4" width="17" style="6" customWidth="1"/>
    <col min="5" max="6" width="12.75" style="6" customWidth="1"/>
    <col min="7" max="7" width="16.25" style="6" customWidth="1"/>
    <col min="8" max="8" width="12.75" style="6" customWidth="1"/>
    <col min="9" max="9" width="18" style="6" customWidth="1"/>
    <col min="10" max="11" width="8.75" style="6"/>
    <col min="12" max="12" width="32.25" style="6" customWidth="1"/>
    <col min="13" max="16384" width="8.75" style="6"/>
  </cols>
  <sheetData>
    <row r="1" spans="2:11" ht="26" customHeight="1" x14ac:dyDescent="0.15">
      <c r="B1" s="347" t="str">
        <f>Input!B2</f>
        <v>Noname co, by elie diwambuena</v>
      </c>
      <c r="C1" s="347"/>
    </row>
    <row r="2" spans="2:11" ht="18" x14ac:dyDescent="0.15">
      <c r="B2" s="107"/>
    </row>
    <row r="3" spans="2:11" ht="14" customHeight="1" thickBot="1" x14ac:dyDescent="0.2">
      <c r="B3" s="108" t="str">
        <f>Input!B7</f>
        <v>Sales</v>
      </c>
      <c r="C3" s="109" t="s">
        <v>69</v>
      </c>
      <c r="D3" s="109" t="str">
        <f>Input!D7</f>
        <v>FY12</v>
      </c>
      <c r="E3" s="109" t="str">
        <f>Input!E7</f>
        <v>FY13</v>
      </c>
      <c r="F3" s="109" t="str">
        <f>Input!F7</f>
        <v>FY14</v>
      </c>
      <c r="G3" s="109" t="str">
        <f>Input!G7</f>
        <v>FY15</v>
      </c>
    </row>
    <row r="4" spans="2:11" ht="17" x14ac:dyDescent="0.15">
      <c r="B4" s="6" t="s">
        <v>127</v>
      </c>
      <c r="C4" s="110">
        <f>'Noname co'!G8</f>
        <v>28.328999999999997</v>
      </c>
      <c r="D4" s="110">
        <f>C4*(1+Input!D9)</f>
        <v>32.578349999999993</v>
      </c>
      <c r="E4" s="110">
        <f>D4*(1+Input!E9)</f>
        <v>36.813535499999986</v>
      </c>
      <c r="F4" s="110">
        <f>E4*(1+Input!F9)</f>
        <v>40.86302440499999</v>
      </c>
      <c r="G4" s="110">
        <f>F4*(1+Input!G9)</f>
        <v>44.540696601449994</v>
      </c>
    </row>
    <row r="5" spans="2:11" ht="17" x14ac:dyDescent="0.15">
      <c r="B5" s="6" t="s">
        <v>128</v>
      </c>
      <c r="C5" s="110"/>
      <c r="D5" s="110">
        <f>D4</f>
        <v>32.578349999999993</v>
      </c>
      <c r="E5" s="110">
        <f t="shared" ref="E5:G5" si="0">E4</f>
        <v>36.813535499999986</v>
      </c>
      <c r="F5" s="110">
        <f t="shared" si="0"/>
        <v>40.86302440499999</v>
      </c>
      <c r="G5" s="110">
        <f t="shared" si="0"/>
        <v>44.540696601449994</v>
      </c>
    </row>
    <row r="6" spans="2:11" ht="20" customHeight="1" x14ac:dyDescent="0.15"/>
    <row r="8" spans="2:11" ht="18" thickBot="1" x14ac:dyDescent="0.2">
      <c r="B8" s="108" t="str">
        <f>Input!B11</f>
        <v>Operating Expenses</v>
      </c>
      <c r="C8" s="109" t="str">
        <f>C3</f>
        <v>FY11</v>
      </c>
      <c r="D8" s="109" t="str">
        <f>D3</f>
        <v>FY12</v>
      </c>
      <c r="E8" s="109" t="str">
        <f>E3</f>
        <v>FY13</v>
      </c>
      <c r="F8" s="109" t="str">
        <f>F3</f>
        <v>FY14</v>
      </c>
      <c r="G8" s="109" t="str">
        <f>G3</f>
        <v>FY15</v>
      </c>
    </row>
    <row r="9" spans="2:11" ht="17" x14ac:dyDescent="0.15">
      <c r="B9" s="6" t="s">
        <v>129</v>
      </c>
      <c r="C9" s="110"/>
      <c r="D9" s="110">
        <f>-D5*Input!D15</f>
        <v>-20.035685249999997</v>
      </c>
      <c r="E9" s="110">
        <f>-E5*Input!E15</f>
        <v>-21.535918267499991</v>
      </c>
      <c r="F9" s="110">
        <f>-F5*Input!F15</f>
        <v>-23.904869276924991</v>
      </c>
      <c r="G9" s="110">
        <f>-G5*Input!G15</f>
        <v>-26.056307511848246</v>
      </c>
    </row>
    <row r="10" spans="2:11" ht="17" x14ac:dyDescent="0.15">
      <c r="B10" s="6" t="s">
        <v>130</v>
      </c>
      <c r="C10" s="110"/>
      <c r="D10" s="110">
        <f>-D$5*Input!D12</f>
        <v>-9.806083349999998</v>
      </c>
      <c r="E10" s="110">
        <f>-E$5*Input!E12</f>
        <v>-11.596263682499997</v>
      </c>
      <c r="F10" s="110">
        <f>-F$5*Input!F12</f>
        <v>-12.871852687574997</v>
      </c>
      <c r="G10" s="110">
        <f>-G$5*Input!G12</f>
        <v>-14.030319429456748</v>
      </c>
      <c r="K10" s="111"/>
    </row>
    <row r="11" spans="2:11" ht="17" x14ac:dyDescent="0.15">
      <c r="B11" s="6" t="s">
        <v>131</v>
      </c>
      <c r="C11" s="110"/>
      <c r="D11" s="110">
        <f>-D$5*Input!D13</f>
        <v>-0.32578349999999995</v>
      </c>
      <c r="E11" s="110">
        <f>-E$5*Input!E13</f>
        <v>-0.5890165679999998</v>
      </c>
      <c r="F11" s="110">
        <f>-F$5*Input!F13</f>
        <v>-0.65380839047999983</v>
      </c>
      <c r="G11" s="110">
        <f>-G$5*Input!G13</f>
        <v>-0.71265114562319998</v>
      </c>
    </row>
    <row r="12" spans="2:11" ht="17" x14ac:dyDescent="0.15">
      <c r="B12" s="112" t="str">
        <f>Input!B14</f>
        <v xml:space="preserve">Operating margin </v>
      </c>
      <c r="C12" s="113"/>
      <c r="D12" s="113">
        <f>SUM(D5, D9:D11)</f>
        <v>2.4107978999999986</v>
      </c>
      <c r="E12" s="113">
        <f>SUM(E5, E9:E11)</f>
        <v>3.0923369819999991</v>
      </c>
      <c r="F12" s="113">
        <f t="shared" ref="F12:G12" si="1">SUM(F5, F9:F11)</f>
        <v>3.4324940500200025</v>
      </c>
      <c r="G12" s="113">
        <f t="shared" si="1"/>
        <v>3.7414185145218006</v>
      </c>
    </row>
    <row r="13" spans="2:11" ht="19" customHeight="1" x14ac:dyDescent="0.15">
      <c r="B13" s="112" t="s">
        <v>132</v>
      </c>
      <c r="C13" s="113"/>
      <c r="D13" s="113">
        <f>SUM(D9,D10:D11)</f>
        <v>-30.167552099999995</v>
      </c>
      <c r="E13" s="113">
        <f>SUM(E9,E10:E11)</f>
        <v>-33.721198517999987</v>
      </c>
      <c r="F13" s="113">
        <f t="shared" ref="F13:G13" si="2">SUM(F9,F10:F11)</f>
        <v>-37.430530354979986</v>
      </c>
      <c r="G13" s="113">
        <f t="shared" si="2"/>
        <v>-40.79927808692819</v>
      </c>
    </row>
    <row r="14" spans="2:11" ht="19" customHeight="1" x14ac:dyDescent="0.15">
      <c r="B14" s="6" t="s">
        <v>133</v>
      </c>
      <c r="C14" s="110">
        <f>'Noname co'!G45</f>
        <v>0.33914999999999995</v>
      </c>
      <c r="D14" s="110">
        <f>D$5*Input!D16</f>
        <v>0.3965901730449739</v>
      </c>
      <c r="E14" s="110">
        <f>E$5*Input!E16</f>
        <v>0.44814689554082043</v>
      </c>
      <c r="F14" s="110">
        <f>F$5*Input!F16</f>
        <v>0.49744305405031075</v>
      </c>
      <c r="G14" s="110">
        <f>G$5*Input!G16</f>
        <v>0.54221292891483874</v>
      </c>
    </row>
    <row r="15" spans="2:11" ht="19" customHeight="1" x14ac:dyDescent="0.15">
      <c r="B15" s="6" t="s">
        <v>134</v>
      </c>
      <c r="C15" s="110">
        <f>'Noname co'!G61</f>
        <v>0.47074999999999995</v>
      </c>
      <c r="D15" s="110">
        <f>D5*Input!D17</f>
        <v>0.54076123836687873</v>
      </c>
      <c r="E15" s="110">
        <f>E5*Input!E17</f>
        <v>0.6110601993545729</v>
      </c>
      <c r="F15" s="110">
        <f>F5*Input!F17</f>
        <v>0.67827682128357603</v>
      </c>
      <c r="G15" s="110">
        <f>G5*Input!G17</f>
        <v>0.73932173519909794</v>
      </c>
    </row>
    <row r="16" spans="2:11" ht="19" customHeight="1" x14ac:dyDescent="0.15">
      <c r="B16" s="6" t="s">
        <v>135</v>
      </c>
      <c r="C16" s="110"/>
      <c r="D16" s="110">
        <f>C14-D14</f>
        <v>-5.7440173044973952E-2</v>
      </c>
      <c r="E16" s="110">
        <f t="shared" ref="E16:G16" si="3">D14-E14</f>
        <v>-5.155672249584653E-2</v>
      </c>
      <c r="F16" s="110">
        <f t="shared" si="3"/>
        <v>-4.9296158509490318E-2</v>
      </c>
      <c r="G16" s="110">
        <f t="shared" si="3"/>
        <v>-4.4769874864527992E-2</v>
      </c>
    </row>
    <row r="17" spans="2:8" ht="19" customHeight="1" x14ac:dyDescent="0.15">
      <c r="B17" s="6" t="s">
        <v>136</v>
      </c>
      <c r="C17" s="110"/>
      <c r="D17" s="110">
        <f>(D15-C15)</f>
        <v>7.0011238366878781E-2</v>
      </c>
      <c r="E17" s="110">
        <f t="shared" ref="E17:G17" si="4">(E15-D15)</f>
        <v>7.029896098769417E-2</v>
      </c>
      <c r="F17" s="110">
        <f t="shared" si="4"/>
        <v>6.7216621929003129E-2</v>
      </c>
      <c r="G17" s="110">
        <f t="shared" si="4"/>
        <v>6.1044913915521914E-2</v>
      </c>
    </row>
    <row r="18" spans="2:8" ht="19" customHeight="1" x14ac:dyDescent="0.15">
      <c r="D18" s="56"/>
      <c r="E18" s="56"/>
      <c r="F18" s="56"/>
      <c r="G18" s="56"/>
    </row>
    <row r="19" spans="2:8" ht="19" customHeight="1" x14ac:dyDescent="0.15"/>
    <row r="20" spans="2:8" ht="19" customHeight="1" thickBot="1" x14ac:dyDescent="0.2">
      <c r="B20" s="108" t="str">
        <f>Input!B21</f>
        <v>Working Capital</v>
      </c>
      <c r="C20" s="109" t="str">
        <f>C8</f>
        <v>FY11</v>
      </c>
      <c r="D20" s="109" t="str">
        <f>D8</f>
        <v>FY12</v>
      </c>
      <c r="E20" s="109" t="str">
        <f>E8</f>
        <v>FY13</v>
      </c>
      <c r="F20" s="109" t="str">
        <f>F8</f>
        <v>FY14</v>
      </c>
      <c r="G20" s="109" t="str">
        <f>G8</f>
        <v>FY15</v>
      </c>
    </row>
    <row r="21" spans="2:8" ht="19" customHeight="1" x14ac:dyDescent="0.15">
      <c r="B21" s="6" t="s">
        <v>137</v>
      </c>
      <c r="C21" s="110">
        <f>'Noname co'!G43</f>
        <v>5.8212000000000002</v>
      </c>
      <c r="D21" s="110">
        <f>D5*Input!D22/365</f>
        <v>6.6941815068493131</v>
      </c>
      <c r="E21" s="110">
        <f>E5*Input!E22/365</f>
        <v>7.5644251027397233</v>
      </c>
      <c r="F21" s="110">
        <f>F5*Input!F22/365</f>
        <v>8.3965118640410932</v>
      </c>
      <c r="G21" s="110">
        <f>G5*Input!G22/365</f>
        <v>9.1521979318047926</v>
      </c>
    </row>
    <row r="22" spans="2:8" ht="19" customHeight="1" x14ac:dyDescent="0.15">
      <c r="B22" s="6" t="s">
        <v>138</v>
      </c>
      <c r="C22" s="110">
        <f>'Noname co'!G59</f>
        <v>1.3667499999999999</v>
      </c>
      <c r="D22" s="110">
        <f>-D9*Input!D23/365</f>
        <v>1.6467686506849313</v>
      </c>
      <c r="E22" s="110">
        <f>-E9*Input!E23/365</f>
        <v>1.7700754740410951</v>
      </c>
      <c r="F22" s="110">
        <f>-F9*Input!F23/365</f>
        <v>1.9647837761856155</v>
      </c>
      <c r="G22" s="110">
        <f>-G9*Input!G23/365</f>
        <v>2.1416143160423218</v>
      </c>
    </row>
    <row r="23" spans="2:8" ht="19" customHeight="1" x14ac:dyDescent="0.15">
      <c r="B23" s="6" t="s">
        <v>139</v>
      </c>
      <c r="C23" s="110">
        <f>'Noname co'!G44</f>
        <v>4.1573000000000002</v>
      </c>
      <c r="D23" s="110">
        <f>-D9*Input!D24/365</f>
        <v>5.0089213124999992</v>
      </c>
      <c r="E23" s="110">
        <f>-E9*Input!E24/365</f>
        <v>5.3839795668749977</v>
      </c>
      <c r="F23" s="110">
        <f>-F9*Input!F24/365</f>
        <v>5.9762173192312478</v>
      </c>
      <c r="G23" s="110">
        <f>-G9*Input!G24/365</f>
        <v>6.5140768779620615</v>
      </c>
    </row>
    <row r="24" spans="2:8" ht="19" customHeight="1" x14ac:dyDescent="0.15">
      <c r="B24" s="6" t="s">
        <v>140</v>
      </c>
      <c r="D24" s="110">
        <f>(C21+C23-C22)-(D21+D23-D22)</f>
        <v>-1.4445841686643792</v>
      </c>
      <c r="E24" s="110">
        <f>(D21+D23-D22)-(E21+E23-E22)</f>
        <v>-1.1219950269092465</v>
      </c>
      <c r="F24" s="110">
        <f>(E21+E23-E22)-(F21+F23-F22)</f>
        <v>-1.2296162115130986</v>
      </c>
      <c r="G24" s="110">
        <f>(F21+F23-F22)-(G21+G23-G22)</f>
        <v>-1.1167150866378073</v>
      </c>
    </row>
    <row r="25" spans="2:8" ht="19" customHeight="1" x14ac:dyDescent="0.15">
      <c r="C25" s="110"/>
      <c r="D25" s="110"/>
      <c r="E25" s="110"/>
      <c r="F25" s="110"/>
      <c r="G25" s="110"/>
    </row>
    <row r="26" spans="2:8" ht="19" customHeight="1" thickBot="1" x14ac:dyDescent="0.2">
      <c r="B26" s="108" t="str">
        <f>Input!B26</f>
        <v xml:space="preserve">Fixed Assets </v>
      </c>
      <c r="C26" s="109" t="str">
        <f>C20</f>
        <v>FY11</v>
      </c>
      <c r="D26" s="109" t="str">
        <f>D20</f>
        <v>FY12</v>
      </c>
      <c r="E26" s="109" t="str">
        <f>E20</f>
        <v>FY13</v>
      </c>
      <c r="F26" s="109" t="str">
        <f>F20</f>
        <v>FY14</v>
      </c>
      <c r="G26" s="109" t="str">
        <f>G20</f>
        <v>FY15</v>
      </c>
    </row>
    <row r="27" spans="2:8" ht="19" customHeight="1" x14ac:dyDescent="0.15">
      <c r="B27" s="6" t="s">
        <v>141</v>
      </c>
      <c r="C27" s="110">
        <f>'Noname co'!G48</f>
        <v>7.839999999999999</v>
      </c>
      <c r="D27" s="110">
        <f>D5*Input!D27</f>
        <v>8.1445874999999983</v>
      </c>
      <c r="E27" s="110">
        <f>E5*Input!E27</f>
        <v>9.2033838749999966</v>
      </c>
      <c r="F27" s="110">
        <f>F5*Input!F27</f>
        <v>10.215756101249998</v>
      </c>
      <c r="G27" s="110">
        <f>G5*Input!G27</f>
        <v>11.135174150362499</v>
      </c>
    </row>
    <row r="28" spans="2:8" ht="19" customHeight="1" x14ac:dyDescent="0.15">
      <c r="B28" s="6" t="s">
        <v>113</v>
      </c>
      <c r="C28" s="110">
        <f>'Noname co'!G49</f>
        <v>1.2736499999999999</v>
      </c>
      <c r="D28" s="110">
        <f>D5*Input!D28</f>
        <v>1.4646974999999998</v>
      </c>
      <c r="E28" s="110">
        <f>E5*Input!E28</f>
        <v>1.6551081749999996</v>
      </c>
      <c r="F28" s="110">
        <f>F5*Input!F28</f>
        <v>1.8371700742499997</v>
      </c>
      <c r="G28" s="110">
        <f>G5*Input!G28</f>
        <v>2.0025153809325</v>
      </c>
    </row>
    <row r="29" spans="2:8" ht="19" customHeight="1" x14ac:dyDescent="0.15">
      <c r="B29" s="6" t="s">
        <v>142</v>
      </c>
      <c r="D29" s="110">
        <f>(C27+C28)-(D27+D28)</f>
        <v>-0.49563499999999827</v>
      </c>
      <c r="E29" s="110">
        <f>(D27+D28)-(E27+E28)</f>
        <v>-1.2492070499999972</v>
      </c>
      <c r="F29" s="110">
        <f>(E27+E28)-(F27+F28)</f>
        <v>-1.1944341255000026</v>
      </c>
      <c r="G29" s="110">
        <f>(F27+F28)-(G27+G28)</f>
        <v>-1.0847633557950012</v>
      </c>
      <c r="H29" s="110"/>
    </row>
    <row r="30" spans="2:8" ht="19" customHeight="1" x14ac:dyDescent="0.15">
      <c r="C30" s="110"/>
      <c r="D30" s="110"/>
      <c r="E30" s="110"/>
      <c r="F30" s="110"/>
      <c r="G30" s="110"/>
    </row>
    <row r="31" spans="2:8" ht="19" customHeight="1" x14ac:dyDescent="0.15">
      <c r="B31" s="108" t="str">
        <f>Input!B31</f>
        <v>Financing</v>
      </c>
      <c r="C31" s="109" t="str">
        <f>C26</f>
        <v>FY11</v>
      </c>
      <c r="D31" s="109" t="str">
        <f>D26</f>
        <v>FY12</v>
      </c>
      <c r="E31" s="109" t="str">
        <f>E26</f>
        <v>FY13</v>
      </c>
      <c r="F31" s="109" t="str">
        <f>F26</f>
        <v>FY14</v>
      </c>
      <c r="G31" s="109" t="str">
        <f>G26</f>
        <v>FY15</v>
      </c>
    </row>
    <row r="32" spans="2:8" ht="19" customHeight="1" x14ac:dyDescent="0.15">
      <c r="B32" s="114" t="s">
        <v>143</v>
      </c>
      <c r="C32" s="115"/>
      <c r="D32" s="116">
        <f>SUM(Input!D32:D33)</f>
        <v>8.2500000000000004E-2</v>
      </c>
      <c r="E32" s="116">
        <f>SUM(Input!E32:E33)</f>
        <v>8.2500000000000004E-2</v>
      </c>
      <c r="F32" s="116">
        <f>SUM(Input!F32:F33)</f>
        <v>8.2500000000000004E-2</v>
      </c>
      <c r="G32" s="116">
        <f>SUM(Input!G32:G33)</f>
        <v>8.2500000000000004E-2</v>
      </c>
    </row>
    <row r="33" spans="2:9" ht="19" customHeight="1" x14ac:dyDescent="0.15">
      <c r="B33" s="114" t="s">
        <v>144</v>
      </c>
      <c r="C33" s="115"/>
      <c r="D33" s="116">
        <f>Input!D19</f>
        <v>0.27</v>
      </c>
      <c r="E33" s="116">
        <f>Input!E19</f>
        <v>0.27</v>
      </c>
      <c r="F33" s="116">
        <f>Input!F19</f>
        <v>0.27</v>
      </c>
      <c r="G33" s="116">
        <f>Input!G19</f>
        <v>0.27</v>
      </c>
    </row>
    <row r="34" spans="2:9" ht="19" customHeight="1" x14ac:dyDescent="0.15">
      <c r="B34" s="51" t="s">
        <v>145</v>
      </c>
      <c r="C34" s="117">
        <f>'Noname co'!G58</f>
        <v>4.7046999999999999</v>
      </c>
      <c r="D34" s="117">
        <f>D21*Input!D34</f>
        <v>5.4222870205479436</v>
      </c>
      <c r="E34" s="117">
        <f>E21*Input!E34</f>
        <v>6.1271843332191764</v>
      </c>
      <c r="F34" s="117">
        <f>F21*Input!F34</f>
        <v>6.8011746098732857</v>
      </c>
      <c r="G34" s="117">
        <f>G21*Input!G34</f>
        <v>7.4132803247618826</v>
      </c>
    </row>
    <row r="35" spans="2:9" ht="19" customHeight="1" x14ac:dyDescent="0.15">
      <c r="B35" s="6" t="s">
        <v>146</v>
      </c>
      <c r="D35" s="110">
        <f>D34-C34</f>
        <v>0.71758702054794377</v>
      </c>
      <c r="E35" s="110">
        <f t="shared" ref="E35:G35" si="5">E34-D34</f>
        <v>0.70489731267123279</v>
      </c>
      <c r="F35" s="110">
        <f t="shared" si="5"/>
        <v>0.67399027665410927</v>
      </c>
      <c r="G35" s="110">
        <f t="shared" si="5"/>
        <v>0.61210571488859689</v>
      </c>
    </row>
    <row r="36" spans="2:9" ht="19" customHeight="1" x14ac:dyDescent="0.15">
      <c r="B36" s="51" t="s">
        <v>147</v>
      </c>
      <c r="C36" s="117"/>
      <c r="D36" s="117">
        <f>-D34*D32</f>
        <v>-0.44733867919520537</v>
      </c>
      <c r="E36" s="117">
        <f>-E34*E32</f>
        <v>-0.50549270749058206</v>
      </c>
      <c r="F36" s="117">
        <f>-F34*F32</f>
        <v>-0.56109690531454615</v>
      </c>
      <c r="G36" s="117">
        <f>-G34*G32</f>
        <v>-0.6115956267928554</v>
      </c>
    </row>
    <row r="37" spans="2:9" ht="19" customHeight="1" x14ac:dyDescent="0.15">
      <c r="I37" s="118"/>
    </row>
    <row r="38" spans="2:9" ht="19" customHeight="1" x14ac:dyDescent="0.15">
      <c r="B38" s="119" t="s">
        <v>148</v>
      </c>
      <c r="C38" s="120"/>
      <c r="D38" s="120">
        <f>1/Input!D36*SUM(Calcul!D27:D28)</f>
        <v>8.6806776427201608</v>
      </c>
      <c r="E38" s="120">
        <f>1/Input!E36*SUM(Calcul!E27:E28)</f>
        <v>9.8091657362737781</v>
      </c>
      <c r="F38" s="120">
        <f>1/Input!F36*SUM(Calcul!F27:F28)</f>
        <v>10.888173967263898</v>
      </c>
      <c r="G38" s="120">
        <f>1/Input!G36*SUM(Calcul!G27:G28)</f>
        <v>11.868109624317649</v>
      </c>
    </row>
    <row r="39" spans="2:9" ht="19" customHeight="1" x14ac:dyDescent="0.15">
      <c r="B39" s="6" t="s">
        <v>149</v>
      </c>
      <c r="C39" s="121">
        <f>'Noname co'!G64</f>
        <v>7.7864499999999994</v>
      </c>
      <c r="D39" s="120">
        <f>D38/(1+Input!D35)</f>
        <v>8.1355929172635069</v>
      </c>
      <c r="E39" s="120">
        <f>E38/(1+Input!E35)</f>
        <v>9.193219996507759</v>
      </c>
      <c r="F39" s="120">
        <f>F38/(1+Input!F35)</f>
        <v>10.204474196123616</v>
      </c>
      <c r="G39" s="120">
        <f>G38/(1+Input!G35)</f>
        <v>11.122876873774741</v>
      </c>
      <c r="I39" s="56"/>
    </row>
    <row r="40" spans="2:9" ht="19" customHeight="1" x14ac:dyDescent="0.15">
      <c r="B40" s="119" t="s">
        <v>150</v>
      </c>
      <c r="C40" s="121">
        <f>'Noname co'!G60</f>
        <v>0.51905000000000001</v>
      </c>
      <c r="D40" s="121">
        <f>D39*Input!D35</f>
        <v>0.54508472545665498</v>
      </c>
      <c r="E40" s="121">
        <f>E39*Input!E35</f>
        <v>0.61594573976601985</v>
      </c>
      <c r="F40" s="121">
        <f>F39*Input!F35</f>
        <v>0.68369977114028235</v>
      </c>
      <c r="G40" s="121">
        <f>G39*Input!G35</f>
        <v>0.74523275054290772</v>
      </c>
      <c r="I40" s="56"/>
    </row>
    <row r="41" spans="2:9" ht="19" customHeight="1" x14ac:dyDescent="0.15">
      <c r="B41" s="119" t="s">
        <v>147</v>
      </c>
      <c r="C41" s="121"/>
      <c r="D41" s="120">
        <f>-D39*SUM(Input!D32:D33)</f>
        <v>-0.67118641567423931</v>
      </c>
      <c r="E41" s="120">
        <f>-E39*SUM(Input!E32:E33)</f>
        <v>-0.75844064971189018</v>
      </c>
      <c r="F41" s="120">
        <f>-F39*SUM(Input!F32:F33)</f>
        <v>-0.84186912118019841</v>
      </c>
      <c r="G41" s="120">
        <f>-G39*SUM(Input!G32:G33)</f>
        <v>-0.91763734208641623</v>
      </c>
      <c r="I41" s="56"/>
    </row>
    <row r="42" spans="2:9" ht="19" customHeight="1" x14ac:dyDescent="0.15">
      <c r="B42" s="51"/>
      <c r="C42" s="60"/>
      <c r="D42" s="122"/>
      <c r="E42" s="122"/>
      <c r="F42" s="122"/>
      <c r="G42" s="122"/>
      <c r="I42" s="56"/>
    </row>
    <row r="43" spans="2:9" ht="19" customHeight="1" x14ac:dyDescent="0.15">
      <c r="B43" s="51"/>
      <c r="C43" s="60"/>
      <c r="D43" s="122"/>
      <c r="E43" s="122"/>
      <c r="F43" s="122"/>
      <c r="G43" s="122"/>
      <c r="I43" s="56"/>
    </row>
    <row r="44" spans="2:9" x14ac:dyDescent="0.15">
      <c r="D44" s="110"/>
      <c r="E44" s="110"/>
      <c r="F44" s="110"/>
      <c r="G44" s="110"/>
    </row>
    <row r="45" spans="2:9" x14ac:dyDescent="0.15">
      <c r="D45" s="110"/>
      <c r="E45" s="110"/>
      <c r="F45" s="110"/>
      <c r="G45" s="110"/>
    </row>
    <row r="46" spans="2:9" x14ac:dyDescent="0.15">
      <c r="D46" s="110"/>
      <c r="E46" s="110"/>
      <c r="F46" s="110"/>
      <c r="G46" s="110"/>
    </row>
    <row r="48" spans="2:9" ht="19" x14ac:dyDescent="0.15">
      <c r="B48" s="123" t="s">
        <v>87</v>
      </c>
      <c r="C48" s="51"/>
      <c r="D48" s="51"/>
      <c r="E48" s="51"/>
      <c r="F48" s="51"/>
      <c r="G48" s="51"/>
    </row>
    <row r="49" spans="2:8" x14ac:dyDescent="0.15">
      <c r="B49" s="124"/>
      <c r="C49" s="124"/>
      <c r="D49" s="125"/>
      <c r="E49" s="125"/>
      <c r="F49" s="125"/>
      <c r="G49" s="125"/>
    </row>
    <row r="50" spans="2:8" ht="18" thickBot="1" x14ac:dyDescent="0.2">
      <c r="B50" s="108" t="str">
        <f>Input!B45</f>
        <v>Sales</v>
      </c>
      <c r="C50" s="109" t="str">
        <f>C31</f>
        <v>FY11</v>
      </c>
      <c r="D50" s="109" t="str">
        <f>D31</f>
        <v>FY12</v>
      </c>
      <c r="E50" s="109" t="str">
        <f>E31</f>
        <v>FY13</v>
      </c>
      <c r="F50" s="109" t="str">
        <f>F31</f>
        <v>FY14</v>
      </c>
      <c r="G50" s="109" t="str">
        <f>G31</f>
        <v>FY15</v>
      </c>
    </row>
    <row r="51" spans="2:8" x14ac:dyDescent="0.15">
      <c r="B51" s="24" t="s">
        <v>151</v>
      </c>
      <c r="C51" s="24"/>
      <c r="D51" s="126">
        <f>Input!D46</f>
        <v>8.1</v>
      </c>
      <c r="E51" s="126">
        <f>D51*(1+Input!E47)</f>
        <v>8.5050000000000008</v>
      </c>
      <c r="F51" s="126">
        <f>E51*(1+Input!F47)</f>
        <v>8.9302500000000009</v>
      </c>
      <c r="G51" s="126">
        <f>F51*(1+Input!G47)</f>
        <v>9.3767625000000017</v>
      </c>
    </row>
    <row r="52" spans="2:8" x14ac:dyDescent="0.15">
      <c r="B52" s="127" t="s">
        <v>152</v>
      </c>
      <c r="C52" s="127"/>
      <c r="D52" s="126">
        <f>D51</f>
        <v>8.1</v>
      </c>
      <c r="E52" s="126">
        <f t="shared" ref="E52:G52" si="6">E51</f>
        <v>8.5050000000000008</v>
      </c>
      <c r="F52" s="126">
        <f t="shared" si="6"/>
        <v>8.9302500000000009</v>
      </c>
      <c r="G52" s="126">
        <f t="shared" si="6"/>
        <v>9.3767625000000017</v>
      </c>
    </row>
    <row r="53" spans="2:8" x14ac:dyDescent="0.15">
      <c r="B53" s="127"/>
      <c r="C53" s="127"/>
      <c r="D53" s="126"/>
      <c r="E53" s="126"/>
      <c r="F53" s="126"/>
      <c r="G53" s="126"/>
    </row>
    <row r="54" spans="2:8" x14ac:dyDescent="0.15">
      <c r="B54" s="24"/>
      <c r="C54" s="24"/>
      <c r="D54" s="126"/>
      <c r="E54" s="126"/>
      <c r="F54" s="126"/>
      <c r="G54" s="126"/>
    </row>
    <row r="55" spans="2:8" ht="18" thickBot="1" x14ac:dyDescent="0.2">
      <c r="B55" s="108" t="s">
        <v>153</v>
      </c>
      <c r="C55" s="109" t="str">
        <f>C50</f>
        <v>FY11</v>
      </c>
      <c r="D55" s="109" t="str">
        <f>D50</f>
        <v>FY12</v>
      </c>
      <c r="E55" s="109" t="str">
        <f>E50</f>
        <v>FY13</v>
      </c>
      <c r="F55" s="109" t="str">
        <f>F50</f>
        <v>FY14</v>
      </c>
      <c r="G55" s="109" t="str">
        <f>G50</f>
        <v>FY15</v>
      </c>
    </row>
    <row r="56" spans="2:8" ht="17" x14ac:dyDescent="0.15">
      <c r="B56" s="6" t="s">
        <v>129</v>
      </c>
      <c r="C56" s="110"/>
      <c r="D56" s="110">
        <f>-D52*Input!D50</f>
        <v>-4.7384999999999993</v>
      </c>
      <c r="E56" s="110">
        <f>-E52*Input!E50</f>
        <v>-4.9754250000000004</v>
      </c>
      <c r="F56" s="110">
        <f>-F52*Input!F50</f>
        <v>-5.2241962500000003</v>
      </c>
      <c r="G56" s="110">
        <f>-G52*Input!G50</f>
        <v>-5.485406062500001</v>
      </c>
    </row>
    <row r="57" spans="2:8" x14ac:dyDescent="0.15">
      <c r="B57" s="24" t="s">
        <v>91</v>
      </c>
      <c r="C57" s="110"/>
      <c r="D57" s="110">
        <f>-Input!D51*Calcul!D52</f>
        <v>-0.89100000000000001</v>
      </c>
      <c r="E57" s="110">
        <f>-Input!E51*Calcul!E52</f>
        <v>-0.9355500000000001</v>
      </c>
      <c r="F57" s="110">
        <f>-Input!F51*Calcul!F52</f>
        <v>-0.98232750000000013</v>
      </c>
      <c r="G57" s="110">
        <f>-Input!G51*Calcul!G52</f>
        <v>-1.0314438750000001</v>
      </c>
    </row>
    <row r="58" spans="2:8" x14ac:dyDescent="0.15">
      <c r="B58" s="24" t="s">
        <v>92</v>
      </c>
      <c r="C58" s="110"/>
      <c r="D58" s="110">
        <f>-Input!D52</f>
        <v>-0.76</v>
      </c>
      <c r="E58" s="110">
        <f>D58*(1+Input!E53)</f>
        <v>-0.79800000000000004</v>
      </c>
      <c r="F58" s="110">
        <f>E58*(1+Input!F53)</f>
        <v>-0.83790000000000009</v>
      </c>
      <c r="G58" s="110">
        <f>F58*(1+Input!G53)</f>
        <v>-0.8797950000000001</v>
      </c>
    </row>
    <row r="59" spans="2:8" ht="17" x14ac:dyDescent="0.15">
      <c r="B59" s="112" t="s">
        <v>154</v>
      </c>
      <c r="C59" s="113"/>
      <c r="D59" s="113">
        <f>D52+SUM(D56:D58)</f>
        <v>1.7105000000000006</v>
      </c>
      <c r="E59" s="113">
        <f t="shared" ref="E59:G59" si="7">E52+SUM(E56:E58)</f>
        <v>1.7960250000000002</v>
      </c>
      <c r="F59" s="113">
        <f t="shared" si="7"/>
        <v>1.88582625</v>
      </c>
      <c r="G59" s="113">
        <f t="shared" si="7"/>
        <v>1.9801175625000003</v>
      </c>
    </row>
    <row r="60" spans="2:8" x14ac:dyDescent="0.15">
      <c r="B60" s="112"/>
      <c r="C60" s="113"/>
      <c r="D60" s="113"/>
      <c r="E60" s="113"/>
      <c r="F60" s="113"/>
      <c r="G60" s="113"/>
    </row>
    <row r="61" spans="2:8" ht="18" thickBot="1" x14ac:dyDescent="0.2">
      <c r="B61" s="108" t="s">
        <v>81</v>
      </c>
      <c r="C61" s="109" t="str">
        <f>C55</f>
        <v>FY11</v>
      </c>
      <c r="D61" s="109" t="str">
        <f t="shared" ref="D61:G61" si="8">D55</f>
        <v>FY12</v>
      </c>
      <c r="E61" s="109" t="str">
        <f t="shared" si="8"/>
        <v>FY13</v>
      </c>
      <c r="F61" s="109" t="str">
        <f t="shared" si="8"/>
        <v>FY14</v>
      </c>
      <c r="G61" s="109" t="str">
        <f t="shared" si="8"/>
        <v>FY15</v>
      </c>
    </row>
    <row r="62" spans="2:8" x14ac:dyDescent="0.15">
      <c r="B62" s="24" t="s">
        <v>155</v>
      </c>
      <c r="C62" s="56"/>
      <c r="D62" s="110">
        <f>Input!D57/365*Calcul!D52</f>
        <v>1.6643835616438354</v>
      </c>
      <c r="E62" s="110">
        <f>Input!E57/365*Calcul!E52</f>
        <v>1.7476027397260274</v>
      </c>
      <c r="F62" s="110">
        <f>Input!F57/365*Calcul!F52</f>
        <v>1.8349828767123288</v>
      </c>
      <c r="G62" s="110">
        <f>Input!G57/365*Calcul!G52</f>
        <v>1.9267320205479455</v>
      </c>
    </row>
    <row r="63" spans="2:8" x14ac:dyDescent="0.15">
      <c r="B63" s="24" t="s">
        <v>156</v>
      </c>
      <c r="D63" s="110">
        <f>-Input!D58/365*Calcul!D56</f>
        <v>1.1846249999999998</v>
      </c>
      <c r="E63" s="110">
        <f>-Input!E58/365*Calcul!E56</f>
        <v>1.2438562500000001</v>
      </c>
      <c r="F63" s="110">
        <f>-Input!F58/365*Calcul!F56</f>
        <v>1.3060490625000001</v>
      </c>
      <c r="G63" s="110">
        <f>-Input!G58/365*Calcul!G56</f>
        <v>1.3713515156250002</v>
      </c>
    </row>
    <row r="64" spans="2:8" x14ac:dyDescent="0.15">
      <c r="B64" s="24" t="s">
        <v>138</v>
      </c>
      <c r="C64" s="24"/>
      <c r="D64" s="110">
        <f>-Input!D59/365*Calcul!D56</f>
        <v>0.38946575342465745</v>
      </c>
      <c r="E64" s="110">
        <f>-Input!E59/365*Calcul!E56</f>
        <v>0.40893904109589041</v>
      </c>
      <c r="F64" s="110">
        <f>-Input!F59/365*Calcul!F56</f>
        <v>0.42938599315068493</v>
      </c>
      <c r="G64" s="110">
        <f>-Input!G59/365*Calcul!G56</f>
        <v>0.45085529280821923</v>
      </c>
      <c r="H64" s="51"/>
    </row>
    <row r="65" spans="2:8" x14ac:dyDescent="0.15">
      <c r="B65" s="24" t="s">
        <v>140</v>
      </c>
      <c r="C65" s="125"/>
      <c r="D65" s="110">
        <f>(C62+C63-C64)-(D62+D63-D64)</f>
        <v>-2.4595428082191777</v>
      </c>
      <c r="E65" s="110">
        <f t="shared" ref="E65:F65" si="9">(D62+D63-D64)-(E62+E63-E64)</f>
        <v>-0.12297714041095942</v>
      </c>
      <c r="F65" s="110">
        <f t="shared" si="9"/>
        <v>-0.12912599743150688</v>
      </c>
      <c r="G65" s="110">
        <f>(F62+F63-F64)-(G62+G63-G64)</f>
        <v>-0.13558229730308247</v>
      </c>
      <c r="H65" s="51"/>
    </row>
    <row r="66" spans="2:8" x14ac:dyDescent="0.15">
      <c r="B66" s="128"/>
      <c r="C66" s="129"/>
      <c r="D66" s="129"/>
      <c r="E66" s="129"/>
      <c r="F66" s="129"/>
      <c r="G66" s="129"/>
      <c r="H66" s="51"/>
    </row>
    <row r="67" spans="2:8" ht="18" thickBot="1" x14ac:dyDescent="0.2">
      <c r="B67" s="108" t="s">
        <v>157</v>
      </c>
      <c r="C67" s="109" t="str">
        <f>C61</f>
        <v>FY11</v>
      </c>
      <c r="D67" s="109" t="str">
        <f t="shared" ref="D67:G67" si="10">D61</f>
        <v>FY12</v>
      </c>
      <c r="E67" s="109" t="str">
        <f t="shared" si="10"/>
        <v>FY13</v>
      </c>
      <c r="F67" s="109" t="str">
        <f t="shared" si="10"/>
        <v>FY14</v>
      </c>
      <c r="G67" s="109" t="str">
        <f t="shared" si="10"/>
        <v>FY15</v>
      </c>
      <c r="H67" s="51"/>
    </row>
    <row r="68" spans="2:8" x14ac:dyDescent="0.15">
      <c r="B68" s="24" t="s">
        <v>94</v>
      </c>
      <c r="D68" s="110">
        <f>Input!D62</f>
        <v>1.44</v>
      </c>
      <c r="E68" s="110"/>
      <c r="F68" s="110"/>
      <c r="G68" s="110"/>
      <c r="H68" s="51"/>
    </row>
    <row r="69" spans="2:8" x14ac:dyDescent="0.15">
      <c r="B69" s="130" t="s">
        <v>158</v>
      </c>
      <c r="C69" s="129"/>
      <c r="D69" s="110">
        <f>($D68-Input!$D64)/Input!$D63</f>
        <v>0.28799999999999998</v>
      </c>
      <c r="E69" s="110">
        <f>($D68-Input!$D64)/Input!$D63</f>
        <v>0.28799999999999998</v>
      </c>
      <c r="F69" s="110">
        <f>($D68-Input!$D64)/Input!$D63</f>
        <v>0.28799999999999998</v>
      </c>
      <c r="G69" s="110">
        <f>($D68-Input!$D64)/Input!$D63</f>
        <v>0.28799999999999998</v>
      </c>
      <c r="H69" s="129"/>
    </row>
    <row r="70" spans="2:8" x14ac:dyDescent="0.15">
      <c r="B70" s="72" t="s">
        <v>159</v>
      </c>
      <c r="C70" s="126"/>
      <c r="D70" s="110">
        <f>D68-D69</f>
        <v>1.1519999999999999</v>
      </c>
      <c r="E70" s="110">
        <f>D70-E69</f>
        <v>0.86399999999999988</v>
      </c>
      <c r="F70" s="110">
        <f>E70-F69</f>
        <v>0.57599999999999985</v>
      </c>
      <c r="G70" s="110">
        <f>F70-G69</f>
        <v>0.28799999999999987</v>
      </c>
      <c r="H70" s="126"/>
    </row>
    <row r="71" spans="2:8" x14ac:dyDescent="0.15">
      <c r="B71" s="130" t="s">
        <v>142</v>
      </c>
      <c r="C71" s="126"/>
      <c r="D71" s="110">
        <f>-(D68-C70)</f>
        <v>-1.44</v>
      </c>
      <c r="E71" s="110"/>
      <c r="F71" s="110"/>
      <c r="G71" s="110"/>
      <c r="H71" s="51"/>
    </row>
    <row r="72" spans="2:8" x14ac:dyDescent="0.15">
      <c r="B72" s="130"/>
      <c r="C72" s="126"/>
      <c r="D72" s="126"/>
      <c r="E72" s="126"/>
      <c r="F72" s="126"/>
      <c r="G72" s="126"/>
      <c r="H72" s="51"/>
    </row>
    <row r="73" spans="2:8" x14ac:dyDescent="0.15">
      <c r="B73" s="130"/>
      <c r="C73" s="126"/>
      <c r="D73" s="126"/>
      <c r="E73" s="126"/>
      <c r="F73" s="126"/>
      <c r="G73" s="126"/>
      <c r="H73" s="51"/>
    </row>
    <row r="74" spans="2:8" ht="19" x14ac:dyDescent="0.15">
      <c r="B74" s="123" t="str">
        <f>Input!B84</f>
        <v>Proposal for Target co</v>
      </c>
      <c r="C74" s="131"/>
      <c r="D74" s="131"/>
      <c r="E74" s="131"/>
      <c r="F74" s="131"/>
      <c r="G74" s="131"/>
      <c r="H74" s="51"/>
    </row>
    <row r="75" spans="2:8" x14ac:dyDescent="0.15">
      <c r="B75" s="130"/>
      <c r="C75" s="126"/>
      <c r="D75" s="126"/>
      <c r="E75" s="126"/>
      <c r="F75" s="126"/>
      <c r="G75" s="126"/>
      <c r="H75" s="51"/>
    </row>
    <row r="76" spans="2:8" ht="18" thickBot="1" x14ac:dyDescent="0.2">
      <c r="B76" s="108" t="s">
        <v>68</v>
      </c>
      <c r="C76" s="109" t="str">
        <f>C67</f>
        <v>FY11</v>
      </c>
      <c r="D76" s="109" t="str">
        <f>D67</f>
        <v>FY12</v>
      </c>
      <c r="E76" s="109" t="str">
        <f>E67</f>
        <v>FY13</v>
      </c>
      <c r="F76" s="109" t="str">
        <f>F67</f>
        <v>FY14</v>
      </c>
      <c r="G76" s="109" t="str">
        <f>G67</f>
        <v>FY15</v>
      </c>
      <c r="H76" s="51"/>
    </row>
    <row r="77" spans="2:8" ht="17" x14ac:dyDescent="0.15">
      <c r="B77" s="6" t="s">
        <v>127</v>
      </c>
      <c r="C77" s="110">
        <f>'Target co'!E7</f>
        <v>6.1474000000000002</v>
      </c>
      <c r="D77" s="110">
        <f>C77*(1+Input!D93)</f>
        <v>6.5777180000000008</v>
      </c>
      <c r="E77" s="110">
        <f>D77*(1+Input!E93)</f>
        <v>6.9723810800000017</v>
      </c>
      <c r="F77" s="110">
        <f>E77*(1+Input!F93)</f>
        <v>7.3210001340000019</v>
      </c>
      <c r="G77" s="110">
        <f>F77*(1+Input!G93)</f>
        <v>7.5259881377520026</v>
      </c>
      <c r="H77" s="51"/>
    </row>
    <row r="78" spans="2:8" ht="17" x14ac:dyDescent="0.15">
      <c r="B78" s="6" t="s">
        <v>128</v>
      </c>
      <c r="C78" s="110"/>
      <c r="D78" s="110">
        <f>D77</f>
        <v>6.5777180000000008</v>
      </c>
      <c r="E78" s="110">
        <f t="shared" ref="E78:G78" si="11">E77</f>
        <v>6.9723810800000017</v>
      </c>
      <c r="F78" s="110">
        <f t="shared" si="11"/>
        <v>7.3210001340000019</v>
      </c>
      <c r="G78" s="110">
        <f t="shared" si="11"/>
        <v>7.5259881377520026</v>
      </c>
      <c r="H78" s="51"/>
    </row>
    <row r="79" spans="2:8" x14ac:dyDescent="0.15">
      <c r="H79" s="51"/>
    </row>
    <row r="80" spans="2:8" x14ac:dyDescent="0.15">
      <c r="H80" s="51"/>
    </row>
    <row r="81" spans="2:8" ht="18" thickBot="1" x14ac:dyDescent="0.2">
      <c r="B81" s="108" t="s">
        <v>75</v>
      </c>
      <c r="C81" s="109" t="str">
        <f>C76</f>
        <v>FY11</v>
      </c>
      <c r="D81" s="109" t="str">
        <f t="shared" ref="D81:G81" si="12">D76</f>
        <v>FY12</v>
      </c>
      <c r="E81" s="109" t="str">
        <f t="shared" si="12"/>
        <v>FY13</v>
      </c>
      <c r="F81" s="109" t="str">
        <f t="shared" si="12"/>
        <v>FY14</v>
      </c>
      <c r="G81" s="109" t="str">
        <f t="shared" si="12"/>
        <v>FY15</v>
      </c>
      <c r="H81" s="51"/>
    </row>
    <row r="82" spans="2:8" ht="17" x14ac:dyDescent="0.15">
      <c r="B82" s="6" t="s">
        <v>129</v>
      </c>
      <c r="C82" s="110"/>
      <c r="D82" s="110">
        <f>-D78*Input!D96</f>
        <v>-4.0452965700000005</v>
      </c>
      <c r="E82" s="110">
        <f>-E78*Input!E96</f>
        <v>-4.0788429318000006</v>
      </c>
      <c r="F82" s="110">
        <f>-F78*Input!F96</f>
        <v>-4.2827850783900008</v>
      </c>
      <c r="G82" s="110">
        <f>-G78*Input!G96</f>
        <v>-4.4027030605849209</v>
      </c>
      <c r="H82" s="51"/>
    </row>
    <row r="83" spans="2:8" ht="17" x14ac:dyDescent="0.15">
      <c r="B83" s="6" t="s">
        <v>130</v>
      </c>
      <c r="C83" s="110"/>
      <c r="D83" s="110">
        <f>-D78*Input!D98</f>
        <v>-1.9798931180000001</v>
      </c>
      <c r="E83" s="110">
        <f>-E78*Input!E98</f>
        <v>-2.1963000402000006</v>
      </c>
      <c r="F83" s="110">
        <f>-F78*Input!F98</f>
        <v>-2.3061150422100005</v>
      </c>
      <c r="G83" s="110">
        <f>-G78*Input!G98</f>
        <v>-2.3706862633918808</v>
      </c>
      <c r="H83" s="51"/>
    </row>
    <row r="84" spans="2:8" ht="17" x14ac:dyDescent="0.15">
      <c r="B84" s="6" t="s">
        <v>160</v>
      </c>
      <c r="C84" s="110"/>
      <c r="D84" s="110">
        <f>-D78*Input!D97</f>
        <v>-6.5777180000000005E-2</v>
      </c>
      <c r="E84" s="110">
        <f>-E78*Input!E97</f>
        <v>-0.11155809728000003</v>
      </c>
      <c r="F84" s="110">
        <f>-F78*Input!F97</f>
        <v>-0.11713600214400004</v>
      </c>
      <c r="G84" s="110">
        <f>-G78*Input!G97</f>
        <v>-0.12041581020403204</v>
      </c>
      <c r="H84" s="51"/>
    </row>
    <row r="85" spans="2:8" ht="17" x14ac:dyDescent="0.15">
      <c r="B85" s="112" t="s">
        <v>78</v>
      </c>
      <c r="C85" s="113"/>
      <c r="D85" s="113">
        <f>SUM(D78,D82:D84)</f>
        <v>0.4867511320000002</v>
      </c>
      <c r="E85" s="113">
        <f t="shared" ref="E85:G85" si="13">SUM(E78,E82:E84)</f>
        <v>0.58568001072000053</v>
      </c>
      <c r="F85" s="113">
        <f t="shared" si="13"/>
        <v>0.61496401125600064</v>
      </c>
      <c r="G85" s="113">
        <f t="shared" si="13"/>
        <v>0.63218300357116886</v>
      </c>
    </row>
    <row r="86" spans="2:8" ht="17" x14ac:dyDescent="0.15">
      <c r="B86" s="112" t="s">
        <v>132</v>
      </c>
      <c r="C86" s="113"/>
      <c r="D86" s="113">
        <f>SUM(D82:D84)</f>
        <v>-6.0909668680000015</v>
      </c>
      <c r="E86" s="113">
        <f t="shared" ref="E86:G86" si="14">SUM(E82:E84)</f>
        <v>-6.3867010692800008</v>
      </c>
      <c r="F86" s="113">
        <f t="shared" si="14"/>
        <v>-6.7060361227440017</v>
      </c>
      <c r="G86" s="113">
        <f t="shared" si="14"/>
        <v>-6.893805134180834</v>
      </c>
    </row>
    <row r="87" spans="2:8" ht="17" x14ac:dyDescent="0.15">
      <c r="B87" s="6" t="s">
        <v>133</v>
      </c>
      <c r="C87" s="110">
        <f>'Target co'!E36</f>
        <v>9.2050000000000007E-2</v>
      </c>
      <c r="D87" s="110">
        <f>D78*Input!D99</f>
        <v>7.8932616000000011E-2</v>
      </c>
      <c r="E87" s="110">
        <f>E78*Input!E99</f>
        <v>8.3668572960000021E-2</v>
      </c>
      <c r="F87" s="110">
        <f>F78*Input!F99</f>
        <v>8.7852001608000024E-2</v>
      </c>
      <c r="G87" s="110">
        <f>G78*Input!G99</f>
        <v>9.0311857653024033E-2</v>
      </c>
    </row>
    <row r="88" spans="2:8" ht="17" x14ac:dyDescent="0.15">
      <c r="B88" s="6" t="s">
        <v>134</v>
      </c>
      <c r="C88" s="56">
        <f>'Target co'!E49</f>
        <v>0.10464999999999999</v>
      </c>
      <c r="D88" s="110">
        <f>D78*Input!D100</f>
        <v>0.10919011880000001</v>
      </c>
      <c r="E88" s="110">
        <f>E78*Input!E100</f>
        <v>0.11574152592800004</v>
      </c>
      <c r="F88" s="110">
        <f>F78*Input!F100</f>
        <v>0.12152860222440004</v>
      </c>
      <c r="G88" s="110">
        <f>G78*Input!G100</f>
        <v>0.12493140308668324</v>
      </c>
    </row>
    <row r="89" spans="2:8" ht="17" x14ac:dyDescent="0.15">
      <c r="B89" s="6" t="s">
        <v>135</v>
      </c>
      <c r="C89" s="56"/>
      <c r="D89" s="110">
        <f>C87-D87</f>
        <v>1.3117383999999996E-2</v>
      </c>
      <c r="E89" s="110">
        <f t="shared" ref="E89:G89" si="15">D87-E87</f>
        <v>-4.7359569600000095E-3</v>
      </c>
      <c r="F89" s="110">
        <f t="shared" si="15"/>
        <v>-4.1834286480000038E-3</v>
      </c>
      <c r="G89" s="110">
        <f t="shared" si="15"/>
        <v>-2.4598560450240087E-3</v>
      </c>
    </row>
    <row r="90" spans="2:8" ht="17" x14ac:dyDescent="0.15">
      <c r="B90" s="6" t="s">
        <v>136</v>
      </c>
      <c r="C90" s="56"/>
      <c r="D90" s="110">
        <f>D88-C88</f>
        <v>4.5401188000000203E-3</v>
      </c>
      <c r="E90" s="110">
        <f t="shared" ref="E90:G90" si="16">E88-D88</f>
        <v>6.5514071280000225E-3</v>
      </c>
      <c r="F90" s="110">
        <f t="shared" si="16"/>
        <v>5.7870762964000039E-3</v>
      </c>
      <c r="G90" s="110">
        <f t="shared" si="16"/>
        <v>3.4028008622832007E-3</v>
      </c>
    </row>
    <row r="91" spans="2:8" x14ac:dyDescent="0.15">
      <c r="C91" s="56"/>
      <c r="D91" s="110"/>
      <c r="E91" s="110"/>
      <c r="F91" s="110"/>
      <c r="G91" s="110"/>
    </row>
    <row r="93" spans="2:8" ht="18" thickBot="1" x14ac:dyDescent="0.2">
      <c r="B93" s="108" t="s">
        <v>81</v>
      </c>
      <c r="C93" s="109" t="str">
        <f>C81</f>
        <v>FY11</v>
      </c>
      <c r="D93" s="109" t="str">
        <f t="shared" ref="D93:G93" si="17">D81</f>
        <v>FY12</v>
      </c>
      <c r="E93" s="109" t="str">
        <f t="shared" si="17"/>
        <v>FY13</v>
      </c>
      <c r="F93" s="109" t="str">
        <f t="shared" si="17"/>
        <v>FY14</v>
      </c>
      <c r="G93" s="109" t="str">
        <f t="shared" si="17"/>
        <v>FY15</v>
      </c>
    </row>
    <row r="94" spans="2:8" ht="17" x14ac:dyDescent="0.15">
      <c r="B94" s="6" t="s">
        <v>137</v>
      </c>
      <c r="C94" s="110">
        <f>'Target co'!E34</f>
        <v>1.26315</v>
      </c>
      <c r="D94" s="110">
        <f>Input!D106/365*Calcul!D78</f>
        <v>1.351585890410959</v>
      </c>
      <c r="E94" s="110">
        <f>Input!E106/365*Calcul!E78</f>
        <v>1.4326810438356168</v>
      </c>
      <c r="F94" s="110">
        <f>Input!F106/365*Calcul!F78</f>
        <v>1.5043150960273977</v>
      </c>
      <c r="G94" s="110">
        <f>Input!G106/365*Calcul!G78</f>
        <v>1.5464359187161649</v>
      </c>
    </row>
    <row r="95" spans="2:8" ht="17" x14ac:dyDescent="0.15">
      <c r="B95" s="6" t="s">
        <v>138</v>
      </c>
      <c r="C95" s="110">
        <f>'Target co'!E47</f>
        <v>0.32585000000000003</v>
      </c>
      <c r="D95" s="110">
        <f>-Input!D108/365*Calcul!D82</f>
        <v>0.33249012904109593</v>
      </c>
      <c r="E95" s="110">
        <f>-Input!E108/365*Calcul!E82</f>
        <v>0.33524736425753426</v>
      </c>
      <c r="F95" s="110">
        <f>-Input!F108/365*Calcul!F82</f>
        <v>0.35200973247041101</v>
      </c>
      <c r="G95" s="110">
        <f>-Input!G108/365*Calcul!G82</f>
        <v>0.36186600497958255</v>
      </c>
    </row>
    <row r="96" spans="2:8" ht="17" x14ac:dyDescent="0.15">
      <c r="B96" s="6" t="s">
        <v>139</v>
      </c>
      <c r="C96" s="110">
        <f>'Target co'!E35</f>
        <v>0.82599999999999996</v>
      </c>
      <c r="D96" s="110">
        <f>-Input!D107/365*Calcul!D82</f>
        <v>1.0113241425000001</v>
      </c>
      <c r="E96" s="110">
        <f>-Input!E107/365*Calcul!E82</f>
        <v>1.0197107329500001</v>
      </c>
      <c r="F96" s="110">
        <f>-Input!F107/365*Calcul!F82</f>
        <v>1.0706962695975002</v>
      </c>
      <c r="G96" s="110">
        <f>-Input!G107/365*Calcul!G82</f>
        <v>1.1006757651462302</v>
      </c>
    </row>
    <row r="97" spans="2:8" ht="17" x14ac:dyDescent="0.15">
      <c r="B97" s="6" t="s">
        <v>161</v>
      </c>
      <c r="C97" s="110">
        <f>'Target co'!E33</f>
        <v>0.23555000000000001</v>
      </c>
      <c r="D97" s="110">
        <f>-Input!D109/365*Calcul!D86</f>
        <v>0.33375160920547953</v>
      </c>
      <c r="E97" s="110">
        <f>-Input!E109/365*Calcul!E86</f>
        <v>0.34995622297424661</v>
      </c>
      <c r="F97" s="110">
        <f>-Input!F109/365*Calcul!F86</f>
        <v>0.36745403412295896</v>
      </c>
      <c r="G97" s="110">
        <f>-Input!G109/365*Calcul!G86</f>
        <v>0.37774274707840183</v>
      </c>
    </row>
    <row r="98" spans="2:8" ht="17" x14ac:dyDescent="0.15">
      <c r="B98" s="6" t="s">
        <v>140</v>
      </c>
      <c r="D98" s="110">
        <f>(C94+C96-C95)-(D94+D96-D95)</f>
        <v>-0.26711990386986306</v>
      </c>
      <c r="E98" s="110">
        <f>(D94+D96-D95)-(E94+E96-E95)</f>
        <v>-8.6724508658219346E-2</v>
      </c>
      <c r="F98" s="110">
        <f>(E94+E96-E95)-(F94+F96-F95)</f>
        <v>-0.10585722062640457</v>
      </c>
      <c r="G98" s="110">
        <f>(F94+F96-F95)-(G94+G96-G95)</f>
        <v>-6.2244045728325315E-2</v>
      </c>
      <c r="H98" s="110"/>
    </row>
    <row r="99" spans="2:8" x14ac:dyDescent="0.15">
      <c r="C99" s="110"/>
      <c r="D99" s="110"/>
      <c r="E99" s="110"/>
      <c r="F99" s="110"/>
      <c r="G99" s="110"/>
    </row>
    <row r="100" spans="2:8" x14ac:dyDescent="0.15">
      <c r="C100" s="110"/>
      <c r="D100" s="110"/>
      <c r="E100" s="110"/>
      <c r="F100" s="110"/>
      <c r="G100" s="110"/>
    </row>
    <row r="101" spans="2:8" ht="18" thickBot="1" x14ac:dyDescent="0.2">
      <c r="B101" s="108" t="s">
        <v>82</v>
      </c>
      <c r="C101" s="109" t="str">
        <f>C93</f>
        <v>FY11</v>
      </c>
      <c r="D101" s="109" t="str">
        <f t="shared" ref="D101:G101" si="18">D93</f>
        <v>FY12</v>
      </c>
      <c r="E101" s="109" t="str">
        <f t="shared" si="18"/>
        <v>FY13</v>
      </c>
      <c r="F101" s="109" t="str">
        <f t="shared" si="18"/>
        <v>FY14</v>
      </c>
      <c r="G101" s="109" t="str">
        <f t="shared" si="18"/>
        <v>FY15</v>
      </c>
    </row>
    <row r="102" spans="2:8" ht="17" x14ac:dyDescent="0.15">
      <c r="B102" s="6" t="s">
        <v>162</v>
      </c>
      <c r="C102" s="132">
        <f>'Target co'!E39</f>
        <v>1.5484000000000002</v>
      </c>
      <c r="D102" s="110">
        <f>D78*Input!D112</f>
        <v>1.6444295000000002</v>
      </c>
      <c r="E102" s="110">
        <f>E78*Input!E112</f>
        <v>1.7430952700000004</v>
      </c>
      <c r="F102" s="110">
        <f>F78*Input!F112</f>
        <v>1.8302500335000005</v>
      </c>
      <c r="G102" s="110">
        <f>G78*Input!G112</f>
        <v>1.8814970344380006</v>
      </c>
    </row>
    <row r="103" spans="2:8" ht="17" x14ac:dyDescent="0.15">
      <c r="B103" s="6" t="s">
        <v>113</v>
      </c>
      <c r="C103" s="132">
        <f>'Target co'!E40</f>
        <v>0.18445</v>
      </c>
      <c r="D103" s="110">
        <f>D78*Input!D113</f>
        <v>0.29599731000000001</v>
      </c>
      <c r="E103" s="110">
        <f>E78*Input!E113</f>
        <v>0.31375714860000009</v>
      </c>
      <c r="F103" s="110">
        <f>F78*Input!F113</f>
        <v>0.3294450060300001</v>
      </c>
      <c r="G103" s="110">
        <f>G78*Input!G113</f>
        <v>0.33866946619884009</v>
      </c>
    </row>
    <row r="104" spans="2:8" ht="17" x14ac:dyDescent="0.15">
      <c r="B104" s="6" t="s">
        <v>142</v>
      </c>
      <c r="D104" s="110">
        <f>(C102+C103)-(D102+D103)</f>
        <v>-0.20757680999999994</v>
      </c>
      <c r="E104" s="110">
        <f>(D102+D103)-(E102+E103)</f>
        <v>-0.1164256086000004</v>
      </c>
      <c r="F104" s="110">
        <f>(E102+E103)-(F102+F103)</f>
        <v>-0.10284262093000018</v>
      </c>
      <c r="G104" s="110">
        <f>(F102+F103)-(G102+G103)</f>
        <v>-6.0471461106839985E-2</v>
      </c>
      <c r="H104" s="110"/>
    </row>
    <row r="105" spans="2:8" x14ac:dyDescent="0.15">
      <c r="C105" s="110"/>
      <c r="D105" s="110"/>
      <c r="E105" s="110"/>
      <c r="F105" s="110"/>
      <c r="G105" s="110"/>
    </row>
    <row r="106" spans="2:8" x14ac:dyDescent="0.15">
      <c r="C106" s="110"/>
      <c r="D106" s="110"/>
      <c r="E106" s="110"/>
      <c r="F106" s="110"/>
      <c r="G106" s="110"/>
    </row>
    <row r="107" spans="2:8" ht="18" thickBot="1" x14ac:dyDescent="0.2">
      <c r="B107" s="108" t="s">
        <v>83</v>
      </c>
      <c r="C107" s="109" t="str">
        <f>C101</f>
        <v>FY11</v>
      </c>
      <c r="D107" s="109" t="str">
        <f t="shared" ref="D107:G107" si="19">D101</f>
        <v>FY12</v>
      </c>
      <c r="E107" s="109" t="str">
        <f t="shared" si="19"/>
        <v>FY13</v>
      </c>
      <c r="F107" s="109" t="str">
        <f t="shared" si="19"/>
        <v>FY14</v>
      </c>
      <c r="G107" s="109" t="str">
        <f t="shared" si="19"/>
        <v>FY15</v>
      </c>
    </row>
    <row r="108" spans="2:8" ht="17" x14ac:dyDescent="0.15">
      <c r="B108" s="102" t="s">
        <v>163</v>
      </c>
      <c r="C108" s="133"/>
      <c r="D108" s="133"/>
      <c r="E108" s="133"/>
      <c r="F108" s="133"/>
      <c r="G108" s="133"/>
    </row>
    <row r="109" spans="2:8" ht="17" x14ac:dyDescent="0.15">
      <c r="B109" s="6" t="s">
        <v>145</v>
      </c>
      <c r="C109" s="110">
        <f>'Target co'!E46</f>
        <v>0.31569999999999998</v>
      </c>
      <c r="D109" s="110">
        <f>Input!D120*D94</f>
        <v>0.33778971226384469</v>
      </c>
      <c r="E109" s="110">
        <f>Input!E120*E94</f>
        <v>0.35805709499967547</v>
      </c>
      <c r="F109" s="110">
        <f>Input!F120*F94</f>
        <v>0.37595994974965924</v>
      </c>
      <c r="G109" s="110">
        <f>Input!G120*G94</f>
        <v>0.38648682834264975</v>
      </c>
    </row>
    <row r="110" spans="2:8" ht="17" x14ac:dyDescent="0.15">
      <c r="B110" s="6" t="s">
        <v>146</v>
      </c>
      <c r="C110" s="110"/>
      <c r="D110" s="110">
        <f>D109-C109</f>
        <v>2.2089712263844707E-2</v>
      </c>
      <c r="E110" s="110">
        <f t="shared" ref="E110:G110" si="20">E109-D109</f>
        <v>2.0267382735830786E-2</v>
      </c>
      <c r="F110" s="110">
        <f t="shared" si="20"/>
        <v>1.7902854749983765E-2</v>
      </c>
      <c r="G110" s="110">
        <f t="shared" si="20"/>
        <v>1.0526878592990507E-2</v>
      </c>
    </row>
    <row r="111" spans="2:8" ht="17" x14ac:dyDescent="0.15">
      <c r="B111" s="6" t="s">
        <v>164</v>
      </c>
      <c r="C111" s="110">
        <f>'Target co'!E55</f>
        <v>1.6043999999999996</v>
      </c>
      <c r="D111" s="110"/>
      <c r="E111" s="110"/>
      <c r="F111" s="110"/>
      <c r="G111" s="110"/>
    </row>
    <row r="112" spans="2:8" ht="17" x14ac:dyDescent="0.15">
      <c r="B112" s="6" t="s">
        <v>165</v>
      </c>
      <c r="C112" s="110">
        <f>'Target co'!E56</f>
        <v>1.7989999999999999</v>
      </c>
      <c r="D112" s="110"/>
      <c r="E112" s="110"/>
      <c r="F112" s="110"/>
      <c r="G112" s="110"/>
    </row>
    <row r="113" spans="2:7" x14ac:dyDescent="0.15">
      <c r="C113" s="110"/>
      <c r="D113" s="110"/>
      <c r="E113" s="110"/>
      <c r="F113" s="110"/>
      <c r="G113" s="110"/>
    </row>
    <row r="114" spans="2:7" x14ac:dyDescent="0.15">
      <c r="C114" s="110"/>
      <c r="D114" s="110"/>
      <c r="E114" s="110"/>
      <c r="F114" s="110"/>
      <c r="G114" s="110"/>
    </row>
    <row r="115" spans="2:7" x14ac:dyDescent="0.15">
      <c r="C115" s="110"/>
      <c r="D115" s="110"/>
      <c r="E115" s="110"/>
      <c r="F115" s="110"/>
      <c r="G115" s="110"/>
    </row>
    <row r="116" spans="2:7" ht="69" thickBot="1" x14ac:dyDescent="0.2">
      <c r="B116" s="108" t="s">
        <v>166</v>
      </c>
      <c r="C116" s="108" t="str">
        <f>Input!C124</f>
        <v>Target co</v>
      </c>
      <c r="D116" s="108" t="str">
        <f>Input!D124</f>
        <v>Noname co, by elie diwambuena</v>
      </c>
      <c r="E116" s="110"/>
      <c r="F116" s="110"/>
      <c r="G116" s="110"/>
    </row>
    <row r="117" spans="2:7" ht="17" x14ac:dyDescent="0.15">
      <c r="B117" s="6" t="s">
        <v>167</v>
      </c>
      <c r="C117" s="50">
        <f>Input!C125+Input!C132*Input!C126</f>
        <v>7.3245149929985529E-2</v>
      </c>
      <c r="D117" s="64">
        <f>Input!D125+Input!D126*Input!D132</f>
        <v>0.10200000000000001</v>
      </c>
    </row>
    <row r="118" spans="2:7" ht="17" x14ac:dyDescent="0.15">
      <c r="B118" s="6" t="s">
        <v>64</v>
      </c>
      <c r="C118" s="64">
        <f>Input!D116+Input!D117</f>
        <v>7.2500000000000009E-2</v>
      </c>
      <c r="D118" s="64">
        <f>Input!D32+Input!D33</f>
        <v>8.2500000000000004E-2</v>
      </c>
    </row>
    <row r="119" spans="2:7" ht="17" x14ac:dyDescent="0.15">
      <c r="B119" s="6" t="s">
        <v>168</v>
      </c>
      <c r="C119" s="62">
        <f>Input!D54</f>
        <v>0.27</v>
      </c>
      <c r="D119" s="62">
        <f>Input!D19</f>
        <v>0.27</v>
      </c>
    </row>
    <row r="120" spans="2:7" ht="18" thickBot="1" x14ac:dyDescent="0.2">
      <c r="B120" s="58" t="s">
        <v>363</v>
      </c>
      <c r="C120" s="134">
        <f>Input!C128/(Input!C128+Input!C129)</f>
        <v>6.3962558502340158E-2</v>
      </c>
      <c r="D120" s="134">
        <f>Input!D128/(Input!D128+Input!D129)</f>
        <v>0.63017596560200806</v>
      </c>
    </row>
    <row r="121" spans="2:7" ht="18" thickTop="1" x14ac:dyDescent="0.15">
      <c r="B121" s="6" t="s">
        <v>166</v>
      </c>
      <c r="C121" s="50">
        <f>C117*(1-C120)+C118*C120*(1-C119)</f>
        <v>7.1945421151312514E-2</v>
      </c>
      <c r="D121" s="50">
        <f>D117*(1-D120)+D118*D120*(1-D119)</f>
        <v>7.567439903697612E-2</v>
      </c>
    </row>
  </sheetData>
  <sheetProtection selectLockedCells="1"/>
  <mergeCells count="1">
    <mergeCell ref="B1:C1"/>
  </mergeCells>
  <pageMargins left="0.7" right="0.7" top="0.75" bottom="0.75" header="0.3" footer="0.3"/>
  <ignoredErrors>
    <ignoredError sqref="B3 D3" unlocked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7708-E97E-7D41-9DE2-D17C997D2A3C}">
  <sheetPr codeName="Sheet4">
    <tabColor rgb="FF00B050"/>
  </sheetPr>
  <dimension ref="A1:M179"/>
  <sheetViews>
    <sheetView zoomScaleNormal="140" workbookViewId="0">
      <selection activeCell="G19" sqref="G19"/>
    </sheetView>
  </sheetViews>
  <sheetFormatPr baseColWidth="10" defaultColWidth="10.75" defaultRowHeight="16" x14ac:dyDescent="0.15"/>
  <cols>
    <col min="1" max="1" width="10.75" style="6"/>
    <col min="2" max="2" width="69" style="6" customWidth="1"/>
    <col min="3" max="6" width="18.75" style="6" customWidth="1"/>
    <col min="7" max="7" width="13.5" style="6" customWidth="1"/>
    <col min="8" max="16384" width="10.75" style="6"/>
  </cols>
  <sheetData>
    <row r="1" spans="2:5" ht="17" x14ac:dyDescent="0.15">
      <c r="B1" s="40" t="str">
        <f>Input!B2</f>
        <v>Noname co, by elie diwambuena</v>
      </c>
    </row>
    <row r="3" spans="2:5" ht="19" x14ac:dyDescent="0.15">
      <c r="B3" s="135" t="str">
        <f>Input!B67</f>
        <v>Sell of new stocks</v>
      </c>
      <c r="C3" s="102"/>
    </row>
    <row r="5" spans="2:5" ht="17" x14ac:dyDescent="0.15">
      <c r="B5" s="136" t="s">
        <v>169</v>
      </c>
      <c r="C5" s="136" t="s">
        <v>170</v>
      </c>
      <c r="D5" s="136" t="s">
        <v>171</v>
      </c>
    </row>
    <row r="6" spans="2:5" ht="17" x14ac:dyDescent="0.15">
      <c r="B6" s="6" t="s">
        <v>172</v>
      </c>
      <c r="C6" s="6">
        <f>Input!$C$70*D6</f>
        <v>226966.25</v>
      </c>
      <c r="D6" s="62">
        <f>Input!C74</f>
        <v>0.25</v>
      </c>
    </row>
    <row r="7" spans="2:5" ht="17" x14ac:dyDescent="0.15">
      <c r="B7" s="6" t="s">
        <v>104</v>
      </c>
      <c r="C7" s="6">
        <f>Input!$C$70*D7</f>
        <v>63550.55</v>
      </c>
      <c r="D7" s="62">
        <f>Input!C75</f>
        <v>7.0000000000000007E-2</v>
      </c>
    </row>
    <row r="8" spans="2:5" ht="17" x14ac:dyDescent="0.15">
      <c r="B8" s="6" t="s">
        <v>173</v>
      </c>
      <c r="C8" s="6">
        <f>Input!$C$70*D8</f>
        <v>617348.19999999995</v>
      </c>
      <c r="D8" s="62">
        <f>Input!C76</f>
        <v>0.67999999999999994</v>
      </c>
    </row>
    <row r="10" spans="2:5" ht="17" x14ac:dyDescent="0.15">
      <c r="B10" s="6" t="s">
        <v>174</v>
      </c>
      <c r="C10" s="6">
        <f>Input!C79</f>
        <v>400000</v>
      </c>
      <c r="D10" s="137" t="s">
        <v>175</v>
      </c>
    </row>
    <row r="11" spans="2:5" ht="17" x14ac:dyDescent="0.15">
      <c r="B11" s="6" t="s">
        <v>176</v>
      </c>
      <c r="C11" s="6">
        <f>Input!C69</f>
        <v>8.41</v>
      </c>
    </row>
    <row r="12" spans="2:5" ht="17" x14ac:dyDescent="0.15">
      <c r="B12" s="102" t="s">
        <v>177</v>
      </c>
      <c r="C12" s="102">
        <f>Input!C80</f>
        <v>10</v>
      </c>
    </row>
    <row r="13" spans="2:5" ht="17" x14ac:dyDescent="0.15">
      <c r="B13" s="6" t="s">
        <v>178</v>
      </c>
      <c r="C13" s="6">
        <f>Input!C70</f>
        <v>907865</v>
      </c>
    </row>
    <row r="14" spans="2:5" ht="22" customHeight="1" x14ac:dyDescent="0.15">
      <c r="B14" s="102" t="s">
        <v>349</v>
      </c>
      <c r="C14" s="138">
        <f>1-C13/(C10+C13)</f>
        <v>0.30584196381124962</v>
      </c>
    </row>
    <row r="15" spans="2:5" ht="20" customHeight="1" x14ac:dyDescent="0.15">
      <c r="B15" s="139" t="s">
        <v>179</v>
      </c>
      <c r="C15" s="140">
        <f>C13*C11/inM</f>
        <v>7.63514465</v>
      </c>
    </row>
    <row r="16" spans="2:5" ht="17" x14ac:dyDescent="0.15">
      <c r="B16" s="102" t="s">
        <v>180</v>
      </c>
      <c r="C16" s="141">
        <f>SUM(C10,C13)*C12/inM</f>
        <v>13.07865</v>
      </c>
      <c r="D16" s="142" t="s">
        <v>348</v>
      </c>
      <c r="E16" s="143">
        <f>(C10+C13)*C11/inM</f>
        <v>10.99914465</v>
      </c>
    </row>
    <row r="17" spans="2:7" ht="17" x14ac:dyDescent="0.15">
      <c r="B17" s="6" t="s">
        <v>181</v>
      </c>
      <c r="C17" s="56">
        <f>C10*C12/inM</f>
        <v>4</v>
      </c>
    </row>
    <row r="18" spans="2:7" x14ac:dyDescent="0.15">
      <c r="C18" s="56"/>
    </row>
    <row r="19" spans="2:7" ht="34" x14ac:dyDescent="0.15">
      <c r="B19" s="136" t="s">
        <v>364</v>
      </c>
      <c r="C19" s="136" t="s">
        <v>170</v>
      </c>
      <c r="D19" s="136" t="s">
        <v>171</v>
      </c>
    </row>
    <row r="20" spans="2:7" ht="17" x14ac:dyDescent="0.15">
      <c r="B20" s="6" t="s">
        <v>172</v>
      </c>
      <c r="C20" s="6">
        <f t="shared" ref="C20:C21" si="0">C6</f>
        <v>226966.25</v>
      </c>
      <c r="D20" s="62">
        <f>C20/SUM($C$20:$C$23)</f>
        <v>0.1735395090471876</v>
      </c>
    </row>
    <row r="21" spans="2:7" ht="17" x14ac:dyDescent="0.15">
      <c r="B21" s="6" t="s">
        <v>104</v>
      </c>
      <c r="C21" s="6">
        <f t="shared" si="0"/>
        <v>63550.55</v>
      </c>
      <c r="D21" s="62">
        <f t="shared" ref="D21:D23" si="1">C21/SUM($C$20:$C$23)</f>
        <v>4.8591062533212527E-2</v>
      </c>
    </row>
    <row r="22" spans="2:7" ht="17" x14ac:dyDescent="0.15">
      <c r="B22" s="6" t="s">
        <v>173</v>
      </c>
      <c r="C22" s="6">
        <f>C8</f>
        <v>617348.19999999995</v>
      </c>
      <c r="D22" s="62">
        <f t="shared" si="1"/>
        <v>0.47202746460835021</v>
      </c>
    </row>
    <row r="23" spans="2:7" ht="17" x14ac:dyDescent="0.15">
      <c r="B23" s="6" t="s">
        <v>182</v>
      </c>
      <c r="C23" s="6">
        <f>C10</f>
        <v>400000</v>
      </c>
      <c r="D23" s="62">
        <f t="shared" si="1"/>
        <v>0.30584196381124962</v>
      </c>
    </row>
    <row r="26" spans="2:7" ht="26" customHeight="1" x14ac:dyDescent="0.15">
      <c r="B26" s="144" t="str">
        <f>Input!B43</f>
        <v>Show Biz</v>
      </c>
      <c r="C26" s="88"/>
    </row>
    <row r="28" spans="2:7" ht="17" x14ac:dyDescent="0.2">
      <c r="B28" s="145" t="s">
        <v>183</v>
      </c>
      <c r="C28" s="146"/>
      <c r="D28" s="147" t="str">
        <f>Input!D45</f>
        <v>FY12</v>
      </c>
      <c r="E28" s="147" t="str">
        <f>Input!E45</f>
        <v>FY13</v>
      </c>
      <c r="F28" s="147" t="str">
        <f>Input!F45</f>
        <v>FY14</v>
      </c>
      <c r="G28" s="147" t="str">
        <f>Input!G45</f>
        <v>FY15</v>
      </c>
    </row>
    <row r="29" spans="2:7" ht="17" x14ac:dyDescent="0.15">
      <c r="B29" s="6" t="s">
        <v>68</v>
      </c>
      <c r="D29" s="110">
        <f>Calcul!D52</f>
        <v>8.1</v>
      </c>
      <c r="E29" s="110">
        <f>Calcul!E52</f>
        <v>8.5050000000000008</v>
      </c>
      <c r="F29" s="110">
        <f>Calcul!F52</f>
        <v>8.9302500000000009</v>
      </c>
      <c r="G29" s="110">
        <f>Calcul!G52</f>
        <v>9.3767625000000017</v>
      </c>
    </row>
    <row r="30" spans="2:7" ht="18" thickBot="1" x14ac:dyDescent="0.2">
      <c r="B30" s="6" t="s">
        <v>79</v>
      </c>
      <c r="D30" s="148">
        <f>Calcul!D56</f>
        <v>-4.7384999999999993</v>
      </c>
      <c r="E30" s="148">
        <f>Calcul!E56</f>
        <v>-4.9754250000000004</v>
      </c>
      <c r="F30" s="148">
        <f>Calcul!F56</f>
        <v>-5.2241962500000003</v>
      </c>
      <c r="G30" s="148">
        <f>Calcul!G56</f>
        <v>-5.485406062500001</v>
      </c>
    </row>
    <row r="31" spans="2:7" ht="17" x14ac:dyDescent="0.15">
      <c r="B31" s="6" t="s">
        <v>184</v>
      </c>
      <c r="D31" s="110">
        <f>SUM(D29:D30)</f>
        <v>3.3615000000000004</v>
      </c>
      <c r="E31" s="110">
        <f t="shared" ref="E31:G31" si="2">SUM(E29:E30)</f>
        <v>3.5295750000000004</v>
      </c>
      <c r="F31" s="110">
        <f t="shared" si="2"/>
        <v>3.7060537500000006</v>
      </c>
      <c r="G31" s="110">
        <f t="shared" si="2"/>
        <v>3.8913564375000007</v>
      </c>
    </row>
    <row r="32" spans="2:7" x14ac:dyDescent="0.15">
      <c r="D32" s="110"/>
      <c r="E32" s="110"/>
      <c r="F32" s="110"/>
      <c r="G32" s="110"/>
    </row>
    <row r="33" spans="2:13" ht="17" x14ac:dyDescent="0.15">
      <c r="B33" s="6" t="s">
        <v>185</v>
      </c>
      <c r="D33" s="110">
        <f>-Calcul!D69</f>
        <v>-0.28799999999999998</v>
      </c>
      <c r="E33" s="110">
        <f>-Calcul!E69</f>
        <v>-0.28799999999999998</v>
      </c>
      <c r="F33" s="110">
        <f>-Calcul!F69</f>
        <v>-0.28799999999999998</v>
      </c>
      <c r="G33" s="110">
        <f>-Calcul!G69</f>
        <v>-0.28799999999999998</v>
      </c>
    </row>
    <row r="34" spans="2:13" x14ac:dyDescent="0.15">
      <c r="B34" s="24" t="s">
        <v>91</v>
      </c>
      <c r="D34" s="110">
        <f>Calcul!D57</f>
        <v>-0.89100000000000001</v>
      </c>
      <c r="E34" s="110">
        <f>Calcul!E57</f>
        <v>-0.9355500000000001</v>
      </c>
      <c r="F34" s="110">
        <f>Calcul!F57</f>
        <v>-0.98232750000000013</v>
      </c>
      <c r="G34" s="110">
        <f>Calcul!G57</f>
        <v>-1.0314438750000001</v>
      </c>
    </row>
    <row r="35" spans="2:13" ht="17" thickBot="1" x14ac:dyDescent="0.2">
      <c r="B35" s="24" t="s">
        <v>186</v>
      </c>
      <c r="D35" s="148">
        <f>Calcul!D58</f>
        <v>-0.76</v>
      </c>
      <c r="E35" s="148">
        <f>Calcul!E58</f>
        <v>-0.79800000000000004</v>
      </c>
      <c r="F35" s="148">
        <f>Calcul!F58</f>
        <v>-0.83790000000000009</v>
      </c>
      <c r="G35" s="148">
        <f>Calcul!G58</f>
        <v>-0.8797950000000001</v>
      </c>
    </row>
    <row r="36" spans="2:13" ht="17" x14ac:dyDescent="0.15">
      <c r="B36" s="6" t="s">
        <v>154</v>
      </c>
      <c r="D36" s="110">
        <f>SUM(D31:D35)</f>
        <v>1.4225000000000005</v>
      </c>
      <c r="E36" s="110">
        <f t="shared" ref="E36:G36" si="3">SUM(E31:E35)</f>
        <v>1.5080250000000004</v>
      </c>
      <c r="F36" s="110">
        <f t="shared" si="3"/>
        <v>1.5978262500000004</v>
      </c>
      <c r="G36" s="110">
        <f t="shared" si="3"/>
        <v>1.6921175625000004</v>
      </c>
    </row>
    <row r="37" spans="2:13" x14ac:dyDescent="0.15">
      <c r="D37" s="110"/>
      <c r="E37" s="110"/>
      <c r="F37" s="110"/>
      <c r="G37" s="110"/>
    </row>
    <row r="38" spans="2:13" x14ac:dyDescent="0.15">
      <c r="D38" s="110"/>
      <c r="E38" s="110"/>
      <c r="F38" s="110"/>
      <c r="G38" s="110"/>
    </row>
    <row r="39" spans="2:13" ht="17" x14ac:dyDescent="0.2">
      <c r="B39" s="145" t="s">
        <v>187</v>
      </c>
      <c r="C39" s="146"/>
      <c r="D39" s="147" t="str">
        <f>D28</f>
        <v>FY12</v>
      </c>
      <c r="E39" s="147" t="str">
        <f t="shared" ref="E39:G39" si="4">E28</f>
        <v>FY13</v>
      </c>
      <c r="F39" s="147" t="str">
        <f t="shared" si="4"/>
        <v>FY14</v>
      </c>
      <c r="G39" s="147" t="str">
        <f t="shared" si="4"/>
        <v>FY15</v>
      </c>
    </row>
    <row r="40" spans="2:13" ht="19" customHeight="1" x14ac:dyDescent="0.15">
      <c r="B40" s="6" t="str">
        <f>B36</f>
        <v>Operating income</v>
      </c>
      <c r="D40" s="56">
        <f t="shared" ref="D40:G40" si="5">D36</f>
        <v>1.4225000000000005</v>
      </c>
      <c r="E40" s="56">
        <f t="shared" si="5"/>
        <v>1.5080250000000004</v>
      </c>
      <c r="F40" s="56">
        <f t="shared" si="5"/>
        <v>1.5978262500000004</v>
      </c>
      <c r="G40" s="56">
        <f t="shared" si="5"/>
        <v>1.6921175625000004</v>
      </c>
    </row>
    <row r="41" spans="2:13" ht="19" customHeight="1" x14ac:dyDescent="0.15">
      <c r="B41" s="6" t="s">
        <v>188</v>
      </c>
      <c r="D41" s="117">
        <f>-D40*Input!D19</f>
        <v>-0.38407500000000017</v>
      </c>
      <c r="E41" s="117">
        <f>-E40*Input!E19</f>
        <v>-0.40716675000000013</v>
      </c>
      <c r="F41" s="117">
        <f>-F40*Input!F19</f>
        <v>-0.43141308750000013</v>
      </c>
      <c r="G41" s="117">
        <f>-G40*Input!G19</f>
        <v>-0.45687174187500013</v>
      </c>
      <c r="L41" s="105"/>
      <c r="M41" s="105"/>
    </row>
    <row r="42" spans="2:13" ht="17" x14ac:dyDescent="0.15">
      <c r="B42" s="149" t="s">
        <v>189</v>
      </c>
      <c r="D42" s="60">
        <f>Calcul!D69</f>
        <v>0.28799999999999998</v>
      </c>
      <c r="E42" s="60">
        <f>Calcul!E69</f>
        <v>0.28799999999999998</v>
      </c>
      <c r="F42" s="60">
        <f>Calcul!F69</f>
        <v>0.28799999999999998</v>
      </c>
      <c r="G42" s="60">
        <f>Calcul!G69</f>
        <v>0.28799999999999998</v>
      </c>
      <c r="H42" s="51"/>
    </row>
    <row r="43" spans="2:13" ht="17" thickBot="1" x14ac:dyDescent="0.2">
      <c r="B43" s="150" t="s">
        <v>190</v>
      </c>
      <c r="D43" s="148">
        <f>Calcul!D65</f>
        <v>-2.4595428082191777</v>
      </c>
      <c r="E43" s="148">
        <f>Calcul!E65</f>
        <v>-0.12297714041095942</v>
      </c>
      <c r="F43" s="148">
        <f>Calcul!F65</f>
        <v>-0.12912599743150688</v>
      </c>
      <c r="G43" s="148">
        <f>Calcul!G65</f>
        <v>-0.13558229730308247</v>
      </c>
    </row>
    <row r="44" spans="2:13" x14ac:dyDescent="0.15">
      <c r="B44" s="151" t="s">
        <v>191</v>
      </c>
      <c r="D44" s="110">
        <f>SUM(D40:D43)</f>
        <v>-1.1331178082191773</v>
      </c>
      <c r="E44" s="110">
        <f>SUM(E40:E43)</f>
        <v>1.265881109589041</v>
      </c>
      <c r="F44" s="110">
        <f>SUM(F40:F43)</f>
        <v>1.3252871650684934</v>
      </c>
      <c r="G44" s="110">
        <f>SUM(G40:G43)</f>
        <v>1.3876635233219179</v>
      </c>
    </row>
    <row r="45" spans="2:13" x14ac:dyDescent="0.15">
      <c r="D45" s="110"/>
      <c r="E45" s="110"/>
      <c r="F45" s="110"/>
      <c r="G45" s="110"/>
    </row>
    <row r="46" spans="2:13" ht="17" thickBot="1" x14ac:dyDescent="0.2">
      <c r="B46" s="130" t="s">
        <v>192</v>
      </c>
      <c r="D46" s="148">
        <f>Calcul!D71</f>
        <v>-1.44</v>
      </c>
      <c r="E46" s="148">
        <f>Calcul!E71</f>
        <v>0</v>
      </c>
      <c r="F46" s="148">
        <f>Calcul!F71</f>
        <v>0</v>
      </c>
      <c r="G46" s="148">
        <f>Calcul!G71</f>
        <v>0</v>
      </c>
    </row>
    <row r="47" spans="2:13" x14ac:dyDescent="0.15">
      <c r="B47" s="152" t="s">
        <v>193</v>
      </c>
      <c r="D47" s="110">
        <f>D46</f>
        <v>-1.44</v>
      </c>
      <c r="E47" s="110">
        <f t="shared" ref="E47:G47" si="6">E46</f>
        <v>0</v>
      </c>
      <c r="F47" s="110">
        <f t="shared" si="6"/>
        <v>0</v>
      </c>
      <c r="G47" s="110">
        <f t="shared" si="6"/>
        <v>0</v>
      </c>
    </row>
    <row r="48" spans="2:13" x14ac:dyDescent="0.15">
      <c r="D48" s="110"/>
      <c r="E48" s="110"/>
      <c r="F48" s="110"/>
      <c r="G48" s="110"/>
    </row>
    <row r="49" spans="1:10" ht="17" x14ac:dyDescent="0.15">
      <c r="B49" s="6" t="s">
        <v>194</v>
      </c>
      <c r="D49" s="110">
        <f>SUM(D44+D47)</f>
        <v>-2.5731178082191772</v>
      </c>
      <c r="E49" s="110">
        <f t="shared" ref="E49:G49" si="7">SUM(E44+E47)</f>
        <v>1.265881109589041</v>
      </c>
      <c r="F49" s="110">
        <f t="shared" si="7"/>
        <v>1.3252871650684934</v>
      </c>
      <c r="G49" s="110">
        <f t="shared" si="7"/>
        <v>1.3876635233219179</v>
      </c>
    </row>
    <row r="50" spans="1:10" x14ac:dyDescent="0.15">
      <c r="C50" s="110"/>
      <c r="D50" s="110"/>
      <c r="E50" s="110"/>
      <c r="F50" s="110"/>
    </row>
    <row r="51" spans="1:10" x14ac:dyDescent="0.15">
      <c r="A51" s="51"/>
      <c r="B51" s="51"/>
      <c r="C51" s="117"/>
      <c r="D51" s="117"/>
      <c r="E51" s="117"/>
      <c r="F51" s="117"/>
      <c r="G51" s="51"/>
      <c r="H51" s="51"/>
      <c r="I51" s="51"/>
      <c r="J51" s="51"/>
    </row>
    <row r="52" spans="1:10" ht="17" x14ac:dyDescent="0.2">
      <c r="A52" s="51"/>
      <c r="B52" s="145" t="s">
        <v>195</v>
      </c>
      <c r="C52" s="146" t="s">
        <v>196</v>
      </c>
      <c r="D52" s="147" t="str">
        <f>D39</f>
        <v>FY12</v>
      </c>
      <c r="E52" s="147" t="str">
        <f t="shared" ref="E52:G52" si="8">E39</f>
        <v>FY13</v>
      </c>
      <c r="F52" s="147" t="str">
        <f t="shared" si="8"/>
        <v>FY14</v>
      </c>
      <c r="G52" s="147" t="str">
        <f t="shared" si="8"/>
        <v>FY15</v>
      </c>
      <c r="H52" s="51"/>
      <c r="I52" s="1"/>
      <c r="J52" s="51"/>
    </row>
    <row r="53" spans="1:10" x14ac:dyDescent="0.2">
      <c r="A53" s="51"/>
      <c r="B53" s="3" t="s">
        <v>166</v>
      </c>
      <c r="C53" s="153"/>
      <c r="D53" s="153">
        <f>Calcul!D121</f>
        <v>7.567439903697612E-2</v>
      </c>
      <c r="E53" s="350"/>
      <c r="F53" s="351"/>
      <c r="G53" s="352"/>
      <c r="H53" s="51"/>
      <c r="I53" s="1"/>
      <c r="J53" s="51"/>
    </row>
    <row r="54" spans="1:10" x14ac:dyDescent="0.2">
      <c r="A54" s="51"/>
      <c r="B54" s="3" t="s">
        <v>197</v>
      </c>
      <c r="C54" s="153"/>
      <c r="D54" s="153">
        <f>D36/(Input!$C70/inM)</f>
        <v>1.5668629146403932</v>
      </c>
      <c r="E54" s="153">
        <f>E36/(Input!$C70/inM)</f>
        <v>1.6610674494555913</v>
      </c>
      <c r="F54" s="153">
        <f>F36/(Input!$C70/inM)</f>
        <v>1.7599822110115495</v>
      </c>
      <c r="G54" s="153">
        <f>G36/(Input!$C70/inM)</f>
        <v>1.8638427106453057</v>
      </c>
      <c r="H54" s="51"/>
      <c r="I54" s="2"/>
      <c r="J54" s="51"/>
    </row>
    <row r="55" spans="1:10" x14ac:dyDescent="0.2">
      <c r="A55" s="51"/>
      <c r="B55" s="3" t="s">
        <v>198</v>
      </c>
      <c r="C55" s="153"/>
      <c r="D55" s="153">
        <v>0.5</v>
      </c>
      <c r="E55" s="153">
        <f>D55+1</f>
        <v>1.5</v>
      </c>
      <c r="F55" s="153">
        <f t="shared" ref="F55:G55" si="9">E55+1</f>
        <v>2.5</v>
      </c>
      <c r="G55" s="153">
        <f t="shared" si="9"/>
        <v>3.5</v>
      </c>
      <c r="H55" s="51"/>
      <c r="I55" s="2"/>
      <c r="J55" s="51"/>
    </row>
    <row r="56" spans="1:10" x14ac:dyDescent="0.2">
      <c r="A56" s="51"/>
      <c r="B56" s="3" t="s">
        <v>199</v>
      </c>
      <c r="C56" s="153"/>
      <c r="D56" s="153">
        <f>1/(1+$D53)^D55</f>
        <v>0.9641832525702988</v>
      </c>
      <c r="E56" s="153">
        <f t="shared" ref="E56:G56" si="10">1/(1+$D53)^E55</f>
        <v>0.89635232876557025</v>
      </c>
      <c r="F56" s="153">
        <f t="shared" si="10"/>
        <v>0.8332933549111623</v>
      </c>
      <c r="G56" s="153">
        <f t="shared" si="10"/>
        <v>0.77467062120023367</v>
      </c>
      <c r="H56" s="51"/>
      <c r="I56" s="2"/>
      <c r="J56" s="51"/>
    </row>
    <row r="57" spans="1:10" x14ac:dyDescent="0.2">
      <c r="A57" s="51"/>
      <c r="B57" s="3" t="s">
        <v>200</v>
      </c>
      <c r="C57" s="153"/>
      <c r="D57" s="153">
        <f>D49*D56</f>
        <v>-2.4809570975753248</v>
      </c>
      <c r="E57" s="153">
        <f t="shared" ref="E57:G57" si="11">E49*E56</f>
        <v>1.1346754805204808</v>
      </c>
      <c r="F57" s="153">
        <f t="shared" si="11"/>
        <v>1.1043529880006282</v>
      </c>
      <c r="G57" s="153">
        <f t="shared" si="11"/>
        <v>1.0749821636286951</v>
      </c>
      <c r="H57" s="51"/>
      <c r="I57" s="2"/>
      <c r="J57" s="51"/>
    </row>
    <row r="58" spans="1:10" x14ac:dyDescent="0.2">
      <c r="A58" s="51"/>
      <c r="B58" s="3" t="s">
        <v>201</v>
      </c>
      <c r="C58" s="153">
        <f>SUM(D57:G57)</f>
        <v>0.83305353457447939</v>
      </c>
      <c r="D58" s="350"/>
      <c r="E58" s="351"/>
      <c r="F58" s="351"/>
      <c r="G58" s="352"/>
      <c r="H58" s="51"/>
      <c r="I58" s="2"/>
      <c r="J58" s="51"/>
    </row>
    <row r="59" spans="1:10" x14ac:dyDescent="0.2">
      <c r="A59" s="51"/>
      <c r="B59" s="3" t="s">
        <v>202</v>
      </c>
      <c r="C59" s="154">
        <f>IRR(D49:G49)</f>
        <v>0.24954953354154941</v>
      </c>
      <c r="D59" s="353" t="s">
        <v>203</v>
      </c>
      <c r="E59" s="354"/>
      <c r="F59" s="354"/>
      <c r="G59" s="355"/>
      <c r="H59" s="51"/>
      <c r="I59" s="2"/>
      <c r="J59" s="51"/>
    </row>
    <row r="60" spans="1:10" x14ac:dyDescent="0.2">
      <c r="A60" s="51"/>
      <c r="B60" s="3" t="s">
        <v>204</v>
      </c>
      <c r="C60" s="155" cm="1">
        <f t="array" ref="C60">COUNTIF(D60:G60,1)+INDEX(D60:G60, COUNTIF(D60:G60,1)+1)</f>
        <v>1.4919639145730144</v>
      </c>
      <c r="D60" s="153">
        <f>IF(D49&lt;0,1,IFERROR(ABS(D49/C49),0))</f>
        <v>1</v>
      </c>
      <c r="E60" s="153">
        <f t="shared" ref="E60:G60" si="12">IF(E49&lt;0,1,IFERROR(ABS(E49/D49),0))</f>
        <v>0.49196391457301425</v>
      </c>
      <c r="F60" s="153">
        <f t="shared" si="12"/>
        <v>1.0469286215186022</v>
      </c>
      <c r="G60" s="153">
        <f t="shared" si="12"/>
        <v>1.0470662961941541</v>
      </c>
      <c r="H60" s="2"/>
      <c r="I60" s="2"/>
      <c r="J60" s="51"/>
    </row>
    <row r="61" spans="1:10" x14ac:dyDescent="0.15">
      <c r="A61" s="51"/>
      <c r="B61" s="2"/>
      <c r="C61" s="2"/>
      <c r="D61" s="2"/>
      <c r="E61" s="2"/>
      <c r="F61" s="2"/>
      <c r="G61" s="2"/>
      <c r="H61" s="2"/>
      <c r="I61" s="2"/>
      <c r="J61" s="51"/>
    </row>
    <row r="62" spans="1:10" x14ac:dyDescent="0.2">
      <c r="A62" s="51"/>
      <c r="B62" s="4"/>
      <c r="C62" s="4"/>
      <c r="D62" s="4"/>
      <c r="E62" s="4"/>
      <c r="F62" s="4"/>
      <c r="G62" s="4"/>
      <c r="H62" s="4"/>
      <c r="I62" s="4"/>
      <c r="J62" s="51"/>
    </row>
    <row r="64" spans="1:10" ht="29" customHeight="1" x14ac:dyDescent="0.15">
      <c r="B64" s="144" t="str">
        <f>Input!B84</f>
        <v>Proposal for Target co</v>
      </c>
      <c r="C64" s="88"/>
    </row>
    <row r="66" spans="2:9" ht="17" x14ac:dyDescent="0.2">
      <c r="B66" s="145" t="s">
        <v>205</v>
      </c>
      <c r="C66" s="146" t="s">
        <v>69</v>
      </c>
      <c r="D66" s="147" t="str">
        <f>D52</f>
        <v>FY12</v>
      </c>
      <c r="E66" s="147" t="str">
        <f>E52</f>
        <v>FY13</v>
      </c>
      <c r="F66" s="147" t="str">
        <f>F52</f>
        <v>FY14</v>
      </c>
      <c r="G66" s="147" t="str">
        <f>G52</f>
        <v>FY15</v>
      </c>
    </row>
    <row r="67" spans="2:9" x14ac:dyDescent="0.15">
      <c r="B67" s="156"/>
      <c r="C67" s="156"/>
      <c r="D67" s="156"/>
      <c r="E67" s="156"/>
      <c r="F67" s="156"/>
      <c r="G67" s="156"/>
    </row>
    <row r="68" spans="2:9" ht="17" x14ac:dyDescent="0.15">
      <c r="B68" s="6" t="s">
        <v>206</v>
      </c>
      <c r="C68" s="157">
        <f>'Target co'!E7</f>
        <v>6.1474000000000002</v>
      </c>
      <c r="D68" s="158">
        <f>Calcul!D78</f>
        <v>6.5777180000000008</v>
      </c>
      <c r="E68" s="158">
        <f>Calcul!E78</f>
        <v>6.9723810800000017</v>
      </c>
      <c r="F68" s="158">
        <f>Calcul!F78</f>
        <v>7.3210001340000019</v>
      </c>
      <c r="G68" s="158">
        <f>Calcul!G78</f>
        <v>7.5259881377520026</v>
      </c>
    </row>
    <row r="69" spans="2:9" ht="18" thickBot="1" x14ac:dyDescent="0.2">
      <c r="B69" s="6" t="s">
        <v>207</v>
      </c>
      <c r="C69" s="159">
        <f>-'Target co'!E8</f>
        <v>-3.96515</v>
      </c>
      <c r="D69" s="160">
        <f>Calcul!D82</f>
        <v>-4.0452965700000005</v>
      </c>
      <c r="E69" s="160">
        <f>Calcul!E82</f>
        <v>-4.0788429318000006</v>
      </c>
      <c r="F69" s="160">
        <f>Calcul!F82</f>
        <v>-4.2827850783900008</v>
      </c>
      <c r="G69" s="160">
        <f>Calcul!G82</f>
        <v>-4.4027030605849209</v>
      </c>
    </row>
    <row r="70" spans="2:9" ht="17" x14ac:dyDescent="0.15">
      <c r="B70" s="6" t="s">
        <v>208</v>
      </c>
      <c r="C70" s="157">
        <f>'Target co'!E9</f>
        <v>2.1822499999999998</v>
      </c>
      <c r="D70" s="161">
        <f>SUM(D68:D69)</f>
        <v>2.5324214300000003</v>
      </c>
      <c r="E70" s="161">
        <f t="shared" ref="E70:G70" si="13">SUM(E68:E69)</f>
        <v>2.8935381482000011</v>
      </c>
      <c r="F70" s="161">
        <f t="shared" si="13"/>
        <v>3.0382150556100012</v>
      </c>
      <c r="G70" s="161">
        <f t="shared" si="13"/>
        <v>3.1232850771670817</v>
      </c>
    </row>
    <row r="71" spans="2:9" x14ac:dyDescent="0.15">
      <c r="C71" s="157"/>
      <c r="D71" s="158"/>
      <c r="E71" s="158"/>
      <c r="F71" s="158"/>
      <c r="G71" s="158"/>
    </row>
    <row r="72" spans="2:9" ht="17" x14ac:dyDescent="0.15">
      <c r="B72" s="6" t="s">
        <v>158</v>
      </c>
      <c r="C72" s="157"/>
      <c r="D72" s="158"/>
      <c r="E72" s="158"/>
      <c r="F72" s="158"/>
      <c r="G72" s="158"/>
    </row>
    <row r="73" spans="2:9" ht="17" x14ac:dyDescent="0.15">
      <c r="B73" s="6" t="s">
        <v>209</v>
      </c>
      <c r="C73" s="157">
        <f>'Target co'!E11</f>
        <v>0</v>
      </c>
      <c r="D73" s="110">
        <f>Calcul!D84</f>
        <v>-6.5777180000000005E-2</v>
      </c>
      <c r="E73" s="110">
        <f>Calcul!E84</f>
        <v>-0.11155809728000003</v>
      </c>
      <c r="F73" s="110">
        <f>Calcul!F84</f>
        <v>-0.11713600214400004</v>
      </c>
      <c r="G73" s="110">
        <f>Calcul!G84</f>
        <v>-0.12041581020403204</v>
      </c>
      <c r="I73" s="51"/>
    </row>
    <row r="74" spans="2:9" ht="18" thickBot="1" x14ac:dyDescent="0.2">
      <c r="B74" s="6" t="s">
        <v>210</v>
      </c>
      <c r="C74" s="159">
        <f>-'Target co'!E12</f>
        <v>-1.7643500000000003</v>
      </c>
      <c r="D74" s="160">
        <f>Calcul!D83</f>
        <v>-1.9798931180000001</v>
      </c>
      <c r="E74" s="160">
        <f>Calcul!E83</f>
        <v>-2.1963000402000006</v>
      </c>
      <c r="F74" s="160">
        <f>Calcul!F83</f>
        <v>-2.3061150422100005</v>
      </c>
      <c r="G74" s="160">
        <f>Calcul!G83</f>
        <v>-2.3706862633918808</v>
      </c>
      <c r="I74" s="51"/>
    </row>
    <row r="75" spans="2:9" ht="17" x14ac:dyDescent="0.15">
      <c r="B75" s="6" t="s">
        <v>211</v>
      </c>
      <c r="C75" s="157">
        <f>'Target co'!E13</f>
        <v>0.41789999999999966</v>
      </c>
      <c r="D75" s="161">
        <f>SUM(D70,D72:D74)</f>
        <v>0.4867511320000002</v>
      </c>
      <c r="E75" s="161">
        <f t="shared" ref="E75:G75" si="14">SUM(E70,E72:E74)</f>
        <v>0.58568001072000042</v>
      </c>
      <c r="F75" s="161">
        <f t="shared" si="14"/>
        <v>0.61496401125600064</v>
      </c>
      <c r="G75" s="161">
        <f t="shared" si="14"/>
        <v>0.63218300357116863</v>
      </c>
      <c r="I75" s="51"/>
    </row>
    <row r="76" spans="2:9" x14ac:dyDescent="0.15">
      <c r="C76" s="157"/>
      <c r="D76" s="162"/>
      <c r="E76" s="162"/>
      <c r="F76" s="162"/>
      <c r="G76" s="162"/>
      <c r="I76" s="51"/>
    </row>
    <row r="77" spans="2:9" ht="18" thickBot="1" x14ac:dyDescent="0.2">
      <c r="B77" s="6" t="s">
        <v>212</v>
      </c>
      <c r="C77" s="159">
        <f>-'Target co'!E15</f>
        <v>-2.205E-2</v>
      </c>
      <c r="D77" s="160">
        <f>-D135*SUM(Input!C116:C117)</f>
        <v>-2.4489754139128742E-2</v>
      </c>
      <c r="E77" s="160">
        <f>-E135*SUM(Input!D116:D117)</f>
        <v>-2.5959139387476474E-2</v>
      </c>
      <c r="F77" s="160">
        <f>-F135*SUM(Input!E116:E117)</f>
        <v>-2.7257096356850297E-2</v>
      </c>
      <c r="G77" s="160">
        <f>-G135*SUM(Input!F116:F117)</f>
        <v>-2.8020295054842111E-2</v>
      </c>
    </row>
    <row r="78" spans="2:9" ht="17" x14ac:dyDescent="0.15">
      <c r="B78" s="6" t="s">
        <v>213</v>
      </c>
      <c r="C78" s="157">
        <f>'Target co'!E16</f>
        <v>0.3958499999999997</v>
      </c>
      <c r="D78" s="161">
        <f>SUM(D75:D77)</f>
        <v>0.46226137786087146</v>
      </c>
      <c r="E78" s="161">
        <f t="shared" ref="E78:G78" si="15">SUM(E75:E77)</f>
        <v>0.55972087133252391</v>
      </c>
      <c r="F78" s="161">
        <f t="shared" si="15"/>
        <v>0.58770691489915039</v>
      </c>
      <c r="G78" s="161">
        <f t="shared" si="15"/>
        <v>0.60416270851632647</v>
      </c>
    </row>
    <row r="79" spans="2:9" x14ac:dyDescent="0.15">
      <c r="C79" s="157"/>
      <c r="D79" s="162"/>
      <c r="E79" s="162"/>
      <c r="F79" s="162"/>
      <c r="G79" s="162"/>
    </row>
    <row r="80" spans="2:9" ht="18" thickBot="1" x14ac:dyDescent="0.2">
      <c r="B80" s="6" t="s">
        <v>214</v>
      </c>
      <c r="C80" s="159">
        <f>-'Target co'!E18</f>
        <v>-0.1071</v>
      </c>
      <c r="D80" s="160">
        <f>-D78*Input!D103</f>
        <v>-0.1248105720224353</v>
      </c>
      <c r="E80" s="160">
        <f>-E78*Input!E103</f>
        <v>-0.15112463525978145</v>
      </c>
      <c r="F80" s="160">
        <f>-F78*Input!F103</f>
        <v>-0.15868086702277062</v>
      </c>
      <c r="G80" s="160">
        <f>-G78*Input!G103</f>
        <v>-0.16312393129940816</v>
      </c>
    </row>
    <row r="81" spans="2:7" ht="17" x14ac:dyDescent="0.15">
      <c r="B81" s="6" t="s">
        <v>215</v>
      </c>
      <c r="C81" s="157">
        <f>'Target co'!E19</f>
        <v>0.28874999999999967</v>
      </c>
      <c r="D81" s="161">
        <f>SUM(D78:D80)</f>
        <v>0.33745080583843617</v>
      </c>
      <c r="E81" s="161">
        <f t="shared" ref="E81:G81" si="16">SUM(E78:E80)</f>
        <v>0.40859623607274242</v>
      </c>
      <c r="F81" s="161">
        <f t="shared" si="16"/>
        <v>0.42902604787637977</v>
      </c>
      <c r="G81" s="161">
        <f t="shared" si="16"/>
        <v>0.44103877721691831</v>
      </c>
    </row>
    <row r="82" spans="2:7" x14ac:dyDescent="0.15">
      <c r="B82" s="156"/>
      <c r="C82" s="157"/>
      <c r="D82" s="163"/>
      <c r="E82" s="163"/>
      <c r="F82" s="163"/>
      <c r="G82" s="163"/>
    </row>
    <row r="83" spans="2:7" ht="17" x14ac:dyDescent="0.15">
      <c r="B83" s="6" t="s">
        <v>216</v>
      </c>
      <c r="C83" s="157">
        <f>'Target co'!E21</f>
        <v>0.14035000000000003</v>
      </c>
      <c r="D83" s="161">
        <f>D81-D84</f>
        <v>0</v>
      </c>
      <c r="E83" s="161">
        <f t="shared" ref="E83:G83" si="17">E81-E84</f>
        <v>0</v>
      </c>
      <c r="F83" s="161">
        <f t="shared" si="17"/>
        <v>0</v>
      </c>
      <c r="G83" s="161">
        <f t="shared" si="17"/>
        <v>0</v>
      </c>
    </row>
    <row r="84" spans="2:7" ht="17" x14ac:dyDescent="0.15">
      <c r="B84" s="6" t="s">
        <v>217</v>
      </c>
      <c r="C84" s="157">
        <f>C81-C83</f>
        <v>0.14839999999999964</v>
      </c>
      <c r="D84" s="161">
        <f>D81*Input!D121</f>
        <v>0.33745080583843617</v>
      </c>
      <c r="E84" s="161">
        <f>E81*Input!E121</f>
        <v>0.40859623607274242</v>
      </c>
      <c r="F84" s="161">
        <f>F81*Input!F121</f>
        <v>0.42902604787637977</v>
      </c>
      <c r="G84" s="161">
        <f>G81*Input!G121</f>
        <v>0.44103877721691831</v>
      </c>
    </row>
    <row r="85" spans="2:7" x14ac:dyDescent="0.15">
      <c r="C85" s="117"/>
      <c r="D85" s="161"/>
      <c r="E85" s="161"/>
      <c r="F85" s="161"/>
      <c r="G85" s="161"/>
    </row>
    <row r="86" spans="2:7" ht="17" x14ac:dyDescent="0.2">
      <c r="B86" s="145" t="s">
        <v>218</v>
      </c>
      <c r="C86" s="146" t="str">
        <f>C66</f>
        <v>FY11</v>
      </c>
      <c r="D86" s="147" t="str">
        <f t="shared" ref="D86:G86" si="18">D66</f>
        <v>FY12</v>
      </c>
      <c r="E86" s="147" t="str">
        <f t="shared" si="18"/>
        <v>FY13</v>
      </c>
      <c r="F86" s="147" t="str">
        <f t="shared" si="18"/>
        <v>FY14</v>
      </c>
      <c r="G86" s="147" t="str">
        <f t="shared" si="18"/>
        <v>FY15</v>
      </c>
    </row>
    <row r="87" spans="2:7" x14ac:dyDescent="0.15">
      <c r="B87" s="128" t="s">
        <v>219</v>
      </c>
      <c r="C87" s="157">
        <f>'Target co'!E13</f>
        <v>0.41789999999999966</v>
      </c>
      <c r="D87" s="158">
        <f>D75</f>
        <v>0.4867511320000002</v>
      </c>
      <c r="E87" s="158">
        <f>E75</f>
        <v>0.58568001072000042</v>
      </c>
      <c r="F87" s="158">
        <f t="shared" ref="F87:G87" si="19">F75</f>
        <v>0.61496401125600064</v>
      </c>
      <c r="G87" s="158">
        <f t="shared" si="19"/>
        <v>0.63218300357116863</v>
      </c>
    </row>
    <row r="88" spans="2:7" ht="17" thickBot="1" x14ac:dyDescent="0.2">
      <c r="B88" s="128" t="s">
        <v>220</v>
      </c>
      <c r="C88" s="159">
        <f>-C87*'Pre-analysis'!H83</f>
        <v>-0.11306578249336871</v>
      </c>
      <c r="D88" s="160">
        <f>D87*-Input!D103</f>
        <v>-0.13142280564000006</v>
      </c>
      <c r="E88" s="160">
        <f>E87*-Input!E103</f>
        <v>-0.15813360289440012</v>
      </c>
      <c r="F88" s="160">
        <f>F87*-Input!F103</f>
        <v>-0.16604028303912019</v>
      </c>
      <c r="G88" s="160">
        <f>G87*-Input!G103</f>
        <v>-0.17068941096421555</v>
      </c>
    </row>
    <row r="89" spans="2:7" x14ac:dyDescent="0.15">
      <c r="B89" s="130" t="s">
        <v>221</v>
      </c>
      <c r="C89" s="157">
        <f>SUM(C87:C88)</f>
        <v>0.30483421750663098</v>
      </c>
      <c r="D89" s="161">
        <f>SUM(D87:D88)</f>
        <v>0.35532832636000011</v>
      </c>
      <c r="E89" s="161">
        <f t="shared" ref="E89:G89" si="20">SUM(E87:E88)</f>
        <v>0.42754640782560027</v>
      </c>
      <c r="F89" s="161">
        <f t="shared" si="20"/>
        <v>0.44892372821688042</v>
      </c>
      <c r="G89" s="161">
        <f t="shared" si="20"/>
        <v>0.46149359260695311</v>
      </c>
    </row>
    <row r="90" spans="2:7" x14ac:dyDescent="0.15">
      <c r="B90" s="130" t="s">
        <v>222</v>
      </c>
      <c r="C90" s="157"/>
      <c r="D90" s="158"/>
      <c r="E90" s="158"/>
      <c r="F90" s="158"/>
      <c r="G90" s="158"/>
    </row>
    <row r="91" spans="2:7" x14ac:dyDescent="0.15">
      <c r="B91" s="130" t="s">
        <v>190</v>
      </c>
      <c r="C91" s="157">
        <f>-(('Target co'!E34+'Target co'!E35-'Target co'!E47)-('Target co'!D34+'Target co'!D35-'Target co'!D47))</f>
        <v>-9.1000000000000192E-2</v>
      </c>
      <c r="D91" s="161">
        <f>-((D118+D119-D136)-(C118+C119-C136))</f>
        <v>-0.26711990386986306</v>
      </c>
      <c r="E91" s="161">
        <f t="shared" ref="E91:G91" si="21">-((E118+E119-E136)-(D118+D119-D136))</f>
        <v>-8.6724508658219346E-2</v>
      </c>
      <c r="F91" s="161">
        <f t="shared" si="21"/>
        <v>-0.10585722062640457</v>
      </c>
      <c r="G91" s="161">
        <f t="shared" si="21"/>
        <v>-6.2244045728325315E-2</v>
      </c>
    </row>
    <row r="92" spans="2:7" x14ac:dyDescent="0.15">
      <c r="B92" s="130" t="s">
        <v>135</v>
      </c>
      <c r="C92" s="157">
        <f>-('Target co'!E36-'Target co'!D36)</f>
        <v>-4.5500000000000124E-3</v>
      </c>
      <c r="D92" s="161">
        <f>-(D120-C120)</f>
        <v>1.3117383999999996E-2</v>
      </c>
      <c r="E92" s="161">
        <f t="shared" ref="E92:G92" si="22">-(E120-D120)</f>
        <v>-4.7359569600000095E-3</v>
      </c>
      <c r="F92" s="161">
        <f t="shared" si="22"/>
        <v>-4.1834286480000038E-3</v>
      </c>
      <c r="G92" s="161">
        <f t="shared" si="22"/>
        <v>-2.4598560450240087E-3</v>
      </c>
    </row>
    <row r="93" spans="2:7" ht="17" thickBot="1" x14ac:dyDescent="0.2">
      <c r="B93" s="130" t="s">
        <v>136</v>
      </c>
      <c r="C93" s="159">
        <f>'Target co'!E49-'Target co'!D49</f>
        <v>5.5999999999999939E-3</v>
      </c>
      <c r="D93" s="164">
        <f>D138-C138</f>
        <v>4.5401188000000203E-3</v>
      </c>
      <c r="E93" s="164">
        <f t="shared" ref="E93:G93" si="23">E138-D138</f>
        <v>6.5514071280000225E-3</v>
      </c>
      <c r="F93" s="164">
        <f t="shared" si="23"/>
        <v>5.7870762964000039E-3</v>
      </c>
      <c r="G93" s="164">
        <f t="shared" si="23"/>
        <v>3.4028008622832007E-3</v>
      </c>
    </row>
    <row r="94" spans="2:7" x14ac:dyDescent="0.15">
      <c r="B94" s="151" t="s">
        <v>191</v>
      </c>
      <c r="C94" s="157">
        <f>SUM(C89:C93)</f>
        <v>0.21488421750663078</v>
      </c>
      <c r="D94" s="117">
        <f>SUM(D89:D93)</f>
        <v>0.10586592529013707</v>
      </c>
      <c r="E94" s="117">
        <f t="shared" ref="E94:G94" si="24">SUM(E89:E93)</f>
        <v>0.34263734933538093</v>
      </c>
      <c r="F94" s="117">
        <f t="shared" si="24"/>
        <v>0.34467015523887584</v>
      </c>
      <c r="G94" s="117">
        <f t="shared" si="24"/>
        <v>0.400192491695887</v>
      </c>
    </row>
    <row r="95" spans="2:7" x14ac:dyDescent="0.15">
      <c r="B95" s="51"/>
      <c r="C95" s="157"/>
      <c r="D95" s="161"/>
      <c r="E95" s="161"/>
      <c r="F95" s="161"/>
      <c r="G95" s="161"/>
    </row>
    <row r="96" spans="2:7" ht="17" thickBot="1" x14ac:dyDescent="0.2">
      <c r="B96" s="130" t="s">
        <v>192</v>
      </c>
      <c r="C96" s="159">
        <f>-('Target co'!E39+'Target co'!E40-'Target co'!D39-'Target co'!D40)</f>
        <v>-6.23000000000003E-2</v>
      </c>
      <c r="D96" s="164">
        <f>-(D126-C126)</f>
        <v>-0.20757680999999994</v>
      </c>
      <c r="E96" s="164">
        <f t="shared" ref="E96:G96" si="25">-(E126-D126)</f>
        <v>-0.1164256086000004</v>
      </c>
      <c r="F96" s="164">
        <f t="shared" si="25"/>
        <v>-0.10284262093000018</v>
      </c>
      <c r="G96" s="164">
        <f t="shared" si="25"/>
        <v>-6.0471461106839985E-2</v>
      </c>
    </row>
    <row r="97" spans="2:7" x14ac:dyDescent="0.15">
      <c r="B97" s="151" t="s">
        <v>193</v>
      </c>
      <c r="C97" s="157">
        <f>C96</f>
        <v>-6.23000000000003E-2</v>
      </c>
      <c r="D97" s="117">
        <f>D96</f>
        <v>-0.20757680999999994</v>
      </c>
      <c r="E97" s="117">
        <f t="shared" ref="E97:G97" si="26">E96</f>
        <v>-0.1164256086000004</v>
      </c>
      <c r="F97" s="117">
        <f t="shared" si="26"/>
        <v>-0.10284262093000018</v>
      </c>
      <c r="G97" s="117">
        <f t="shared" si="26"/>
        <v>-6.0471461106839985E-2</v>
      </c>
    </row>
    <row r="98" spans="2:7" x14ac:dyDescent="0.15">
      <c r="B98" s="51"/>
      <c r="C98" s="157"/>
      <c r="D98" s="161"/>
      <c r="E98" s="161"/>
      <c r="F98" s="161"/>
      <c r="G98" s="161"/>
    </row>
    <row r="99" spans="2:7" x14ac:dyDescent="0.15">
      <c r="B99" s="130" t="s">
        <v>223</v>
      </c>
      <c r="C99" s="157"/>
      <c r="D99" s="158"/>
      <c r="E99" s="158"/>
      <c r="F99" s="158"/>
      <c r="G99" s="158"/>
    </row>
    <row r="100" spans="2:7" x14ac:dyDescent="0.15">
      <c r="B100" s="130" t="s">
        <v>224</v>
      </c>
      <c r="C100" s="157"/>
      <c r="D100" s="161"/>
      <c r="E100" s="161"/>
      <c r="F100" s="161"/>
      <c r="G100" s="161"/>
    </row>
    <row r="101" spans="2:7" x14ac:dyDescent="0.15">
      <c r="B101" s="130" t="s">
        <v>225</v>
      </c>
      <c r="C101" s="157">
        <f>'Target co'!E46-'Target co'!D46</f>
        <v>1.6100000000000003E-2</v>
      </c>
      <c r="D101" s="161">
        <f>D135-C135</f>
        <v>2.2089712263844707E-2</v>
      </c>
      <c r="E101" s="161">
        <f>E135-D135</f>
        <v>2.0267382735830786E-2</v>
      </c>
      <c r="F101" s="161">
        <f t="shared" ref="F101:G101" si="27">F135-E135</f>
        <v>1.7902854749983765E-2</v>
      </c>
      <c r="G101" s="161">
        <f t="shared" si="27"/>
        <v>1.0526878592990507E-2</v>
      </c>
    </row>
    <row r="102" spans="2:7" x14ac:dyDescent="0.15">
      <c r="B102" s="130" t="s">
        <v>226</v>
      </c>
      <c r="C102" s="157">
        <f>-'Target co'!E15</f>
        <v>-2.205E-2</v>
      </c>
      <c r="D102" s="158">
        <f>D77</f>
        <v>-2.4489754139128742E-2</v>
      </c>
      <c r="E102" s="158">
        <f t="shared" ref="E102:G102" si="28">E77</f>
        <v>-2.5959139387476474E-2</v>
      </c>
      <c r="F102" s="158">
        <f t="shared" si="28"/>
        <v>-2.7257096356850297E-2</v>
      </c>
      <c r="G102" s="158">
        <f t="shared" si="28"/>
        <v>-2.8020295054842111E-2</v>
      </c>
    </row>
    <row r="103" spans="2:7" x14ac:dyDescent="0.15">
      <c r="B103" s="130" t="s">
        <v>227</v>
      </c>
      <c r="C103" s="157">
        <f>-C102*'Pre-analysis'!H83</f>
        <v>5.9657824933687055E-3</v>
      </c>
      <c r="D103" s="161">
        <f>-D102*Input!D103</f>
        <v>6.612233617564761E-3</v>
      </c>
      <c r="E103" s="161">
        <f>-E102*Input!E103</f>
        <v>7.0089676346186481E-3</v>
      </c>
      <c r="F103" s="161">
        <f>-F102*Input!F103</f>
        <v>7.3594160163495811E-3</v>
      </c>
      <c r="G103" s="161">
        <f>-G102*Input!G103</f>
        <v>7.5654796648073706E-3</v>
      </c>
    </row>
    <row r="104" spans="2:7" x14ac:dyDescent="0.15">
      <c r="B104" s="130" t="s">
        <v>228</v>
      </c>
      <c r="C104" s="157">
        <f>-'Target co'!E21</f>
        <v>-0.14035000000000003</v>
      </c>
      <c r="D104" s="161">
        <f>-Projects!D83</f>
        <v>0</v>
      </c>
      <c r="E104" s="161">
        <f>-Projects!E83</f>
        <v>0</v>
      </c>
      <c r="F104" s="161">
        <f>-Projects!F83</f>
        <v>0</v>
      </c>
      <c r="G104" s="161">
        <f>-Projects!G83</f>
        <v>0</v>
      </c>
    </row>
    <row r="105" spans="2:7" ht="17" thickBot="1" x14ac:dyDescent="0.2">
      <c r="B105" s="130" t="s">
        <v>229</v>
      </c>
      <c r="C105" s="159"/>
      <c r="D105" s="164"/>
      <c r="E105" s="164"/>
      <c r="F105" s="164"/>
      <c r="G105" s="164"/>
    </row>
    <row r="106" spans="2:7" x14ac:dyDescent="0.15">
      <c r="B106" s="151" t="s">
        <v>230</v>
      </c>
      <c r="C106" s="157">
        <f>SUM(C99:C105)</f>
        <v>-0.14033421750663133</v>
      </c>
      <c r="D106" s="117">
        <f>SUM(D99:D105)</f>
        <v>4.2121917422807261E-3</v>
      </c>
      <c r="E106" s="117">
        <f t="shared" ref="E106:G106" si="29">SUM(E99:E105)</f>
        <v>1.3172109829729601E-3</v>
      </c>
      <c r="F106" s="117">
        <f t="shared" si="29"/>
        <v>-1.9948255905169509E-3</v>
      </c>
      <c r="G106" s="117">
        <f t="shared" si="29"/>
        <v>-9.9279367970442328E-3</v>
      </c>
    </row>
    <row r="107" spans="2:7" x14ac:dyDescent="0.15">
      <c r="B107" s="51"/>
      <c r="C107" s="157"/>
      <c r="D107" s="161"/>
      <c r="E107" s="161"/>
      <c r="F107" s="161"/>
      <c r="G107" s="161"/>
    </row>
    <row r="108" spans="2:7" x14ac:dyDescent="0.15">
      <c r="B108" s="24" t="s">
        <v>231</v>
      </c>
      <c r="C108" s="157">
        <f>SUM(C94,C97,C106)</f>
        <v>1.224999999999915E-2</v>
      </c>
      <c r="D108" s="117">
        <f>SUM(D94,D97,D106)</f>
        <v>-9.7498692967582151E-2</v>
      </c>
      <c r="E108" s="117">
        <f t="shared" ref="E108:G108" si="30">SUM(E94,E97,E106)</f>
        <v>0.22752895171835349</v>
      </c>
      <c r="F108" s="117">
        <f t="shared" si="30"/>
        <v>0.23983270871835871</v>
      </c>
      <c r="G108" s="117">
        <f t="shared" si="30"/>
        <v>0.32979309379200278</v>
      </c>
    </row>
    <row r="109" spans="2:7" x14ac:dyDescent="0.15">
      <c r="B109" s="24" t="s">
        <v>232</v>
      </c>
      <c r="C109" s="157">
        <f>'Target co'!D33</f>
        <v>0.22364999999999999</v>
      </c>
      <c r="D109" s="161">
        <f>C117</f>
        <v>0.23555000000000001</v>
      </c>
      <c r="E109" s="161">
        <f t="shared" ref="E109:G109" si="31">D117</f>
        <v>0.13805130703241786</v>
      </c>
      <c r="F109" s="161">
        <f t="shared" si="31"/>
        <v>0.36558025875077138</v>
      </c>
      <c r="G109" s="161">
        <f t="shared" si="31"/>
        <v>0.60541296746913009</v>
      </c>
    </row>
    <row r="110" spans="2:7" x14ac:dyDescent="0.15">
      <c r="B110" s="24" t="s">
        <v>233</v>
      </c>
      <c r="C110" s="157">
        <f>SUM(C108:C109)</f>
        <v>0.23589999999999914</v>
      </c>
      <c r="D110" s="117">
        <f>SUM(D108:D109)</f>
        <v>0.13805130703241786</v>
      </c>
      <c r="E110" s="117">
        <f>SUM(E108:E109)</f>
        <v>0.36558025875077138</v>
      </c>
      <c r="F110" s="117">
        <f>SUM(F108:F109)</f>
        <v>0.60541296746913009</v>
      </c>
      <c r="G110" s="117">
        <f>SUM(G108:G109)</f>
        <v>0.93520606126113281</v>
      </c>
    </row>
    <row r="111" spans="2:7" x14ac:dyDescent="0.15">
      <c r="C111" s="165"/>
      <c r="D111" s="166"/>
      <c r="E111" s="166"/>
      <c r="F111" s="166"/>
      <c r="G111" s="166"/>
    </row>
    <row r="113" spans="2:9" ht="17" x14ac:dyDescent="0.2">
      <c r="B113" s="145" t="s">
        <v>234</v>
      </c>
      <c r="C113" s="146" t="str">
        <f>C66</f>
        <v>FY11</v>
      </c>
      <c r="D113" s="147" t="str">
        <f>D66</f>
        <v>FY12</v>
      </c>
      <c r="E113" s="147" t="str">
        <f>E66</f>
        <v>FY13</v>
      </c>
      <c r="F113" s="147" t="str">
        <f>F66</f>
        <v>FY14</v>
      </c>
      <c r="G113" s="147" t="str">
        <f>G66</f>
        <v>FY15</v>
      </c>
    </row>
    <row r="114" spans="2:9" x14ac:dyDescent="0.15">
      <c r="B114" s="51"/>
      <c r="C114" s="51"/>
      <c r="D114" s="51"/>
      <c r="E114" s="51"/>
      <c r="F114" s="51"/>
      <c r="G114" s="51"/>
    </row>
    <row r="115" spans="2:9" x14ac:dyDescent="0.15">
      <c r="B115" s="124" t="s">
        <v>235</v>
      </c>
      <c r="C115" s="51"/>
      <c r="D115" s="51"/>
      <c r="E115" s="51"/>
      <c r="F115" s="51"/>
      <c r="G115" s="51"/>
    </row>
    <row r="116" spans="2:9" x14ac:dyDescent="0.15">
      <c r="B116" s="24"/>
      <c r="C116" s="51"/>
      <c r="D116" s="51"/>
      <c r="E116" s="51"/>
      <c r="F116" s="51"/>
      <c r="G116" s="51"/>
    </row>
    <row r="117" spans="2:9" x14ac:dyDescent="0.15">
      <c r="B117" s="167" t="s">
        <v>236</v>
      </c>
      <c r="C117" s="168">
        <f>'Target co'!E33</f>
        <v>0.23555000000000001</v>
      </c>
      <c r="D117" s="60">
        <f>D110</f>
        <v>0.13805130703241786</v>
      </c>
      <c r="E117" s="60">
        <f>E110</f>
        <v>0.36558025875077138</v>
      </c>
      <c r="F117" s="60">
        <f>F110</f>
        <v>0.60541296746913009</v>
      </c>
      <c r="G117" s="60">
        <f>G110</f>
        <v>0.93520606126113281</v>
      </c>
      <c r="I117" s="169"/>
    </row>
    <row r="118" spans="2:9" x14ac:dyDescent="0.15">
      <c r="B118" s="167" t="s">
        <v>237</v>
      </c>
      <c r="C118" s="168">
        <f>'Target co'!E34</f>
        <v>1.26315</v>
      </c>
      <c r="D118" s="60">
        <f>Calcul!D94</f>
        <v>1.351585890410959</v>
      </c>
      <c r="E118" s="60">
        <f>Calcul!E94</f>
        <v>1.4326810438356168</v>
      </c>
      <c r="F118" s="60">
        <f>Calcul!F94</f>
        <v>1.5043150960273977</v>
      </c>
      <c r="G118" s="60">
        <f>Calcul!G94</f>
        <v>1.5464359187161649</v>
      </c>
      <c r="I118" s="169"/>
    </row>
    <row r="119" spans="2:9" x14ac:dyDescent="0.15">
      <c r="B119" s="167" t="s">
        <v>238</v>
      </c>
      <c r="C119" s="168">
        <f>'Target co'!E35</f>
        <v>0.82599999999999996</v>
      </c>
      <c r="D119" s="60">
        <f>Calcul!D96</f>
        <v>1.0113241425000001</v>
      </c>
      <c r="E119" s="60">
        <f>Calcul!E96</f>
        <v>1.0197107329500001</v>
      </c>
      <c r="F119" s="60">
        <f>Calcul!F96</f>
        <v>1.0706962695975002</v>
      </c>
      <c r="G119" s="60">
        <f>Calcul!G96</f>
        <v>1.1006757651462302</v>
      </c>
      <c r="I119" s="169"/>
    </row>
    <row r="120" spans="2:9" x14ac:dyDescent="0.15">
      <c r="B120" s="167" t="s">
        <v>239</v>
      </c>
      <c r="C120" s="168">
        <f>'Target co'!E36</f>
        <v>9.2050000000000007E-2</v>
      </c>
      <c r="D120" s="60">
        <f>Calcul!D87</f>
        <v>7.8932616000000011E-2</v>
      </c>
      <c r="E120" s="60">
        <f>Calcul!E87</f>
        <v>8.3668572960000021E-2</v>
      </c>
      <c r="F120" s="60">
        <f>Calcul!F87</f>
        <v>8.7852001608000024E-2</v>
      </c>
      <c r="G120" s="60">
        <f>Calcul!G87</f>
        <v>9.0311857653024033E-2</v>
      </c>
      <c r="I120" s="169"/>
    </row>
    <row r="121" spans="2:9" x14ac:dyDescent="0.15">
      <c r="B121" s="170" t="s">
        <v>240</v>
      </c>
      <c r="C121" s="168">
        <f>'Target co'!E37</f>
        <v>2.41675</v>
      </c>
      <c r="D121" s="60">
        <f>SUM(D117:D120)</f>
        <v>2.5798939559433767</v>
      </c>
      <c r="E121" s="60">
        <f>SUM(E117:E120)</f>
        <v>2.9016406084963884</v>
      </c>
      <c r="F121" s="60">
        <f t="shared" ref="F121:G121" si="32">SUM(F117:F120)</f>
        <v>3.2682763347020281</v>
      </c>
      <c r="G121" s="60">
        <f t="shared" si="32"/>
        <v>3.6726296027765519</v>
      </c>
      <c r="I121" s="169"/>
    </row>
    <row r="122" spans="2:9" x14ac:dyDescent="0.15">
      <c r="B122" s="171" t="s">
        <v>241</v>
      </c>
      <c r="C122" s="168"/>
      <c r="D122" s="172"/>
      <c r="E122" s="173"/>
      <c r="F122" s="173"/>
      <c r="G122" s="173"/>
      <c r="I122" s="169"/>
    </row>
    <row r="123" spans="2:9" x14ac:dyDescent="0.15">
      <c r="B123" s="167"/>
      <c r="C123" s="174"/>
      <c r="D123" s="60"/>
      <c r="E123" s="60"/>
      <c r="F123" s="60"/>
      <c r="G123" s="60"/>
      <c r="I123" s="169"/>
    </row>
    <row r="124" spans="2:9" x14ac:dyDescent="0.15">
      <c r="B124" s="167" t="s">
        <v>242</v>
      </c>
      <c r="C124" s="168">
        <f>'Target co'!E39</f>
        <v>1.5484000000000002</v>
      </c>
      <c r="D124" s="60">
        <f>Calcul!D102</f>
        <v>1.6444295000000002</v>
      </c>
      <c r="E124" s="60">
        <f>Calcul!E102</f>
        <v>1.7430952700000004</v>
      </c>
      <c r="F124" s="60">
        <f>Calcul!F102</f>
        <v>1.8302500335000005</v>
      </c>
      <c r="G124" s="60">
        <f>Calcul!G102</f>
        <v>1.8814970344380006</v>
      </c>
      <c r="I124" s="169"/>
    </row>
    <row r="125" spans="2:9" x14ac:dyDescent="0.15">
      <c r="B125" s="167" t="s">
        <v>243</v>
      </c>
      <c r="C125" s="168">
        <f>'Target co'!E40</f>
        <v>0.18445</v>
      </c>
      <c r="D125" s="60">
        <f>Calcul!D103</f>
        <v>0.29599731000000001</v>
      </c>
      <c r="E125" s="60">
        <f>Calcul!E103</f>
        <v>0.31375714860000009</v>
      </c>
      <c r="F125" s="60">
        <f>Calcul!F103</f>
        <v>0.3294450060300001</v>
      </c>
      <c r="G125" s="60">
        <f>Calcul!G103</f>
        <v>0.33866946619884009</v>
      </c>
      <c r="I125" s="169"/>
    </row>
    <row r="126" spans="2:9" x14ac:dyDescent="0.15">
      <c r="B126" s="175" t="s">
        <v>244</v>
      </c>
      <c r="C126" s="174">
        <f>SUM(C124:C125)</f>
        <v>1.7328500000000002</v>
      </c>
      <c r="D126" s="176">
        <f>SUM(D124:D125)</f>
        <v>1.9404268100000002</v>
      </c>
      <c r="E126" s="176">
        <f t="shared" ref="E126:G126" si="33">SUM(E124:E125)</f>
        <v>2.0568524186000006</v>
      </c>
      <c r="F126" s="176">
        <f t="shared" si="33"/>
        <v>2.1596950395300007</v>
      </c>
      <c r="G126" s="176">
        <f t="shared" si="33"/>
        <v>2.2201665006368407</v>
      </c>
      <c r="H126" s="176"/>
      <c r="I126" s="169"/>
    </row>
    <row r="127" spans="2:9" x14ac:dyDescent="0.15">
      <c r="B127" s="177" t="s">
        <v>245</v>
      </c>
      <c r="C127" s="174"/>
      <c r="D127" s="172"/>
      <c r="E127" s="173"/>
      <c r="F127" s="173"/>
      <c r="G127" s="173"/>
      <c r="I127" s="169"/>
    </row>
    <row r="128" spans="2:9" x14ac:dyDescent="0.15">
      <c r="B128" s="167"/>
      <c r="C128" s="168"/>
      <c r="D128" s="60"/>
      <c r="E128" s="60"/>
      <c r="F128" s="60"/>
      <c r="G128" s="60"/>
      <c r="I128" s="169"/>
    </row>
    <row r="129" spans="2:9" x14ac:dyDescent="0.15">
      <c r="B129" s="178" t="s">
        <v>246</v>
      </c>
      <c r="C129" s="168">
        <f>SUM(C121,C126)</f>
        <v>4.1496000000000004</v>
      </c>
      <c r="D129" s="60">
        <f>SUM(D121,D126)</f>
        <v>4.5203207659433771</v>
      </c>
      <c r="E129" s="60">
        <f t="shared" ref="E129:F129" si="34">SUM(E121,E126)</f>
        <v>4.9584930270963889</v>
      </c>
      <c r="F129" s="60">
        <f t="shared" si="34"/>
        <v>5.4279713742320288</v>
      </c>
      <c r="G129" s="60">
        <f>SUM(G121,G126)</f>
        <v>5.8927961034133922</v>
      </c>
      <c r="I129" s="169"/>
    </row>
    <row r="130" spans="2:9" x14ac:dyDescent="0.15">
      <c r="B130" s="178"/>
      <c r="C130" s="174"/>
      <c r="D130" s="60"/>
      <c r="E130" s="60"/>
      <c r="F130" s="60"/>
      <c r="G130" s="60"/>
      <c r="I130" s="169"/>
    </row>
    <row r="131" spans="2:9" x14ac:dyDescent="0.15">
      <c r="B131" s="179" t="s">
        <v>247</v>
      </c>
      <c r="C131" s="168"/>
      <c r="D131" s="172"/>
      <c r="E131" s="180"/>
      <c r="F131" s="180"/>
      <c r="G131" s="180"/>
      <c r="I131" s="169"/>
    </row>
    <row r="132" spans="2:9" x14ac:dyDescent="0.15">
      <c r="B132" s="167"/>
      <c r="C132" s="168"/>
      <c r="D132" s="60"/>
      <c r="E132" s="60"/>
      <c r="F132" s="60"/>
      <c r="G132" s="60"/>
      <c r="I132" s="169"/>
    </row>
    <row r="133" spans="2:9" x14ac:dyDescent="0.15">
      <c r="B133" s="181" t="s">
        <v>248</v>
      </c>
      <c r="C133" s="168"/>
      <c r="D133" s="60"/>
      <c r="E133" s="60"/>
      <c r="F133" s="60"/>
      <c r="G133" s="60"/>
      <c r="I133" s="169"/>
    </row>
    <row r="134" spans="2:9" x14ac:dyDescent="0.15">
      <c r="B134" s="167"/>
      <c r="C134" s="168"/>
      <c r="D134" s="60"/>
      <c r="E134" s="60"/>
      <c r="F134" s="60"/>
      <c r="G134" s="60"/>
      <c r="I134" s="169"/>
    </row>
    <row r="135" spans="2:9" x14ac:dyDescent="0.15">
      <c r="B135" s="167" t="s">
        <v>249</v>
      </c>
      <c r="C135" s="168">
        <f>'Target co'!E46</f>
        <v>0.31569999999999998</v>
      </c>
      <c r="D135" s="60">
        <f>Calcul!D109</f>
        <v>0.33778971226384469</v>
      </c>
      <c r="E135" s="60">
        <f>Calcul!E109</f>
        <v>0.35805709499967547</v>
      </c>
      <c r="F135" s="60">
        <f>Calcul!F109</f>
        <v>0.37595994974965924</v>
      </c>
      <c r="G135" s="60">
        <f>Calcul!G109</f>
        <v>0.38648682834264975</v>
      </c>
      <c r="I135" s="169"/>
    </row>
    <row r="136" spans="2:9" x14ac:dyDescent="0.15">
      <c r="B136" s="167" t="s">
        <v>250</v>
      </c>
      <c r="C136" s="168">
        <f>'Target co'!E47</f>
        <v>0.32585000000000003</v>
      </c>
      <c r="D136" s="60">
        <f>Calcul!D95</f>
        <v>0.33249012904109593</v>
      </c>
      <c r="E136" s="60">
        <f>Calcul!E95</f>
        <v>0.33524736425753426</v>
      </c>
      <c r="F136" s="60">
        <f>Calcul!F95</f>
        <v>0.35200973247041101</v>
      </c>
      <c r="G136" s="60">
        <f>Calcul!G95</f>
        <v>0.36186600497958255</v>
      </c>
      <c r="I136" s="169"/>
    </row>
    <row r="137" spans="2:9" x14ac:dyDescent="0.15">
      <c r="B137" s="182" t="s">
        <v>251</v>
      </c>
      <c r="C137" s="168">
        <f>'Target co'!E48</f>
        <v>0</v>
      </c>
      <c r="D137" s="60">
        <v>0</v>
      </c>
      <c r="E137" s="60">
        <v>0</v>
      </c>
      <c r="F137" s="60">
        <v>0</v>
      </c>
      <c r="G137" s="60">
        <v>0</v>
      </c>
      <c r="I137" s="169"/>
    </row>
    <row r="138" spans="2:9" x14ac:dyDescent="0.15">
      <c r="B138" s="167" t="s">
        <v>252</v>
      </c>
      <c r="C138" s="168">
        <f>'Target co'!E49</f>
        <v>0.10464999999999999</v>
      </c>
      <c r="D138" s="60">
        <f>Calcul!D88</f>
        <v>0.10919011880000001</v>
      </c>
      <c r="E138" s="60">
        <f>Calcul!E88</f>
        <v>0.11574152592800004</v>
      </c>
      <c r="F138" s="60">
        <f>Calcul!F88</f>
        <v>0.12152860222440004</v>
      </c>
      <c r="G138" s="60">
        <f>Calcul!G88</f>
        <v>0.12493140308668324</v>
      </c>
      <c r="I138" s="169"/>
    </row>
    <row r="139" spans="2:9" x14ac:dyDescent="0.15">
      <c r="B139" s="170" t="s">
        <v>253</v>
      </c>
      <c r="C139" s="168">
        <f>'Target co'!E50</f>
        <v>0.74620000000000009</v>
      </c>
      <c r="D139" s="60">
        <f>SUM(D135:D138)</f>
        <v>0.77946996010494063</v>
      </c>
      <c r="E139" s="60">
        <f t="shared" ref="E139:G139" si="35">SUM(E135:E138)</f>
        <v>0.80904598518520976</v>
      </c>
      <c r="F139" s="60">
        <f t="shared" si="35"/>
        <v>0.84949828444447029</v>
      </c>
      <c r="G139" s="60">
        <f t="shared" si="35"/>
        <v>0.8732842364089155</v>
      </c>
      <c r="I139" s="169"/>
    </row>
    <row r="140" spans="2:9" x14ac:dyDescent="0.15">
      <c r="B140" s="167"/>
      <c r="C140" s="168"/>
      <c r="D140" s="60"/>
      <c r="E140" s="60"/>
      <c r="F140" s="60"/>
      <c r="G140" s="60"/>
      <c r="I140" s="169"/>
    </row>
    <row r="141" spans="2:9" x14ac:dyDescent="0.15">
      <c r="B141" s="167" t="s">
        <v>254</v>
      </c>
      <c r="C141" s="168">
        <f>'Target co'!E52</f>
        <v>0</v>
      </c>
      <c r="D141" s="60">
        <v>0</v>
      </c>
      <c r="E141" s="60">
        <v>0</v>
      </c>
      <c r="F141" s="60">
        <v>0</v>
      </c>
      <c r="G141" s="60">
        <v>0</v>
      </c>
      <c r="I141" s="169"/>
    </row>
    <row r="142" spans="2:9" x14ac:dyDescent="0.15">
      <c r="B142" s="170" t="s">
        <v>255</v>
      </c>
      <c r="C142" s="168">
        <f>'Target co'!E53</f>
        <v>0.74620000000000009</v>
      </c>
      <c r="D142" s="60">
        <f>SUM(D139,D141)</f>
        <v>0.77946996010494063</v>
      </c>
      <c r="E142" s="60">
        <f t="shared" ref="E142:G142" si="36">SUM(E139,E141)</f>
        <v>0.80904598518520976</v>
      </c>
      <c r="F142" s="60">
        <f t="shared" si="36"/>
        <v>0.84949828444447029</v>
      </c>
      <c r="G142" s="60">
        <f t="shared" si="36"/>
        <v>0.8732842364089155</v>
      </c>
      <c r="I142" s="169"/>
    </row>
    <row r="143" spans="2:9" x14ac:dyDescent="0.15">
      <c r="B143" s="167"/>
      <c r="C143" s="168"/>
      <c r="D143" s="60"/>
      <c r="E143" s="51"/>
      <c r="F143" s="51"/>
      <c r="G143" s="51"/>
      <c r="I143" s="169"/>
    </row>
    <row r="144" spans="2:9" x14ac:dyDescent="0.15">
      <c r="B144" s="167" t="s">
        <v>256</v>
      </c>
      <c r="C144" s="168">
        <f>'Target co'!E55</f>
        <v>1.6043999999999996</v>
      </c>
      <c r="D144" s="60">
        <f>C144</f>
        <v>1.6043999999999996</v>
      </c>
      <c r="E144" s="60">
        <f t="shared" ref="E144:G144" si="37">D144</f>
        <v>1.6043999999999996</v>
      </c>
      <c r="F144" s="60">
        <f t="shared" si="37"/>
        <v>1.6043999999999996</v>
      </c>
      <c r="G144" s="60">
        <f t="shared" si="37"/>
        <v>1.6043999999999996</v>
      </c>
      <c r="I144" s="169"/>
    </row>
    <row r="145" spans="2:9" x14ac:dyDescent="0.15">
      <c r="B145" s="167" t="s">
        <v>257</v>
      </c>
      <c r="C145" s="168">
        <f>'Target co'!E56</f>
        <v>1.7989999999999999</v>
      </c>
      <c r="D145" s="60">
        <f>C145+D84</f>
        <v>2.1364508058384359</v>
      </c>
      <c r="E145" s="60">
        <f>D145+E84</f>
        <v>2.5450470419111784</v>
      </c>
      <c r="F145" s="60">
        <f>E145+F84</f>
        <v>2.974073089787558</v>
      </c>
      <c r="G145" s="60">
        <f>F145+G84</f>
        <v>3.4151118670044762</v>
      </c>
      <c r="I145" s="169"/>
    </row>
    <row r="146" spans="2:9" x14ac:dyDescent="0.15">
      <c r="B146" s="170" t="s">
        <v>258</v>
      </c>
      <c r="C146" s="168">
        <f>'Target co'!E57</f>
        <v>3.4033999999999995</v>
      </c>
      <c r="D146" s="60">
        <f>SUM(D144:D145)</f>
        <v>3.7408508058384355</v>
      </c>
      <c r="E146" s="60">
        <f>SUM(E144:E145)</f>
        <v>4.149447041911178</v>
      </c>
      <c r="F146" s="60">
        <f>SUM(F144:F145)</f>
        <v>4.5784730897875576</v>
      </c>
      <c r="G146" s="60">
        <f>SUM(G144:G145)</f>
        <v>5.0195118670044758</v>
      </c>
      <c r="I146" s="169"/>
    </row>
    <row r="147" spans="2:9" x14ac:dyDescent="0.15">
      <c r="B147" s="127"/>
      <c r="C147" s="168"/>
      <c r="D147" s="60"/>
      <c r="E147" s="51"/>
      <c r="F147" s="51"/>
      <c r="G147" s="51"/>
      <c r="I147" s="169"/>
    </row>
    <row r="148" spans="2:9" x14ac:dyDescent="0.15">
      <c r="B148" s="167" t="s">
        <v>259</v>
      </c>
      <c r="C148" s="168">
        <f>'Target co'!E59</f>
        <v>4.1495999999999995</v>
      </c>
      <c r="D148" s="60">
        <f>SUM(D142,D146)</f>
        <v>4.5203207659433762</v>
      </c>
      <c r="E148" s="60">
        <f>SUM(E142,E146)</f>
        <v>4.9584930270963881</v>
      </c>
      <c r="F148" s="60">
        <f>SUM(F142,F146)</f>
        <v>5.4279713742320279</v>
      </c>
      <c r="G148" s="60">
        <f>SUM(G142,G146)</f>
        <v>5.8927961034133913</v>
      </c>
      <c r="I148" s="169"/>
    </row>
    <row r="149" spans="2:9" x14ac:dyDescent="0.15">
      <c r="B149" s="51"/>
      <c r="C149" s="51"/>
      <c r="D149" s="51"/>
      <c r="E149" s="51"/>
      <c r="F149" s="51"/>
      <c r="G149" s="51"/>
    </row>
    <row r="150" spans="2:9" x14ac:dyDescent="0.15">
      <c r="B150" s="51"/>
      <c r="C150" s="51"/>
      <c r="D150" s="51"/>
      <c r="E150" s="51"/>
      <c r="F150" s="51"/>
      <c r="G150" s="51"/>
    </row>
    <row r="151" spans="2:9" x14ac:dyDescent="0.15">
      <c r="B151" s="51"/>
      <c r="C151" s="51"/>
      <c r="D151" s="44"/>
      <c r="E151" s="44"/>
      <c r="F151" s="44"/>
      <c r="G151" s="44"/>
    </row>
    <row r="152" spans="2:9" ht="17" x14ac:dyDescent="0.2">
      <c r="B152" s="145" t="s">
        <v>260</v>
      </c>
      <c r="C152" s="146" t="str">
        <f>C113</f>
        <v>FY11</v>
      </c>
      <c r="D152" s="147" t="str">
        <f>D113</f>
        <v>FY12</v>
      </c>
      <c r="E152" s="147" t="str">
        <f>E113</f>
        <v>FY13</v>
      </c>
      <c r="F152" s="147" t="str">
        <f>F113</f>
        <v>FY14</v>
      </c>
      <c r="G152" s="147" t="str">
        <f>G113</f>
        <v>FY15</v>
      </c>
    </row>
    <row r="153" spans="2:9" x14ac:dyDescent="0.2">
      <c r="B153" s="3" t="s">
        <v>261</v>
      </c>
      <c r="C153" s="153"/>
      <c r="D153" s="153">
        <f>SUM(D94,D97)</f>
        <v>-0.10171088470986288</v>
      </c>
      <c r="E153" s="153">
        <f>SUM(E94,E97)</f>
        <v>0.22621174073538053</v>
      </c>
      <c r="F153" s="153">
        <f>SUM(F94,F97)</f>
        <v>0.24182753430887566</v>
      </c>
      <c r="G153" s="153">
        <f>SUM(G94,G97)</f>
        <v>0.33972103058904701</v>
      </c>
    </row>
    <row r="154" spans="2:9" x14ac:dyDescent="0.2">
      <c r="B154" s="3" t="s">
        <v>166</v>
      </c>
      <c r="C154" s="183">
        <f>Calcul!C121</f>
        <v>7.1945421151312514E-2</v>
      </c>
      <c r="D154" s="8"/>
      <c r="E154" s="348"/>
      <c r="F154" s="348"/>
      <c r="G154" s="348"/>
    </row>
    <row r="155" spans="2:9" x14ac:dyDescent="0.2">
      <c r="B155" s="3" t="s">
        <v>262</v>
      </c>
      <c r="C155" s="183">
        <f>Input!C139</f>
        <v>2.8000000000000001E-2</v>
      </c>
      <c r="D155" s="153"/>
      <c r="E155" s="184"/>
      <c r="F155" s="184"/>
      <c r="G155" s="184"/>
    </row>
    <row r="156" spans="2:9" x14ac:dyDescent="0.2">
      <c r="B156" s="3" t="s">
        <v>198</v>
      </c>
      <c r="C156" s="153"/>
      <c r="D156" s="153">
        <v>0.5</v>
      </c>
      <c r="E156" s="153">
        <f>D156+1</f>
        <v>1.5</v>
      </c>
      <c r="F156" s="153">
        <f t="shared" ref="F156" si="38">E156+1</f>
        <v>2.5</v>
      </c>
      <c r="G156" s="153">
        <f t="shared" ref="G156" si="39">F156+1</f>
        <v>3.5</v>
      </c>
    </row>
    <row r="157" spans="2:9" x14ac:dyDescent="0.2">
      <c r="B157" s="3" t="s">
        <v>199</v>
      </c>
      <c r="C157" s="153"/>
      <c r="D157" s="153">
        <f>1/(1+$C154)^D156</f>
        <v>0.96585884935734723</v>
      </c>
      <c r="E157" s="153">
        <f>1/(1+$C154)^E156</f>
        <v>0.90103360702821611</v>
      </c>
      <c r="F157" s="153">
        <f>1/(1+$C154)^F156</f>
        <v>0.84055921994654337</v>
      </c>
      <c r="G157" s="153">
        <f>1/(1+$C154)^G156</f>
        <v>0.78414367313939259</v>
      </c>
    </row>
    <row r="158" spans="2:9" x14ac:dyDescent="0.2">
      <c r="B158" s="3" t="s">
        <v>263</v>
      </c>
      <c r="C158" s="350"/>
      <c r="D158" s="351"/>
      <c r="E158" s="351"/>
      <c r="F158" s="352"/>
      <c r="G158" s="153">
        <f>G153*(1+C155)/(C154-C155)</f>
        <v>7.9469762786676528</v>
      </c>
    </row>
    <row r="159" spans="2:9" x14ac:dyDescent="0.2">
      <c r="B159" s="3" t="s">
        <v>264</v>
      </c>
      <c r="C159" s="153"/>
      <c r="D159" s="153">
        <f>D153*D157</f>
        <v>-9.8238358072985962E-2</v>
      </c>
      <c r="E159" s="153">
        <f t="shared" ref="E159:F159" si="40">E153*E157</f>
        <v>0.20382438070693157</v>
      </c>
      <c r="F159" s="153">
        <f t="shared" si="40"/>
        <v>0.20327036360026449</v>
      </c>
      <c r="G159" s="153">
        <f>(G153+G158)*G157</f>
        <v>6.4979612662748698</v>
      </c>
    </row>
    <row r="160" spans="2:9" x14ac:dyDescent="0.2">
      <c r="B160" s="3" t="s">
        <v>265</v>
      </c>
      <c r="C160" s="153">
        <f>SUM(D159:G159)</f>
        <v>6.8068176525090802</v>
      </c>
      <c r="D160" s="348"/>
      <c r="E160" s="348"/>
      <c r="F160" s="348"/>
      <c r="G160" s="348"/>
    </row>
    <row r="161" spans="2:7" x14ac:dyDescent="0.2">
      <c r="B161" s="3" t="s">
        <v>266</v>
      </c>
      <c r="C161" s="153">
        <f>Input!C128</f>
        <v>0.31569999999999998</v>
      </c>
      <c r="D161" s="184"/>
      <c r="E161" s="184"/>
      <c r="F161" s="184"/>
      <c r="G161" s="184"/>
    </row>
    <row r="162" spans="2:7" x14ac:dyDescent="0.2">
      <c r="B162" s="3" t="s">
        <v>267</v>
      </c>
      <c r="C162" s="185">
        <f>C160-C161</f>
        <v>6.4911176525090806</v>
      </c>
      <c r="D162" s="349" t="str">
        <f>"Greater than "  &amp;Input!C85</f>
        <v>Greater than 1.32825</v>
      </c>
      <c r="E162" s="349"/>
      <c r="F162" s="349"/>
      <c r="G162" s="349"/>
    </row>
    <row r="165" spans="2:7" ht="17" x14ac:dyDescent="0.15">
      <c r="B165" s="6" t="s">
        <v>178</v>
      </c>
      <c r="C165" s="6">
        <f>C13</f>
        <v>907865</v>
      </c>
    </row>
    <row r="166" spans="2:7" ht="17" x14ac:dyDescent="0.15">
      <c r="B166" s="6" t="s">
        <v>268</v>
      </c>
      <c r="C166" s="6">
        <f>Input!C87</f>
        <v>404908</v>
      </c>
    </row>
    <row r="167" spans="2:7" ht="17" x14ac:dyDescent="0.15">
      <c r="B167" s="136" t="s">
        <v>269</v>
      </c>
      <c r="C167" s="136">
        <f>Input!C88</f>
        <v>8.41</v>
      </c>
    </row>
    <row r="168" spans="2:7" ht="17" x14ac:dyDescent="0.15">
      <c r="B168" s="6" t="s">
        <v>270</v>
      </c>
      <c r="C168" s="56">
        <f>C166*C167/inM</f>
        <v>3.4052762800000003</v>
      </c>
    </row>
    <row r="169" spans="2:7" ht="17" x14ac:dyDescent="0.15">
      <c r="B169" s="136" t="s">
        <v>271</v>
      </c>
      <c r="C169" s="186">
        <f>C146</f>
        <v>3.4033999999999995</v>
      </c>
    </row>
    <row r="170" spans="2:7" ht="17" x14ac:dyDescent="0.15">
      <c r="B170" s="6" t="s">
        <v>272</v>
      </c>
      <c r="C170" s="56">
        <f>C168-C169</f>
        <v>1.8762800000007296E-3</v>
      </c>
    </row>
    <row r="171" spans="2:7" ht="17" x14ac:dyDescent="0.15">
      <c r="B171" s="102" t="s">
        <v>349</v>
      </c>
      <c r="C171" s="138">
        <f>C166/SUM(C165:C166)</f>
        <v>0.30843717840022611</v>
      </c>
    </row>
    <row r="172" spans="2:7" ht="17" x14ac:dyDescent="0.15">
      <c r="B172" s="139" t="s">
        <v>179</v>
      </c>
      <c r="C172" s="56">
        <f>C165*C167/inM</f>
        <v>7.63514465</v>
      </c>
    </row>
    <row r="173" spans="2:7" ht="17" x14ac:dyDescent="0.15">
      <c r="B173" s="102" t="s">
        <v>180</v>
      </c>
      <c r="C173" s="141">
        <f>SUM(C165,C166)*C167/inM</f>
        <v>11.04042093</v>
      </c>
    </row>
    <row r="175" spans="2:7" ht="34" x14ac:dyDescent="0.15">
      <c r="B175" s="136" t="s">
        <v>365</v>
      </c>
      <c r="C175" s="136" t="s">
        <v>170</v>
      </c>
      <c r="D175" s="136" t="s">
        <v>171</v>
      </c>
    </row>
    <row r="176" spans="2:7" ht="17" x14ac:dyDescent="0.15">
      <c r="B176" s="6" t="s">
        <v>172</v>
      </c>
      <c r="C176" s="6">
        <f>C6</f>
        <v>226966.25</v>
      </c>
      <c r="D176" s="55">
        <f>C176/SUM($C$176:$C$179)</f>
        <v>0.17289070539994347</v>
      </c>
    </row>
    <row r="177" spans="2:4" ht="17" x14ac:dyDescent="0.15">
      <c r="B177" s="6" t="s">
        <v>104</v>
      </c>
      <c r="C177" s="6">
        <f t="shared" ref="C177:C178" si="41">C7</f>
        <v>63550.55</v>
      </c>
      <c r="D177" s="55">
        <f t="shared" ref="D177:D179" si="42">C177/SUM($C$176:$C$179)</f>
        <v>4.8409397511984177E-2</v>
      </c>
    </row>
    <row r="178" spans="2:4" ht="17" x14ac:dyDescent="0.15">
      <c r="B178" s="6" t="s">
        <v>173</v>
      </c>
      <c r="C178" s="6">
        <f t="shared" si="41"/>
        <v>617348.19999999995</v>
      </c>
      <c r="D178" s="55">
        <f t="shared" si="42"/>
        <v>0.47026271868784625</v>
      </c>
    </row>
    <row r="179" spans="2:4" ht="17" x14ac:dyDescent="0.15">
      <c r="B179" s="6" t="s">
        <v>182</v>
      </c>
      <c r="C179" s="6">
        <f>C166</f>
        <v>404908</v>
      </c>
      <c r="D179" s="55">
        <f t="shared" si="42"/>
        <v>0.30843717840022611</v>
      </c>
    </row>
  </sheetData>
  <sheetProtection selectLockedCells="1"/>
  <mergeCells count="7">
    <mergeCell ref="D160:G160"/>
    <mergeCell ref="D162:G162"/>
    <mergeCell ref="E53:G53"/>
    <mergeCell ref="D58:G58"/>
    <mergeCell ref="D59:G59"/>
    <mergeCell ref="E154:G154"/>
    <mergeCell ref="C158:F158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113C-D5C9-464A-A2F1-B8D1AF2C1F2B}">
  <sheetPr codeName="Sheet5">
    <tabColor rgb="FF00B050"/>
  </sheetPr>
  <dimension ref="B2:N29"/>
  <sheetViews>
    <sheetView zoomScaleNormal="140" workbookViewId="0">
      <selection activeCell="B10" sqref="B10"/>
    </sheetView>
  </sheetViews>
  <sheetFormatPr baseColWidth="10" defaultColWidth="10.75" defaultRowHeight="11.25" customHeight="1" x14ac:dyDescent="0.15"/>
  <cols>
    <col min="1" max="1" width="10.75" style="156"/>
    <col min="2" max="2" width="84.25" style="156" customWidth="1"/>
    <col min="3" max="3" width="10.25" style="156" customWidth="1"/>
    <col min="4" max="8" width="22.75" style="156" customWidth="1"/>
    <col min="9" max="9" width="23.75" style="156" customWidth="1"/>
    <col min="10" max="10" width="7.75" style="156" bestFit="1" customWidth="1"/>
    <col min="11" max="16384" width="10.75" style="156"/>
  </cols>
  <sheetData>
    <row r="2" spans="2:14" ht="28" customHeight="1" x14ac:dyDescent="0.15">
      <c r="B2" s="40" t="str">
        <f>Input!B2</f>
        <v>Noname co, by elie diwambuena</v>
      </c>
    </row>
    <row r="4" spans="2:14" ht="19" customHeight="1" x14ac:dyDescent="0.2">
      <c r="B4" s="145" t="str">
        <f>'Noname co'!A6</f>
        <v>Income Statement</v>
      </c>
      <c r="C4" s="146" t="s">
        <v>69</v>
      </c>
      <c r="D4" s="147" t="str">
        <f>Input!D7</f>
        <v>FY12</v>
      </c>
      <c r="E4" s="147" t="str">
        <f>Input!E7</f>
        <v>FY13</v>
      </c>
      <c r="F4" s="147" t="str">
        <f>Input!F7</f>
        <v>FY14</v>
      </c>
      <c r="G4" s="147" t="str">
        <f>Input!G7</f>
        <v>FY15</v>
      </c>
      <c r="H4" s="187"/>
      <c r="I4" s="6"/>
      <c r="J4" s="6"/>
      <c r="K4" s="6"/>
      <c r="L4" s="6"/>
      <c r="M4" s="6"/>
      <c r="N4" s="6"/>
    </row>
    <row r="5" spans="2:14" ht="19" customHeight="1" x14ac:dyDescent="0.15">
      <c r="C5" s="188"/>
      <c r="I5" s="6"/>
      <c r="J5" s="6"/>
      <c r="K5" s="6"/>
      <c r="L5" s="6"/>
      <c r="M5" s="6"/>
      <c r="N5" s="6"/>
    </row>
    <row r="6" spans="2:14" ht="19" customHeight="1" x14ac:dyDescent="0.15">
      <c r="B6" s="6" t="str">
        <f>'Noname co'!A8</f>
        <v>Net Sales</v>
      </c>
      <c r="C6" s="157"/>
      <c r="D6" s="158" cm="1">
        <f t="array" ref="D6">_xlfn.IFS(OPT=0,Calcul!D5, OPT=1, Calcul!D5+Projects!D29, OPT=2, Calcul!D5+Projects!D68,OPT=3,Calcul!D5)</f>
        <v>32.578349999999993</v>
      </c>
      <c r="E6" s="158" cm="1">
        <f t="array" ref="E6">_xlfn.IFS(OPT=0,Calcul!E5, OPT=1, Calcul!E5+Projects!E29, OPT=2, Calcul!E5+Projects!E68,OPT=3,Calcul!E5)</f>
        <v>36.813535499999986</v>
      </c>
      <c r="F6" s="158" cm="1">
        <f t="array" ref="F6">_xlfn.IFS(OPT=0,Calcul!F5, OPT=1, Calcul!F5+Projects!F29, OPT=2, Calcul!F5+Projects!F68,OPT=3,Calcul!F5)</f>
        <v>40.86302440499999</v>
      </c>
      <c r="G6" s="158" cm="1">
        <f t="array" ref="G6">_xlfn.IFS(OPT=0,Calcul!G5, OPT=1, Calcul!G5+Projects!G29, OPT=2, Calcul!G5+Projects!G68,OPT=3,Calcul!G5)</f>
        <v>44.540696601449994</v>
      </c>
      <c r="H6" s="158"/>
      <c r="I6" s="6"/>
      <c r="J6" s="6"/>
      <c r="K6" s="6"/>
      <c r="L6" s="6"/>
      <c r="M6" s="6"/>
      <c r="N6" s="6"/>
    </row>
    <row r="7" spans="2:14" ht="19" customHeight="1" x14ac:dyDescent="0.15">
      <c r="B7" s="6" t="str">
        <f>'Noname co'!A9</f>
        <v>Cost of Goods Sold</v>
      </c>
      <c r="C7" s="157"/>
      <c r="D7" s="189" cm="1">
        <f t="array" ref="D7">_xlfn.IFS(OPT=0, Calcul!D9, OPT=1,Calcul!D9+Projects!D30, OPT=2,Calcul!D9+Projects!D69, OPT=3, Calcul!D9)</f>
        <v>-20.035685249999997</v>
      </c>
      <c r="E7" s="189" cm="1">
        <f t="array" ref="E7">_xlfn.IFS(OPT=0, Calcul!E9, OPT=1,Calcul!E9+Projects!E30, OPT=2,Calcul!E9+Projects!E69, OPT=3, Calcul!E9)</f>
        <v>-21.535918267499991</v>
      </c>
      <c r="F7" s="189" cm="1">
        <f t="array" ref="F7">_xlfn.IFS(OPT=0, Calcul!F9, OPT=1,Calcul!F9+Projects!F30, OPT=2,Calcul!F9+Projects!F69, OPT=3, Calcul!F9)</f>
        <v>-23.904869276924991</v>
      </c>
      <c r="G7" s="189" cm="1">
        <f t="array" ref="G7">_xlfn.IFS(OPT=0, Calcul!G9, OPT=1,Calcul!G9+Projects!G30, OPT=2,Calcul!G9+Projects!G69, OPT=3, Calcul!G9)</f>
        <v>-26.056307511848246</v>
      </c>
      <c r="H7" s="161"/>
      <c r="I7" s="7"/>
      <c r="J7" s="56"/>
      <c r="K7" s="56"/>
      <c r="L7" s="56"/>
      <c r="M7" s="56"/>
      <c r="N7" s="6"/>
    </row>
    <row r="8" spans="2:14" ht="19" customHeight="1" x14ac:dyDescent="0.15">
      <c r="B8" s="6" t="str">
        <f>'Noname co'!A10</f>
        <v>Gross Profit Margin</v>
      </c>
      <c r="C8" s="157"/>
      <c r="D8" s="161">
        <f>SUM(D6:D7)</f>
        <v>12.542664749999997</v>
      </c>
      <c r="E8" s="161">
        <f t="shared" ref="E8:G8" si="0">SUM(E6:E7)</f>
        <v>15.277617232499995</v>
      </c>
      <c r="F8" s="161">
        <f t="shared" si="0"/>
        <v>16.958155128074999</v>
      </c>
      <c r="G8" s="161">
        <f t="shared" si="0"/>
        <v>18.484389089601748</v>
      </c>
      <c r="H8" s="161"/>
      <c r="I8" s="6"/>
      <c r="J8" s="6"/>
      <c r="K8" s="6"/>
      <c r="L8" s="6"/>
      <c r="M8" s="6"/>
      <c r="N8" s="6"/>
    </row>
    <row r="9" spans="2:14" ht="19" customHeight="1" x14ac:dyDescent="0.15">
      <c r="B9" s="6"/>
      <c r="C9" s="157"/>
      <c r="D9" s="158"/>
      <c r="E9" s="158"/>
      <c r="F9" s="158"/>
      <c r="G9" s="158"/>
      <c r="H9" s="158"/>
    </row>
    <row r="10" spans="2:14" ht="19" customHeight="1" x14ac:dyDescent="0.15">
      <c r="B10" s="6" t="s">
        <v>158</v>
      </c>
      <c r="C10" s="190"/>
      <c r="D10" s="158" cm="1">
        <f t="array" ref="D10">_xlfn.IFS(OPT=1, Projects!D33, OPT&lt;&gt;1,0)</f>
        <v>0</v>
      </c>
      <c r="E10" s="158" cm="1">
        <f t="array" ref="E10">_xlfn.IFS(OPT=1, Projects!E33, OPT&lt;&gt;1,0)</f>
        <v>0</v>
      </c>
      <c r="F10" s="158" cm="1">
        <f t="array" ref="F10">_xlfn.IFS(OPT=1, Projects!F33, OPT&lt;&gt;1,0)</f>
        <v>0</v>
      </c>
      <c r="G10" s="158" cm="1">
        <f t="array" ref="G10">_xlfn.IFS(OPT=1, Projects!G33, OPT&lt;&gt;1,0)</f>
        <v>0</v>
      </c>
      <c r="H10" s="158"/>
    </row>
    <row r="11" spans="2:14" ht="19" customHeight="1" x14ac:dyDescent="0.15">
      <c r="B11" s="6" t="str">
        <f>'Noname co'!A12</f>
        <v>R&amp;D Expense</v>
      </c>
      <c r="C11" s="157"/>
      <c r="D11" s="110" cm="1">
        <f t="array" ref="D11">_xlfn.IFS(OPT=0, Calcul!D11, OPT=1, Calcul!D11, OPT=2, Calcul!D11+Projects!D73, OPT=3, Calcul!D11)</f>
        <v>-0.32578349999999995</v>
      </c>
      <c r="E11" s="110" cm="1">
        <f t="array" ref="E11">_xlfn.IFS(OPT=0, Calcul!E11, OPT=1, Calcul!E11, OPT=2, Calcul!E11+Projects!E73, OPT=3, Calcul!E11)</f>
        <v>-0.5890165679999998</v>
      </c>
      <c r="F11" s="110" cm="1">
        <f t="array" ref="F11">_xlfn.IFS(OPT=0, Calcul!F11, OPT=1, Calcul!F11, OPT=2, Calcul!F11+Projects!F73, OPT=3, Calcul!F11)</f>
        <v>-0.65380839047999983</v>
      </c>
      <c r="G11" s="110" cm="1">
        <f t="array" ref="G11">_xlfn.IFS(OPT=0, Calcul!G11, OPT=1, Calcul!G11, OPT=2, Calcul!G11+Projects!G73, OPT=3, Calcul!G11)</f>
        <v>-0.71265114562319998</v>
      </c>
      <c r="H11" s="110"/>
    </row>
    <row r="12" spans="2:14" ht="19" customHeight="1" x14ac:dyDescent="0.15">
      <c r="B12" s="6" t="str">
        <f>'Noname co'!A13</f>
        <v>SG&amp;A Expense</v>
      </c>
      <c r="C12" s="157"/>
      <c r="D12" s="189" cm="1">
        <f t="array" ref="D12">_xlfn.IFS(OPT=0,Calcul!D10,OPT=1,Calcul!D10+SUM(Projects!D34:D35),OPT=2,Calcul!D10+Projects!D74,OPT=3,Calcul!D10)</f>
        <v>-9.806083349999998</v>
      </c>
      <c r="E12" s="189" cm="1">
        <f t="array" ref="E12">_xlfn.IFS(OPT=0,Calcul!E10,OPT=1,Calcul!E10+SUM(Projects!E34:E35),OPT=2,Calcul!E10+Projects!E74,OPT=3,Calcul!E10)</f>
        <v>-11.596263682499997</v>
      </c>
      <c r="F12" s="189" cm="1">
        <f t="array" ref="F12">_xlfn.IFS(OPT=0,Calcul!F10,OPT=1,Calcul!F10+SUM(Projects!F34:F35),OPT=2,Calcul!F10+Projects!F74,OPT=3,Calcul!F10)</f>
        <v>-12.871852687574997</v>
      </c>
      <c r="G12" s="189" cm="1">
        <f t="array" ref="G12">_xlfn.IFS(OPT=0,Calcul!G10,OPT=1,Calcul!G10+SUM(Projects!G34:G35),OPT=2,Calcul!G10+Projects!G74,OPT=3,Calcul!G10)</f>
        <v>-14.030319429456748</v>
      </c>
      <c r="H12" s="161"/>
    </row>
    <row r="13" spans="2:14" ht="19" customHeight="1" x14ac:dyDescent="0.15">
      <c r="B13" s="6" t="str">
        <f>'Noname co'!A14</f>
        <v>Earnings Before Interest &amp; Taxes</v>
      </c>
      <c r="C13" s="157"/>
      <c r="D13" s="161">
        <f>SUM(D8:D12)</f>
        <v>2.4107978999999986</v>
      </c>
      <c r="E13" s="161">
        <f t="shared" ref="E13:G13" si="1">SUM(E8:E12)</f>
        <v>3.0923369819999991</v>
      </c>
      <c r="F13" s="161">
        <f t="shared" si="1"/>
        <v>3.4324940500200043</v>
      </c>
      <c r="G13" s="161">
        <f t="shared" si="1"/>
        <v>3.7414185145217989</v>
      </c>
      <c r="H13" s="161"/>
    </row>
    <row r="14" spans="2:14" ht="19" customHeight="1" x14ac:dyDescent="0.15">
      <c r="B14" s="6"/>
      <c r="C14" s="157"/>
      <c r="D14" s="162"/>
      <c r="E14" s="162"/>
      <c r="F14" s="162"/>
      <c r="G14" s="162"/>
      <c r="H14" s="162"/>
    </row>
    <row r="15" spans="2:14" ht="19" customHeight="1" x14ac:dyDescent="0.15">
      <c r="B15" s="6" t="str">
        <f>'Noname co'!A16</f>
        <v>Interest Expense</v>
      </c>
      <c r="C15" s="157"/>
      <c r="D15" s="189" cm="1">
        <f t="array" ref="D15">_xlfn.IFS(OPT=0, Calcul!D36+Calcul!D41, OPT=1,Calcul!D36+Calcul!D41, OPT=2,Calcul!D36+Calcul!D41+Projects!D77+Input!D118,OPT=3, Calcul!D36+Calcul!D41)</f>
        <v>-1.1185250948694447</v>
      </c>
      <c r="E15" s="189" cm="1">
        <f t="array" ref="E15">_xlfn.IFS(OPT=0, Calcul!E36+Calcul!E41, OPT=1,Calcul!E36+Calcul!E41, OPT=2,Calcul!E36+Calcul!E41+Projects!E77+Input!E118,OPT=3, Calcul!E36+Calcul!E41)</f>
        <v>-1.2639333572024722</v>
      </c>
      <c r="F15" s="189" cm="1">
        <f t="array" ref="F15">_xlfn.IFS(OPT=0, Calcul!F36+Calcul!F41, OPT=1,Calcul!F36+Calcul!F41, OPT=2,Calcul!F36+Calcul!F41+Projects!F77+Input!F118,OPT=3, Calcul!F36+Calcul!F41)</f>
        <v>-1.4029660264947446</v>
      </c>
      <c r="G15" s="189" cm="1">
        <f t="array" ref="G15">_xlfn.IFS(OPT=0, Calcul!G36+Calcul!G41, OPT=1,Calcul!G36+Calcul!G41, OPT=2,Calcul!G36+Calcul!G41+Projects!G77+Input!G118,OPT=3, Calcul!G36+Calcul!G41)</f>
        <v>-1.5292329688792716</v>
      </c>
      <c r="H15" s="161"/>
    </row>
    <row r="16" spans="2:14" ht="19" customHeight="1" x14ac:dyDescent="0.15">
      <c r="B16" s="6" t="str">
        <f>'Noname co'!A17</f>
        <v>Earnings Before Income Taxes</v>
      </c>
      <c r="C16" s="157"/>
      <c r="D16" s="161">
        <f>SUM(D13:D15)</f>
        <v>1.2922728051305539</v>
      </c>
      <c r="E16" s="161">
        <f t="shared" ref="E16:G16" si="2">SUM(E13:E15)</f>
        <v>1.8284036247975268</v>
      </c>
      <c r="F16" s="161">
        <f t="shared" si="2"/>
        <v>2.02952802352526</v>
      </c>
      <c r="G16" s="161">
        <f t="shared" si="2"/>
        <v>2.2121855456425275</v>
      </c>
      <c r="H16" s="161"/>
    </row>
    <row r="17" spans="2:8" ht="19" customHeight="1" x14ac:dyDescent="0.15">
      <c r="B17" s="6"/>
      <c r="C17" s="157"/>
      <c r="D17" s="162"/>
      <c r="E17" s="162"/>
      <c r="F17" s="162"/>
      <c r="G17" s="162"/>
      <c r="H17" s="162"/>
    </row>
    <row r="18" spans="2:8" ht="19" customHeight="1" x14ac:dyDescent="0.15">
      <c r="B18" s="6" t="str">
        <f>'Noname co'!A19</f>
        <v>Income Taxes</v>
      </c>
      <c r="C18" s="157"/>
      <c r="D18" s="189">
        <f xml:space="preserve"> -D16*Input!D19</f>
        <v>-0.34891365738524954</v>
      </c>
      <c r="E18" s="189">
        <f xml:space="preserve"> -E16*Input!E19</f>
        <v>-0.49366897869533227</v>
      </c>
      <c r="F18" s="189">
        <f xml:space="preserve"> -F16*Input!F19</f>
        <v>-0.54797256635182023</v>
      </c>
      <c r="G18" s="189">
        <f xml:space="preserve"> -G16*Input!G19</f>
        <v>-0.59729009732348248</v>
      </c>
      <c r="H18" s="161"/>
    </row>
    <row r="19" spans="2:8" ht="19" customHeight="1" x14ac:dyDescent="0.15">
      <c r="B19" s="6" t="str">
        <f>'Noname co'!A20</f>
        <v>Net Income</v>
      </c>
      <c r="C19" s="157"/>
      <c r="D19" s="161">
        <f>SUM(D16:D18)</f>
        <v>0.94335914774530427</v>
      </c>
      <c r="E19" s="161">
        <f t="shared" ref="E19:G19" si="3">SUM(E16:E18)</f>
        <v>1.3347346461021945</v>
      </c>
      <c r="F19" s="161">
        <f t="shared" si="3"/>
        <v>1.4815554571734397</v>
      </c>
      <c r="G19" s="161">
        <f t="shared" si="3"/>
        <v>1.614895448319045</v>
      </c>
      <c r="H19" s="161"/>
    </row>
    <row r="20" spans="2:8" ht="16" x14ac:dyDescent="0.15">
      <c r="C20" s="191"/>
      <c r="D20" s="192"/>
      <c r="E20" s="192"/>
      <c r="F20" s="192"/>
      <c r="G20" s="192"/>
      <c r="H20" s="192"/>
    </row>
    <row r="21" spans="2:8" ht="17" x14ac:dyDescent="0.15">
      <c r="B21" s="6" t="s">
        <v>217</v>
      </c>
      <c r="C21" s="157"/>
      <c r="D21" s="161">
        <f>D19*Input!D38</f>
        <v>0.94335914774530427</v>
      </c>
      <c r="E21" s="161">
        <f>E19*Input!E38</f>
        <v>1.3347346461021945</v>
      </c>
      <c r="F21" s="161">
        <f>F19*Input!F38</f>
        <v>1.4815554571734397</v>
      </c>
      <c r="G21" s="161">
        <f>G19*Input!G38</f>
        <v>1.614895448319045</v>
      </c>
      <c r="H21" s="161"/>
    </row>
    <row r="22" spans="2:8" ht="16" x14ac:dyDescent="0.15">
      <c r="C22" s="165"/>
      <c r="D22" s="193"/>
      <c r="E22" s="193"/>
      <c r="F22" s="193"/>
      <c r="G22" s="193"/>
      <c r="H22" s="193"/>
    </row>
    <row r="24" spans="2:8" ht="13" customHeight="1" x14ac:dyDescent="0.15"/>
    <row r="25" spans="2:8" ht="16" x14ac:dyDescent="0.15">
      <c r="H25" s="194"/>
    </row>
    <row r="26" spans="2:8" ht="22.5" customHeight="1" x14ac:dyDescent="0.15">
      <c r="H26" s="195"/>
    </row>
    <row r="27" spans="2:8" ht="17.25" customHeight="1" x14ac:dyDescent="0.15"/>
    <row r="28" spans="2:8" ht="19.5" customHeight="1" x14ac:dyDescent="0.15"/>
    <row r="29" spans="2:8" ht="11" x14ac:dyDescent="0.15">
      <c r="E29" s="196"/>
    </row>
  </sheetData>
  <sheetProtection selectLockedCell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B27E-C37F-D04B-813F-E3DD1CC8A207}">
  <sheetPr codeName="Sheet6">
    <tabColor rgb="FF00B050"/>
  </sheetPr>
  <dimension ref="B1:L43"/>
  <sheetViews>
    <sheetView zoomScaleNormal="140" workbookViewId="0">
      <selection activeCell="D11" sqref="D11"/>
    </sheetView>
  </sheetViews>
  <sheetFormatPr baseColWidth="10" defaultColWidth="10.75" defaultRowHeight="15" customHeight="1" x14ac:dyDescent="0.15"/>
  <cols>
    <col min="1" max="1" width="10.75" style="51"/>
    <col min="2" max="2" width="64.75" style="51" customWidth="1"/>
    <col min="3" max="7" width="21" style="51" customWidth="1"/>
    <col min="8" max="12" width="13.75" style="51" bestFit="1" customWidth="1"/>
    <col min="13" max="16378" width="10.75" style="51"/>
    <col min="16379" max="16384" width="10.75" style="51" bestFit="1" customWidth="1"/>
  </cols>
  <sheetData>
    <row r="1" spans="2:12" ht="17" x14ac:dyDescent="0.15">
      <c r="B1" s="197" t="str">
        <f>Input!B2</f>
        <v>Noname co, by elie diwambuena</v>
      </c>
    </row>
    <row r="3" spans="2:12" ht="16" x14ac:dyDescent="0.15">
      <c r="B3" s="356" t="s">
        <v>273</v>
      </c>
      <c r="C3" s="356"/>
      <c r="D3" s="356"/>
      <c r="E3" s="356"/>
      <c r="F3" s="356"/>
      <c r="G3" s="356"/>
      <c r="H3" s="356"/>
      <c r="I3" s="198"/>
      <c r="J3" s="198"/>
      <c r="K3" s="198"/>
      <c r="L3" s="198"/>
    </row>
    <row r="4" spans="2:12" ht="16" x14ac:dyDescent="0.15">
      <c r="B4" s="151"/>
      <c r="C4" s="151"/>
      <c r="D4" s="151"/>
      <c r="E4" s="151"/>
      <c r="F4" s="151"/>
      <c r="G4" s="151"/>
      <c r="H4" s="151"/>
      <c r="I4" s="198"/>
      <c r="J4" s="198"/>
      <c r="K4" s="198"/>
      <c r="L4" s="198"/>
    </row>
    <row r="5" spans="2:12" ht="17" x14ac:dyDescent="0.2">
      <c r="B5" s="145" t="s">
        <v>218</v>
      </c>
      <c r="C5" s="146" t="s">
        <v>69</v>
      </c>
      <c r="D5" s="147" t="str">
        <f>PL!D4</f>
        <v>FY12</v>
      </c>
      <c r="E5" s="147" t="str">
        <f>PL!E4</f>
        <v>FY13</v>
      </c>
      <c r="F5" s="147" t="str">
        <f>PL!F4</f>
        <v>FY14</v>
      </c>
      <c r="G5" s="147" t="str">
        <f>PL!G4</f>
        <v>FY15</v>
      </c>
      <c r="H5" s="199"/>
      <c r="I5" s="199"/>
      <c r="J5" s="187"/>
      <c r="K5" s="199"/>
      <c r="L5" s="125"/>
    </row>
    <row r="6" spans="2:12" ht="16" x14ac:dyDescent="0.15">
      <c r="B6" s="128" t="s">
        <v>219</v>
      </c>
      <c r="D6" s="117">
        <f>PL!D13</f>
        <v>2.4107978999999986</v>
      </c>
      <c r="E6" s="117">
        <f>PL!E13</f>
        <v>3.0923369819999991</v>
      </c>
      <c r="F6" s="117">
        <f>PL!F13</f>
        <v>3.4324940500200043</v>
      </c>
      <c r="G6" s="117">
        <f>PL!G13</f>
        <v>3.7414185145217989</v>
      </c>
      <c r="H6" s="200"/>
      <c r="I6" s="200"/>
      <c r="J6" s="201"/>
      <c r="K6" s="201"/>
      <c r="L6" s="198"/>
    </row>
    <row r="7" spans="2:12" ht="16" x14ac:dyDescent="0.15">
      <c r="B7" s="128" t="s">
        <v>220</v>
      </c>
      <c r="D7" s="117">
        <f>-D6*Input!D19</f>
        <v>-0.65091543299999965</v>
      </c>
      <c r="E7" s="117">
        <f>-E6*Input!E19</f>
        <v>-0.83493098513999975</v>
      </c>
      <c r="F7" s="117">
        <f>-F6*Input!F19</f>
        <v>-0.92677339350540122</v>
      </c>
      <c r="G7" s="117">
        <f>-G6*Input!G19</f>
        <v>-1.0101829989208857</v>
      </c>
      <c r="H7" s="200"/>
      <c r="I7" s="200"/>
      <c r="J7" s="201"/>
      <c r="K7" s="202"/>
      <c r="L7" s="198"/>
    </row>
    <row r="8" spans="2:12" ht="16" x14ac:dyDescent="0.15">
      <c r="B8" s="130" t="s">
        <v>221</v>
      </c>
      <c r="D8" s="117">
        <f t="shared" ref="D8" si="0">SUM(D6:D7)</f>
        <v>1.7598824669999988</v>
      </c>
      <c r="E8" s="117">
        <f t="shared" ref="E8:G8" si="1">SUM(E6:E7)</f>
        <v>2.2574059968599993</v>
      </c>
      <c r="F8" s="117">
        <f t="shared" si="1"/>
        <v>2.5057206565146029</v>
      </c>
      <c r="G8" s="117">
        <f t="shared" si="1"/>
        <v>2.7312355156009129</v>
      </c>
      <c r="H8" s="200"/>
      <c r="I8" s="200"/>
      <c r="J8" s="201"/>
      <c r="K8" s="202"/>
      <c r="L8" s="198"/>
    </row>
    <row r="9" spans="2:12" ht="16" x14ac:dyDescent="0.15">
      <c r="B9" s="130" t="s">
        <v>222</v>
      </c>
      <c r="D9" s="117">
        <f>-PL!D10</f>
        <v>0</v>
      </c>
      <c r="E9" s="117">
        <f>-PL!E10</f>
        <v>0</v>
      </c>
      <c r="F9" s="117">
        <f>-PL!F10</f>
        <v>0</v>
      </c>
      <c r="G9" s="117">
        <f>-PL!G10</f>
        <v>0</v>
      </c>
      <c r="H9" s="200"/>
      <c r="I9" s="200"/>
      <c r="J9" s="201"/>
      <c r="K9" s="202"/>
      <c r="L9" s="198"/>
    </row>
    <row r="10" spans="2:12" ht="16" x14ac:dyDescent="0.15">
      <c r="B10" s="130" t="s">
        <v>190</v>
      </c>
      <c r="D10" s="117" cm="1">
        <f t="array" ref="D10">_xlfn.IFS(OPT=0,Calcul!D24, OPT=1,Calcul!D24+Calcul!D65, OPT=2, Calcul!D24+Calcul!D98,OPT=3,Calcul!D24)</f>
        <v>-1.4445841686643792</v>
      </c>
      <c r="E10" s="117" cm="1">
        <f t="array" ref="E10">_xlfn.IFS(OPT=0,Calcul!E24, OPT=1,Calcul!E24+Calcul!E65, OPT=2, Calcul!E24+Calcul!E98,OPT=3,Calcul!E24)</f>
        <v>-1.1219950269092465</v>
      </c>
      <c r="F10" s="117" cm="1">
        <f t="array" ref="F10">_xlfn.IFS(OPT=0,Calcul!F24, OPT=1,Calcul!F24+Calcul!F65, OPT=2, Calcul!F24+Calcul!F98,OPT=3,Calcul!F24)</f>
        <v>-1.2296162115130986</v>
      </c>
      <c r="G10" s="117" cm="1">
        <f t="array" ref="G10">_xlfn.IFS(OPT=0,Calcul!G24, OPT=1,Calcul!G24+Calcul!G65, OPT=2, Calcul!G24+Calcul!G98,OPT=3,Calcul!G24)</f>
        <v>-1.1167150866378073</v>
      </c>
      <c r="H10" s="200"/>
      <c r="I10" s="200"/>
      <c r="J10" s="201"/>
      <c r="K10" s="202"/>
      <c r="L10" s="198"/>
    </row>
    <row r="11" spans="2:12" ht="16" x14ac:dyDescent="0.15">
      <c r="B11" s="130" t="s">
        <v>135</v>
      </c>
      <c r="D11" s="117" cm="1">
        <f t="array" ref="D11">_xlfn.IFS(OPT=0,Calcul!D16, OPT=1,Calcul!D16,OPT=2,Calcul!D16+Calcul!D89,OPT=3,Calcul!D16)</f>
        <v>-5.7440173044973952E-2</v>
      </c>
      <c r="E11" s="117" cm="1">
        <f t="array" ref="E11">_xlfn.IFS(OPT=0,Calcul!E16, OPT=1,Calcul!E16,OPT=2,Calcul!E16+Calcul!E89,OPT=3,Calcul!E16)</f>
        <v>-5.155672249584653E-2</v>
      </c>
      <c r="F11" s="117" cm="1">
        <f t="array" ref="F11">_xlfn.IFS(OPT=0,Calcul!F16, OPT=1,Calcul!F16,OPT=2,Calcul!F16+Calcul!F89,OPT=3,Calcul!F16)</f>
        <v>-4.9296158509490318E-2</v>
      </c>
      <c r="G11" s="117" cm="1">
        <f t="array" ref="G11">_xlfn.IFS(OPT=0,Calcul!G16, OPT=1,Calcul!G16,OPT=2,Calcul!G16+Calcul!G89,OPT=3,Calcul!G16)</f>
        <v>-4.4769874864527992E-2</v>
      </c>
      <c r="H11" s="200"/>
      <c r="I11" s="200"/>
      <c r="J11" s="201"/>
      <c r="K11" s="202"/>
      <c r="L11" s="198"/>
    </row>
    <row r="12" spans="2:12" ht="16" x14ac:dyDescent="0.15">
      <c r="B12" s="130" t="s">
        <v>136</v>
      </c>
      <c r="D12" s="133" cm="1">
        <f t="array" ref="D12">_xlfn.IFS(OPT=0,Calcul!D17,OPT=1,Calcul!D17, OPT=2,Calcul!D17+Calcul!D90,OPT=3,Calcul!D17)</f>
        <v>7.0011238366878781E-2</v>
      </c>
      <c r="E12" s="133" cm="1">
        <f t="array" ref="E12">_xlfn.IFS(OPT=0,Calcul!E17,OPT=1,Calcul!E17, OPT=2,Calcul!E17+Calcul!E90,OPT=3,Calcul!E17)</f>
        <v>7.029896098769417E-2</v>
      </c>
      <c r="F12" s="133" cm="1">
        <f t="array" ref="F12">_xlfn.IFS(OPT=0,Calcul!F17,OPT=1,Calcul!F17, OPT=2,Calcul!F17+Calcul!F90,OPT=3,Calcul!F17)</f>
        <v>6.7216621929003129E-2</v>
      </c>
      <c r="G12" s="133" cm="1">
        <f t="array" ref="G12">_xlfn.IFS(OPT=0,Calcul!G17,OPT=1,Calcul!G17, OPT=2,Calcul!G17+Calcul!G90,OPT=3,Calcul!G17)</f>
        <v>6.1044913915521914E-2</v>
      </c>
      <c r="H12" s="200"/>
      <c r="I12" s="200"/>
      <c r="J12" s="201"/>
      <c r="K12" s="202"/>
      <c r="L12" s="198"/>
    </row>
    <row r="13" spans="2:12" ht="16" x14ac:dyDescent="0.15">
      <c r="B13" s="151" t="s">
        <v>191</v>
      </c>
      <c r="D13" s="117">
        <f t="shared" ref="D13" si="2">SUM(D8:D12)</f>
        <v>0.32786936365752445</v>
      </c>
      <c r="E13" s="117">
        <f t="shared" ref="E13:G13" si="3">SUM(E8:E12)</f>
        <v>1.1541532084426005</v>
      </c>
      <c r="F13" s="117">
        <f t="shared" si="3"/>
        <v>1.2940249084210169</v>
      </c>
      <c r="G13" s="117">
        <f t="shared" si="3"/>
        <v>1.6307954680140995</v>
      </c>
      <c r="H13" s="200"/>
      <c r="I13" s="200"/>
      <c r="J13" s="201"/>
      <c r="K13" s="202"/>
      <c r="L13" s="198"/>
    </row>
    <row r="14" spans="2:12" ht="16" x14ac:dyDescent="0.15">
      <c r="D14" s="117"/>
      <c r="E14" s="117"/>
      <c r="F14" s="117"/>
      <c r="G14" s="117"/>
      <c r="H14" s="200"/>
      <c r="I14" s="200"/>
      <c r="J14" s="201"/>
      <c r="K14" s="202"/>
      <c r="L14" s="198"/>
    </row>
    <row r="15" spans="2:12" ht="16" x14ac:dyDescent="0.15">
      <c r="B15" s="130" t="s">
        <v>192</v>
      </c>
      <c r="D15" s="133" cm="1">
        <f t="array" ref="D15">_xlfn.IFS(OPT=0,Calcul!D29, OPT=1,Calcul!D29+Calcul!D71, OPT=2,Calcul!D29+Calcul!D104,OPT=3,Calcul!D29)</f>
        <v>-0.49563499999999827</v>
      </c>
      <c r="E15" s="133" cm="1">
        <f t="array" ref="E15">_xlfn.IFS(OPT=0,Calcul!E29, OPT=1,Calcul!E29+Calcul!E71, OPT=2,Calcul!E29+Calcul!E104,OPT=3,Calcul!E29)</f>
        <v>-1.2492070499999972</v>
      </c>
      <c r="F15" s="133" cm="1">
        <f t="array" ref="F15">_xlfn.IFS(OPT=0,Calcul!F29, OPT=1,Calcul!F29+Calcul!F71, OPT=2,Calcul!F29+Calcul!F104,OPT=3,Calcul!F29)</f>
        <v>-1.1944341255000026</v>
      </c>
      <c r="G15" s="133" cm="1">
        <f t="array" ref="G15">_xlfn.IFS(OPT=0,Calcul!G29, OPT=1,Calcul!G29+Calcul!G71, OPT=2,Calcul!G29+Calcul!G104,OPT=3,Calcul!G29)</f>
        <v>-1.0847633557950012</v>
      </c>
      <c r="H15" s="200"/>
      <c r="I15" s="200"/>
      <c r="J15" s="201"/>
      <c r="K15" s="202"/>
      <c r="L15" s="198"/>
    </row>
    <row r="16" spans="2:12" ht="16" x14ac:dyDescent="0.15">
      <c r="B16" s="151" t="s">
        <v>193</v>
      </c>
      <c r="D16" s="117">
        <f t="shared" ref="D16" si="4">D15</f>
        <v>-0.49563499999999827</v>
      </c>
      <c r="E16" s="117">
        <f t="shared" ref="E16:G16" si="5">E15</f>
        <v>-1.2492070499999972</v>
      </c>
      <c r="F16" s="117">
        <f t="shared" si="5"/>
        <v>-1.1944341255000026</v>
      </c>
      <c r="G16" s="117">
        <f t="shared" si="5"/>
        <v>-1.0847633557950012</v>
      </c>
      <c r="H16" s="200"/>
      <c r="I16" s="200"/>
      <c r="J16" s="201"/>
      <c r="K16" s="202"/>
      <c r="L16" s="198"/>
    </row>
    <row r="17" spans="2:12" ht="16" x14ac:dyDescent="0.15">
      <c r="D17" s="117"/>
      <c r="E17" s="117"/>
      <c r="F17" s="117"/>
      <c r="G17" s="117"/>
      <c r="H17" s="200"/>
      <c r="I17" s="200"/>
      <c r="J17" s="201"/>
      <c r="K17" s="202"/>
      <c r="L17" s="198"/>
    </row>
    <row r="18" spans="2:12" ht="19.5" customHeight="1" x14ac:dyDescent="0.15">
      <c r="B18" s="130" t="s">
        <v>274</v>
      </c>
      <c r="D18" s="117" cm="1">
        <f t="array" ref="D18">_xlfn.IFS(OPT=0,Calcul!D40-Calcul!C40, OPT=1, Calcul!D40-Calcul!C40,OPT=2,Calcul!D40-Calcul!C40+Projects!D137-Projects!C137,OPT=3,Calcul!D40-Calcul!C40)</f>
        <v>2.6034725456654972E-2</v>
      </c>
      <c r="E18" s="117" cm="1">
        <f t="array" ref="E18">_xlfn.IFS(OPT=0,Calcul!E40-Calcul!D40, OPT=1, Calcul!E40-Calcul!D40,OPT=2,Calcul!E40-Calcul!D40+Projects!E137-Projects!D137,OPT=3,Calcul!E40-Calcul!D40)</f>
        <v>7.0861014309364867E-2</v>
      </c>
      <c r="F18" s="117" cm="1">
        <f t="array" ref="F18">_xlfn.IFS(OPT=0,Calcul!F40-Calcul!E40, OPT=1, Calcul!F40-Calcul!E40,OPT=2,Calcul!F40-Calcul!E40+Projects!F137-Projects!E137,OPT=3,Calcul!F40-Calcul!E40)</f>
        <v>6.7754031374262502E-2</v>
      </c>
      <c r="G18" s="117" cm="1">
        <f t="array" ref="G18">_xlfn.IFS(OPT=0,Calcul!G40-Calcul!F40, OPT=1, Calcul!G40-Calcul!F40,OPT=2,Calcul!G40-Calcul!F40+Projects!G137-Projects!F137,OPT=3,Calcul!G40-Calcul!F40)</f>
        <v>6.1532979402625365E-2</v>
      </c>
      <c r="H18" s="200"/>
      <c r="I18" s="200"/>
      <c r="J18" s="201"/>
      <c r="K18" s="202"/>
      <c r="L18" s="198"/>
    </row>
    <row r="19" spans="2:12" ht="16.5" customHeight="1" x14ac:dyDescent="0.15">
      <c r="B19" s="130" t="s">
        <v>224</v>
      </c>
      <c r="C19" s="203"/>
      <c r="D19" s="204" cm="1">
        <f t="array" ref="D19">_xlfn.IFS(OPT=0,Calcul!D39-Calcul!C39, OPT&lt;&gt;0,Calcul!D39-Calcul!C39)</f>
        <v>0.34914291726350744</v>
      </c>
      <c r="E19" s="204" cm="1">
        <f t="array" ref="E19">_xlfn.IFS(OPT=0,Calcul!E39-Calcul!D39, OPT&lt;&gt;0,Calcul!E39-Calcul!D39)</f>
        <v>1.0576270792442521</v>
      </c>
      <c r="F19" s="204" cm="1">
        <f t="array" ref="F19">_xlfn.IFS(OPT=0,Calcul!F39-Calcul!E39, OPT&lt;&gt;0,Calcul!F39-Calcul!E39)</f>
        <v>1.0112541996158573</v>
      </c>
      <c r="G19" s="204" cm="1">
        <f t="array" ref="G19">_xlfn.IFS(OPT=0,Calcul!G39-Calcul!F39, OPT&lt;&gt;0,Calcul!G39-Calcul!F39)</f>
        <v>0.91840267765112493</v>
      </c>
      <c r="H19" s="200"/>
      <c r="I19" s="200"/>
      <c r="J19" s="201"/>
      <c r="K19" s="202"/>
      <c r="L19" s="198"/>
    </row>
    <row r="20" spans="2:12" ht="16" x14ac:dyDescent="0.15">
      <c r="B20" s="130" t="s">
        <v>225</v>
      </c>
      <c r="D20" s="117" cm="1">
        <f t="array" ref="D20">_xlfn.IFS(OPT&lt;&gt;2, Calcul!D35, OPT=2,Calcul!D35+Calcul!D110)</f>
        <v>0.71758702054794377</v>
      </c>
      <c r="E20" s="117" cm="1">
        <f t="array" ref="E20">_xlfn.IFS(OPT&lt;&gt;2, Calcul!E35, OPT=2,Calcul!E35+Calcul!E110)</f>
        <v>0.70489731267123279</v>
      </c>
      <c r="F20" s="117" cm="1">
        <f t="array" ref="F20">_xlfn.IFS(OPT&lt;&gt;2, Calcul!F35, OPT=2,Calcul!F35+Calcul!F110)</f>
        <v>0.67399027665410927</v>
      </c>
      <c r="G20" s="117" cm="1">
        <f t="array" ref="G20">_xlfn.IFS(OPT&lt;&gt;2, Calcul!G35, OPT=2,Calcul!G35+Calcul!G110)</f>
        <v>0.61210571488859689</v>
      </c>
      <c r="H20" s="200"/>
      <c r="I20" s="200"/>
      <c r="J20" s="201"/>
      <c r="K20" s="202"/>
      <c r="L20" s="198"/>
    </row>
    <row r="21" spans="2:12" ht="16" x14ac:dyDescent="0.15">
      <c r="B21" s="130" t="s">
        <v>226</v>
      </c>
      <c r="D21" s="117">
        <f>PL!D15</f>
        <v>-1.1185250948694447</v>
      </c>
      <c r="E21" s="117">
        <f>PL!E15</f>
        <v>-1.2639333572024722</v>
      </c>
      <c r="F21" s="117">
        <f>PL!F15</f>
        <v>-1.4029660264947446</v>
      </c>
      <c r="G21" s="117">
        <f>PL!G15</f>
        <v>-1.5292329688792716</v>
      </c>
      <c r="H21" s="200"/>
      <c r="I21" s="200"/>
      <c r="J21" s="201"/>
      <c r="K21" s="202"/>
      <c r="L21" s="198"/>
    </row>
    <row r="22" spans="2:12" ht="16" x14ac:dyDescent="0.15">
      <c r="B22" s="130" t="s">
        <v>227</v>
      </c>
      <c r="D22" s="117">
        <f>-D21*Input!D19</f>
        <v>0.30200177561475011</v>
      </c>
      <c r="E22" s="117">
        <f>-E21*Input!E19</f>
        <v>0.34126200644466753</v>
      </c>
      <c r="F22" s="117">
        <f>-F21*Input!F19</f>
        <v>0.37880082715358104</v>
      </c>
      <c r="G22" s="117">
        <f>-G21*Input!G19</f>
        <v>0.41289290159740338</v>
      </c>
      <c r="H22" s="200"/>
      <c r="I22" s="200"/>
      <c r="J22" s="201"/>
      <c r="K22" s="202"/>
      <c r="L22" s="198"/>
    </row>
    <row r="23" spans="2:12" ht="16" x14ac:dyDescent="0.15">
      <c r="B23" s="130" t="s">
        <v>228</v>
      </c>
      <c r="D23" s="117"/>
      <c r="E23" s="117"/>
      <c r="F23" s="117"/>
      <c r="G23" s="117"/>
      <c r="H23" s="200"/>
      <c r="I23" s="200"/>
      <c r="J23" s="201"/>
      <c r="K23" s="202"/>
      <c r="L23" s="198"/>
    </row>
    <row r="24" spans="2:12" ht="16" x14ac:dyDescent="0.15">
      <c r="B24" s="130" t="s">
        <v>229</v>
      </c>
      <c r="D24" s="133" cm="1">
        <f t="array" ref="D24">_xlfn.IFS(OPT=3,Projects!C17, OPT&lt;&gt;3,0)</f>
        <v>0</v>
      </c>
      <c r="E24" s="133" cm="1">
        <f t="array" ref="E24">_xlfn.IFS(OPT=3,Projects!D17, OPT&lt;&gt;3,0)</f>
        <v>0</v>
      </c>
      <c r="F24" s="133" cm="1">
        <f t="array" ref="F24">_xlfn.IFS(OPT=3,Projects!E17, OPT&lt;&gt;3,0)</f>
        <v>0</v>
      </c>
      <c r="G24" s="133" cm="1">
        <f t="array" ref="G24">_xlfn.IFS(OPT=3,Projects!F17, OPT&lt;&gt;3,0)</f>
        <v>0</v>
      </c>
      <c r="I24" s="200"/>
      <c r="J24" s="201"/>
      <c r="K24" s="202"/>
      <c r="L24" s="198"/>
    </row>
    <row r="25" spans="2:12" ht="16" x14ac:dyDescent="0.15">
      <c r="B25" s="151" t="s">
        <v>230</v>
      </c>
      <c r="D25" s="117">
        <f>SUM(D18:D24)</f>
        <v>0.27624134401341144</v>
      </c>
      <c r="E25" s="117">
        <f t="shared" ref="E25:G25" si="6">SUM(E18:E24)</f>
        <v>0.91071405546704509</v>
      </c>
      <c r="F25" s="117">
        <f t="shared" si="6"/>
        <v>0.72883330830306559</v>
      </c>
      <c r="G25" s="117">
        <f t="shared" si="6"/>
        <v>0.47570130466047894</v>
      </c>
      <c r="H25" s="117"/>
      <c r="I25" s="200"/>
      <c r="J25" s="201"/>
      <c r="K25" s="202"/>
      <c r="L25" s="198"/>
    </row>
    <row r="26" spans="2:12" ht="16" x14ac:dyDescent="0.15">
      <c r="D26" s="117"/>
      <c r="E26" s="117"/>
      <c r="F26" s="117"/>
      <c r="G26" s="117"/>
      <c r="H26" s="200"/>
      <c r="I26" s="200"/>
      <c r="J26" s="201"/>
      <c r="K26" s="202"/>
      <c r="L26" s="198"/>
    </row>
    <row r="27" spans="2:12" ht="16" x14ac:dyDescent="0.15">
      <c r="B27" s="24" t="s">
        <v>231</v>
      </c>
      <c r="C27" s="60"/>
      <c r="D27" s="117">
        <f>SUM(D13,D16,D25)</f>
        <v>0.10847570767093762</v>
      </c>
      <c r="E27" s="117">
        <f t="shared" ref="E27:G27" si="7">SUM(E13,E16,E25)</f>
        <v>0.81566021390964838</v>
      </c>
      <c r="F27" s="117">
        <f t="shared" si="7"/>
        <v>0.82842409122407989</v>
      </c>
      <c r="G27" s="117">
        <f t="shared" si="7"/>
        <v>1.0217334168795773</v>
      </c>
      <c r="H27" s="200"/>
      <c r="I27" s="200"/>
      <c r="J27" s="201"/>
      <c r="K27" s="114"/>
    </row>
    <row r="28" spans="2:12" ht="19.5" customHeight="1" x14ac:dyDescent="0.15">
      <c r="B28" s="24" t="s">
        <v>232</v>
      </c>
      <c r="D28" s="205" cm="1">
        <f t="array" ref="D28">_xlfn.IFS(OPT=2,SUM(Calcul!C97,BS!C8), OPT&lt;&gt;2,BS!C8)</f>
        <v>1.4357000000000002</v>
      </c>
      <c r="E28" s="205" cm="1">
        <f t="array" ref="E28">_xlfn.IFS(OPT=2,BS!D8, OPT&lt;&gt;2,BS!D8)</f>
        <v>1.5442807076709339</v>
      </c>
      <c r="F28" s="205" cm="1">
        <f t="array" ref="F28">_xlfn.IFS(OPT=2,BS!E8, OPT&lt;&gt;2,BS!E8)</f>
        <v>2.3599409215805842</v>
      </c>
      <c r="G28" s="205" cm="1">
        <f t="array" ref="G28">_xlfn.IFS(OPT=2,BS!F8, OPT&lt;&gt;2,BS!F8)</f>
        <v>3.1883650128046632</v>
      </c>
      <c r="H28" s="200"/>
      <c r="I28" s="200"/>
      <c r="J28" s="201"/>
      <c r="K28" s="114"/>
    </row>
    <row r="29" spans="2:12" ht="16" x14ac:dyDescent="0.15">
      <c r="B29" s="24" t="s">
        <v>233</v>
      </c>
      <c r="D29" s="117">
        <f>SUM(D27:D28)</f>
        <v>1.5441757076709379</v>
      </c>
      <c r="E29" s="117">
        <f>SUM(E27:E28)</f>
        <v>2.3599409215805824</v>
      </c>
      <c r="F29" s="117">
        <f>SUM(F27:F28)</f>
        <v>3.1883650128046641</v>
      </c>
      <c r="G29" s="117">
        <f>SUM(G27:G28)</f>
        <v>4.2100984296842405</v>
      </c>
      <c r="H29" s="200"/>
      <c r="I29" s="114"/>
      <c r="J29" s="201"/>
      <c r="K29" s="114"/>
    </row>
    <row r="30" spans="2:12" ht="15" customHeight="1" x14ac:dyDescent="0.15">
      <c r="H30" s="114"/>
      <c r="I30" s="114"/>
      <c r="J30" s="114"/>
      <c r="K30" s="114"/>
    </row>
    <row r="31" spans="2:12" ht="20.25" customHeight="1" x14ac:dyDescent="0.15">
      <c r="B31" s="51" t="s">
        <v>360</v>
      </c>
      <c r="C31" s="117"/>
      <c r="D31" s="117">
        <f>BS!D8-CF!D29</f>
        <v>1.0499999999602494E-4</v>
      </c>
      <c r="E31" s="117">
        <f>BS!E8-CF!E29</f>
        <v>0</v>
      </c>
      <c r="F31" s="117">
        <f>BS!F8-CF!F29</f>
        <v>0</v>
      </c>
      <c r="G31" s="117">
        <f>BS!G8-CF!G29</f>
        <v>0</v>
      </c>
      <c r="H31" s="117"/>
      <c r="I31" s="114"/>
      <c r="J31" s="114"/>
      <c r="K31" s="114"/>
    </row>
    <row r="32" spans="2:12" ht="16" x14ac:dyDescent="0.15">
      <c r="B32" s="114"/>
      <c r="C32" s="204"/>
      <c r="D32" s="206"/>
      <c r="E32" s="206"/>
      <c r="F32" s="206"/>
      <c r="G32" s="206"/>
      <c r="H32" s="117"/>
      <c r="I32" s="114"/>
      <c r="J32" s="114"/>
      <c r="K32" s="114"/>
    </row>
    <row r="33" spans="2:11" ht="16" x14ac:dyDescent="0.15">
      <c r="B33" s="114"/>
      <c r="C33" s="204"/>
      <c r="D33" s="204"/>
      <c r="E33" s="204"/>
      <c r="F33" s="204"/>
      <c r="G33" s="204"/>
      <c r="H33" s="114"/>
      <c r="I33" s="114"/>
      <c r="J33" s="114"/>
      <c r="K33" s="114"/>
    </row>
    <row r="34" spans="2:11" ht="16" x14ac:dyDescent="0.15">
      <c r="C34" s="117"/>
      <c r="D34" s="117"/>
      <c r="E34" s="117"/>
      <c r="F34" s="117"/>
      <c r="G34" s="117"/>
    </row>
    <row r="35" spans="2:11" ht="16" x14ac:dyDescent="0.15">
      <c r="C35" s="117"/>
      <c r="D35" s="117"/>
      <c r="E35" s="117"/>
      <c r="F35" s="117"/>
      <c r="G35" s="117"/>
    </row>
    <row r="37" spans="2:11" ht="16" x14ac:dyDescent="0.15">
      <c r="B37" s="99"/>
      <c r="C37" s="117"/>
      <c r="D37" s="207"/>
      <c r="E37" s="207"/>
      <c r="F37" s="207"/>
      <c r="G37" s="207"/>
    </row>
    <row r="38" spans="2:11" ht="16" x14ac:dyDescent="0.15">
      <c r="B38" s="99"/>
      <c r="D38" s="117"/>
      <c r="E38" s="117"/>
      <c r="F38" s="117"/>
      <c r="G38" s="117"/>
    </row>
    <row r="42" spans="2:11" ht="16" x14ac:dyDescent="0.15"/>
    <row r="43" spans="2:11" ht="16" x14ac:dyDescent="0.15"/>
  </sheetData>
  <sheetProtection selectLockedCells="1"/>
  <mergeCells count="1">
    <mergeCell ref="B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B792-D7FB-A541-8300-4F68B26A69CB}">
  <sheetPr codeName="Sheet7">
    <tabColor rgb="FF00B050"/>
  </sheetPr>
  <dimension ref="B2:Q56"/>
  <sheetViews>
    <sheetView topLeftCell="A3" zoomScaleNormal="140" workbookViewId="0">
      <selection activeCell="E51" sqref="E51"/>
    </sheetView>
  </sheetViews>
  <sheetFormatPr baseColWidth="10" defaultColWidth="10.75" defaultRowHeight="15" customHeight="1" x14ac:dyDescent="0.15"/>
  <cols>
    <col min="1" max="1" width="10.75" style="51"/>
    <col min="2" max="2" width="65.75" style="51" customWidth="1"/>
    <col min="3" max="5" width="25" style="51" customWidth="1"/>
    <col min="6" max="6" width="21.25" style="51" customWidth="1"/>
    <col min="7" max="7" width="25" style="51" customWidth="1"/>
    <col min="8" max="10" width="10.75" style="51"/>
    <col min="11" max="11" width="17" style="51" customWidth="1"/>
    <col min="12" max="16384" width="10.75" style="51"/>
  </cols>
  <sheetData>
    <row r="2" spans="2:17" ht="28" customHeight="1" x14ac:dyDescent="0.15">
      <c r="B2" s="197" t="str">
        <f>Input!B2</f>
        <v>Noname co, by elie diwambuena</v>
      </c>
    </row>
    <row r="4" spans="2:17" ht="23" customHeight="1" x14ac:dyDescent="0.2">
      <c r="B4" s="145" t="s">
        <v>234</v>
      </c>
      <c r="C4" s="146" t="s">
        <v>69</v>
      </c>
      <c r="D4" s="147" t="str">
        <f>PL!D4</f>
        <v>FY12</v>
      </c>
      <c r="E4" s="147" t="str">
        <f>PL!E4</f>
        <v>FY13</v>
      </c>
      <c r="F4" s="147" t="str">
        <f>PL!F4</f>
        <v>FY14</v>
      </c>
      <c r="G4" s="147" t="str">
        <f>PL!G4</f>
        <v>FY15</v>
      </c>
    </row>
    <row r="5" spans="2:17" ht="15" customHeight="1" x14ac:dyDescent="0.15">
      <c r="G5" s="208"/>
    </row>
    <row r="6" spans="2:17" ht="16" x14ac:dyDescent="0.15">
      <c r="B6" s="124" t="s">
        <v>235</v>
      </c>
      <c r="G6" s="208"/>
      <c r="H6" s="6"/>
      <c r="I6" s="6"/>
      <c r="J6" s="6"/>
    </row>
    <row r="7" spans="2:17" ht="16" x14ac:dyDescent="0.15">
      <c r="B7" s="24"/>
      <c r="G7" s="208"/>
      <c r="H7" s="6"/>
      <c r="I7" s="6"/>
      <c r="J7" s="6"/>
    </row>
    <row r="8" spans="2:17" ht="18.75" customHeight="1" x14ac:dyDescent="0.15">
      <c r="B8" s="167" t="s">
        <v>236</v>
      </c>
      <c r="C8" s="60">
        <f>'Noname co'!G42</f>
        <v>1.4357000000000002</v>
      </c>
      <c r="D8" s="176" cm="1">
        <f t="array" ref="D8">_xlfn.IFS(OPT&lt;&gt;2,D40-SUM(D9:D11)-D18, OPT=2,D40-SUM(D9:D11)-D18)</f>
        <v>1.5442807076709339</v>
      </c>
      <c r="E8" s="176" cm="1">
        <f t="array" ref="E8">_xlfn.IFS(OPT&lt;&gt;2,E40-SUM(E9:E11)-E18, OPT=2,E40-SUM(E9:E11)-E18)</f>
        <v>2.3599409215805842</v>
      </c>
      <c r="F8" s="176" cm="1">
        <f t="array" ref="F8">_xlfn.IFS(OPT&lt;&gt;2,F40-SUM(F9:F11)-F18, OPT=2,F40-SUM(F9:F11)-F18)</f>
        <v>3.1883650128046632</v>
      </c>
      <c r="G8" s="176" cm="1">
        <f t="array" ref="G8">_xlfn.IFS(OPT&lt;&gt;2,G40-SUM(G9:G11)-G18, OPT=2,G40-SUM(G9:G11)-G18)</f>
        <v>4.2100984296842441</v>
      </c>
      <c r="H8" s="60"/>
      <c r="I8" s="60"/>
      <c r="J8" s="60"/>
      <c r="K8" s="209"/>
      <c r="L8" s="209"/>
      <c r="M8" s="169"/>
      <c r="N8" s="105"/>
      <c r="O8" s="105"/>
      <c r="P8" s="105"/>
      <c r="Q8" s="105"/>
    </row>
    <row r="9" spans="2:17" ht="16" x14ac:dyDescent="0.15">
      <c r="B9" s="167" t="s">
        <v>237</v>
      </c>
      <c r="C9" s="60">
        <f>'Noname co'!G43</f>
        <v>5.8212000000000002</v>
      </c>
      <c r="D9" s="60" cm="1">
        <f t="array" ref="D9">_xlfn.IFS(OPT=0,Calcul!D21,OPT=1,Calcul!D21+Calcul!D62,OPT=2,Calcul!D21+Projects!D118,OPT=3,Calcul!D21)</f>
        <v>6.6941815068493131</v>
      </c>
      <c r="E9" s="60" cm="1">
        <f t="array" ref="E9">_xlfn.IFS(OPT=0,Calcul!E21,OPT=1,Calcul!E21+Calcul!E62,OPT=2,Calcul!E21+Projects!E118,OPT=3,Calcul!E21)</f>
        <v>7.5644251027397233</v>
      </c>
      <c r="F9" s="60" cm="1">
        <f t="array" ref="F9">_xlfn.IFS(OPT=0,Calcul!F21,OPT=1,Calcul!F21+Calcul!F62,OPT=2,Calcul!F21+Projects!F118,OPT=3,Calcul!F21)</f>
        <v>8.3965118640410932</v>
      </c>
      <c r="G9" s="60" cm="1">
        <f t="array" ref="G9">_xlfn.IFS(OPT=0,Calcul!G21,OPT=1,Calcul!G21+Calcul!G62,OPT=2,Calcul!G21+Projects!G118,OPT=3,Calcul!G21)</f>
        <v>9.1521979318047926</v>
      </c>
      <c r="H9" s="60"/>
      <c r="I9" s="56"/>
      <c r="J9" s="56"/>
      <c r="K9" s="209"/>
      <c r="L9" s="209"/>
      <c r="M9" s="105"/>
      <c r="N9" s="105"/>
      <c r="O9" s="105"/>
      <c r="P9" s="105"/>
      <c r="Q9" s="105"/>
    </row>
    <row r="10" spans="2:17" ht="16" x14ac:dyDescent="0.15">
      <c r="B10" s="167" t="s">
        <v>238</v>
      </c>
      <c r="C10" s="60">
        <f>'Noname co'!G44</f>
        <v>4.1573000000000002</v>
      </c>
      <c r="D10" s="60" cm="1">
        <f t="array" ref="D10">_xlfn.IFS(OPT=0,Calcul!D23,OPT=1,Calcul!D23+Calcul!D63,OPT=2,Calcul!D23+Projects!D119,OPT=3,Calcul!D23)</f>
        <v>5.0089213124999992</v>
      </c>
      <c r="E10" s="60" cm="1">
        <f t="array" ref="E10">_xlfn.IFS(OPT=0,Calcul!E23,OPT=1,Calcul!E23+Calcul!E63,OPT=2,Calcul!E23+Projects!E119,OPT=3,Calcul!E23)</f>
        <v>5.3839795668749977</v>
      </c>
      <c r="F10" s="60" cm="1">
        <f t="array" ref="F10">_xlfn.IFS(OPT=0,Calcul!F23,OPT=1,Calcul!F23+Calcul!F63,OPT=2,Calcul!F23+Projects!F119,OPT=3,Calcul!F23)</f>
        <v>5.9762173192312478</v>
      </c>
      <c r="G10" s="60" cm="1">
        <f t="array" ref="G10">_xlfn.IFS(OPT=0,Calcul!G23,OPT=1,Calcul!G23+Calcul!G63,OPT=2,Calcul!G23+Projects!G119,OPT=3,Calcul!G23)</f>
        <v>6.5140768779620615</v>
      </c>
      <c r="H10" s="60"/>
      <c r="I10" s="56"/>
      <c r="J10" s="56"/>
      <c r="K10" s="209"/>
      <c r="L10" s="209"/>
      <c r="M10" s="105"/>
      <c r="N10" s="105"/>
      <c r="O10" s="105"/>
      <c r="P10" s="105"/>
      <c r="Q10" s="105"/>
    </row>
    <row r="11" spans="2:17" ht="16" x14ac:dyDescent="0.15">
      <c r="B11" s="167" t="s">
        <v>239</v>
      </c>
      <c r="C11" s="186">
        <f>'Noname co'!G45</f>
        <v>0.33914999999999995</v>
      </c>
      <c r="D11" s="186" cm="1">
        <f t="array" ref="D11">_xlfn.IFS(OPT=0,Calcul!D14,OPT=1,Calcul!D14,OPT=2,Calcul!D14+Projects!D120,OPT=3,Calcul!D14)</f>
        <v>0.3965901730449739</v>
      </c>
      <c r="E11" s="186" cm="1">
        <f t="array" ref="E11">_xlfn.IFS(OPT=0,Calcul!E14,OPT=1,Calcul!E14,OPT=2,Calcul!E14+Projects!E120,OPT=3,Calcul!E14)</f>
        <v>0.44814689554082043</v>
      </c>
      <c r="F11" s="186" cm="1">
        <f t="array" ref="F11">_xlfn.IFS(OPT=0,Calcul!F14,OPT=1,Calcul!F14,OPT=2,Calcul!F14+Projects!F120,OPT=3,Calcul!F14)</f>
        <v>0.49744305405031075</v>
      </c>
      <c r="G11" s="186" cm="1">
        <f t="array" ref="G11">_xlfn.IFS(OPT=0,Calcul!G14,OPT=1,Calcul!G14,OPT=2,Calcul!G14+Projects!G120,OPT=3,Calcul!G14)</f>
        <v>0.54221292891483874</v>
      </c>
      <c r="H11" s="60"/>
      <c r="I11" s="56"/>
      <c r="J11" s="56"/>
      <c r="K11" s="209"/>
      <c r="L11" s="209"/>
      <c r="M11" s="105"/>
      <c r="N11" s="105"/>
      <c r="O11" s="105"/>
      <c r="P11" s="105"/>
      <c r="Q11" s="105"/>
    </row>
    <row r="12" spans="2:17" ht="16" x14ac:dyDescent="0.15">
      <c r="B12" s="170" t="s">
        <v>240</v>
      </c>
      <c r="C12" s="60">
        <f>'Noname co'!G46</f>
        <v>11.753350000000001</v>
      </c>
      <c r="D12" s="60">
        <f>SUM(D8:D11)</f>
        <v>13.643973700065221</v>
      </c>
      <c r="E12" s="60">
        <f t="shared" ref="E12:G12" si="0">SUM(E8:E11)</f>
        <v>15.756492486736125</v>
      </c>
      <c r="F12" s="60">
        <f t="shared" si="0"/>
        <v>18.058537250127316</v>
      </c>
      <c r="G12" s="60">
        <f t="shared" si="0"/>
        <v>20.418586168365938</v>
      </c>
      <c r="H12" s="60"/>
      <c r="I12" s="56"/>
      <c r="J12" s="56"/>
      <c r="K12" s="209"/>
      <c r="L12" s="209"/>
      <c r="M12" s="105"/>
      <c r="N12" s="105"/>
      <c r="O12" s="105"/>
      <c r="P12" s="105"/>
      <c r="Q12" s="105"/>
    </row>
    <row r="13" spans="2:17" ht="16" x14ac:dyDescent="0.15">
      <c r="B13" s="171" t="s">
        <v>241</v>
      </c>
      <c r="C13" s="60">
        <f>'Noname co'!G47</f>
        <v>0</v>
      </c>
      <c r="D13" s="173"/>
      <c r="E13" s="173"/>
      <c r="F13" s="173"/>
      <c r="G13" s="173"/>
      <c r="H13" s="60"/>
      <c r="I13" s="56"/>
      <c r="J13" s="56"/>
      <c r="K13" s="209"/>
      <c r="L13" s="209"/>
      <c r="M13" s="105"/>
      <c r="N13" s="105"/>
      <c r="O13" s="105"/>
      <c r="P13" s="105"/>
      <c r="Q13" s="105"/>
    </row>
    <row r="14" spans="2:17" ht="16" x14ac:dyDescent="0.15">
      <c r="B14" s="167"/>
      <c r="D14" s="60"/>
      <c r="E14" s="60"/>
      <c r="F14" s="60"/>
      <c r="G14" s="60"/>
      <c r="H14" s="60"/>
      <c r="I14" s="56"/>
      <c r="J14" s="56"/>
      <c r="K14" s="209"/>
      <c r="L14" s="209"/>
      <c r="M14" s="105"/>
      <c r="N14" s="105"/>
      <c r="O14" s="105"/>
      <c r="P14" s="105"/>
      <c r="Q14" s="105"/>
    </row>
    <row r="15" spans="2:17" ht="16" x14ac:dyDescent="0.15">
      <c r="B15" s="167" t="s">
        <v>272</v>
      </c>
      <c r="D15" s="60" cm="1">
        <f t="array" ref="D15">_xlfn.IFS(OPT=2,Projects!$C$170, OPT&lt;&gt;2,0)</f>
        <v>0</v>
      </c>
      <c r="E15" s="60" cm="1">
        <f t="array" ref="E15">_xlfn.IFS(OPT=2,Projects!$C$170, OPT&lt;&gt;2,0)</f>
        <v>0</v>
      </c>
      <c r="F15" s="60" cm="1">
        <f t="array" ref="F15">_xlfn.IFS(OPT=2,Projects!$C$170, OPT&lt;&gt;2,0)</f>
        <v>0</v>
      </c>
      <c r="G15" s="60" cm="1">
        <f t="array" ref="G15">_xlfn.IFS(OPT=2,Projects!$C$170, OPT&lt;&gt;2,0)</f>
        <v>0</v>
      </c>
      <c r="H15" s="60"/>
      <c r="I15" s="56"/>
      <c r="J15" s="56"/>
      <c r="K15" s="209"/>
      <c r="L15" s="209"/>
      <c r="M15" s="105"/>
      <c r="N15" s="105"/>
      <c r="O15" s="105"/>
      <c r="P15" s="105"/>
      <c r="Q15" s="105"/>
    </row>
    <row r="16" spans="2:17" ht="16" x14ac:dyDescent="0.15">
      <c r="B16" s="167" t="s">
        <v>242</v>
      </c>
      <c r="C16" s="60">
        <f>'Noname co'!G48</f>
        <v>7.839999999999999</v>
      </c>
      <c r="D16" s="60" cm="1">
        <f t="array" ref="D16">_xlfn.IFS(OPT=0,Calcul!D27,OPT=1,Calcul!D27+Calcul!D70,OPT=2,Calcul!D27+Projects!D124,OPT=3,Calcul!D27)</f>
        <v>8.1445874999999983</v>
      </c>
      <c r="E16" s="60" cm="1">
        <f t="array" ref="E16">_xlfn.IFS(OPT=0,Calcul!E27,OPT=1,Calcul!E27+Calcul!E70,OPT=2,Calcul!E27+Projects!E124,OPT=3,Calcul!E27)</f>
        <v>9.2033838749999966</v>
      </c>
      <c r="F16" s="60" cm="1">
        <f t="array" ref="F16">_xlfn.IFS(OPT=0,Calcul!F27,OPT=1,Calcul!F27+Calcul!F70,OPT=2,Calcul!F27+Projects!F124,OPT=3,Calcul!F27)</f>
        <v>10.215756101249998</v>
      </c>
      <c r="G16" s="60" cm="1">
        <f t="array" ref="G16">_xlfn.IFS(OPT=0,Calcul!G27,OPT=1,Calcul!G27+Calcul!G70,OPT=2,Calcul!G27+Projects!G124,OPT=3,Calcul!G27)</f>
        <v>11.135174150362499</v>
      </c>
      <c r="H16" s="60"/>
      <c r="I16" s="56"/>
      <c r="J16" s="56"/>
      <c r="K16" s="209"/>
      <c r="L16" s="209"/>
      <c r="M16" s="105"/>
      <c r="N16" s="105"/>
      <c r="O16" s="105"/>
      <c r="P16" s="105"/>
      <c r="Q16" s="105"/>
    </row>
    <row r="17" spans="2:17" ht="16" x14ac:dyDescent="0.15">
      <c r="B17" s="167" t="s">
        <v>243</v>
      </c>
      <c r="C17" s="186">
        <f>'Noname co'!G49</f>
        <v>1.2736499999999999</v>
      </c>
      <c r="D17" s="186" cm="1">
        <f t="array" ref="D17">_xlfn.IFS(OPT=0,Calcul!D28,OPT=1,Calcul!D28,OPT=2,Calcul!D28+Projects!D125,OPT=3,Calcul!D28)</f>
        <v>1.4646974999999998</v>
      </c>
      <c r="E17" s="186" cm="1">
        <f t="array" ref="E17">_xlfn.IFS(OPT=0,Calcul!E28,OPT=1,Calcul!E28,OPT=2,Calcul!E28+Projects!E125,OPT=3,Calcul!E28)</f>
        <v>1.6551081749999996</v>
      </c>
      <c r="F17" s="186" cm="1">
        <f t="array" ref="F17">_xlfn.IFS(OPT=0,Calcul!F28,OPT=1,Calcul!F28,OPT=2,Calcul!F28+Projects!F125,OPT=3,Calcul!F28)</f>
        <v>1.8371700742499997</v>
      </c>
      <c r="G17" s="186" cm="1">
        <f t="array" ref="G17">_xlfn.IFS(OPT=0,Calcul!G28,OPT=1,Calcul!G28,OPT=2,Calcul!G28+Projects!G125,OPT=3,Calcul!G28)</f>
        <v>2.0025153809325</v>
      </c>
      <c r="H17" s="60"/>
      <c r="I17" s="56"/>
      <c r="J17" s="56"/>
      <c r="K17" s="209"/>
      <c r="L17" s="209"/>
      <c r="M17" s="105"/>
      <c r="N17" s="105"/>
      <c r="O17" s="105"/>
      <c r="P17" s="105"/>
      <c r="Q17" s="105"/>
    </row>
    <row r="18" spans="2:17" ht="16" x14ac:dyDescent="0.15">
      <c r="B18" s="175" t="s">
        <v>244</v>
      </c>
      <c r="C18" s="60">
        <f>'Noname co'!G50</f>
        <v>9.1136499999999998</v>
      </c>
      <c r="D18" s="176">
        <f>SUM(D15:D17)</f>
        <v>9.6092849999999981</v>
      </c>
      <c r="E18" s="176">
        <f t="shared" ref="E18:G18" si="1">SUM(E15:E17)</f>
        <v>10.858492049999995</v>
      </c>
      <c r="F18" s="176">
        <f t="shared" si="1"/>
        <v>12.052926175499998</v>
      </c>
      <c r="G18" s="176">
        <f t="shared" si="1"/>
        <v>13.137689531294999</v>
      </c>
      <c r="H18" s="60"/>
      <c r="I18" s="56"/>
      <c r="J18" s="56"/>
      <c r="K18" s="209"/>
      <c r="L18" s="209"/>
      <c r="M18" s="105"/>
      <c r="N18" s="105"/>
      <c r="O18" s="105"/>
      <c r="P18" s="105"/>
      <c r="Q18" s="105"/>
    </row>
    <row r="19" spans="2:17" ht="16" x14ac:dyDescent="0.15">
      <c r="B19" s="177" t="s">
        <v>245</v>
      </c>
      <c r="D19" s="173"/>
      <c r="E19" s="173"/>
      <c r="F19" s="173"/>
      <c r="G19" s="173"/>
      <c r="H19" s="60"/>
      <c r="I19" s="56"/>
      <c r="J19" s="56"/>
      <c r="K19" s="209"/>
      <c r="L19" s="209"/>
      <c r="M19" s="105"/>
      <c r="N19" s="105"/>
      <c r="O19" s="105"/>
      <c r="P19" s="105"/>
      <c r="Q19" s="105"/>
    </row>
    <row r="20" spans="2:17" ht="16" x14ac:dyDescent="0.15">
      <c r="B20" s="167"/>
      <c r="C20" s="136"/>
      <c r="D20" s="186"/>
      <c r="E20" s="186"/>
      <c r="F20" s="186"/>
      <c r="G20" s="186"/>
      <c r="H20" s="60"/>
      <c r="I20" s="56"/>
      <c r="J20" s="56"/>
      <c r="K20" s="209"/>
      <c r="L20" s="209"/>
      <c r="M20" s="105"/>
      <c r="N20" s="105"/>
      <c r="O20" s="105"/>
      <c r="P20" s="105"/>
      <c r="Q20" s="105"/>
    </row>
    <row r="21" spans="2:17" ht="16" x14ac:dyDescent="0.15">
      <c r="B21" s="178" t="s">
        <v>246</v>
      </c>
      <c r="C21" s="60">
        <f>'Noname co'!G51</f>
        <v>20.867000000000001</v>
      </c>
      <c r="D21" s="176">
        <f>SUM(D12,D18)</f>
        <v>23.253258700065217</v>
      </c>
      <c r="E21" s="176">
        <f t="shared" ref="E21:G21" si="2">SUM(E12,E18)</f>
        <v>26.61498453673612</v>
      </c>
      <c r="F21" s="176">
        <f t="shared" si="2"/>
        <v>30.111463425627313</v>
      </c>
      <c r="G21" s="176">
        <f t="shared" si="2"/>
        <v>33.556275699660937</v>
      </c>
      <c r="H21" s="60"/>
      <c r="I21" s="56"/>
      <c r="J21" s="56"/>
      <c r="K21" s="209"/>
      <c r="L21" s="209"/>
      <c r="M21" s="105"/>
      <c r="N21" s="105"/>
      <c r="O21" s="105"/>
      <c r="P21" s="105"/>
      <c r="Q21" s="105"/>
    </row>
    <row r="22" spans="2:17" ht="16" x14ac:dyDescent="0.15">
      <c r="B22" s="178"/>
      <c r="C22" s="60"/>
      <c r="D22" s="60"/>
      <c r="E22" s="176"/>
      <c r="F22" s="176"/>
      <c r="G22" s="176"/>
      <c r="H22" s="60"/>
      <c r="I22" s="56"/>
      <c r="J22" s="56"/>
      <c r="K22" s="209"/>
      <c r="L22" s="209"/>
      <c r="M22" s="105"/>
      <c r="N22" s="105"/>
      <c r="O22" s="105"/>
      <c r="P22" s="105"/>
      <c r="Q22" s="105"/>
    </row>
    <row r="23" spans="2:17" ht="16" x14ac:dyDescent="0.15">
      <c r="B23" s="179" t="s">
        <v>247</v>
      </c>
      <c r="C23" s="60"/>
      <c r="D23" s="210">
        <f>(D21-C21)/C21</f>
        <v>0.11435561892295089</v>
      </c>
      <c r="E23" s="210">
        <f t="shared" ref="E23:G23" si="3">(E21-D21)/D21</f>
        <v>0.14457009574582658</v>
      </c>
      <c r="F23" s="210">
        <f t="shared" si="3"/>
        <v>0.13137256886492174</v>
      </c>
      <c r="G23" s="210">
        <f t="shared" si="3"/>
        <v>0.11440202109545453</v>
      </c>
      <c r="H23" s="60"/>
      <c r="I23" s="56"/>
      <c r="J23" s="56"/>
      <c r="K23" s="209"/>
      <c r="L23" s="209"/>
      <c r="M23" s="105"/>
      <c r="N23" s="105"/>
      <c r="O23" s="105"/>
      <c r="P23" s="105"/>
      <c r="Q23" s="105"/>
    </row>
    <row r="24" spans="2:17" ht="16" x14ac:dyDescent="0.15">
      <c r="B24" s="167"/>
      <c r="C24" s="60"/>
      <c r="D24" s="60"/>
      <c r="E24" s="176"/>
      <c r="F24" s="176"/>
      <c r="G24" s="176"/>
      <c r="H24" s="60"/>
      <c r="I24" s="56"/>
      <c r="J24" s="56"/>
      <c r="K24" s="209"/>
      <c r="L24" s="209"/>
      <c r="M24" s="105"/>
      <c r="N24" s="105"/>
      <c r="O24" s="105"/>
      <c r="P24" s="105"/>
      <c r="Q24" s="105"/>
    </row>
    <row r="25" spans="2:17" ht="16" x14ac:dyDescent="0.15">
      <c r="B25" s="181" t="s">
        <v>248</v>
      </c>
      <c r="C25" s="60"/>
      <c r="D25" s="60"/>
      <c r="E25" s="176"/>
      <c r="F25" s="176"/>
      <c r="G25" s="176"/>
      <c r="H25" s="60"/>
      <c r="I25" s="56"/>
      <c r="J25" s="56"/>
      <c r="K25" s="209"/>
      <c r="L25" s="209"/>
      <c r="M25" s="105"/>
      <c r="N25" s="105"/>
      <c r="O25" s="105"/>
      <c r="P25" s="105"/>
      <c r="Q25" s="105"/>
    </row>
    <row r="26" spans="2:17" ht="16" x14ac:dyDescent="0.15">
      <c r="B26" s="167"/>
      <c r="C26" s="60"/>
      <c r="D26" s="60"/>
      <c r="E26" s="176"/>
      <c r="F26" s="176"/>
      <c r="G26" s="176"/>
      <c r="H26" s="60"/>
      <c r="I26" s="56"/>
      <c r="J26" s="56"/>
      <c r="K26" s="209"/>
      <c r="L26" s="209"/>
      <c r="M26" s="105"/>
      <c r="N26" s="105"/>
      <c r="O26" s="105"/>
      <c r="P26" s="105"/>
      <c r="Q26" s="105"/>
    </row>
    <row r="27" spans="2:17" ht="16" x14ac:dyDescent="0.15">
      <c r="B27" s="167" t="s">
        <v>249</v>
      </c>
      <c r="C27" s="60">
        <f>'Noname co'!G58</f>
        <v>4.7046999999999999</v>
      </c>
      <c r="D27" s="60" cm="1">
        <f t="array" ref="D27">_xlfn.IFS(OPT=0,Calcul!D34, OPT=1,Calcul!D34, OPT=2,Calcul!D34+Projects!D135,OPT=3,Calcul!D34)</f>
        <v>5.4222870205479436</v>
      </c>
      <c r="E27" s="60" cm="1">
        <f t="array" ref="E27">_xlfn.IFS(OPT=0,Calcul!E34, OPT=1,Calcul!E34, OPT=2,Calcul!E34+Projects!E135,OPT=3,Calcul!E34)</f>
        <v>6.1271843332191764</v>
      </c>
      <c r="F27" s="60" cm="1">
        <f t="array" ref="F27">_xlfn.IFS(OPT=0,Calcul!F34, OPT=1,Calcul!F34, OPT=2,Calcul!F34+Projects!F135,OPT=3,Calcul!F34)</f>
        <v>6.8011746098732857</v>
      </c>
      <c r="G27" s="60" cm="1">
        <f t="array" ref="G27">_xlfn.IFS(OPT=0,Calcul!G34, OPT=1,Calcul!G34, OPT=2,Calcul!G34+Projects!G135,OPT=3,Calcul!G34)</f>
        <v>7.4132803247618826</v>
      </c>
      <c r="H27" s="60"/>
      <c r="I27" s="56"/>
      <c r="J27" s="56"/>
      <c r="K27" s="209"/>
      <c r="L27" s="209"/>
      <c r="M27" s="105"/>
      <c r="N27" s="105"/>
      <c r="O27" s="105"/>
      <c r="P27" s="105"/>
      <c r="Q27" s="105"/>
    </row>
    <row r="28" spans="2:17" ht="16" x14ac:dyDescent="0.15">
      <c r="B28" s="167" t="s">
        <v>250</v>
      </c>
      <c r="C28" s="60">
        <f>'Noname co'!G59</f>
        <v>1.3667499999999999</v>
      </c>
      <c r="D28" s="60" cm="1">
        <f t="array" ref="D28">_xlfn.IFS(OPT=0, Calcul!D22, OPT=1, Calcul!D22+Calcul!D64, OPT=2, Calcul!D22+Projects!D136,OPT=3, Calcul!D22)</f>
        <v>1.6467686506849313</v>
      </c>
      <c r="E28" s="60" cm="1">
        <f t="array" ref="E28">_xlfn.IFS(OPT=0, Calcul!E22, OPT=1, Calcul!E22+Calcul!E64, OPT=2, Calcul!E22+Projects!E136,OPT=3, Calcul!E22)</f>
        <v>1.7700754740410951</v>
      </c>
      <c r="F28" s="60" cm="1">
        <f t="array" ref="F28">_xlfn.IFS(OPT=0, Calcul!F22, OPT=1, Calcul!F22+Calcul!F64, OPT=2, Calcul!F22+Projects!F136,OPT=3, Calcul!F22)</f>
        <v>1.9647837761856155</v>
      </c>
      <c r="G28" s="60" cm="1">
        <f t="array" ref="G28">_xlfn.IFS(OPT=0, Calcul!G22, OPT=1, Calcul!G22+Calcul!G64, OPT=2, Calcul!G22+Projects!G136,OPT=3, Calcul!G22)</f>
        <v>2.1416143160423218</v>
      </c>
      <c r="H28" s="60"/>
      <c r="I28" s="56"/>
      <c r="J28" s="56"/>
      <c r="K28" s="209"/>
      <c r="L28" s="209"/>
      <c r="M28" s="105"/>
      <c r="N28" s="105"/>
      <c r="O28" s="105"/>
      <c r="P28" s="105"/>
      <c r="Q28" s="105"/>
    </row>
    <row r="29" spans="2:17" ht="16" x14ac:dyDescent="0.15">
      <c r="B29" s="182" t="s">
        <v>251</v>
      </c>
      <c r="C29" s="60">
        <f>'Noname co'!G60</f>
        <v>0.51905000000000001</v>
      </c>
      <c r="D29" s="211" cm="1">
        <f t="array" ref="D29">_xlfn.IFS(OPT=0,Calcul!D40, OPT=1,Calcul!D40,OPT=2,Calcul!D40+Projects!D137,OPT=3,Calcul!D40)</f>
        <v>0.54508472545665498</v>
      </c>
      <c r="E29" s="211" cm="1">
        <f t="array" ref="E29">_xlfn.IFS(OPT=0,Calcul!E40, OPT=1,Calcul!E40,OPT=2,Calcul!E40+Projects!E137,OPT=3,Calcul!E40)</f>
        <v>0.61594573976601985</v>
      </c>
      <c r="F29" s="211" cm="1">
        <f t="array" ref="F29">_xlfn.IFS(OPT=0,Calcul!F40, OPT=1,Calcul!F40,OPT=2,Calcul!F40+Projects!F137,OPT=3,Calcul!F40)</f>
        <v>0.68369977114028235</v>
      </c>
      <c r="G29" s="211" cm="1">
        <f t="array" ref="G29">_xlfn.IFS(OPT=0,Calcul!G40, OPT=1,Calcul!G40,OPT=2,Calcul!G40+Projects!G137,OPT=3,Calcul!G40)</f>
        <v>0.74523275054290772</v>
      </c>
      <c r="H29" s="60"/>
      <c r="I29" s="56"/>
      <c r="J29" s="56"/>
      <c r="K29" s="209"/>
      <c r="L29" s="209"/>
      <c r="M29" s="105"/>
      <c r="N29" s="105"/>
      <c r="O29" s="105"/>
      <c r="P29" s="105"/>
      <c r="Q29" s="105"/>
    </row>
    <row r="30" spans="2:17" ht="16" x14ac:dyDescent="0.15">
      <c r="B30" s="167" t="s">
        <v>252</v>
      </c>
      <c r="C30" s="186">
        <f>'Noname co'!G61</f>
        <v>0.47074999999999995</v>
      </c>
      <c r="D30" s="212" cm="1">
        <f t="array" ref="D30">_xlfn.IFS(OPT=0, Calcul!D15, OPT=1, Calcul!D15, OPT=2,Calcul!D15+Projects!D138,OPT=3, Calcul!D15)</f>
        <v>0.54076123836687873</v>
      </c>
      <c r="E30" s="212" cm="1">
        <f t="array" ref="E30">_xlfn.IFS(OPT=0, Calcul!E15, OPT=1, Calcul!E15, OPT=2,Calcul!E15+Projects!E138,OPT=3, Calcul!E15)</f>
        <v>0.6110601993545729</v>
      </c>
      <c r="F30" s="212" cm="1">
        <f t="array" ref="F30">_xlfn.IFS(OPT=0, Calcul!F15, OPT=1, Calcul!F15, OPT=2,Calcul!F15+Projects!F138,OPT=3, Calcul!F15)</f>
        <v>0.67827682128357603</v>
      </c>
      <c r="G30" s="212" cm="1">
        <f t="array" ref="G30">_xlfn.IFS(OPT=0, Calcul!G15, OPT=1, Calcul!G15, OPT=2,Calcul!G15+Projects!G138,OPT=3, Calcul!G15)</f>
        <v>0.73932173519909794</v>
      </c>
      <c r="H30" s="60"/>
      <c r="I30" s="56"/>
      <c r="J30" s="56"/>
      <c r="K30" s="209"/>
      <c r="L30" s="209"/>
      <c r="M30" s="105"/>
      <c r="N30" s="105"/>
      <c r="O30" s="105"/>
      <c r="P30" s="105"/>
      <c r="Q30" s="105"/>
    </row>
    <row r="31" spans="2:17" ht="16" x14ac:dyDescent="0.15">
      <c r="B31" s="170" t="s">
        <v>253</v>
      </c>
      <c r="C31" s="60">
        <f>'Noname co'!G62</f>
        <v>7.0612499999999994</v>
      </c>
      <c r="D31" s="60">
        <f>SUM(D27:D30)</f>
        <v>8.1549016350564081</v>
      </c>
      <c r="E31" s="176">
        <f t="shared" ref="E31:F31" si="4">SUM(E27:E30)</f>
        <v>9.1242657463808623</v>
      </c>
      <c r="F31" s="176">
        <f t="shared" si="4"/>
        <v>10.127934978482761</v>
      </c>
      <c r="G31" s="176">
        <f>SUM(G27:G30)</f>
        <v>11.039449126546209</v>
      </c>
      <c r="H31" s="60"/>
      <c r="I31" s="56"/>
      <c r="J31" s="56"/>
      <c r="K31" s="209"/>
      <c r="L31" s="209"/>
      <c r="M31" s="105"/>
      <c r="N31" s="105"/>
      <c r="O31" s="105"/>
      <c r="P31" s="105"/>
      <c r="Q31" s="105"/>
    </row>
    <row r="32" spans="2:17" ht="16" x14ac:dyDescent="0.15">
      <c r="B32" s="167"/>
      <c r="C32" s="60"/>
      <c r="D32" s="213"/>
      <c r="E32" s="214"/>
      <c r="F32" s="214"/>
      <c r="G32" s="214"/>
      <c r="H32" s="60"/>
      <c r="I32" s="56"/>
      <c r="J32" s="56"/>
      <c r="K32" s="209"/>
      <c r="L32" s="209"/>
      <c r="M32" s="105"/>
      <c r="N32" s="105"/>
      <c r="O32" s="105"/>
      <c r="P32" s="105"/>
      <c r="Q32" s="105"/>
    </row>
    <row r="33" spans="2:17" ht="16" x14ac:dyDescent="0.15">
      <c r="B33" s="167" t="s">
        <v>254</v>
      </c>
      <c r="C33" s="186">
        <f>'Noname co'!G64</f>
        <v>7.7864499999999994</v>
      </c>
      <c r="D33" s="215" cm="1">
        <f t="array" ref="D33">_xlfn.IFS(OPT=0,Calcul!D39,OPT=1,Calcul!D39, OPT=2,Calcul!D39+Projects!D141,OPT=3,Calcul!D39)</f>
        <v>8.1355929172635069</v>
      </c>
      <c r="E33" s="215" cm="1">
        <f t="array" ref="E33">_xlfn.IFS(OPT=0,Calcul!E39,OPT=1,Calcul!E39, OPT=2,Calcul!E39+Projects!E141,OPT=3,Calcul!E39)</f>
        <v>9.193219996507759</v>
      </c>
      <c r="F33" s="215" cm="1">
        <f t="array" ref="F33">_xlfn.IFS(OPT=0,Calcul!F39,OPT=1,Calcul!F39, OPT=2,Calcul!F39+Projects!F141,OPT=3,Calcul!F39)</f>
        <v>10.204474196123616</v>
      </c>
      <c r="G33" s="215" cm="1">
        <f t="array" ref="G33">_xlfn.IFS(OPT=0,Calcul!G39,OPT=1,Calcul!G39, OPT=2,Calcul!G39+Projects!G141,OPT=3,Calcul!G39)</f>
        <v>11.122876873774741</v>
      </c>
      <c r="H33" s="60"/>
      <c r="I33" s="56"/>
      <c r="J33" s="56"/>
      <c r="K33" s="209"/>
      <c r="L33" s="209"/>
      <c r="M33" s="105"/>
      <c r="N33" s="105"/>
      <c r="O33" s="105"/>
      <c r="P33" s="105"/>
      <c r="Q33" s="105"/>
    </row>
    <row r="34" spans="2:17" ht="16" x14ac:dyDescent="0.15">
      <c r="B34" s="170" t="s">
        <v>255</v>
      </c>
      <c r="C34" s="60">
        <f>'Noname co'!G65</f>
        <v>14.8477</v>
      </c>
      <c r="D34" s="60">
        <f>SUM(D31:D33)</f>
        <v>16.290494552319913</v>
      </c>
      <c r="E34" s="176">
        <f t="shared" ref="E34:F34" si="5">SUM(E31:E33)</f>
        <v>18.317485742888621</v>
      </c>
      <c r="F34" s="176">
        <f t="shared" si="5"/>
        <v>20.332409174606376</v>
      </c>
      <c r="G34" s="176">
        <f>SUM(G31:G33)</f>
        <v>22.162326000320952</v>
      </c>
      <c r="H34" s="60"/>
      <c r="I34" s="56"/>
      <c r="J34" s="56"/>
      <c r="K34" s="209"/>
      <c r="L34" s="209"/>
      <c r="M34" s="105"/>
      <c r="N34" s="105"/>
      <c r="O34" s="105"/>
      <c r="P34" s="105"/>
      <c r="Q34" s="105"/>
    </row>
    <row r="35" spans="2:17" ht="16" x14ac:dyDescent="0.15">
      <c r="B35" s="167"/>
      <c r="C35" s="60"/>
      <c r="D35" s="60"/>
      <c r="E35" s="176"/>
      <c r="F35" s="176"/>
      <c r="G35" s="176"/>
      <c r="H35" s="60"/>
      <c r="I35" s="56"/>
      <c r="J35" s="56"/>
      <c r="K35" s="209"/>
      <c r="L35" s="209"/>
      <c r="M35" s="105"/>
      <c r="N35" s="105"/>
      <c r="O35" s="105"/>
      <c r="P35" s="105"/>
      <c r="Q35" s="105"/>
    </row>
    <row r="36" spans="2:17" ht="16" x14ac:dyDescent="0.15">
      <c r="B36" s="167" t="s">
        <v>256</v>
      </c>
      <c r="C36" s="60">
        <f>'Noname co'!G67</f>
        <v>2.408455</v>
      </c>
      <c r="D36" s="203" cm="1">
        <f t="array" ref="D36">_xlfn.IFS(OPT=0,C36, OPT=1, C36,OPT=2, $C$36+Projects!$C$168,OPT=3,C36+Projects!C17)</f>
        <v>2.408455</v>
      </c>
      <c r="E36" s="203" cm="1">
        <f t="array" ref="E36">_xlfn.IFS(OPT=0,D36, OPT=1, D36,OPT=2, $C$36+Projects!$C$168,OPT=3,D36+Projects!D17)</f>
        <v>2.408455</v>
      </c>
      <c r="F36" s="203" cm="1">
        <f t="array" ref="F36">_xlfn.IFS(OPT=0,E36, OPT=1, E36,OPT=2, $C$36+Projects!$C$168,OPT=3,E36+Projects!E17)</f>
        <v>2.408455</v>
      </c>
      <c r="G36" s="203" cm="1">
        <f t="array" ref="G36">_xlfn.IFS(OPT=0,F36, OPT=1, F36,OPT=2, $C$36+Projects!$C$168,OPT=3,F36+Projects!F17)</f>
        <v>2.408455</v>
      </c>
      <c r="H36" s="60"/>
      <c r="I36" s="56"/>
      <c r="J36" s="56"/>
      <c r="K36" s="209"/>
      <c r="L36" s="209"/>
      <c r="M36" s="105"/>
      <c r="N36" s="105"/>
      <c r="O36" s="105"/>
      <c r="P36" s="105"/>
      <c r="Q36" s="105"/>
    </row>
    <row r="37" spans="2:17" ht="16" x14ac:dyDescent="0.15">
      <c r="B37" s="167" t="s">
        <v>257</v>
      </c>
      <c r="C37" s="186">
        <f>'Noname co'!G68</f>
        <v>3.6109499999999999</v>
      </c>
      <c r="D37" s="212" cm="1">
        <f t="array" ref="D37">_xlfn.IFS(OPT=0,C37+PL!D21, OPT=1,C37+PL!D21, OPT=2,C37+PL!D21,OPT=3,C37+PL!D21)</f>
        <v>4.5543091477453039</v>
      </c>
      <c r="E37" s="212" cm="1">
        <f t="array" ref="E37">_xlfn.IFS(OPT=0,D37+PL!E21, OPT=1,D37+PL!E21, OPT=2,D37+PL!E21,OPT=3,D37+PL!E21)</f>
        <v>5.8890437938474989</v>
      </c>
      <c r="F37" s="212" cm="1">
        <f t="array" ref="F37">_xlfn.IFS(OPT=0,E37+PL!F21, OPT=1,E37+PL!F21, OPT=2,E37+PL!F21,OPT=3,E37+PL!F21)</f>
        <v>7.3705992510209386</v>
      </c>
      <c r="G37" s="212" cm="1">
        <f t="array" ref="G37">_xlfn.IFS(OPT=0,F37+PL!G21, OPT=1,F37+PL!G21, OPT=2,F37+PL!G21,OPT=3,F37+PL!G21)</f>
        <v>8.9854946993399842</v>
      </c>
      <c r="H37" s="203"/>
      <c r="I37" s="56"/>
      <c r="J37" s="56"/>
      <c r="K37" s="209"/>
      <c r="L37" s="209"/>
      <c r="M37" s="105"/>
      <c r="N37" s="105"/>
      <c r="O37" s="105"/>
      <c r="P37" s="105"/>
      <c r="Q37" s="105"/>
    </row>
    <row r="38" spans="2:17" ht="16" x14ac:dyDescent="0.15">
      <c r="B38" s="170" t="s">
        <v>258</v>
      </c>
      <c r="C38" s="60">
        <f>'Noname co'!G69</f>
        <v>6.0194049999999999</v>
      </c>
      <c r="D38" s="203">
        <f>SUM(D36:D37)</f>
        <v>6.9627641477453039</v>
      </c>
      <c r="E38" s="176">
        <f t="shared" ref="E38:F38" si="6">SUM(E36:E37)</f>
        <v>8.2974987938474989</v>
      </c>
      <c r="F38" s="176">
        <f t="shared" si="6"/>
        <v>9.7790542510209377</v>
      </c>
      <c r="G38" s="176">
        <f t="shared" ref="G38" si="7">SUM(G36:G37)</f>
        <v>11.393949699339984</v>
      </c>
      <c r="H38" s="60"/>
      <c r="I38" s="56"/>
      <c r="J38" s="56"/>
      <c r="K38" s="209"/>
      <c r="L38" s="209"/>
      <c r="M38" s="105"/>
      <c r="N38" s="105"/>
      <c r="O38" s="105"/>
      <c r="P38" s="105"/>
      <c r="Q38" s="105"/>
    </row>
    <row r="39" spans="2:17" ht="16" x14ac:dyDescent="0.15">
      <c r="B39" s="127"/>
      <c r="C39" s="186"/>
      <c r="D39" s="141"/>
      <c r="E39" s="215"/>
      <c r="F39" s="215"/>
      <c r="G39" s="215"/>
      <c r="H39" s="60"/>
      <c r="I39" s="56"/>
      <c r="J39" s="56"/>
      <c r="K39" s="105"/>
      <c r="L39" s="105"/>
      <c r="M39" s="105"/>
      <c r="N39" s="105"/>
      <c r="O39" s="105"/>
      <c r="P39" s="105"/>
      <c r="Q39" s="105"/>
    </row>
    <row r="40" spans="2:17" ht="16" x14ac:dyDescent="0.15">
      <c r="B40" s="167" t="s">
        <v>259</v>
      </c>
      <c r="C40" s="60">
        <f>'Noname co'!G71</f>
        <v>20.867104999999999</v>
      </c>
      <c r="D40" s="176">
        <f>SUM(D38+D34)</f>
        <v>23.253258700065217</v>
      </c>
      <c r="E40" s="176">
        <f t="shared" ref="E40:G40" si="8">SUM(E38+E34)</f>
        <v>26.61498453673612</v>
      </c>
      <c r="F40" s="176">
        <f t="shared" si="8"/>
        <v>30.111463425627313</v>
      </c>
      <c r="G40" s="176">
        <f t="shared" si="8"/>
        <v>33.556275699660937</v>
      </c>
      <c r="H40" s="60"/>
      <c r="I40" s="56"/>
      <c r="J40" s="56"/>
      <c r="K40" s="105"/>
      <c r="L40" s="105"/>
      <c r="M40" s="105"/>
      <c r="N40" s="105"/>
      <c r="O40" s="105"/>
      <c r="P40" s="105"/>
      <c r="Q40" s="105"/>
    </row>
    <row r="41" spans="2:17" ht="16" x14ac:dyDescent="0.15">
      <c r="C41" s="168"/>
      <c r="I41" s="60"/>
      <c r="K41" s="105"/>
      <c r="L41" s="60"/>
      <c r="M41" s="60"/>
      <c r="N41" s="60"/>
    </row>
    <row r="42" spans="2:17" ht="17" x14ac:dyDescent="0.15">
      <c r="B42" s="51" t="s">
        <v>275</v>
      </c>
      <c r="C42" s="216"/>
      <c r="D42" s="60">
        <f>D40-D21</f>
        <v>0</v>
      </c>
      <c r="E42" s="60">
        <f t="shared" ref="E42:G42" si="9">E40-E21</f>
        <v>0</v>
      </c>
      <c r="F42" s="60">
        <f t="shared" si="9"/>
        <v>0</v>
      </c>
      <c r="G42" s="60">
        <f t="shared" si="9"/>
        <v>0</v>
      </c>
      <c r="I42" s="60"/>
      <c r="K42" s="105"/>
    </row>
    <row r="43" spans="2:17" ht="16" x14ac:dyDescent="0.15">
      <c r="I43" s="211"/>
      <c r="J43" s="114"/>
    </row>
    <row r="44" spans="2:17" ht="16" x14ac:dyDescent="0.15">
      <c r="B44" s="105"/>
      <c r="D44" s="60"/>
      <c r="E44" s="60"/>
      <c r="F44" s="60"/>
      <c r="G44" s="60"/>
      <c r="H44" s="60"/>
      <c r="I44" s="203"/>
      <c r="J44" s="203"/>
    </row>
    <row r="45" spans="2:17" ht="16" x14ac:dyDescent="0.15">
      <c r="D45" s="60"/>
      <c r="E45" s="60"/>
      <c r="F45" s="60"/>
      <c r="G45" s="60"/>
      <c r="H45" s="60"/>
      <c r="I45" s="203"/>
      <c r="J45" s="203"/>
    </row>
    <row r="46" spans="2:17" ht="15" customHeight="1" x14ac:dyDescent="0.15">
      <c r="I46" s="217"/>
      <c r="J46" s="114"/>
    </row>
    <row r="47" spans="2:17" ht="16" x14ac:dyDescent="0.15">
      <c r="B47" s="99"/>
      <c r="D47" s="106"/>
      <c r="E47" s="106"/>
      <c r="F47" s="106"/>
      <c r="G47" s="106"/>
      <c r="I47" s="211"/>
      <c r="J47" s="114"/>
    </row>
    <row r="48" spans="2:17" ht="16" x14ac:dyDescent="0.15">
      <c r="B48" s="99"/>
      <c r="D48" s="60"/>
      <c r="E48" s="60"/>
      <c r="F48" s="60"/>
      <c r="G48" s="60"/>
      <c r="H48" s="60"/>
      <c r="I48" s="203"/>
      <c r="J48" s="203"/>
    </row>
    <row r="49" spans="2:11" ht="16" x14ac:dyDescent="0.15">
      <c r="B49" s="99"/>
      <c r="I49" s="203"/>
      <c r="J49" s="114"/>
    </row>
    <row r="50" spans="2:11" ht="16" x14ac:dyDescent="0.15">
      <c r="B50" s="99"/>
      <c r="D50" s="60"/>
      <c r="E50" s="60"/>
      <c r="F50" s="60"/>
      <c r="G50" s="60"/>
      <c r="I50" s="203"/>
      <c r="J50" s="114"/>
    </row>
    <row r="51" spans="2:11" ht="16" x14ac:dyDescent="0.15">
      <c r="B51" s="99"/>
      <c r="D51" s="60"/>
      <c r="E51" s="60"/>
      <c r="F51" s="60"/>
      <c r="G51" s="60"/>
      <c r="I51" s="203"/>
      <c r="J51" s="114"/>
      <c r="K51" s="60"/>
    </row>
    <row r="52" spans="2:11" ht="15" customHeight="1" x14ac:dyDescent="0.15">
      <c r="I52" s="203"/>
      <c r="J52" s="114"/>
    </row>
    <row r="53" spans="2:11" ht="16" x14ac:dyDescent="0.15">
      <c r="B53" s="99"/>
      <c r="D53" s="60"/>
      <c r="E53" s="60"/>
      <c r="F53" s="60"/>
      <c r="G53" s="60"/>
      <c r="I53" s="114"/>
      <c r="J53" s="114"/>
    </row>
    <row r="54" spans="2:11" ht="16" x14ac:dyDescent="0.15">
      <c r="B54" s="99"/>
      <c r="D54" s="218"/>
      <c r="E54" s="218"/>
      <c r="F54" s="218"/>
      <c r="G54" s="218"/>
      <c r="I54" s="114"/>
      <c r="J54" s="114"/>
    </row>
    <row r="56" spans="2:11" ht="16" x14ac:dyDescent="0.15">
      <c r="E56" s="60"/>
    </row>
  </sheetData>
  <sheetProtection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0D16-00F8-3947-9038-CECF865C46EC}">
  <sheetPr codeName="Sheet14">
    <tabColor rgb="FF203764"/>
  </sheetPr>
  <dimension ref="B1:K62"/>
  <sheetViews>
    <sheetView tabSelected="1" zoomScaleNormal="120" workbookViewId="0">
      <pane ySplit="9" topLeftCell="A10" activePane="bottomLeft" state="frozen"/>
      <selection pane="bottomLeft" activeCell="U19" sqref="U19"/>
    </sheetView>
  </sheetViews>
  <sheetFormatPr baseColWidth="10" defaultColWidth="10.75" defaultRowHeight="13" outlineLevelRow="1" x14ac:dyDescent="0.15"/>
  <cols>
    <col min="1" max="1" width="10.75" style="308"/>
    <col min="2" max="2" width="61" style="308" customWidth="1"/>
    <col min="3" max="3" width="15.5" style="308" customWidth="1"/>
    <col min="4" max="5" width="14.25" style="308" customWidth="1"/>
    <col min="6" max="6" width="13.75" style="308" customWidth="1"/>
    <col min="7" max="7" width="26.5" style="308" customWidth="1"/>
    <col min="8" max="8" width="26.25" style="308" customWidth="1"/>
    <col min="9" max="9" width="14.75" style="308" customWidth="1"/>
    <col min="10" max="10" width="13.5" style="308" customWidth="1"/>
    <col min="11" max="11" width="12.75" style="308" customWidth="1"/>
    <col min="12" max="16384" width="10.75" style="308"/>
  </cols>
  <sheetData>
    <row r="1" spans="2:11" s="329" customFormat="1" x14ac:dyDescent="0.15"/>
    <row r="2" spans="2:11" s="329" customFormat="1" ht="16" x14ac:dyDescent="0.2">
      <c r="B2" s="330" t="str">
        <f>Input!B2</f>
        <v>Noname co, by elie diwambuena</v>
      </c>
    </row>
    <row r="3" spans="2:11" s="329" customFormat="1" x14ac:dyDescent="0.15"/>
    <row r="4" spans="2:11" s="329" customFormat="1" ht="16" x14ac:dyDescent="0.2">
      <c r="B4" s="330" t="s">
        <v>276</v>
      </c>
      <c r="C4" s="331">
        <v>0</v>
      </c>
      <c r="G4" s="332" t="s">
        <v>277</v>
      </c>
      <c r="H4" s="333" t="str">
        <f>C20</f>
        <v>FY11</v>
      </c>
      <c r="I4" s="334" t="str">
        <f>D20</f>
        <v>FY12</v>
      </c>
    </row>
    <row r="5" spans="2:11" s="329" customFormat="1" x14ac:dyDescent="0.15">
      <c r="B5" s="335" t="s">
        <v>278</v>
      </c>
      <c r="C5" s="336">
        <v>0</v>
      </c>
      <c r="D5" s="337"/>
      <c r="G5" s="338" t="s">
        <v>279</v>
      </c>
      <c r="H5" s="339">
        <f>C26</f>
        <v>0.62348205300234816</v>
      </c>
      <c r="I5" s="340">
        <f>D26</f>
        <v>0.60649411960606414</v>
      </c>
      <c r="J5" s="341" t="s">
        <v>280</v>
      </c>
      <c r="K5" s="357" t="s">
        <v>281</v>
      </c>
    </row>
    <row r="6" spans="2:11" s="329" customFormat="1" x14ac:dyDescent="0.15">
      <c r="B6" s="335" t="s">
        <v>282</v>
      </c>
      <c r="C6" s="336">
        <v>1</v>
      </c>
      <c r="G6" s="342" t="s">
        <v>38</v>
      </c>
      <c r="H6" s="343">
        <f>C27</f>
        <v>3.466639144566614</v>
      </c>
      <c r="I6" s="344">
        <f>D27</f>
        <v>3.3396591075966766</v>
      </c>
      <c r="J6" s="345" t="s">
        <v>283</v>
      </c>
      <c r="K6" s="357"/>
    </row>
    <row r="7" spans="2:11" s="329" customFormat="1" x14ac:dyDescent="0.15">
      <c r="B7" s="335" t="s">
        <v>366</v>
      </c>
      <c r="C7" s="336">
        <v>2</v>
      </c>
    </row>
    <row r="8" spans="2:11" s="329" customFormat="1" x14ac:dyDescent="0.15">
      <c r="B8" s="335" t="s">
        <v>284</v>
      </c>
      <c r="C8" s="336">
        <v>3</v>
      </c>
    </row>
    <row r="9" spans="2:11" s="329" customFormat="1" x14ac:dyDescent="0.15">
      <c r="G9" s="346"/>
    </row>
    <row r="10" spans="2:11" x14ac:dyDescent="0.15">
      <c r="G10" s="309"/>
    </row>
    <row r="11" spans="2:11" x14ac:dyDescent="0.15">
      <c r="B11" s="310" t="s">
        <v>285</v>
      </c>
      <c r="C11" s="311" t="str">
        <f>Input!C7</f>
        <v>FY11</v>
      </c>
      <c r="D11" s="311" t="str">
        <f>Input!D7</f>
        <v>FY12</v>
      </c>
      <c r="E11" s="311" t="str">
        <f>Input!E7</f>
        <v>FY13</v>
      </c>
      <c r="F11" s="311" t="str">
        <f>Input!F7</f>
        <v>FY14</v>
      </c>
      <c r="G11" s="311" t="str">
        <f>Input!G7</f>
        <v>FY15</v>
      </c>
      <c r="H11" s="312"/>
      <c r="I11" s="313"/>
      <c r="J11" s="313"/>
    </row>
    <row r="12" spans="2:11" x14ac:dyDescent="0.15">
      <c r="B12" s="308" t="s">
        <v>286</v>
      </c>
      <c r="D12" s="314">
        <f>SUM(CF!D13,CF!D16)</f>
        <v>-0.16776563634247382</v>
      </c>
      <c r="E12" s="314">
        <f>SUM(CF!E13,CF!E16)</f>
        <v>-9.5053841557396712E-2</v>
      </c>
      <c r="F12" s="314">
        <f>SUM(CF!F13,CF!F16)</f>
        <v>9.9590782921014309E-2</v>
      </c>
      <c r="G12" s="314">
        <f>SUM(CF!G13,CF!G16)</f>
        <v>0.54603211221909831</v>
      </c>
    </row>
    <row r="13" spans="2:11" x14ac:dyDescent="0.15">
      <c r="B13" s="308" t="s">
        <v>166</v>
      </c>
      <c r="C13" s="309">
        <f>Calcul!D121</f>
        <v>7.567439903697612E-2</v>
      </c>
      <c r="D13" s="314"/>
      <c r="E13" s="314"/>
      <c r="F13" s="314"/>
      <c r="G13" s="314"/>
    </row>
    <row r="14" spans="2:11" x14ac:dyDescent="0.15">
      <c r="B14" s="308" t="s">
        <v>287</v>
      </c>
      <c r="D14" s="314">
        <f>0.5</f>
        <v>0.5</v>
      </c>
      <c r="E14" s="314">
        <f>D14+1</f>
        <v>1.5</v>
      </c>
      <c r="F14" s="314">
        <f t="shared" ref="F14:G14" si="0">E14+1</f>
        <v>2.5</v>
      </c>
      <c r="G14" s="314">
        <f t="shared" si="0"/>
        <v>3.5</v>
      </c>
    </row>
    <row r="15" spans="2:11" x14ac:dyDescent="0.15">
      <c r="B15" s="308" t="s">
        <v>288</v>
      </c>
      <c r="D15" s="314">
        <f>1/(1+$C$13)^D14</f>
        <v>0.9641832525702988</v>
      </c>
      <c r="E15" s="314">
        <f t="shared" ref="E15:G15" si="1">1/(1+$C$13)^E14</f>
        <v>0.89635232876557025</v>
      </c>
      <c r="F15" s="314">
        <f t="shared" si="1"/>
        <v>0.8332933549111623</v>
      </c>
      <c r="G15" s="314">
        <f t="shared" si="1"/>
        <v>0.77467062120023367</v>
      </c>
      <c r="H15" s="315"/>
      <c r="I15" s="315"/>
      <c r="J15" s="315"/>
    </row>
    <row r="16" spans="2:11" x14ac:dyDescent="0.15">
      <c r="B16" s="308" t="s">
        <v>289</v>
      </c>
      <c r="D16" s="314">
        <f>D15*D12</f>
        <v>-0.16175681691821234</v>
      </c>
      <c r="E16" s="314">
        <f t="shared" ref="E16:G16" si="2">E15*E12</f>
        <v>-8.5201732238086081E-2</v>
      </c>
      <c r="F16" s="314">
        <f t="shared" si="2"/>
        <v>8.2988337618481303E-2</v>
      </c>
      <c r="G16" s="314">
        <f t="shared" si="2"/>
        <v>0.42299503556804458</v>
      </c>
      <c r="H16" s="316"/>
      <c r="I16" s="316"/>
      <c r="J16" s="316"/>
    </row>
    <row r="17" spans="2:9" x14ac:dyDescent="0.15">
      <c r="B17" s="317" t="s">
        <v>201</v>
      </c>
      <c r="C17" s="318">
        <f>SUM(D16:G16)</f>
        <v>0.25902482403022747</v>
      </c>
    </row>
    <row r="20" spans="2:9" x14ac:dyDescent="0.15">
      <c r="B20" s="310" t="s">
        <v>290</v>
      </c>
      <c r="C20" s="311" t="str">
        <f>C11</f>
        <v>FY11</v>
      </c>
      <c r="D20" s="311" t="str">
        <f t="shared" ref="D20:G20" si="3">D11</f>
        <v>FY12</v>
      </c>
      <c r="E20" s="311" t="str">
        <f t="shared" si="3"/>
        <v>FY13</v>
      </c>
      <c r="F20" s="311" t="str">
        <f t="shared" si="3"/>
        <v>FY14</v>
      </c>
      <c r="G20" s="311" t="str">
        <f t="shared" si="3"/>
        <v>FY15</v>
      </c>
      <c r="H20" s="313"/>
      <c r="I20" s="313"/>
    </row>
    <row r="21" spans="2:9" outlineLevel="1" x14ac:dyDescent="0.15">
      <c r="B21" s="308" t="s">
        <v>291</v>
      </c>
      <c r="C21" s="319">
        <f>BS!C38/BS!C21</f>
        <v>0.28846528010734651</v>
      </c>
      <c r="D21" s="319">
        <f>BS!D38/BS!D21</f>
        <v>0.2994317586861826</v>
      </c>
      <c r="E21" s="319">
        <f>BS!E38/BS!E21</f>
        <v>0.31176042136694204</v>
      </c>
      <c r="F21" s="319">
        <f>BS!F38/BS!F21</f>
        <v>0.3247618394627132</v>
      </c>
      <c r="G21" s="319">
        <f>BS!G38/BS!G21</f>
        <v>0.33954750525115968</v>
      </c>
      <c r="H21" s="319"/>
      <c r="I21" s="319"/>
    </row>
    <row r="22" spans="2:9" outlineLevel="1" x14ac:dyDescent="0.15">
      <c r="B22" s="308" t="s">
        <v>292</v>
      </c>
      <c r="C22" s="320">
        <f>BS!C38/BS!C34</f>
        <v>0.40540992881052285</v>
      </c>
      <c r="D22" s="320">
        <f>BS!D38/BS!D34</f>
        <v>0.42741269305134411</v>
      </c>
      <c r="E22" s="320">
        <f>BS!E38/BS!E34</f>
        <v>0.45298240764668418</v>
      </c>
      <c r="F22" s="320">
        <f>BS!F38/BS!F34</f>
        <v>0.48095895410339412</v>
      </c>
      <c r="G22" s="320">
        <f>BS!G38/BS!G34</f>
        <v>0.51411344184608498</v>
      </c>
      <c r="H22" s="321"/>
      <c r="I22" s="321"/>
    </row>
    <row r="23" spans="2:9" outlineLevel="1" x14ac:dyDescent="0.15">
      <c r="B23" s="308" t="s">
        <v>293</v>
      </c>
      <c r="C23" s="320">
        <f>'Noname co'!G14/'Noname co'!G64</f>
        <v>0.27284577695869056</v>
      </c>
      <c r="D23" s="320">
        <f>PL!D13/BS!D33</f>
        <v>0.29632725291408707</v>
      </c>
      <c r="E23" s="320">
        <f>PL!E13/BS!E33</f>
        <v>0.33637147628085584</v>
      </c>
      <c r="F23" s="320">
        <f>PL!F13/BS!F33</f>
        <v>0.33637147628085623</v>
      </c>
      <c r="G23" s="320">
        <f>PL!G13/BS!G33</f>
        <v>0.33637147628085573</v>
      </c>
      <c r="H23" s="322"/>
      <c r="I23" s="322"/>
    </row>
    <row r="24" spans="2:9" outlineLevel="1" x14ac:dyDescent="0.15">
      <c r="B24" s="308" t="s">
        <v>294</v>
      </c>
      <c r="C24" s="320">
        <f>'Noname co'!G14/SUM('Noname co'!G58,'Noname co'!G60)</f>
        <v>0.4067001675041868</v>
      </c>
      <c r="D24" s="320">
        <f>PL!D13/SUM(BS!D29,BS!D27)</f>
        <v>0.40399660061636467</v>
      </c>
      <c r="E24" s="320">
        <f>PL!E13/SUM(BS!E29,BS!E27)</f>
        <v>0.45859073583479248</v>
      </c>
      <c r="F24" s="320">
        <f>PL!F13/SUM(BS!F29,BS!F27)</f>
        <v>0.45859073583479321</v>
      </c>
      <c r="G24" s="320">
        <f>PL!G13/SUM(BS!G29,BS!G27)</f>
        <v>0.45859073583479237</v>
      </c>
      <c r="H24" s="321"/>
      <c r="I24" s="321"/>
    </row>
    <row r="25" spans="2:9" outlineLevel="1" x14ac:dyDescent="0.15">
      <c r="B25" s="308" t="s">
        <v>295</v>
      </c>
      <c r="C25" s="320">
        <f>'Noname co'!G50/'Noname co'!G51</f>
        <v>0.43674941294867492</v>
      </c>
      <c r="D25" s="320">
        <f>BS!D18/BS!D21</f>
        <v>0.4132446606278477</v>
      </c>
      <c r="E25" s="320">
        <f>BS!E18/BS!E21</f>
        <v>0.40798415775940955</v>
      </c>
      <c r="F25" s="320">
        <f>BS!F18/BS!F21</f>
        <v>0.40027699767132452</v>
      </c>
      <c r="G25" s="320">
        <f>BS!G18/BS!G21</f>
        <v>0.39151214660653616</v>
      </c>
      <c r="I25" s="321"/>
    </row>
    <row r="26" spans="2:9" outlineLevel="1" x14ac:dyDescent="0.15">
      <c r="B26" s="317" t="s">
        <v>279</v>
      </c>
      <c r="C26" s="323">
        <f>SUM('Noname co'!G58,'Noname co'!G60,'Noname co'!G64)/'Noname co'!G51</f>
        <v>0.62348205300234816</v>
      </c>
      <c r="D26" s="323">
        <f>SUM(BS!D27,BS!D29,BS!D33)/BS!D21</f>
        <v>0.60649411960606414</v>
      </c>
      <c r="E26" s="323">
        <f>SUM(BS!E27,BS!E29,BS!E33)/BS!E21</f>
        <v>0.59877359866568158</v>
      </c>
      <c r="F26" s="323">
        <f>SUM(BS!F27,BS!F29,BS!F33)/BS!F21</f>
        <v>0.58746226734639884</v>
      </c>
      <c r="G26" s="323">
        <f>SUM(BS!G27,BS!G29,BS!G33)/BS!G21</f>
        <v>0.57459862714366594</v>
      </c>
    </row>
    <row r="27" spans="2:9" outlineLevel="1" x14ac:dyDescent="0.15">
      <c r="B27" s="317" t="s">
        <v>38</v>
      </c>
      <c r="C27" s="324">
        <f>BS!C40/BS!C38</f>
        <v>3.466639144566614</v>
      </c>
      <c r="D27" s="324">
        <f>BS!D40/BS!D38</f>
        <v>3.3396591075966766</v>
      </c>
      <c r="E27" s="324">
        <f>BS!E40/BS!E38</f>
        <v>3.2075912510491511</v>
      </c>
      <c r="F27" s="324">
        <f>BS!F40/BS!F38</f>
        <v>3.0791795047546304</v>
      </c>
      <c r="G27" s="324">
        <f>BS!G40/BS!G38</f>
        <v>2.9450960013984218</v>
      </c>
    </row>
    <row r="28" spans="2:9" outlineLevel="1" x14ac:dyDescent="0.15"/>
    <row r="29" spans="2:9" outlineLevel="1" x14ac:dyDescent="0.15"/>
    <row r="30" spans="2:9" outlineLevel="1" x14ac:dyDescent="0.15"/>
    <row r="31" spans="2:9" outlineLevel="1" x14ac:dyDescent="0.15"/>
    <row r="35" spans="2:9" x14ac:dyDescent="0.15">
      <c r="B35" s="310" t="s">
        <v>296</v>
      </c>
      <c r="C35" s="311" t="str">
        <f>C20</f>
        <v>FY11</v>
      </c>
      <c r="D35" s="311" t="str">
        <f>D20</f>
        <v>FY12</v>
      </c>
      <c r="E35" s="311" t="str">
        <f>E20</f>
        <v>FY13</v>
      </c>
      <c r="F35" s="311" t="str">
        <f>F20</f>
        <v>FY14</v>
      </c>
      <c r="G35" s="311" t="str">
        <f>G20</f>
        <v>FY15</v>
      </c>
      <c r="H35" s="325"/>
      <c r="I35" s="312"/>
    </row>
    <row r="36" spans="2:9" outlineLevel="1" x14ac:dyDescent="0.15">
      <c r="B36" s="308" t="s">
        <v>297</v>
      </c>
      <c r="C36" s="314">
        <f>SUM('Noname co'!G64,'Noname co'!G69)-'Noname co'!G50</f>
        <v>4.6922049999999995</v>
      </c>
      <c r="D36" s="314">
        <f>SUM(BS!D38,BS!D33)-BS!D18</f>
        <v>5.4890720650088127</v>
      </c>
      <c r="E36" s="314">
        <f>SUM(BS!E38,BS!E33)-BS!E18</f>
        <v>6.6322267403552644</v>
      </c>
      <c r="F36" s="314">
        <f>SUM(BS!F38,BS!F33)-BS!F18</f>
        <v>7.9306022716445561</v>
      </c>
      <c r="G36" s="314">
        <f>SUM(BS!G38,BS!G33)-BS!G18</f>
        <v>9.3791370418197282</v>
      </c>
    </row>
    <row r="37" spans="2:9" outlineLevel="1" x14ac:dyDescent="0.15">
      <c r="B37" s="308" t="s">
        <v>298</v>
      </c>
      <c r="C37" s="314">
        <f>'Noname co'!G46-'Noname co'!G62</f>
        <v>4.6921000000000017</v>
      </c>
      <c r="D37" s="314">
        <f>BS!D12-BS!D31</f>
        <v>5.4890720650088127</v>
      </c>
      <c r="E37" s="314">
        <f>BS!E12-BS!E31</f>
        <v>6.6322267403552626</v>
      </c>
      <c r="F37" s="314">
        <f>BS!F12-BS!F31</f>
        <v>7.9306022716445543</v>
      </c>
      <c r="G37" s="314">
        <f>BS!G12-BS!G31</f>
        <v>9.3791370418197282</v>
      </c>
    </row>
    <row r="38" spans="2:9" outlineLevel="1" x14ac:dyDescent="0.15">
      <c r="B38" s="308" t="s">
        <v>299</v>
      </c>
      <c r="C38" s="320">
        <f>('Noname co'!G43+'Noname co'!G44-'Noname co'!G59)/('Noname co'!G58+'Noname co'!G60)</f>
        <v>1.6485762144053604</v>
      </c>
      <c r="D38" s="326">
        <f>SUM(BS!D9,BS!D10,-BS!D28)/SUM(BS!D27,BS!D29)</f>
        <v>1.6852199924359514</v>
      </c>
      <c r="E38" s="326">
        <f>SUM(BS!E9,BS!E10,-BS!E28)/SUM(BS!E27,BS!E29)</f>
        <v>1.6577359586102363</v>
      </c>
      <c r="F38" s="326">
        <f>SUM(BS!F9,BS!F10,-BS!F28)/SUM(BS!F27,BS!F29)</f>
        <v>1.6577359586102363</v>
      </c>
      <c r="G38" s="326">
        <f>SUM(BS!G9,BS!G10,-BS!G28)/SUM(BS!G27,BS!G29)</f>
        <v>1.657735958610236</v>
      </c>
      <c r="H38" s="320"/>
      <c r="I38" s="320"/>
    </row>
    <row r="39" spans="2:9" outlineLevel="1" x14ac:dyDescent="0.15">
      <c r="B39" s="308" t="s">
        <v>300</v>
      </c>
      <c r="C39" s="316">
        <f>'Noname co'!G46/('Noname co'!G58+'Noname co'!G60)</f>
        <v>2.24998324958124</v>
      </c>
      <c r="D39" s="314">
        <f>BS!D12/SUM(BS!D27,BS!D29)</f>
        <v>2.2864293160888498</v>
      </c>
      <c r="E39" s="314">
        <f>BS!E12/SUM(BS!E27,BS!E29)</f>
        <v>2.3366733721867381</v>
      </c>
      <c r="F39" s="314">
        <f>BS!F12/SUM(BS!F27,BS!F29)</f>
        <v>2.4126707184205154</v>
      </c>
      <c r="G39" s="314">
        <f>BS!G12/SUM(BS!G27,BS!G29)</f>
        <v>2.5027337677709278</v>
      </c>
      <c r="H39" s="316"/>
      <c r="I39" s="316"/>
    </row>
    <row r="40" spans="2:9" outlineLevel="1" x14ac:dyDescent="0.15"/>
    <row r="41" spans="2:9" outlineLevel="1" x14ac:dyDescent="0.15"/>
    <row r="42" spans="2:9" outlineLevel="1" x14ac:dyDescent="0.15"/>
    <row r="43" spans="2:9" outlineLevel="1" x14ac:dyDescent="0.15"/>
    <row r="44" spans="2:9" outlineLevel="1" x14ac:dyDescent="0.15"/>
    <row r="45" spans="2:9" outlineLevel="1" x14ac:dyDescent="0.15"/>
    <row r="46" spans="2:9" outlineLevel="1" x14ac:dyDescent="0.15"/>
    <row r="50" spans="2:9" x14ac:dyDescent="0.15">
      <c r="B50" s="310" t="s">
        <v>301</v>
      </c>
      <c r="C50" s="311" t="str">
        <f>C35</f>
        <v>FY11</v>
      </c>
      <c r="D50" s="311" t="str">
        <f t="shared" ref="D50:F50" si="4">D35</f>
        <v>FY12</v>
      </c>
      <c r="E50" s="311" t="str">
        <f t="shared" si="4"/>
        <v>FY13</v>
      </c>
      <c r="F50" s="311" t="str">
        <f t="shared" si="4"/>
        <v>FY14</v>
      </c>
      <c r="G50" s="311" t="str">
        <f>G35</f>
        <v>FY15</v>
      </c>
      <c r="H50" s="313"/>
      <c r="I50" s="313"/>
    </row>
    <row r="51" spans="2:9" outlineLevel="1" x14ac:dyDescent="0.15">
      <c r="B51" s="308" t="s">
        <v>302</v>
      </c>
      <c r="C51" s="326">
        <f>'Noname co'!G20/'Noname co'!G8</f>
        <v>2.933036817395587E-2</v>
      </c>
      <c r="D51" s="320">
        <f>PL!D19/PL!D6</f>
        <v>2.8956627568471224E-2</v>
      </c>
      <c r="E51" s="320">
        <f>PL!E19/PL!E6</f>
        <v>3.6256627568471249E-2</v>
      </c>
      <c r="F51" s="320">
        <f>PL!F19/PL!F6</f>
        <v>3.6256627568471339E-2</v>
      </c>
      <c r="G51" s="320">
        <f>PL!G19/PL!G6</f>
        <v>3.6256627568471235E-2</v>
      </c>
      <c r="H51" s="321"/>
      <c r="I51" s="321"/>
    </row>
    <row r="52" spans="2:9" outlineLevel="1" x14ac:dyDescent="0.15">
      <c r="B52" s="308" t="s">
        <v>303</v>
      </c>
      <c r="C52" s="326">
        <f>'Noname co'!G20/'Noname co'!G51</f>
        <v>3.9818852733981683E-2</v>
      </c>
      <c r="D52" s="320">
        <f>PL!D19/BS!D21</f>
        <v>4.0568900897432432E-2</v>
      </c>
      <c r="E52" s="320">
        <f>PL!E19/BS!E21</f>
        <v>5.0149743437193715E-2</v>
      </c>
      <c r="F52" s="320">
        <f>PL!F19/BS!F21</f>
        <v>4.9202373070732761E-2</v>
      </c>
      <c r="G52" s="320">
        <f>PL!G19/BS!G21</f>
        <v>4.8124990471912307E-2</v>
      </c>
      <c r="H52" s="321"/>
      <c r="I52" s="321"/>
    </row>
    <row r="53" spans="2:9" outlineLevel="1" x14ac:dyDescent="0.15">
      <c r="B53" s="308" t="s">
        <v>304</v>
      </c>
      <c r="C53" s="327">
        <f>'Noname co'!G20/'Noname co'!G69</f>
        <v>0.13803689899583027</v>
      </c>
      <c r="D53" s="327">
        <f>PL!D21/BS!D38</f>
        <v>0.1354862993672972</v>
      </c>
      <c r="E53" s="327">
        <f>PL!E21/BS!E38</f>
        <v>0.16085987829150214</v>
      </c>
      <c r="F53" s="327">
        <f>PL!F21/BS!F38</f>
        <v>0.15150293874469145</v>
      </c>
      <c r="G53" s="327">
        <f>PL!G21/BS!G38</f>
        <v>0.14173271700616608</v>
      </c>
    </row>
    <row r="54" spans="2:9" outlineLevel="1" x14ac:dyDescent="0.15">
      <c r="C54" s="320"/>
      <c r="D54" s="320"/>
      <c r="E54" s="320"/>
      <c r="F54" s="320"/>
      <c r="G54" s="320"/>
      <c r="H54" s="320"/>
      <c r="I54" s="320"/>
    </row>
    <row r="55" spans="2:9" outlineLevel="1" x14ac:dyDescent="0.15"/>
    <row r="56" spans="2:9" outlineLevel="1" x14ac:dyDescent="0.15"/>
    <row r="57" spans="2:9" outlineLevel="1" x14ac:dyDescent="0.15"/>
    <row r="58" spans="2:9" outlineLevel="1" x14ac:dyDescent="0.15"/>
    <row r="59" spans="2:9" outlineLevel="1" x14ac:dyDescent="0.15"/>
    <row r="60" spans="2:9" outlineLevel="1" x14ac:dyDescent="0.15"/>
    <row r="61" spans="2:9" outlineLevel="1" x14ac:dyDescent="0.15"/>
    <row r="62" spans="2:9" x14ac:dyDescent="0.15">
      <c r="C62" s="328"/>
      <c r="D62" s="328"/>
      <c r="E62" s="328"/>
    </row>
  </sheetData>
  <sheetProtection selectLockedCells="1"/>
  <mergeCells count="1">
    <mergeCell ref="K5:K6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Spinner 1">
              <controlPr locked="0" defaultSize="0" autoPict="0">
                <anchor moveWithCells="1" sizeWithCells="1">
                  <from>
                    <xdr:col>3</xdr:col>
                    <xdr:colOff>152400</xdr:colOff>
                    <xdr:row>2</xdr:row>
                    <xdr:rowOff>215900</xdr:rowOff>
                  </from>
                  <to>
                    <xdr:col>3</xdr:col>
                    <xdr:colOff>419100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>
    <pageSetUpPr fitToPage="1"/>
  </sheetPr>
  <dimension ref="A1:O76"/>
  <sheetViews>
    <sheetView showOutlineSymbols="0" topLeftCell="A51" zoomScale="106" zoomScaleNormal="150" workbookViewId="0">
      <selection activeCell="K60" sqref="K60"/>
    </sheetView>
  </sheetViews>
  <sheetFormatPr baseColWidth="10" defaultColWidth="8.75" defaultRowHeight="12" x14ac:dyDescent="0.15"/>
  <cols>
    <col min="1" max="1" width="40.25" style="220" customWidth="1"/>
    <col min="2" max="2" width="3.75" style="220" customWidth="1"/>
    <col min="3" max="3" width="11.25" style="220" customWidth="1"/>
    <col min="4" max="4" width="25" style="220" customWidth="1"/>
    <col min="5" max="5" width="17.5" style="220" customWidth="1"/>
    <col min="6" max="6" width="11.25" style="220" customWidth="1"/>
    <col min="7" max="7" width="16.75" style="220" customWidth="1"/>
    <col min="8" max="8" width="9.25" style="221" customWidth="1"/>
    <col min="9" max="9" width="20.5" style="111" bestFit="1" customWidth="1"/>
    <col min="10" max="10" width="16.25" style="111" customWidth="1"/>
    <col min="11" max="11" width="14.5" style="111" customWidth="1"/>
    <col min="12" max="12" width="15.5" style="111" customWidth="1"/>
    <col min="13" max="13" width="15.25" style="111" customWidth="1"/>
    <col min="14" max="14" width="13.5" style="111" customWidth="1"/>
    <col min="15" max="15" width="10.5" style="111" customWidth="1"/>
    <col min="16" max="16384" width="8.75" style="111"/>
  </cols>
  <sheetData>
    <row r="1" spans="1:15" ht="13" x14ac:dyDescent="0.15">
      <c r="A1" s="219" t="str">
        <f>Input!B2</f>
        <v>Noname co, by elie diwambuena</v>
      </c>
    </row>
    <row r="2" spans="1:15" x14ac:dyDescent="0.15">
      <c r="L2" s="111">
        <v>2</v>
      </c>
    </row>
    <row r="4" spans="1:15" ht="13" x14ac:dyDescent="0.15">
      <c r="A4" s="219" t="s">
        <v>305</v>
      </c>
      <c r="C4" s="222"/>
      <c r="H4" s="223"/>
      <c r="I4" s="224"/>
      <c r="J4" s="224"/>
      <c r="K4" s="224"/>
      <c r="L4" s="224"/>
      <c r="M4" s="224"/>
      <c r="N4" s="224"/>
      <c r="O4" s="224"/>
    </row>
    <row r="5" spans="1:15" ht="12.75" customHeight="1" thickBot="1" x14ac:dyDescent="0.2">
      <c r="A5" s="225"/>
      <c r="B5" s="225"/>
      <c r="C5" s="225"/>
      <c r="D5" s="225"/>
      <c r="E5" s="225"/>
      <c r="F5" s="225"/>
      <c r="G5" s="225"/>
      <c r="H5" s="223"/>
      <c r="I5" s="224"/>
      <c r="J5" s="224"/>
      <c r="K5" s="224"/>
      <c r="L5" s="224"/>
      <c r="M5" s="224"/>
      <c r="N5" s="224"/>
      <c r="O5" s="224"/>
    </row>
    <row r="6" spans="1:15" ht="15" customHeight="1" thickBot="1" x14ac:dyDescent="0.2">
      <c r="A6" s="226" t="s">
        <v>205</v>
      </c>
      <c r="B6" s="227"/>
      <c r="C6" s="228">
        <v>39263</v>
      </c>
      <c r="D6" s="228">
        <v>39629</v>
      </c>
      <c r="E6" s="228">
        <v>39994</v>
      </c>
      <c r="F6" s="228">
        <v>40359</v>
      </c>
      <c r="G6" s="228">
        <v>40724</v>
      </c>
      <c r="H6" s="223"/>
      <c r="I6" s="229"/>
      <c r="J6" s="229"/>
      <c r="K6" s="229"/>
      <c r="L6" s="229"/>
      <c r="M6" s="229"/>
      <c r="N6" s="224"/>
      <c r="O6" s="224"/>
    </row>
    <row r="7" spans="1:15" ht="9" customHeight="1" x14ac:dyDescent="0.15">
      <c r="A7" s="230"/>
      <c r="H7" s="223"/>
      <c r="I7" s="224"/>
      <c r="J7" s="224"/>
      <c r="K7" s="224"/>
      <c r="L7" s="224"/>
      <c r="M7" s="224"/>
      <c r="N7" s="224"/>
      <c r="O7" s="224"/>
    </row>
    <row r="8" spans="1:15" ht="12.75" customHeight="1" x14ac:dyDescent="0.15">
      <c r="A8" s="231" t="s">
        <v>206</v>
      </c>
      <c r="B8" s="231"/>
      <c r="C8" s="232">
        <v>16.163</v>
      </c>
      <c r="D8" s="232">
        <v>18.58745</v>
      </c>
      <c r="E8" s="232">
        <v>20.260449999999999</v>
      </c>
      <c r="F8" s="232">
        <v>23.805949999999999</v>
      </c>
      <c r="G8" s="232">
        <v>28.328999999999997</v>
      </c>
      <c r="H8" s="223"/>
      <c r="I8" s="232"/>
      <c r="J8" s="232"/>
      <c r="K8" s="232"/>
      <c r="L8" s="232"/>
      <c r="M8" s="232"/>
      <c r="N8" s="233"/>
      <c r="O8" s="233"/>
    </row>
    <row r="9" spans="1:15" ht="12.75" customHeight="1" x14ac:dyDescent="0.15">
      <c r="A9" s="220" t="s">
        <v>207</v>
      </c>
      <c r="C9" s="234">
        <v>9.3743999999999996</v>
      </c>
      <c r="D9" s="234">
        <v>10.7807</v>
      </c>
      <c r="E9" s="234">
        <v>11.751250000000002</v>
      </c>
      <c r="F9" s="234">
        <v>13.926499999999999</v>
      </c>
      <c r="G9" s="234">
        <v>16.629200000000001</v>
      </c>
      <c r="H9" s="223"/>
      <c r="I9" s="233"/>
      <c r="J9" s="233"/>
      <c r="K9" s="233"/>
      <c r="L9" s="233"/>
      <c r="M9" s="233"/>
      <c r="N9" s="224"/>
      <c r="O9" s="224"/>
    </row>
    <row r="10" spans="1:15" ht="12.75" customHeight="1" x14ac:dyDescent="0.15">
      <c r="A10" s="231" t="s">
        <v>208</v>
      </c>
      <c r="B10" s="231"/>
      <c r="C10" s="235">
        <f>C8-C9</f>
        <v>6.7886000000000006</v>
      </c>
      <c r="D10" s="235">
        <f t="shared" ref="D10:G10" si="0">D8-D9</f>
        <v>7.806750000000001</v>
      </c>
      <c r="E10" s="235">
        <f t="shared" si="0"/>
        <v>8.5091999999999963</v>
      </c>
      <c r="F10" s="235">
        <f t="shared" si="0"/>
        <v>9.8794500000000003</v>
      </c>
      <c r="G10" s="235">
        <f t="shared" si="0"/>
        <v>11.699799999999996</v>
      </c>
      <c r="H10" s="223"/>
      <c r="I10" s="233"/>
      <c r="J10" s="233"/>
      <c r="K10" s="233"/>
      <c r="L10" s="233"/>
      <c r="M10" s="233"/>
      <c r="N10" s="224"/>
      <c r="O10" s="224"/>
    </row>
    <row r="11" spans="1:15" ht="12.75" customHeight="1" x14ac:dyDescent="0.15">
      <c r="A11" s="231"/>
      <c r="B11" s="231"/>
      <c r="C11" s="235"/>
      <c r="D11" s="235"/>
      <c r="E11" s="235"/>
      <c r="F11" s="235"/>
      <c r="G11" s="235"/>
      <c r="H11" s="223"/>
      <c r="I11" s="233"/>
      <c r="J11" s="233"/>
      <c r="K11" s="233"/>
      <c r="L11" s="233"/>
      <c r="M11" s="233"/>
      <c r="N11" s="224"/>
      <c r="O11" s="224"/>
    </row>
    <row r="12" spans="1:15" ht="12.75" customHeight="1" x14ac:dyDescent="0.15">
      <c r="A12" s="220" t="s">
        <v>209</v>
      </c>
      <c r="C12" s="235">
        <v>0.25864999999999999</v>
      </c>
      <c r="D12" s="235">
        <v>0.29749999999999999</v>
      </c>
      <c r="E12" s="235">
        <v>0.3241</v>
      </c>
      <c r="F12" s="235">
        <v>0.38080000000000003</v>
      </c>
      <c r="G12" s="235">
        <v>0.45324999999999999</v>
      </c>
      <c r="I12" s="233"/>
      <c r="J12" s="233"/>
      <c r="K12" s="233"/>
      <c r="L12" s="233"/>
      <c r="M12" s="233"/>
    </row>
    <row r="13" spans="1:15" ht="12.75" customHeight="1" x14ac:dyDescent="0.15">
      <c r="A13" s="231" t="s">
        <v>210</v>
      </c>
      <c r="B13" s="231"/>
      <c r="C13" s="234">
        <v>5.2206000000000001</v>
      </c>
      <c r="D13" s="234">
        <v>6.0410000000000004</v>
      </c>
      <c r="E13" s="234">
        <v>6.604849999999999</v>
      </c>
      <c r="F13" s="234">
        <v>7.6657000000000011</v>
      </c>
      <c r="G13" s="234">
        <v>9.1220499999999998</v>
      </c>
      <c r="I13" s="233"/>
      <c r="J13" s="233"/>
      <c r="K13" s="233"/>
      <c r="L13" s="233"/>
      <c r="M13" s="233"/>
    </row>
    <row r="14" spans="1:15" ht="12.75" customHeight="1" x14ac:dyDescent="0.15">
      <c r="A14" s="220" t="s">
        <v>211</v>
      </c>
      <c r="C14" s="235">
        <f>C10-SUM(C12:C13)</f>
        <v>1.3093500000000002</v>
      </c>
      <c r="D14" s="235">
        <f t="shared" ref="D14:G14" si="1">D10-SUM(D12:D13)</f>
        <v>1.4682500000000003</v>
      </c>
      <c r="E14" s="235">
        <f t="shared" si="1"/>
        <v>1.5802499999999977</v>
      </c>
      <c r="F14" s="235">
        <f t="shared" si="1"/>
        <v>1.8329499999999985</v>
      </c>
      <c r="G14" s="235">
        <f t="shared" si="1"/>
        <v>2.1244999999999958</v>
      </c>
      <c r="I14" s="233"/>
      <c r="J14" s="233"/>
      <c r="K14" s="233"/>
      <c r="L14" s="233"/>
      <c r="M14" s="233"/>
    </row>
    <row r="15" spans="1:15" ht="12.75" customHeight="1" x14ac:dyDescent="0.15">
      <c r="C15" s="235"/>
      <c r="D15" s="235"/>
      <c r="E15" s="235"/>
      <c r="F15" s="235"/>
      <c r="G15" s="235"/>
      <c r="I15" s="233"/>
      <c r="J15" s="233"/>
      <c r="K15" s="233"/>
      <c r="L15" s="233"/>
      <c r="M15" s="233"/>
    </row>
    <row r="16" spans="1:15" ht="12.75" customHeight="1" x14ac:dyDescent="0.15">
      <c r="A16" s="231" t="s">
        <v>212</v>
      </c>
      <c r="B16" s="231"/>
      <c r="C16" s="234">
        <v>1.0171000000000001</v>
      </c>
      <c r="D16" s="234">
        <v>1.0289999999999999</v>
      </c>
      <c r="E16" s="234">
        <v>0.93380000000000007</v>
      </c>
      <c r="F16" s="234">
        <v>0.84804999999999997</v>
      </c>
      <c r="G16" s="234">
        <v>0.9859500000000001</v>
      </c>
      <c r="I16" s="233"/>
      <c r="J16" s="233"/>
      <c r="K16" s="233"/>
      <c r="L16" s="233"/>
      <c r="M16" s="233"/>
    </row>
    <row r="17" spans="1:13" ht="12.75" customHeight="1" x14ac:dyDescent="0.15">
      <c r="A17" s="220" t="s">
        <v>213</v>
      </c>
      <c r="C17" s="235">
        <f>C14-C16</f>
        <v>0.29225000000000012</v>
      </c>
      <c r="D17" s="235">
        <f t="shared" ref="D17:G17" si="2">D14-D16</f>
        <v>0.43925000000000036</v>
      </c>
      <c r="E17" s="235">
        <f t="shared" si="2"/>
        <v>0.64644999999999764</v>
      </c>
      <c r="F17" s="235">
        <f t="shared" si="2"/>
        <v>0.98489999999999855</v>
      </c>
      <c r="G17" s="235">
        <f t="shared" si="2"/>
        <v>1.1385499999999957</v>
      </c>
      <c r="I17" s="233"/>
      <c r="J17" s="233"/>
      <c r="K17" s="233"/>
      <c r="L17" s="233"/>
      <c r="M17" s="233"/>
    </row>
    <row r="18" spans="1:13" ht="12.75" customHeight="1" x14ac:dyDescent="0.15">
      <c r="C18" s="235"/>
      <c r="D18" s="235"/>
      <c r="E18" s="235"/>
      <c r="F18" s="235"/>
      <c r="G18" s="235"/>
      <c r="I18" s="233"/>
      <c r="J18" s="233"/>
      <c r="K18" s="233"/>
      <c r="L18" s="233"/>
      <c r="M18" s="233"/>
    </row>
    <row r="19" spans="1:13" ht="12.75" customHeight="1" x14ac:dyDescent="0.15">
      <c r="A19" s="231" t="s">
        <v>214</v>
      </c>
      <c r="B19" s="231"/>
      <c r="C19" s="234">
        <v>7.8750000000000001E-2</v>
      </c>
      <c r="D19" s="234">
        <v>0.11865000000000001</v>
      </c>
      <c r="E19" s="234">
        <v>0.17465</v>
      </c>
      <c r="F19" s="234">
        <v>0.26600000000000001</v>
      </c>
      <c r="G19" s="234">
        <v>0.30765000000000003</v>
      </c>
      <c r="I19" s="233"/>
      <c r="J19" s="233"/>
      <c r="K19" s="233"/>
      <c r="L19" s="233"/>
      <c r="M19" s="233"/>
    </row>
    <row r="20" spans="1:13" ht="12.75" customHeight="1" x14ac:dyDescent="0.15">
      <c r="A20" s="231" t="s">
        <v>215</v>
      </c>
      <c r="B20" s="231"/>
      <c r="C20" s="236">
        <f>C17-C19</f>
        <v>0.21350000000000013</v>
      </c>
      <c r="D20" s="236">
        <f t="shared" ref="D20:G20" si="3">D17-D19</f>
        <v>0.32060000000000033</v>
      </c>
      <c r="E20" s="236">
        <f t="shared" si="3"/>
        <v>0.47179999999999767</v>
      </c>
      <c r="F20" s="236">
        <f t="shared" si="3"/>
        <v>0.71889999999999854</v>
      </c>
      <c r="G20" s="236">
        <f t="shared" si="3"/>
        <v>0.83089999999999575</v>
      </c>
      <c r="I20" s="233"/>
      <c r="J20" s="233"/>
      <c r="K20" s="233"/>
      <c r="L20" s="233"/>
      <c r="M20" s="233"/>
    </row>
    <row r="21" spans="1:13" ht="12.75" customHeight="1" thickBot="1" x14ac:dyDescent="0.2">
      <c r="C21" s="237"/>
      <c r="D21" s="237"/>
      <c r="E21" s="237"/>
      <c r="F21" s="237"/>
      <c r="G21" s="237"/>
      <c r="I21" s="233"/>
      <c r="J21" s="233"/>
      <c r="K21" s="233"/>
      <c r="L21" s="233"/>
      <c r="M21" s="233"/>
    </row>
    <row r="22" spans="1:13" s="242" customFormat="1" ht="12.75" customHeight="1" x14ac:dyDescent="0.15">
      <c r="A22" s="238" t="s">
        <v>306</v>
      </c>
      <c r="B22" s="239"/>
      <c r="C22" s="239"/>
      <c r="D22" s="240">
        <f>D8/C8-1</f>
        <v>0.14999999999999991</v>
      </c>
      <c r="E22" s="240">
        <f t="shared" ref="E22:G22" si="4">E8/D8-1</f>
        <v>9.0006967066488253E-2</v>
      </c>
      <c r="F22" s="240">
        <f t="shared" si="4"/>
        <v>0.17499611311693486</v>
      </c>
      <c r="G22" s="240">
        <f t="shared" si="4"/>
        <v>0.18999661849243554</v>
      </c>
      <c r="H22" s="241"/>
      <c r="I22" s="233"/>
      <c r="J22" s="233"/>
      <c r="K22" s="233"/>
      <c r="L22" s="233"/>
      <c r="M22" s="233"/>
    </row>
    <row r="23" spans="1:13" s="242" customFormat="1" ht="12.75" customHeight="1" x14ac:dyDescent="0.15">
      <c r="A23" s="243"/>
      <c r="B23" s="244"/>
      <c r="C23" s="244"/>
      <c r="D23" s="245"/>
      <c r="E23" s="245"/>
      <c r="F23" s="245"/>
      <c r="G23" s="245"/>
      <c r="H23" s="241"/>
      <c r="I23" s="233"/>
      <c r="J23" s="233"/>
      <c r="K23" s="233"/>
      <c r="L23" s="233"/>
      <c r="M23" s="233"/>
    </row>
    <row r="24" spans="1:13" s="242" customFormat="1" ht="12.75" customHeight="1" x14ac:dyDescent="0.15">
      <c r="A24" s="220" t="s">
        <v>308</v>
      </c>
      <c r="B24" s="220"/>
      <c r="C24" s="246"/>
      <c r="D24" s="246"/>
      <c r="E24" s="246"/>
      <c r="F24" s="246"/>
      <c r="G24" s="246">
        <v>907865</v>
      </c>
      <c r="H24" s="241"/>
      <c r="I24" s="233"/>
      <c r="J24" s="233"/>
      <c r="K24" s="233"/>
      <c r="L24" s="233"/>
      <c r="M24" s="233"/>
    </row>
    <row r="25" spans="1:13" s="242" customFormat="1" ht="12.75" customHeight="1" x14ac:dyDescent="0.15">
      <c r="A25" s="220" t="s">
        <v>357</v>
      </c>
      <c r="B25" s="220"/>
      <c r="C25" s="246"/>
      <c r="D25" s="246"/>
      <c r="E25" s="246"/>
      <c r="F25" s="246"/>
      <c r="G25" s="247">
        <f>G20/(G24/inM)</f>
        <v>0.91522417980646431</v>
      </c>
      <c r="H25" s="241"/>
      <c r="I25" s="233"/>
      <c r="J25" s="233"/>
      <c r="K25" s="233"/>
      <c r="L25" s="233"/>
      <c r="M25" s="233"/>
    </row>
    <row r="26" spans="1:13" s="242" customFormat="1" ht="12.75" customHeight="1" x14ac:dyDescent="0.15">
      <c r="A26" s="220" t="s">
        <v>359</v>
      </c>
      <c r="B26" s="220"/>
      <c r="C26" s="248"/>
      <c r="D26" s="248"/>
      <c r="E26" s="248"/>
      <c r="F26" s="248"/>
      <c r="G26" s="248">
        <v>8.41</v>
      </c>
      <c r="H26" s="241"/>
      <c r="I26" s="233"/>
      <c r="J26" s="233"/>
      <c r="K26" s="233"/>
      <c r="L26" s="233"/>
      <c r="M26" s="233"/>
    </row>
    <row r="27" spans="1:13" s="242" customFormat="1" ht="12.75" customHeight="1" x14ac:dyDescent="0.15">
      <c r="A27" s="220" t="s">
        <v>307</v>
      </c>
      <c r="B27" s="220"/>
      <c r="C27" s="249"/>
      <c r="D27" s="249"/>
      <c r="E27" s="249"/>
      <c r="F27" s="249"/>
      <c r="G27" s="249">
        <f>G26/G25</f>
        <v>9.1890054759899371</v>
      </c>
      <c r="H27" s="241"/>
      <c r="I27" s="233"/>
      <c r="J27" s="233"/>
      <c r="K27" s="233"/>
      <c r="L27" s="233"/>
      <c r="M27" s="233"/>
    </row>
    <row r="28" spans="1:13" s="242" customFormat="1" ht="12.75" customHeight="1" x14ac:dyDescent="0.15">
      <c r="A28" s="220" t="s">
        <v>358</v>
      </c>
      <c r="B28" s="220"/>
      <c r="C28" s="232"/>
      <c r="D28" s="232"/>
      <c r="E28" s="232"/>
      <c r="F28" s="232"/>
      <c r="G28" s="232">
        <f>G24*G26/inM</f>
        <v>7.63514465</v>
      </c>
      <c r="H28" s="241"/>
      <c r="I28" s="233"/>
      <c r="J28" s="233"/>
      <c r="K28" s="233"/>
      <c r="L28" s="233"/>
      <c r="M28" s="233"/>
    </row>
    <row r="29" spans="1:13" s="242" customFormat="1" ht="12.75" customHeight="1" x14ac:dyDescent="0.15">
      <c r="A29" s="220"/>
      <c r="B29" s="220"/>
      <c r="C29" s="232"/>
      <c r="D29" s="232"/>
      <c r="E29" s="232"/>
      <c r="F29" s="232"/>
      <c r="G29" s="232"/>
      <c r="H29" s="241"/>
      <c r="I29" s="233"/>
      <c r="J29" s="233"/>
      <c r="K29" s="233"/>
      <c r="L29" s="233"/>
      <c r="M29" s="233"/>
    </row>
    <row r="30" spans="1:13" s="242" customFormat="1" ht="12.75" customHeight="1" x14ac:dyDescent="0.15">
      <c r="H30" s="241"/>
      <c r="I30" s="233"/>
      <c r="J30" s="233"/>
      <c r="K30" s="233"/>
      <c r="L30" s="233"/>
      <c r="M30" s="233"/>
    </row>
    <row r="31" spans="1:13" s="242" customFormat="1" ht="12.75" customHeight="1" x14ac:dyDescent="0.15">
      <c r="H31" s="241"/>
      <c r="I31" s="233"/>
      <c r="J31" s="233"/>
      <c r="K31" s="233"/>
      <c r="L31" s="233"/>
      <c r="M31" s="233"/>
    </row>
    <row r="32" spans="1:13" s="242" customFormat="1" ht="12.75" customHeight="1" x14ac:dyDescent="0.15">
      <c r="A32" s="220"/>
      <c r="B32" s="220"/>
      <c r="C32" s="248"/>
      <c r="D32" s="248"/>
      <c r="E32" s="248"/>
      <c r="F32" s="248"/>
      <c r="G32" s="250"/>
      <c r="H32" s="241"/>
      <c r="I32" s="233"/>
      <c r="J32" s="233"/>
      <c r="K32" s="233"/>
      <c r="L32" s="233"/>
      <c r="M32" s="233"/>
    </row>
    <row r="33" spans="1:13" s="242" customFormat="1" ht="12.75" customHeight="1" x14ac:dyDescent="0.15">
      <c r="A33" s="230"/>
      <c r="B33" s="230"/>
      <c r="C33" s="251"/>
      <c r="D33" s="252"/>
      <c r="E33" s="252"/>
      <c r="F33" s="252"/>
      <c r="G33" s="252"/>
      <c r="H33" s="241"/>
      <c r="I33" s="233"/>
      <c r="J33" s="233"/>
      <c r="K33" s="233"/>
      <c r="L33" s="233"/>
      <c r="M33" s="233"/>
    </row>
    <row r="34" spans="1:13" s="242" customFormat="1" ht="12.75" customHeight="1" x14ac:dyDescent="0.15">
      <c r="H34" s="241"/>
      <c r="I34" s="233"/>
      <c r="J34" s="233"/>
      <c r="K34" s="233"/>
      <c r="L34" s="233"/>
      <c r="M34" s="233"/>
    </row>
    <row r="35" spans="1:13" s="242" customFormat="1" ht="12.75" customHeight="1" x14ac:dyDescent="0.15">
      <c r="H35" s="241"/>
      <c r="I35" s="233"/>
      <c r="J35" s="233"/>
      <c r="K35" s="233"/>
      <c r="L35" s="233"/>
      <c r="M35" s="233"/>
    </row>
    <row r="36" spans="1:13" s="242" customFormat="1" ht="12.75" customHeight="1" x14ac:dyDescent="0.15">
      <c r="A36" s="219" t="str">
        <f>Input!B2</f>
        <v>Noname co, by elie diwambuena</v>
      </c>
      <c r="B36" s="220"/>
      <c r="C36" s="220"/>
      <c r="D36" s="220"/>
      <c r="E36" s="220"/>
      <c r="F36" s="220"/>
      <c r="G36" s="220"/>
      <c r="H36" s="221"/>
      <c r="I36" s="233"/>
      <c r="J36" s="233"/>
      <c r="K36" s="233"/>
      <c r="L36" s="233"/>
      <c r="M36" s="233"/>
    </row>
    <row r="37" spans="1:13" s="242" customFormat="1" ht="12.75" customHeight="1" x14ac:dyDescent="0.15">
      <c r="A37" s="220"/>
      <c r="B37" s="220"/>
      <c r="C37" s="220"/>
      <c r="D37" s="220"/>
      <c r="E37" s="220"/>
      <c r="F37" s="220"/>
      <c r="G37" s="220"/>
      <c r="H37" s="221"/>
      <c r="I37" s="233"/>
      <c r="J37" s="233"/>
      <c r="K37" s="233"/>
      <c r="L37" s="233"/>
      <c r="M37" s="233"/>
    </row>
    <row r="38" spans="1:13" s="242" customFormat="1" ht="12.75" customHeight="1" x14ac:dyDescent="0.15">
      <c r="A38" s="219" t="s">
        <v>309</v>
      </c>
      <c r="B38" s="220"/>
      <c r="C38" s="222"/>
      <c r="D38" s="220"/>
      <c r="E38" s="220"/>
      <c r="F38" s="220"/>
      <c r="G38" s="220"/>
      <c r="H38" s="221"/>
      <c r="I38" s="233"/>
      <c r="J38" s="233"/>
      <c r="K38" s="233"/>
      <c r="L38" s="233"/>
      <c r="M38" s="233"/>
    </row>
    <row r="39" spans="1:13" s="242" customFormat="1" ht="12.75" customHeight="1" thickBot="1" x14ac:dyDescent="0.2">
      <c r="A39" s="253"/>
      <c r="B39" s="253"/>
      <c r="C39" s="225"/>
      <c r="D39" s="225"/>
      <c r="E39" s="225"/>
      <c r="F39" s="225"/>
      <c r="G39" s="225"/>
      <c r="H39" s="221"/>
      <c r="I39" s="233"/>
      <c r="J39" s="233"/>
      <c r="K39" s="233"/>
      <c r="L39" s="233"/>
      <c r="M39" s="233"/>
    </row>
    <row r="40" spans="1:13" ht="12.75" customHeight="1" thickBot="1" x14ac:dyDescent="0.2">
      <c r="A40" s="227" t="s">
        <v>235</v>
      </c>
      <c r="B40" s="227"/>
      <c r="C40" s="228">
        <v>39263</v>
      </c>
      <c r="D40" s="228">
        <v>39629</v>
      </c>
      <c r="E40" s="228">
        <v>39994</v>
      </c>
      <c r="F40" s="228">
        <v>40359</v>
      </c>
      <c r="G40" s="228">
        <v>40724</v>
      </c>
      <c r="H40" s="220"/>
      <c r="I40" s="233"/>
      <c r="J40" s="233"/>
      <c r="K40" s="233"/>
      <c r="L40" s="233"/>
      <c r="M40" s="233"/>
    </row>
    <row r="41" spans="1:13" ht="12.75" customHeight="1" x14ac:dyDescent="0.15">
      <c r="A41" s="230"/>
      <c r="H41" s="220"/>
      <c r="I41" s="233"/>
      <c r="J41" s="233"/>
      <c r="K41" s="233"/>
      <c r="L41" s="233"/>
      <c r="M41" s="233"/>
    </row>
    <row r="42" spans="1:13" ht="12.75" customHeight="1" x14ac:dyDescent="0.15">
      <c r="A42" s="254" t="s">
        <v>236</v>
      </c>
      <c r="B42" s="231"/>
      <c r="C42" s="232">
        <v>0.81375000000000008</v>
      </c>
      <c r="D42" s="232">
        <v>0.93800000000000006</v>
      </c>
      <c r="E42" s="232">
        <v>1.0234000000000001</v>
      </c>
      <c r="F42" s="232">
        <v>1.204</v>
      </c>
      <c r="G42" s="232">
        <v>1.4357000000000002</v>
      </c>
      <c r="H42" s="220"/>
      <c r="I42" s="232"/>
      <c r="J42" s="232"/>
      <c r="K42" s="232"/>
      <c r="L42" s="232"/>
      <c r="M42" s="232"/>
    </row>
    <row r="43" spans="1:13" ht="12.75" customHeight="1" x14ac:dyDescent="0.15">
      <c r="A43" s="254" t="s">
        <v>237</v>
      </c>
      <c r="B43" s="231"/>
      <c r="C43" s="235">
        <v>3.3211500000000003</v>
      </c>
      <c r="D43" s="235">
        <v>3.8191999999999999</v>
      </c>
      <c r="E43" s="235">
        <v>4.1632499999999997</v>
      </c>
      <c r="F43" s="235">
        <v>4.8916000000000004</v>
      </c>
      <c r="G43" s="235">
        <v>5.8212000000000002</v>
      </c>
      <c r="H43" s="220"/>
      <c r="I43" s="233"/>
      <c r="J43" s="233"/>
      <c r="K43" s="233"/>
      <c r="L43" s="233"/>
      <c r="M43" s="233"/>
    </row>
    <row r="44" spans="1:13" ht="12.75" customHeight="1" x14ac:dyDescent="0.15">
      <c r="A44" s="254" t="s">
        <v>238</v>
      </c>
      <c r="B44" s="231"/>
      <c r="C44" s="235">
        <v>2.34395</v>
      </c>
      <c r="D44" s="235">
        <v>2.6953499999999999</v>
      </c>
      <c r="E44" s="235">
        <v>2.9379</v>
      </c>
      <c r="F44" s="235">
        <v>3.4814499999999997</v>
      </c>
      <c r="G44" s="235">
        <v>4.1573000000000002</v>
      </c>
      <c r="H44" s="220"/>
      <c r="I44" s="233"/>
      <c r="J44" s="233"/>
      <c r="K44" s="233"/>
      <c r="L44" s="233"/>
      <c r="M44" s="233"/>
    </row>
    <row r="45" spans="1:13" ht="12.75" customHeight="1" x14ac:dyDescent="0.15">
      <c r="A45" s="254" t="s">
        <v>239</v>
      </c>
      <c r="B45" s="231"/>
      <c r="C45" s="234">
        <v>0.26950000000000002</v>
      </c>
      <c r="D45" s="234">
        <v>0.29399999999999998</v>
      </c>
      <c r="E45" s="234">
        <v>0.31850000000000001</v>
      </c>
      <c r="F45" s="234">
        <v>0.28979999999999995</v>
      </c>
      <c r="G45" s="234">
        <v>0.33914999999999995</v>
      </c>
      <c r="H45" s="220"/>
      <c r="I45" s="233"/>
      <c r="J45" s="233"/>
      <c r="K45" s="233"/>
      <c r="L45" s="233"/>
      <c r="M45" s="233"/>
    </row>
    <row r="46" spans="1:13" ht="12.75" customHeight="1" x14ac:dyDescent="0.15">
      <c r="A46" s="255" t="s">
        <v>240</v>
      </c>
      <c r="B46" s="231"/>
      <c r="C46" s="235">
        <v>6.7483499999999994</v>
      </c>
      <c r="D46" s="235">
        <v>7.7465499999999992</v>
      </c>
      <c r="E46" s="235">
        <v>8.4430500000000013</v>
      </c>
      <c r="F46" s="235">
        <v>9.8668499999999995</v>
      </c>
      <c r="G46" s="235">
        <v>11.753350000000001</v>
      </c>
      <c r="H46" s="220"/>
      <c r="I46" s="233"/>
      <c r="J46" s="233"/>
      <c r="K46" s="233"/>
      <c r="L46" s="233"/>
      <c r="M46" s="233"/>
    </row>
    <row r="47" spans="1:13" ht="12.75" customHeight="1" x14ac:dyDescent="0.15">
      <c r="A47" s="254"/>
      <c r="B47" s="231"/>
      <c r="C47" s="235"/>
      <c r="D47" s="235"/>
      <c r="E47" s="235"/>
      <c r="F47" s="235"/>
      <c r="G47" s="235"/>
      <c r="H47" s="220"/>
      <c r="I47" s="233"/>
      <c r="J47" s="233"/>
      <c r="K47" s="233"/>
      <c r="L47" s="233"/>
      <c r="M47" s="233"/>
    </row>
    <row r="48" spans="1:13" ht="12.75" customHeight="1" x14ac:dyDescent="0.15">
      <c r="A48" s="254" t="s">
        <v>242</v>
      </c>
      <c r="B48" s="231"/>
      <c r="C48" s="235">
        <v>5.3199999999999994</v>
      </c>
      <c r="D48" s="235">
        <v>5.6</v>
      </c>
      <c r="E48" s="235">
        <v>6.0550000000000006</v>
      </c>
      <c r="F48" s="235">
        <v>6.6850000000000005</v>
      </c>
      <c r="G48" s="235">
        <v>7.839999999999999</v>
      </c>
      <c r="H48" s="220"/>
      <c r="I48" s="233"/>
      <c r="J48" s="233"/>
      <c r="K48" s="233"/>
      <c r="L48" s="233"/>
      <c r="M48" s="233"/>
    </row>
    <row r="49" spans="1:13" ht="12.75" customHeight="1" x14ac:dyDescent="0.15">
      <c r="A49" s="254" t="s">
        <v>243</v>
      </c>
      <c r="B49" s="231"/>
      <c r="C49" s="236">
        <v>0.7843500000000001</v>
      </c>
      <c r="D49" s="236">
        <v>0.86765000000000003</v>
      </c>
      <c r="E49" s="236">
        <v>0.93484999999999996</v>
      </c>
      <c r="F49" s="236">
        <v>1.0759000000000001</v>
      </c>
      <c r="G49" s="236">
        <v>1.2736499999999999</v>
      </c>
      <c r="H49" s="220"/>
      <c r="I49" s="233"/>
      <c r="J49" s="233"/>
      <c r="K49" s="233"/>
      <c r="L49" s="233"/>
      <c r="M49" s="233"/>
    </row>
    <row r="50" spans="1:13" ht="12.75" customHeight="1" x14ac:dyDescent="0.15">
      <c r="A50" s="254" t="s">
        <v>310</v>
      </c>
      <c r="B50" s="231"/>
      <c r="C50" s="234">
        <v>6.1043499999999993</v>
      </c>
      <c r="D50" s="234">
        <v>6.4676500000000008</v>
      </c>
      <c r="E50" s="234">
        <v>6.9898499999999997</v>
      </c>
      <c r="F50" s="234">
        <v>7.7608999999999995</v>
      </c>
      <c r="G50" s="234">
        <v>9.1136499999999998</v>
      </c>
      <c r="H50" s="220"/>
      <c r="I50" s="233"/>
      <c r="J50" s="233"/>
      <c r="K50" s="233"/>
      <c r="L50" s="233"/>
      <c r="M50" s="233"/>
    </row>
    <row r="51" spans="1:13" ht="12.75" customHeight="1" x14ac:dyDescent="0.15">
      <c r="A51" s="256" t="s">
        <v>246</v>
      </c>
      <c r="C51" s="257">
        <v>12.852699999999999</v>
      </c>
      <c r="D51" s="257">
        <v>14.2142</v>
      </c>
      <c r="E51" s="257">
        <v>15.4329</v>
      </c>
      <c r="F51" s="257">
        <v>17.627749999999999</v>
      </c>
      <c r="G51" s="257">
        <v>20.867000000000001</v>
      </c>
      <c r="H51" s="220"/>
      <c r="I51" s="233"/>
      <c r="J51" s="233"/>
      <c r="K51" s="233"/>
      <c r="L51" s="233"/>
      <c r="M51" s="233"/>
    </row>
    <row r="52" spans="1:13" x14ac:dyDescent="0.15">
      <c r="A52" s="243"/>
      <c r="C52" s="258"/>
      <c r="D52" s="258"/>
      <c r="E52" s="258"/>
      <c r="F52" s="258"/>
      <c r="G52" s="258"/>
      <c r="H52" s="220"/>
      <c r="I52" s="233"/>
      <c r="J52" s="233"/>
      <c r="K52" s="233"/>
      <c r="L52" s="233"/>
      <c r="M52" s="233"/>
    </row>
    <row r="53" spans="1:13" x14ac:dyDescent="0.15">
      <c r="A53" s="256" t="s">
        <v>247</v>
      </c>
      <c r="C53" s="258"/>
      <c r="D53" s="259">
        <f>D51/C51-1</f>
        <v>0.10593104950710752</v>
      </c>
      <c r="E53" s="259">
        <f t="shared" ref="E53:G53" si="5">E51/D51-1</f>
        <v>8.5738205456515226E-2</v>
      </c>
      <c r="F53" s="259">
        <f t="shared" si="5"/>
        <v>0.14221889599491977</v>
      </c>
      <c r="G53" s="259">
        <f t="shared" si="5"/>
        <v>0.18375856249379541</v>
      </c>
      <c r="H53" s="220"/>
      <c r="I53" s="233"/>
      <c r="J53" s="233"/>
      <c r="K53" s="233"/>
      <c r="L53" s="233"/>
      <c r="M53" s="233"/>
    </row>
    <row r="54" spans="1:13" x14ac:dyDescent="0.15">
      <c r="A54" s="256"/>
      <c r="C54" s="258"/>
      <c r="D54" s="259"/>
      <c r="E54" s="259"/>
      <c r="F54" s="259"/>
      <c r="G54" s="259"/>
      <c r="H54" s="220"/>
      <c r="I54" s="233"/>
      <c r="J54" s="233"/>
      <c r="K54" s="233"/>
      <c r="L54" s="233"/>
      <c r="M54" s="233"/>
    </row>
    <row r="55" spans="1:13" x14ac:dyDescent="0.15">
      <c r="A55" s="254"/>
      <c r="B55" s="260"/>
      <c r="C55" s="261"/>
      <c r="D55" s="261"/>
      <c r="E55" s="261"/>
      <c r="F55" s="261"/>
      <c r="G55" s="261"/>
      <c r="H55" s="220"/>
      <c r="I55" s="233"/>
      <c r="J55" s="233"/>
      <c r="K55" s="233"/>
      <c r="L55" s="233"/>
      <c r="M55" s="233"/>
    </row>
    <row r="56" spans="1:13" ht="13" thickBot="1" x14ac:dyDescent="0.2">
      <c r="A56" s="262" t="s">
        <v>248</v>
      </c>
      <c r="B56" s="263"/>
      <c r="C56" s="228">
        <v>39263</v>
      </c>
      <c r="D56" s="228">
        <v>39629</v>
      </c>
      <c r="E56" s="228">
        <v>39994</v>
      </c>
      <c r="F56" s="228">
        <v>40359</v>
      </c>
      <c r="G56" s="228">
        <v>40724</v>
      </c>
      <c r="H56" s="220"/>
      <c r="I56" s="233"/>
      <c r="J56" s="233"/>
      <c r="K56" s="233"/>
      <c r="L56" s="233"/>
      <c r="M56" s="233"/>
    </row>
    <row r="57" spans="1:13" x14ac:dyDescent="0.15">
      <c r="A57" s="254"/>
      <c r="C57" s="261"/>
      <c r="D57" s="261"/>
      <c r="E57" s="261"/>
      <c r="F57" s="261"/>
      <c r="G57" s="261"/>
      <c r="H57" s="220"/>
      <c r="I57" s="233"/>
      <c r="J57" s="233"/>
      <c r="K57" s="233"/>
      <c r="L57" s="233"/>
      <c r="M57" s="233"/>
    </row>
    <row r="58" spans="1:13" x14ac:dyDescent="0.15">
      <c r="A58" s="264" t="s">
        <v>249</v>
      </c>
      <c r="B58" s="231"/>
      <c r="C58" s="232">
        <v>2.6841499999999998</v>
      </c>
      <c r="D58" s="232">
        <v>3.0870000000000002</v>
      </c>
      <c r="E58" s="232">
        <v>3.3645499999999999</v>
      </c>
      <c r="F58" s="232">
        <v>3.9532499999999997</v>
      </c>
      <c r="G58" s="232">
        <v>4.7046999999999999</v>
      </c>
      <c r="H58" s="220"/>
      <c r="I58" s="232"/>
      <c r="J58" s="232"/>
      <c r="K58" s="232"/>
      <c r="L58" s="232"/>
      <c r="M58" s="232"/>
    </row>
    <row r="59" spans="1:13" x14ac:dyDescent="0.15">
      <c r="A59" s="264" t="s">
        <v>250</v>
      </c>
      <c r="C59" s="265">
        <v>0.77105000000000001</v>
      </c>
      <c r="D59" s="265">
        <v>0.88619999999999999</v>
      </c>
      <c r="E59" s="265">
        <v>0.96599999999999997</v>
      </c>
      <c r="F59" s="265">
        <v>1.1448499999999999</v>
      </c>
      <c r="G59" s="265">
        <v>1.3667499999999999</v>
      </c>
      <c r="H59" s="220"/>
      <c r="I59" s="233"/>
      <c r="J59" s="233"/>
      <c r="K59" s="233"/>
      <c r="L59" s="233"/>
      <c r="M59" s="233"/>
    </row>
    <row r="60" spans="1:13" x14ac:dyDescent="0.15">
      <c r="A60" s="266" t="s">
        <v>251</v>
      </c>
      <c r="C60" s="257">
        <v>0.34055000000000002</v>
      </c>
      <c r="D60" s="257">
        <v>0.371</v>
      </c>
      <c r="E60" s="257">
        <v>0.39340000000000003</v>
      </c>
      <c r="F60" s="257">
        <v>0.434</v>
      </c>
      <c r="G60" s="257">
        <v>0.51905000000000001</v>
      </c>
      <c r="H60" s="267"/>
      <c r="I60" s="233"/>
      <c r="J60" s="233"/>
      <c r="K60" s="233"/>
      <c r="L60" s="233"/>
      <c r="M60" s="233"/>
    </row>
    <row r="61" spans="1:13" x14ac:dyDescent="0.15">
      <c r="A61" s="264" t="s">
        <v>252</v>
      </c>
      <c r="B61" s="231"/>
      <c r="C61" s="234">
        <v>0.26985000000000003</v>
      </c>
      <c r="D61" s="234">
        <v>0.30940000000000001</v>
      </c>
      <c r="E61" s="234">
        <v>0.33774999999999999</v>
      </c>
      <c r="F61" s="234">
        <v>0.39515</v>
      </c>
      <c r="G61" s="234">
        <v>0.47074999999999995</v>
      </c>
      <c r="H61" s="267"/>
      <c r="I61" s="233"/>
      <c r="J61" s="233"/>
      <c r="K61" s="233"/>
      <c r="L61" s="233"/>
      <c r="M61" s="233"/>
    </row>
    <row r="62" spans="1:13" x14ac:dyDescent="0.15">
      <c r="A62" s="268" t="s">
        <v>253</v>
      </c>
      <c r="C62" s="235">
        <v>4.0656000000000008</v>
      </c>
      <c r="D62" s="235">
        <v>4.6536</v>
      </c>
      <c r="E62" s="235">
        <v>5.0617000000000001</v>
      </c>
      <c r="F62" s="235">
        <v>5.927249999999999</v>
      </c>
      <c r="G62" s="235">
        <v>7.0612499999999994</v>
      </c>
      <c r="H62" s="220"/>
      <c r="I62" s="233"/>
      <c r="J62" s="233"/>
      <c r="K62" s="233"/>
      <c r="L62" s="233"/>
      <c r="M62" s="233"/>
    </row>
    <row r="63" spans="1:13" x14ac:dyDescent="0.15">
      <c r="A63" s="264"/>
      <c r="C63" s="235"/>
      <c r="D63" s="235"/>
      <c r="E63" s="235"/>
      <c r="F63" s="235"/>
      <c r="G63" s="235"/>
      <c r="H63" s="220"/>
      <c r="I63" s="233"/>
      <c r="J63" s="233"/>
      <c r="K63" s="233"/>
      <c r="L63" s="233"/>
      <c r="M63" s="233"/>
    </row>
    <row r="64" spans="1:13" x14ac:dyDescent="0.15">
      <c r="A64" s="264" t="s">
        <v>254</v>
      </c>
      <c r="C64" s="234">
        <v>5.1100000000000003</v>
      </c>
      <c r="D64" s="234">
        <v>5.5629</v>
      </c>
      <c r="E64" s="234">
        <v>5.9016999999999999</v>
      </c>
      <c r="F64" s="234">
        <v>6.5121000000000011</v>
      </c>
      <c r="G64" s="234">
        <v>7.7864499999999994</v>
      </c>
      <c r="H64" s="267"/>
      <c r="I64" s="233"/>
      <c r="J64" s="233"/>
      <c r="K64" s="233"/>
      <c r="L64" s="233"/>
      <c r="M64" s="233"/>
    </row>
    <row r="65" spans="1:13" x14ac:dyDescent="0.15">
      <c r="A65" s="268" t="s">
        <v>255</v>
      </c>
      <c r="B65" s="231"/>
      <c r="C65" s="236">
        <f>SUM(C62:C64)</f>
        <v>9.1756000000000011</v>
      </c>
      <c r="D65" s="236">
        <f t="shared" ref="D65:G65" si="6">SUM(D62:D64)</f>
        <v>10.2165</v>
      </c>
      <c r="E65" s="236">
        <f t="shared" si="6"/>
        <v>10.9634</v>
      </c>
      <c r="F65" s="236">
        <f t="shared" si="6"/>
        <v>12.439350000000001</v>
      </c>
      <c r="G65" s="236">
        <f t="shared" si="6"/>
        <v>14.8477</v>
      </c>
      <c r="H65" s="220"/>
      <c r="I65" s="233"/>
      <c r="J65" s="233"/>
      <c r="K65" s="233"/>
      <c r="L65" s="233"/>
      <c r="M65" s="233"/>
    </row>
    <row r="66" spans="1:13" x14ac:dyDescent="0.15">
      <c r="A66" s="264"/>
      <c r="C66" s="235"/>
      <c r="D66" s="235"/>
      <c r="E66" s="235"/>
      <c r="F66" s="235"/>
      <c r="G66" s="235"/>
      <c r="H66" s="220"/>
      <c r="I66" s="233"/>
      <c r="J66" s="233"/>
      <c r="K66" s="233"/>
      <c r="L66" s="233"/>
      <c r="M66" s="233"/>
    </row>
    <row r="67" spans="1:13" x14ac:dyDescent="0.15">
      <c r="A67" s="264" t="s">
        <v>256</v>
      </c>
      <c r="B67" s="231"/>
      <c r="C67" s="235">
        <v>2.408455</v>
      </c>
      <c r="D67" s="235">
        <v>2.408455</v>
      </c>
      <c r="E67" s="235">
        <v>2.408455</v>
      </c>
      <c r="F67" s="235">
        <v>2.408455</v>
      </c>
      <c r="G67" s="235">
        <v>2.408455</v>
      </c>
      <c r="H67" s="220"/>
      <c r="I67" s="233"/>
      <c r="J67" s="233"/>
      <c r="K67" s="233"/>
      <c r="L67" s="233"/>
      <c r="M67" s="233"/>
    </row>
    <row r="68" spans="1:13" x14ac:dyDescent="0.15">
      <c r="A68" s="264" t="s">
        <v>217</v>
      </c>
      <c r="B68" s="231"/>
      <c r="C68" s="234">
        <v>1.26875</v>
      </c>
      <c r="D68" s="234">
        <v>1.58935</v>
      </c>
      <c r="E68" s="234">
        <v>2.06115</v>
      </c>
      <c r="F68" s="234">
        <v>2.7800500000000001</v>
      </c>
      <c r="G68" s="234">
        <v>3.6109499999999999</v>
      </c>
      <c r="H68" s="220"/>
      <c r="I68" s="233"/>
      <c r="J68" s="233"/>
      <c r="K68" s="233"/>
      <c r="L68" s="233"/>
      <c r="M68" s="233"/>
    </row>
    <row r="69" spans="1:13" x14ac:dyDescent="0.15">
      <c r="A69" s="268" t="s">
        <v>258</v>
      </c>
      <c r="B69" s="231"/>
      <c r="C69" s="236">
        <f>SUM(C67:C68)</f>
        <v>3.6772049999999998</v>
      </c>
      <c r="D69" s="236">
        <f t="shared" ref="D69:G69" si="7">SUM(D67:D68)</f>
        <v>3.9978050000000001</v>
      </c>
      <c r="E69" s="236">
        <f t="shared" si="7"/>
        <v>4.4696049999999996</v>
      </c>
      <c r="F69" s="236">
        <f t="shared" si="7"/>
        <v>5.1885050000000001</v>
      </c>
      <c r="G69" s="236">
        <f t="shared" si="7"/>
        <v>6.0194049999999999</v>
      </c>
      <c r="H69" s="220"/>
      <c r="I69" s="233"/>
      <c r="J69" s="233"/>
      <c r="K69" s="233"/>
      <c r="L69" s="233"/>
      <c r="M69" s="233"/>
    </row>
    <row r="70" spans="1:13" x14ac:dyDescent="0.15">
      <c r="A70" s="231"/>
      <c r="B70" s="231"/>
      <c r="C70" s="269"/>
      <c r="D70" s="269"/>
      <c r="E70" s="269"/>
      <c r="F70" s="269"/>
      <c r="G70" s="269"/>
      <c r="H70" s="220"/>
      <c r="I70" s="233"/>
      <c r="J70" s="233"/>
      <c r="K70" s="233"/>
      <c r="L70" s="233"/>
      <c r="M70" s="233"/>
    </row>
    <row r="71" spans="1:13" x14ac:dyDescent="0.15">
      <c r="A71" s="264" t="s">
        <v>259</v>
      </c>
      <c r="B71" s="231"/>
      <c r="C71" s="235">
        <f>C69+C65</f>
        <v>12.852805</v>
      </c>
      <c r="D71" s="235">
        <f t="shared" ref="D71:G71" si="8">D69+D65</f>
        <v>14.214305</v>
      </c>
      <c r="E71" s="235">
        <f t="shared" si="8"/>
        <v>15.433005</v>
      </c>
      <c r="F71" s="235">
        <f t="shared" si="8"/>
        <v>17.627855</v>
      </c>
      <c r="G71" s="235">
        <f t="shared" si="8"/>
        <v>20.867104999999999</v>
      </c>
      <c r="H71" s="220"/>
      <c r="I71" s="233"/>
      <c r="J71" s="233"/>
      <c r="K71" s="233"/>
      <c r="L71" s="233"/>
      <c r="M71" s="233"/>
    </row>
    <row r="72" spans="1:13" x14ac:dyDescent="0.15">
      <c r="A72" s="264"/>
      <c r="B72" s="231"/>
      <c r="C72" s="232"/>
      <c r="D72" s="232"/>
      <c r="E72" s="232"/>
      <c r="F72" s="232"/>
      <c r="G72" s="232"/>
      <c r="H72" s="220"/>
    </row>
    <row r="73" spans="1:13" x14ac:dyDescent="0.15">
      <c r="A73" s="270" t="s">
        <v>311</v>
      </c>
      <c r="D73" s="267"/>
      <c r="E73" s="267"/>
      <c r="F73" s="267"/>
      <c r="G73" s="267"/>
      <c r="H73" s="220"/>
    </row>
    <row r="74" spans="1:13" x14ac:dyDescent="0.15">
      <c r="A74" s="270" t="s">
        <v>312</v>
      </c>
      <c r="H74" s="220"/>
    </row>
    <row r="75" spans="1:13" x14ac:dyDescent="0.15">
      <c r="H75" s="220"/>
    </row>
    <row r="76" spans="1:13" x14ac:dyDescent="0.15">
      <c r="C76" s="271"/>
      <c r="D76" s="272"/>
      <c r="E76" s="272"/>
      <c r="F76" s="272"/>
      <c r="G76" s="272"/>
      <c r="H76" s="220"/>
    </row>
  </sheetData>
  <sheetProtection algorithmName="SHA-512" hashValue="H6suqtigIDw6V3xeuEtENbMEwDeRWbeH/viRpbfYfgL/tuiDMsNUqMrg61KgNdKWxaNVb1wyIyb2U2Q7GE7KlA==" saltValue="exHIyf7QShSa8m3gkkvBBA==" spinCount="100000" sheet="1" objects="1" scenarios="1" selectLockedCells="1"/>
  <pageMargins left="0.7" right="0.49" top="0.48" bottom="0.64" header="0.27" footer="0.39"/>
  <pageSetup fitToHeight="2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>
    <pageSetUpPr fitToPage="1"/>
  </sheetPr>
  <dimension ref="A1:J64"/>
  <sheetViews>
    <sheetView zoomScaleNormal="150" workbookViewId="0">
      <selection activeCell="O57" sqref="O57"/>
    </sheetView>
  </sheetViews>
  <sheetFormatPr baseColWidth="10" defaultColWidth="8.75" defaultRowHeight="12" x14ac:dyDescent="0.15"/>
  <cols>
    <col min="1" max="1" width="34.75" style="220" customWidth="1"/>
    <col min="2" max="5" width="15" style="220" customWidth="1"/>
    <col min="6" max="6" width="15" style="221" customWidth="1"/>
    <col min="7" max="16384" width="8.75" style="111"/>
  </cols>
  <sheetData>
    <row r="1" spans="1:10" ht="13" x14ac:dyDescent="0.15">
      <c r="A1" s="219" t="str">
        <f>Input!B2</f>
        <v>Noname co, by elie diwambuena</v>
      </c>
    </row>
    <row r="3" spans="1:10" ht="13" x14ac:dyDescent="0.15">
      <c r="A3" s="219" t="str">
        <f xml:space="preserve"> "Table 3 - " &amp;Input!B84 &amp; " Income Statement ($ in millions)"</f>
        <v>Table 3 - Proposal for Target co Income Statement ($ in millions)</v>
      </c>
    </row>
    <row r="4" spans="1:10" ht="13" thickBot="1" x14ac:dyDescent="0.2">
      <c r="A4" s="225"/>
      <c r="B4" s="225"/>
      <c r="C4" s="225"/>
      <c r="D4" s="225"/>
      <c r="E4" s="225"/>
    </row>
    <row r="5" spans="1:10" ht="13" thickBot="1" x14ac:dyDescent="0.2">
      <c r="A5" s="226" t="s">
        <v>205</v>
      </c>
      <c r="B5" s="273">
        <v>39629</v>
      </c>
      <c r="C5" s="273">
        <v>39994</v>
      </c>
      <c r="D5" s="273">
        <v>40359</v>
      </c>
      <c r="E5" s="273">
        <v>40724</v>
      </c>
      <c r="F5" s="220"/>
    </row>
    <row r="6" spans="1:10" x14ac:dyDescent="0.15">
      <c r="A6" s="230"/>
      <c r="F6" s="220"/>
    </row>
    <row r="7" spans="1:10" x14ac:dyDescent="0.15">
      <c r="A7" s="231" t="s">
        <v>206</v>
      </c>
      <c r="B7" s="232">
        <v>5.3903499999999998</v>
      </c>
      <c r="C7" s="232">
        <v>5.57165</v>
      </c>
      <c r="D7" s="232">
        <v>5.8324000000000007</v>
      </c>
      <c r="E7" s="232">
        <v>6.1474000000000002</v>
      </c>
      <c r="F7" s="220"/>
      <c r="G7" s="232"/>
      <c r="H7" s="232"/>
      <c r="I7" s="232"/>
      <c r="J7" s="232"/>
    </row>
    <row r="8" spans="1:10" x14ac:dyDescent="0.15">
      <c r="A8" s="220" t="s">
        <v>207</v>
      </c>
      <c r="B8" s="234">
        <v>3.4604500000000002</v>
      </c>
      <c r="C8" s="234">
        <v>3.5994000000000002</v>
      </c>
      <c r="D8" s="234">
        <v>3.7561999999999998</v>
      </c>
      <c r="E8" s="234">
        <v>3.96515</v>
      </c>
      <c r="F8" s="220"/>
    </row>
    <row r="9" spans="1:10" x14ac:dyDescent="0.15">
      <c r="A9" s="231" t="s">
        <v>208</v>
      </c>
      <c r="B9" s="235">
        <v>1.9298999999999999</v>
      </c>
      <c r="C9" s="235">
        <v>1.9722500000000001</v>
      </c>
      <c r="D9" s="235">
        <v>2.0762000000000009</v>
      </c>
      <c r="E9" s="235">
        <v>2.1822499999999998</v>
      </c>
      <c r="F9" s="220"/>
    </row>
    <row r="10" spans="1:10" x14ac:dyDescent="0.15">
      <c r="A10" s="231"/>
      <c r="B10" s="235">
        <v>0</v>
      </c>
      <c r="C10" s="235">
        <v>0</v>
      </c>
      <c r="D10" s="235">
        <v>0</v>
      </c>
      <c r="E10" s="235">
        <v>0</v>
      </c>
      <c r="F10" s="220"/>
    </row>
    <row r="11" spans="1:10" x14ac:dyDescent="0.15">
      <c r="A11" s="220" t="s">
        <v>209</v>
      </c>
      <c r="B11" s="235">
        <v>0</v>
      </c>
      <c r="C11" s="235">
        <v>0</v>
      </c>
      <c r="D11" s="235">
        <v>0</v>
      </c>
      <c r="E11" s="235">
        <v>0</v>
      </c>
      <c r="F11" s="220"/>
    </row>
    <row r="12" spans="1:10" x14ac:dyDescent="0.15">
      <c r="A12" s="231" t="s">
        <v>210</v>
      </c>
      <c r="B12" s="234">
        <v>1.52565</v>
      </c>
      <c r="C12" s="234">
        <v>1.59355</v>
      </c>
      <c r="D12" s="234">
        <v>1.6855999999999998</v>
      </c>
      <c r="E12" s="234">
        <v>1.7643500000000003</v>
      </c>
      <c r="F12" s="220"/>
    </row>
    <row r="13" spans="1:10" x14ac:dyDescent="0.15">
      <c r="A13" s="220" t="s">
        <v>211</v>
      </c>
      <c r="B13" s="235">
        <v>0.40424999999999978</v>
      </c>
      <c r="C13" s="235">
        <v>0.37869999999999993</v>
      </c>
      <c r="D13" s="235">
        <v>0.39060000000000084</v>
      </c>
      <c r="E13" s="235">
        <v>0.41789999999999966</v>
      </c>
      <c r="F13" s="220"/>
    </row>
    <row r="14" spans="1:10" x14ac:dyDescent="0.15">
      <c r="B14" s="235"/>
      <c r="C14" s="235"/>
      <c r="D14" s="235"/>
      <c r="E14" s="235"/>
      <c r="F14" s="220"/>
    </row>
    <row r="15" spans="1:10" x14ac:dyDescent="0.15">
      <c r="A15" s="231" t="s">
        <v>212</v>
      </c>
      <c r="B15" s="234">
        <v>1.9950000000000002E-2</v>
      </c>
      <c r="C15" s="234">
        <v>2.52E-2</v>
      </c>
      <c r="D15" s="234">
        <v>2.0999999999999998E-2</v>
      </c>
      <c r="E15" s="234">
        <v>2.205E-2</v>
      </c>
      <c r="F15" s="220"/>
    </row>
    <row r="16" spans="1:10" x14ac:dyDescent="0.15">
      <c r="A16" s="220" t="s">
        <v>213</v>
      </c>
      <c r="B16" s="235">
        <v>0.38429999999999981</v>
      </c>
      <c r="C16" s="235">
        <v>0.35349999999999993</v>
      </c>
      <c r="D16" s="235">
        <v>0.36960000000000076</v>
      </c>
      <c r="E16" s="235">
        <v>0.3958499999999997</v>
      </c>
      <c r="F16" s="220"/>
    </row>
    <row r="17" spans="1:6" x14ac:dyDescent="0.15">
      <c r="B17" s="235">
        <v>0</v>
      </c>
      <c r="C17" s="235">
        <v>0</v>
      </c>
      <c r="D17" s="235">
        <v>0</v>
      </c>
      <c r="E17" s="235">
        <v>0</v>
      </c>
      <c r="F17" s="220"/>
    </row>
    <row r="18" spans="1:6" x14ac:dyDescent="0.15">
      <c r="A18" s="231" t="s">
        <v>214</v>
      </c>
      <c r="B18" s="234">
        <v>0.10394999999999999</v>
      </c>
      <c r="C18" s="234">
        <v>9.5549999999999996E-2</v>
      </c>
      <c r="D18" s="234">
        <v>9.9749999999999991E-2</v>
      </c>
      <c r="E18" s="234">
        <v>0.1071</v>
      </c>
      <c r="F18" s="220" t="s">
        <v>313</v>
      </c>
    </row>
    <row r="19" spans="1:6" x14ac:dyDescent="0.15">
      <c r="A19" s="231" t="s">
        <v>215</v>
      </c>
      <c r="B19" s="236">
        <v>0.28034999999999982</v>
      </c>
      <c r="C19" s="236">
        <v>0.2579499999999999</v>
      </c>
      <c r="D19" s="236">
        <v>0.26985000000000081</v>
      </c>
      <c r="E19" s="236">
        <v>0.28874999999999967</v>
      </c>
      <c r="F19" s="220"/>
    </row>
    <row r="20" spans="1:6" x14ac:dyDescent="0.15">
      <c r="B20" s="235"/>
      <c r="C20" s="235"/>
      <c r="D20" s="235"/>
      <c r="E20" s="235"/>
      <c r="F20" s="220"/>
    </row>
    <row r="21" spans="1:6" x14ac:dyDescent="0.15">
      <c r="A21" s="220" t="s">
        <v>314</v>
      </c>
      <c r="B21" s="235">
        <v>0.1008</v>
      </c>
      <c r="C21" s="235">
        <v>8.8900000000000007E-2</v>
      </c>
      <c r="D21" s="235">
        <v>0.1477</v>
      </c>
      <c r="E21" s="235">
        <v>0.14035000000000003</v>
      </c>
      <c r="F21" s="220"/>
    </row>
    <row r="23" spans="1:6" x14ac:dyDescent="0.15">
      <c r="D23" s="274"/>
    </row>
    <row r="27" spans="1:6" ht="13" x14ac:dyDescent="0.15">
      <c r="A27" s="219"/>
      <c r="B27" s="221"/>
      <c r="C27" s="221"/>
      <c r="D27" s="221"/>
      <c r="E27" s="221"/>
    </row>
    <row r="28" spans="1:6" ht="11" x14ac:dyDescent="0.15">
      <c r="A28" s="221"/>
      <c r="B28" s="221"/>
      <c r="C28" s="221"/>
      <c r="D28" s="221"/>
      <c r="E28" s="221"/>
    </row>
    <row r="29" spans="1:6" ht="13" x14ac:dyDescent="0.15">
      <c r="A29" s="275" t="str">
        <f>"Table 4 -" &amp;Input!B84 &amp; " Balance Sheet ($ in millions)"</f>
        <v>Table 4 -Proposal for Target co Balance Sheet ($ in millions)</v>
      </c>
      <c r="B29" s="276"/>
      <c r="C29" s="276"/>
      <c r="D29" s="276"/>
      <c r="E29" s="276"/>
    </row>
    <row r="30" spans="1:6" thickBot="1" x14ac:dyDescent="0.2">
      <c r="A30" s="253"/>
      <c r="B30" s="253"/>
      <c r="C30" s="253"/>
      <c r="D30" s="253"/>
      <c r="E30" s="253"/>
    </row>
    <row r="31" spans="1:6" ht="13" thickBot="1" x14ac:dyDescent="0.2">
      <c r="A31" s="226" t="s">
        <v>235</v>
      </c>
      <c r="B31" s="273">
        <v>39629</v>
      </c>
      <c r="C31" s="273">
        <v>39994</v>
      </c>
      <c r="D31" s="273">
        <v>40359</v>
      </c>
      <c r="E31" s="273">
        <v>40724</v>
      </c>
    </row>
    <row r="32" spans="1:6" x14ac:dyDescent="0.15">
      <c r="A32" s="230"/>
    </row>
    <row r="33" spans="1:5" x14ac:dyDescent="0.15">
      <c r="A33" s="254" t="s">
        <v>236</v>
      </c>
      <c r="B33" s="232">
        <v>0.20474999999999999</v>
      </c>
      <c r="C33" s="232">
        <v>0.21349999999999997</v>
      </c>
      <c r="D33" s="232">
        <v>0.22364999999999999</v>
      </c>
      <c r="E33" s="232">
        <v>0.23555000000000001</v>
      </c>
    </row>
    <row r="34" spans="1:5" x14ac:dyDescent="0.15">
      <c r="A34" s="254" t="s">
        <v>237</v>
      </c>
      <c r="B34" s="277">
        <v>1.10775</v>
      </c>
      <c r="C34" s="277">
        <v>1.1448499999999999</v>
      </c>
      <c r="D34" s="277">
        <v>1.1983999999999999</v>
      </c>
      <c r="E34" s="277">
        <v>1.26315</v>
      </c>
    </row>
    <row r="35" spans="1:5" x14ac:dyDescent="0.15">
      <c r="A35" s="254" t="s">
        <v>238</v>
      </c>
      <c r="B35" s="277">
        <v>0.72099999999999997</v>
      </c>
      <c r="C35" s="277">
        <v>0.74970000000000003</v>
      </c>
      <c r="D35" s="277">
        <v>0.78260000000000007</v>
      </c>
      <c r="E35" s="277">
        <v>0.82599999999999996</v>
      </c>
    </row>
    <row r="36" spans="1:5" x14ac:dyDescent="0.15">
      <c r="A36" s="254" t="s">
        <v>239</v>
      </c>
      <c r="B36" s="278">
        <v>8.0850000000000005E-2</v>
      </c>
      <c r="C36" s="278">
        <v>8.3650000000000002E-2</v>
      </c>
      <c r="D36" s="278">
        <v>8.7499999999999994E-2</v>
      </c>
      <c r="E36" s="278">
        <v>9.2050000000000007E-2</v>
      </c>
    </row>
    <row r="37" spans="1:5" x14ac:dyDescent="0.15">
      <c r="A37" s="254" t="s">
        <v>315</v>
      </c>
      <c r="B37" s="277">
        <f>SUM(B33:B36)</f>
        <v>2.11435</v>
      </c>
      <c r="C37" s="277">
        <f t="shared" ref="C37:E37" si="0">SUM(C33:C36)</f>
        <v>2.1917</v>
      </c>
      <c r="D37" s="277">
        <f t="shared" si="0"/>
        <v>2.2921499999999999</v>
      </c>
      <c r="E37" s="277">
        <f t="shared" si="0"/>
        <v>2.41675</v>
      </c>
    </row>
    <row r="38" spans="1:5" x14ac:dyDescent="0.15">
      <c r="A38" s="254"/>
      <c r="B38" s="277"/>
      <c r="C38" s="277"/>
      <c r="D38" s="277"/>
      <c r="E38" s="277"/>
    </row>
    <row r="39" spans="1:5" x14ac:dyDescent="0.15">
      <c r="A39" s="254" t="s">
        <v>242</v>
      </c>
      <c r="B39" s="277">
        <v>1.3408500000000001</v>
      </c>
      <c r="C39" s="277">
        <v>1.4510999999999998</v>
      </c>
      <c r="D39" s="277">
        <v>1.4955499999999999</v>
      </c>
      <c r="E39" s="277">
        <v>1.5484000000000002</v>
      </c>
    </row>
    <row r="40" spans="1:5" x14ac:dyDescent="0.15">
      <c r="A40" s="254" t="s">
        <v>243</v>
      </c>
      <c r="B40" s="278">
        <v>0.16170000000000001</v>
      </c>
      <c r="C40" s="278">
        <v>0.16694999999999999</v>
      </c>
      <c r="D40" s="278">
        <v>0.17499999999999999</v>
      </c>
      <c r="E40" s="278">
        <v>0.18445</v>
      </c>
    </row>
    <row r="41" spans="1:5" x14ac:dyDescent="0.15">
      <c r="A41" s="220" t="s">
        <v>372</v>
      </c>
      <c r="B41" s="272">
        <f>SUM(B39:B40)</f>
        <v>1.5025500000000001</v>
      </c>
      <c r="C41" s="272">
        <f t="shared" ref="C41:E41" si="1">SUM(C39:C40)</f>
        <v>1.6180499999999998</v>
      </c>
      <c r="D41" s="272">
        <f t="shared" si="1"/>
        <v>1.67055</v>
      </c>
      <c r="E41" s="272">
        <f t="shared" si="1"/>
        <v>1.7328500000000002</v>
      </c>
    </row>
    <row r="42" spans="1:5" x14ac:dyDescent="0.15">
      <c r="A42" s="243" t="s">
        <v>316</v>
      </c>
      <c r="B42" s="247">
        <f>B41+B37</f>
        <v>3.6169000000000002</v>
      </c>
      <c r="C42" s="247">
        <f t="shared" ref="C42:E42" si="2">C41+C37</f>
        <v>3.8097499999999997</v>
      </c>
      <c r="D42" s="247">
        <f t="shared" si="2"/>
        <v>3.9626999999999999</v>
      </c>
      <c r="E42" s="247">
        <f t="shared" si="2"/>
        <v>4.1496000000000004</v>
      </c>
    </row>
    <row r="43" spans="1:5" ht="13" thickBot="1" x14ac:dyDescent="0.2">
      <c r="A43" s="279"/>
      <c r="B43" s="280"/>
      <c r="C43" s="280"/>
      <c r="D43" s="280"/>
      <c r="E43" s="280"/>
    </row>
    <row r="44" spans="1:5" ht="13" thickBot="1" x14ac:dyDescent="0.2">
      <c r="A44" s="226" t="s">
        <v>317</v>
      </c>
      <c r="B44" s="273">
        <v>39629</v>
      </c>
      <c r="C44" s="273">
        <v>39994</v>
      </c>
      <c r="D44" s="273">
        <v>40359</v>
      </c>
      <c r="E44" s="273">
        <v>40724</v>
      </c>
    </row>
    <row r="45" spans="1:5" x14ac:dyDescent="0.15">
      <c r="A45" s="254"/>
      <c r="B45" s="281"/>
      <c r="C45" s="281"/>
      <c r="D45" s="281"/>
      <c r="E45" s="281"/>
    </row>
    <row r="46" spans="1:5" x14ac:dyDescent="0.15">
      <c r="A46" s="264" t="s">
        <v>249</v>
      </c>
      <c r="B46" s="232">
        <v>0.27684999999999998</v>
      </c>
      <c r="C46" s="232">
        <v>0.2863</v>
      </c>
      <c r="D46" s="232">
        <v>0.29959999999999998</v>
      </c>
      <c r="E46" s="232">
        <v>0.31569999999999998</v>
      </c>
    </row>
    <row r="47" spans="1:5" x14ac:dyDescent="0.15">
      <c r="A47" s="264" t="s">
        <v>250</v>
      </c>
      <c r="B47" s="282">
        <v>0.28454999999999997</v>
      </c>
      <c r="C47" s="282">
        <v>0.29575000000000001</v>
      </c>
      <c r="D47" s="282">
        <v>0.30870000000000003</v>
      </c>
      <c r="E47" s="282">
        <v>0.32585000000000003</v>
      </c>
    </row>
    <row r="48" spans="1:5" x14ac:dyDescent="0.15">
      <c r="A48" s="266" t="s">
        <v>251</v>
      </c>
      <c r="B48" s="247">
        <v>0</v>
      </c>
      <c r="C48" s="247">
        <v>0</v>
      </c>
      <c r="D48" s="247">
        <v>0</v>
      </c>
      <c r="E48" s="247">
        <v>0</v>
      </c>
    </row>
    <row r="49" spans="1:5" x14ac:dyDescent="0.15">
      <c r="A49" s="264" t="s">
        <v>252</v>
      </c>
      <c r="B49" s="278">
        <v>9.1700000000000004E-2</v>
      </c>
      <c r="C49" s="278">
        <v>9.4850000000000018E-2</v>
      </c>
      <c r="D49" s="278">
        <v>9.9049999999999999E-2</v>
      </c>
      <c r="E49" s="278">
        <v>0.10464999999999999</v>
      </c>
    </row>
    <row r="50" spans="1:5" x14ac:dyDescent="0.15">
      <c r="A50" s="264" t="s">
        <v>318</v>
      </c>
      <c r="B50" s="277">
        <f>SUM(B46:B49)</f>
        <v>0.6530999999999999</v>
      </c>
      <c r="C50" s="277">
        <f t="shared" ref="C50:E50" si="3">SUM(C46:C49)</f>
        <v>0.67689999999999995</v>
      </c>
      <c r="D50" s="277">
        <f t="shared" si="3"/>
        <v>0.70735000000000003</v>
      </c>
      <c r="E50" s="277">
        <f t="shared" si="3"/>
        <v>0.74620000000000009</v>
      </c>
    </row>
    <row r="51" spans="1:5" x14ac:dyDescent="0.15">
      <c r="A51" s="264"/>
      <c r="B51" s="277"/>
      <c r="C51" s="277"/>
      <c r="D51" s="277"/>
      <c r="E51" s="277"/>
    </row>
    <row r="52" spans="1:5" x14ac:dyDescent="0.15">
      <c r="A52" s="264" t="s">
        <v>254</v>
      </c>
      <c r="B52" s="278">
        <v>0</v>
      </c>
      <c r="C52" s="278">
        <v>0</v>
      </c>
      <c r="D52" s="278">
        <v>0</v>
      </c>
      <c r="E52" s="278">
        <v>0</v>
      </c>
    </row>
    <row r="53" spans="1:5" x14ac:dyDescent="0.15">
      <c r="A53" s="264" t="s">
        <v>319</v>
      </c>
      <c r="B53" s="283">
        <f>B52+B50</f>
        <v>0.6530999999999999</v>
      </c>
      <c r="C53" s="283">
        <f t="shared" ref="C53:E53" si="4">C52+C50</f>
        <v>0.67689999999999995</v>
      </c>
      <c r="D53" s="283">
        <f t="shared" si="4"/>
        <v>0.70735000000000003</v>
      </c>
      <c r="E53" s="283">
        <f t="shared" si="4"/>
        <v>0.74620000000000009</v>
      </c>
    </row>
    <row r="54" spans="1:5" x14ac:dyDescent="0.15">
      <c r="A54" s="264"/>
      <c r="B54" s="277"/>
      <c r="C54" s="277"/>
      <c r="D54" s="277"/>
      <c r="E54" s="277"/>
    </row>
    <row r="55" spans="1:5" x14ac:dyDescent="0.15">
      <c r="A55" s="264" t="s">
        <v>256</v>
      </c>
      <c r="B55" s="277">
        <v>1.6043999999999996</v>
      </c>
      <c r="C55" s="277">
        <v>1.6043999999999996</v>
      </c>
      <c r="D55" s="277">
        <v>1.6043999999999996</v>
      </c>
      <c r="E55" s="277">
        <v>1.6043999999999996</v>
      </c>
    </row>
    <row r="56" spans="1:5" x14ac:dyDescent="0.15">
      <c r="A56" s="264" t="s">
        <v>217</v>
      </c>
      <c r="B56" s="278">
        <v>1.3593999999999999</v>
      </c>
      <c r="C56" s="278">
        <v>1.5284499999999999</v>
      </c>
      <c r="D56" s="278">
        <v>1.6506000000000001</v>
      </c>
      <c r="E56" s="278">
        <v>1.7989999999999999</v>
      </c>
    </row>
    <row r="57" spans="1:5" x14ac:dyDescent="0.15">
      <c r="A57" s="264" t="s">
        <v>320</v>
      </c>
      <c r="B57" s="283">
        <f>SUM(B55:B56)</f>
        <v>2.9637999999999995</v>
      </c>
      <c r="C57" s="283">
        <f t="shared" ref="C57:E57" si="5">SUM(C55:C56)</f>
        <v>3.1328499999999995</v>
      </c>
      <c r="D57" s="283">
        <f t="shared" si="5"/>
        <v>3.2549999999999999</v>
      </c>
      <c r="E57" s="283">
        <f t="shared" si="5"/>
        <v>3.4033999999999995</v>
      </c>
    </row>
    <row r="58" spans="1:5" x14ac:dyDescent="0.15">
      <c r="A58" s="231"/>
      <c r="B58" s="284"/>
      <c r="C58" s="284"/>
      <c r="D58" s="284"/>
      <c r="E58" s="284"/>
    </row>
    <row r="59" spans="1:5" x14ac:dyDescent="0.15">
      <c r="A59" s="264" t="s">
        <v>259</v>
      </c>
      <c r="B59" s="277">
        <f>B57+B53</f>
        <v>3.6168999999999993</v>
      </c>
      <c r="C59" s="277">
        <f t="shared" ref="C59:E59" si="6">C57+C53</f>
        <v>3.8097499999999993</v>
      </c>
      <c r="D59" s="277">
        <f t="shared" si="6"/>
        <v>3.9623499999999998</v>
      </c>
      <c r="E59" s="277">
        <f t="shared" si="6"/>
        <v>4.1495999999999995</v>
      </c>
    </row>
    <row r="60" spans="1:5" x14ac:dyDescent="0.15">
      <c r="A60" s="285"/>
      <c r="B60" s="286"/>
      <c r="C60" s="286"/>
      <c r="D60" s="286"/>
      <c r="E60" s="286"/>
    </row>
    <row r="61" spans="1:5" x14ac:dyDescent="0.15">
      <c r="A61" s="270" t="s">
        <v>321</v>
      </c>
    </row>
    <row r="62" spans="1:5" x14ac:dyDescent="0.15">
      <c r="A62" s="270" t="s">
        <v>322</v>
      </c>
    </row>
    <row r="63" spans="1:5" x14ac:dyDescent="0.15">
      <c r="A63" s="270" t="s">
        <v>323</v>
      </c>
    </row>
    <row r="64" spans="1:5" x14ac:dyDescent="0.15">
      <c r="A64" s="270" t="s">
        <v>324</v>
      </c>
    </row>
  </sheetData>
  <sheetProtection algorithmName="SHA-512" hashValue="+GZLEAsUkal30l26hpDPn5b9gXpQTQbLqcnJUIbqzydAnxai/0/WINq6jecS6olXp0OglqF16mG2snsaehliiw==" saltValue="70KWFCFOLtTv8j9wb+3EXA==" spinCount="100000" sheet="1" objects="1" scenarios="1" selectLockedCells="1"/>
  <pageMargins left="0.47" right="0.27" top="0.24" bottom="0.2" header="0.21" footer="0.17"/>
  <pageSetup fitToHeight="2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2"/>
  <dimension ref="A1:I41"/>
  <sheetViews>
    <sheetView zoomScaleNormal="150" workbookViewId="0">
      <selection activeCell="Q53" sqref="Q53"/>
    </sheetView>
  </sheetViews>
  <sheetFormatPr baseColWidth="10" defaultColWidth="8.75" defaultRowHeight="13" x14ac:dyDescent="0.15"/>
  <cols>
    <col min="1" max="1" width="42.5" style="287" customWidth="1"/>
    <col min="2" max="3" width="13.75" style="287" customWidth="1"/>
    <col min="4" max="4" width="4.75" style="287" customWidth="1"/>
    <col min="5" max="6" width="13.75" style="287" customWidth="1"/>
    <col min="7" max="7" width="4.75" style="287" customWidth="1"/>
    <col min="8" max="9" width="13.75" style="287" customWidth="1"/>
    <col min="10" max="16384" width="8.75" style="111"/>
  </cols>
  <sheetData>
    <row r="1" spans="1:9" x14ac:dyDescent="0.15">
      <c r="A1" s="219" t="s">
        <v>355</v>
      </c>
      <c r="B1" s="220"/>
      <c r="C1" s="220"/>
      <c r="D1" s="220"/>
      <c r="E1" s="220"/>
      <c r="F1" s="220"/>
      <c r="G1" s="220"/>
      <c r="H1" s="220"/>
      <c r="I1" s="220"/>
    </row>
    <row r="2" spans="1:9" ht="12" x14ac:dyDescent="0.15">
      <c r="A2" s="220"/>
      <c r="B2" s="220"/>
      <c r="C2" s="220"/>
      <c r="D2" s="220"/>
      <c r="E2" s="220"/>
      <c r="F2" s="220"/>
      <c r="G2" s="220"/>
      <c r="H2" s="220"/>
      <c r="I2" s="220"/>
    </row>
    <row r="3" spans="1:9" x14ac:dyDescent="0.15">
      <c r="A3" s="219" t="s">
        <v>325</v>
      </c>
    </row>
    <row r="4" spans="1:9" x14ac:dyDescent="0.15">
      <c r="A4" s="288"/>
      <c r="B4" s="288"/>
      <c r="C4" s="288"/>
      <c r="D4" s="288"/>
      <c r="E4" s="288"/>
      <c r="F4" s="288"/>
      <c r="G4" s="288"/>
      <c r="H4" s="288"/>
      <c r="I4" s="288"/>
    </row>
    <row r="5" spans="1:9" x14ac:dyDescent="0.15">
      <c r="B5" s="289" t="s">
        <v>352</v>
      </c>
      <c r="C5" s="290"/>
      <c r="E5" s="289" t="s">
        <v>351</v>
      </c>
      <c r="F5" s="290"/>
      <c r="H5" s="289" t="s">
        <v>350</v>
      </c>
      <c r="I5" s="290"/>
    </row>
    <row r="6" spans="1:9" x14ac:dyDescent="0.15">
      <c r="A6" s="288"/>
      <c r="B6" s="291">
        <v>2010</v>
      </c>
      <c r="C6" s="291">
        <v>2011</v>
      </c>
      <c r="D6" s="288"/>
      <c r="E6" s="291">
        <v>2010</v>
      </c>
      <c r="F6" s="291">
        <v>2011</v>
      </c>
      <c r="G6" s="288"/>
      <c r="H6" s="291">
        <v>2010</v>
      </c>
      <c r="I6" s="291">
        <v>2011</v>
      </c>
    </row>
    <row r="8" spans="1:9" x14ac:dyDescent="0.15">
      <c r="A8" s="287" t="s">
        <v>326</v>
      </c>
      <c r="B8" s="292">
        <v>33.368000000000002</v>
      </c>
      <c r="C8" s="292">
        <v>34.405000000000001</v>
      </c>
      <c r="E8" s="292">
        <v>120.149</v>
      </c>
      <c r="F8" s="292">
        <v>123.03100000000001</v>
      </c>
      <c r="H8" s="292">
        <f>'Noname co'!F8</f>
        <v>23.805949999999999</v>
      </c>
      <c r="I8" s="292">
        <f>'Noname co'!G8</f>
        <v>28.328999999999997</v>
      </c>
    </row>
    <row r="9" spans="1:9" x14ac:dyDescent="0.15">
      <c r="A9" s="287" t="s">
        <v>327</v>
      </c>
      <c r="B9" s="292">
        <v>3.702</v>
      </c>
      <c r="C9" s="292">
        <v>3.8650000000000002</v>
      </c>
      <c r="E9" s="292">
        <v>7.2579999999999991</v>
      </c>
      <c r="F9" s="292">
        <v>8.17</v>
      </c>
      <c r="H9" s="292">
        <f>'Noname co'!F20</f>
        <v>0.71889999999999854</v>
      </c>
      <c r="I9" s="292">
        <f>'Noname co'!G20</f>
        <v>0.83089999999999575</v>
      </c>
    </row>
    <row r="10" spans="1:9" x14ac:dyDescent="0.15">
      <c r="A10" s="287" t="s">
        <v>328</v>
      </c>
      <c r="B10" s="293">
        <v>2.79</v>
      </c>
      <c r="C10" s="293">
        <f>0.56+0.5796+1.0045+0.7743</f>
        <v>2.9184000000000001</v>
      </c>
      <c r="E10" s="293">
        <v>1.63</v>
      </c>
      <c r="F10" s="293">
        <v>1.9</v>
      </c>
      <c r="H10" s="293">
        <f>H9*inM/'Noname co'!G24</f>
        <v>0.79185782027063334</v>
      </c>
      <c r="I10" s="293">
        <f>I9*inM/'Noname co'!G24</f>
        <v>0.91522417980646442</v>
      </c>
    </row>
    <row r="11" spans="1:9" x14ac:dyDescent="0.15">
      <c r="A11" s="287" t="s">
        <v>329</v>
      </c>
      <c r="B11" s="293">
        <v>20.6</v>
      </c>
      <c r="C11" s="293">
        <v>25.6</v>
      </c>
      <c r="E11" s="293">
        <v>15.02</v>
      </c>
      <c r="F11" s="293">
        <v>18.760000000000002</v>
      </c>
      <c r="H11" s="293">
        <v>7.0545</v>
      </c>
      <c r="I11" s="293">
        <f>'Noname co'!G26</f>
        <v>8.41</v>
      </c>
    </row>
    <row r="12" spans="1:9" x14ac:dyDescent="0.15">
      <c r="A12" s="287" t="s">
        <v>330</v>
      </c>
      <c r="B12" s="294">
        <f>B11/B10</f>
        <v>7.3835125448028682</v>
      </c>
      <c r="C12" s="294">
        <f>C11/C10</f>
        <v>8.7719298245614041</v>
      </c>
      <c r="E12" s="294">
        <f>E11/E10</f>
        <v>9.2147239263803691</v>
      </c>
      <c r="F12" s="294">
        <f>F11/F10</f>
        <v>9.8736842105263172</v>
      </c>
      <c r="H12" s="294">
        <f>H11/H10</f>
        <v>8.9087962755599008</v>
      </c>
      <c r="I12" s="294">
        <f>'Noname co'!G27</f>
        <v>9.1890054759899371</v>
      </c>
    </row>
    <row r="14" spans="1:9" x14ac:dyDescent="0.15">
      <c r="A14" s="287" t="s">
        <v>331</v>
      </c>
      <c r="B14" s="292">
        <v>19.57</v>
      </c>
      <c r="C14" s="292">
        <v>19.472999999999999</v>
      </c>
      <c r="E14" s="292">
        <v>68.091000000000008</v>
      </c>
      <c r="F14" s="292">
        <v>67.00200000000001</v>
      </c>
      <c r="H14" s="292">
        <f>'Noname co'!F65</f>
        <v>12.439350000000001</v>
      </c>
      <c r="I14" s="292">
        <f>'Noname co'!G65</f>
        <v>14.8477</v>
      </c>
    </row>
    <row r="15" spans="1:9" x14ac:dyDescent="0.15">
      <c r="A15" s="287" t="s">
        <v>332</v>
      </c>
      <c r="B15" s="292">
        <v>8.802999999999999</v>
      </c>
      <c r="C15" s="292">
        <v>9.8970000000000002</v>
      </c>
      <c r="E15" s="292">
        <v>34.872</v>
      </c>
      <c r="F15" s="292">
        <v>32.338000000000001</v>
      </c>
      <c r="H15" s="292">
        <f>'Noname co'!F58+'Noname co'!F60+'Noname co'!F64</f>
        <v>10.899350000000002</v>
      </c>
      <c r="I15" s="292">
        <f>'Noname co'!G58+'Noname co'!G60+'Noname co'!G64</f>
        <v>13.010199999999999</v>
      </c>
    </row>
    <row r="16" spans="1:9" x14ac:dyDescent="0.15">
      <c r="C16" s="292"/>
      <c r="F16" s="292"/>
      <c r="I16" s="292"/>
    </row>
    <row r="17" spans="1:9" x14ac:dyDescent="0.15">
      <c r="A17" s="287" t="s">
        <v>333</v>
      </c>
      <c r="B17" s="292">
        <v>14.627000000000001</v>
      </c>
      <c r="C17" s="292">
        <v>16.420999999999999</v>
      </c>
      <c r="E17" s="292">
        <v>49.288999999999994</v>
      </c>
      <c r="F17" s="292">
        <v>47.085000000000001</v>
      </c>
      <c r="H17" s="292">
        <f>'Noname co'!F69</f>
        <v>5.1885050000000001</v>
      </c>
      <c r="I17" s="292">
        <f>'Noname co'!G69</f>
        <v>6.0194049999999999</v>
      </c>
    </row>
    <row r="18" spans="1:9" x14ac:dyDescent="0.15">
      <c r="B18" s="292"/>
      <c r="E18" s="292"/>
      <c r="H18" s="292"/>
    </row>
    <row r="19" spans="1:9" x14ac:dyDescent="0.15">
      <c r="A19" s="287" t="s">
        <v>334</v>
      </c>
      <c r="B19" s="295">
        <v>1.331</v>
      </c>
      <c r="C19" s="295">
        <v>1.3240000000000001</v>
      </c>
      <c r="D19" s="287">
        <v>0</v>
      </c>
      <c r="E19" s="295">
        <v>4.4359999999999999</v>
      </c>
      <c r="F19" s="295">
        <v>4.2969999999999997</v>
      </c>
      <c r="H19" s="295">
        <f>'Noname co'!G24/inM</f>
        <v>0.90786500000000003</v>
      </c>
      <c r="I19" s="295">
        <f>H19</f>
        <v>0.90786500000000003</v>
      </c>
    </row>
    <row r="20" spans="1:9" x14ac:dyDescent="0.15">
      <c r="A20" s="287" t="s">
        <v>335</v>
      </c>
      <c r="B20" s="292">
        <f>B19*B11</f>
        <v>27.418600000000001</v>
      </c>
      <c r="C20" s="292">
        <f>C19*C11</f>
        <v>33.894400000000005</v>
      </c>
      <c r="D20" s="292"/>
      <c r="E20" s="292">
        <f>E19*E11</f>
        <v>66.628720000000001</v>
      </c>
      <c r="F20" s="292">
        <f>F19*F11</f>
        <v>80.611720000000005</v>
      </c>
      <c r="G20" s="292"/>
      <c r="H20" s="292">
        <f>H19*H11</f>
        <v>6.4045336425000006</v>
      </c>
      <c r="I20" s="292">
        <f>I19*I11</f>
        <v>7.63514465</v>
      </c>
    </row>
    <row r="22" spans="1:9" x14ac:dyDescent="0.15">
      <c r="A22" s="287" t="s">
        <v>336</v>
      </c>
      <c r="C22" s="296">
        <v>0.5</v>
      </c>
      <c r="D22" s="296"/>
      <c r="E22" s="296"/>
      <c r="F22" s="296">
        <v>0.6</v>
      </c>
      <c r="G22" s="296"/>
      <c r="H22" s="296"/>
      <c r="I22" s="296">
        <v>0.85</v>
      </c>
    </row>
    <row r="24" spans="1:9" x14ac:dyDescent="0.15">
      <c r="A24" s="297" t="s">
        <v>353</v>
      </c>
    </row>
    <row r="25" spans="1:9" x14ac:dyDescent="0.15">
      <c r="A25" s="297" t="s">
        <v>337</v>
      </c>
    </row>
    <row r="26" spans="1:9" x14ac:dyDescent="0.15">
      <c r="A26" s="297"/>
    </row>
    <row r="27" spans="1:9" x14ac:dyDescent="0.15">
      <c r="A27" s="298" t="s">
        <v>354</v>
      </c>
      <c r="B27" s="299"/>
      <c r="C27" s="299"/>
      <c r="D27" s="299"/>
      <c r="E27" s="299"/>
      <c r="F27" s="299"/>
      <c r="G27" s="299"/>
      <c r="H27" s="299"/>
      <c r="I27" s="299"/>
    </row>
    <row r="28" spans="1:9" x14ac:dyDescent="0.15">
      <c r="A28" s="300"/>
      <c r="B28" s="300"/>
      <c r="C28" s="300"/>
      <c r="D28" s="300"/>
      <c r="E28" s="300"/>
      <c r="F28" s="300"/>
      <c r="G28" s="300"/>
      <c r="H28" s="300"/>
      <c r="I28" s="300"/>
    </row>
    <row r="29" spans="1:9" x14ac:dyDescent="0.15">
      <c r="A29" s="298"/>
      <c r="B29" s="299"/>
      <c r="C29" s="299"/>
      <c r="D29" s="299"/>
      <c r="E29" s="299"/>
      <c r="F29" s="299"/>
      <c r="G29" s="299"/>
      <c r="H29" s="299"/>
      <c r="I29" s="299"/>
    </row>
    <row r="30" spans="1:9" x14ac:dyDescent="0.15">
      <c r="A30" s="287" t="s">
        <v>338</v>
      </c>
    </row>
    <row r="32" spans="1:9" x14ac:dyDescent="0.15">
      <c r="A32" s="287" t="s">
        <v>339</v>
      </c>
      <c r="E32" s="301">
        <v>4.2500000000000003E-2</v>
      </c>
    </row>
    <row r="34" spans="1:9" x14ac:dyDescent="0.15">
      <c r="A34" s="287" t="s">
        <v>66</v>
      </c>
      <c r="E34" s="301">
        <v>5.1999999999999998E-2</v>
      </c>
    </row>
    <row r="36" spans="1:9" x14ac:dyDescent="0.15">
      <c r="A36" s="287" t="s">
        <v>67</v>
      </c>
      <c r="E36" s="301">
        <v>5.6500000000000002E-2</v>
      </c>
    </row>
    <row r="37" spans="1:9" x14ac:dyDescent="0.15">
      <c r="E37" s="301"/>
    </row>
    <row r="38" spans="1:9" x14ac:dyDescent="0.15">
      <c r="A38" s="299" t="s">
        <v>340</v>
      </c>
      <c r="B38" s="299"/>
      <c r="C38" s="299"/>
      <c r="D38" s="299"/>
      <c r="E38" s="302">
        <v>7.0000000000000007E-2</v>
      </c>
    </row>
    <row r="40" spans="1:9" x14ac:dyDescent="0.15">
      <c r="A40" s="299" t="s">
        <v>341</v>
      </c>
      <c r="B40" s="299"/>
      <c r="C40" s="299"/>
      <c r="D40" s="299"/>
      <c r="E40" s="302">
        <v>3.2500000000000001E-2</v>
      </c>
      <c r="F40" s="299"/>
      <c r="G40" s="299"/>
      <c r="H40" s="299"/>
      <c r="I40" s="299"/>
    </row>
    <row r="41" spans="1:9" x14ac:dyDescent="0.15">
      <c r="A41" s="288"/>
      <c r="B41" s="288"/>
      <c r="C41" s="288"/>
      <c r="D41" s="288"/>
      <c r="E41" s="288"/>
      <c r="F41" s="288"/>
      <c r="G41" s="288"/>
      <c r="H41" s="288"/>
      <c r="I41" s="288"/>
    </row>
  </sheetData>
  <sheetProtection algorithmName="SHA-512" hashValue="DPq3+Hr+49lhN/4XvGRfL46DYKPzc7vzejPrHTEhvX7RzAfIovXju1KVfFuh63mO7NyUx7uSz9a6TlNCosTP8w==" saltValue="jLJ6TWgHNT6LMVKHwfL9ow==" spinCount="100000" sheet="1" objects="1" scenarios="1" selectLockedCell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Start here</vt:lpstr>
      <vt:lpstr>Pre-analysis</vt:lpstr>
      <vt:lpstr>Input</vt:lpstr>
      <vt:lpstr>Calcul</vt:lpstr>
      <vt:lpstr>Projects</vt:lpstr>
      <vt:lpstr>PL</vt:lpstr>
      <vt:lpstr>CF</vt:lpstr>
      <vt:lpstr>BS</vt:lpstr>
      <vt:lpstr>Dash</vt:lpstr>
      <vt:lpstr>Noname co</vt:lpstr>
      <vt:lpstr>Target co</vt:lpstr>
      <vt:lpstr>Market</vt:lpstr>
      <vt:lpstr>inM</vt:lpstr>
      <vt:lpstr>OPT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Klaas Mulier</dc:creator>
  <cp:keywords/>
  <dc:description/>
  <cp:lastModifiedBy>Diwambuena, Elie</cp:lastModifiedBy>
  <cp:revision/>
  <dcterms:created xsi:type="dcterms:W3CDTF">2011-06-03T18:31:07Z</dcterms:created>
  <dcterms:modified xsi:type="dcterms:W3CDTF">2024-06-07T14:22:51Z</dcterms:modified>
  <cp:category/>
  <cp:contentStatus/>
</cp:coreProperties>
</file>