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fileSharing userName="Microsoft Office User" algorithmName="SHA-512" hashValue="3GudJb6TxU1WFf1iwHVvDpQLIHcXk0fVIFtY/XpCrdRKyrtFnLTT7JVi3Cu9VtOPkYGPGI0fUZ3/+azh9CQ9nQ==" saltValue="kuV80t94sEvITglD3n6x+g==" spinCount="100000"/>
  <workbookPr defaultThemeVersion="166925"/>
  <mc:AlternateContent xmlns:mc="http://schemas.openxmlformats.org/markup-compatibility/2006">
    <mc:Choice Requires="x15">
      <x15ac:absPath xmlns:x15ac="http://schemas.microsoft.com/office/spreadsheetml/2010/11/ac" url="/Users/eliediwa/Desktop/UGENT/Github finance/Financial-Planning-and-Analysis/"/>
    </mc:Choice>
  </mc:AlternateContent>
  <xr:revisionPtr revIDLastSave="0" documentId="13_ncr:10001_{4BF37AE5-89A9-0F48-BE34-397E5FE22518}" xr6:coauthVersionLast="47" xr6:coauthVersionMax="47" xr10:uidLastSave="{00000000-0000-0000-0000-000000000000}"/>
  <bookViews>
    <workbookView xWindow="0" yWindow="500" windowWidth="28800" windowHeight="16360" xr2:uid="{D714E13E-F220-A449-A120-4F700FCC0D01}"/>
  </bookViews>
  <sheets>
    <sheet name="Start here" sheetId="6" r:id="rId1"/>
    <sheet name="Input" sheetId="7" r:id="rId2"/>
    <sheet name="Sales &amp; Prod" sheetId="8" r:id="rId3"/>
    <sheet name="RM &amp; DL &amp; FG" sheetId="9" r:id="rId4"/>
    <sheet name="SGA &amp; PL &amp; BS" sheetId="10" r:id="rId5"/>
    <sheet name="Dash" sheetId="11" r:id="rId6"/>
    <sheet name="Variance analysis" sheetId="13" r:id="rId7"/>
    <sheet name="Actuals" sheetId="12" r:id="rId8"/>
  </sheets>
  <definedNames>
    <definedName name="actual">'Sales &amp; Prod'!$G$1</definedName>
    <definedName name="unit">Input!$C$3:$C$3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7" l="1" a="1"/>
  <c r="C7" i="7" s="1"/>
  <c r="C8" i="7" a="1"/>
  <c r="C8" i="7" s="1"/>
  <c r="C6" i="8" s="1"/>
  <c r="D6" i="8" s="1"/>
  <c r="E6" i="8" s="1"/>
  <c r="F6" i="8" s="1"/>
  <c r="G6" i="8" s="1"/>
  <c r="H6" i="8" s="1"/>
  <c r="C9" i="13"/>
  <c r="G1" i="10"/>
  <c r="D1" i="10"/>
  <c r="G1" i="9"/>
  <c r="D1" i="9"/>
  <c r="D17" i="13"/>
  <c r="E17" i="13"/>
  <c r="F17" i="13"/>
  <c r="G17" i="13"/>
  <c r="H17" i="13"/>
  <c r="D18" i="13"/>
  <c r="E18" i="13"/>
  <c r="F18" i="13"/>
  <c r="G18" i="13"/>
  <c r="H18" i="13"/>
  <c r="D20" i="13"/>
  <c r="E20" i="13"/>
  <c r="F20" i="13"/>
  <c r="G20" i="13"/>
  <c r="H20" i="13"/>
  <c r="D23" i="13"/>
  <c r="E23" i="13"/>
  <c r="F23" i="13"/>
  <c r="G23" i="13"/>
  <c r="H23" i="13"/>
  <c r="D24" i="13"/>
  <c r="E24" i="13"/>
  <c r="F24" i="13"/>
  <c r="G24" i="13"/>
  <c r="H24" i="13"/>
  <c r="D26" i="13"/>
  <c r="E26" i="13"/>
  <c r="F26" i="13"/>
  <c r="G26" i="13"/>
  <c r="H26" i="13"/>
  <c r="C17" i="13"/>
  <c r="C18" i="13"/>
  <c r="C20" i="13"/>
  <c r="C23" i="13"/>
  <c r="C24" i="13"/>
  <c r="C26" i="13"/>
  <c r="D12" i="10"/>
  <c r="D63" i="10" s="1"/>
  <c r="E12" i="10"/>
  <c r="F12" i="10"/>
  <c r="G12" i="10"/>
  <c r="H12" i="10"/>
  <c r="C12" i="10"/>
  <c r="D11" i="10"/>
  <c r="E11" i="10"/>
  <c r="F11" i="10"/>
  <c r="G11" i="10"/>
  <c r="H11" i="10"/>
  <c r="C11" i="10"/>
  <c r="D23" i="9"/>
  <c r="E23" i="9"/>
  <c r="F23" i="9"/>
  <c r="G23" i="9"/>
  <c r="H23" i="9"/>
  <c r="C23" i="9"/>
  <c r="D12" i="9"/>
  <c r="E12" i="9"/>
  <c r="F12" i="9"/>
  <c r="G12" i="9"/>
  <c r="H12" i="9"/>
  <c r="C12" i="9"/>
  <c r="C7" i="12" a="1"/>
  <c r="C7" i="12" s="1"/>
  <c r="C8" i="12" a="1"/>
  <c r="C8" i="12" s="1"/>
  <c r="H10" i="13"/>
  <c r="D10" i="13"/>
  <c r="E10" i="13"/>
  <c r="F10" i="13"/>
  <c r="G10" i="13"/>
  <c r="C10" i="13"/>
  <c r="D24" i="12"/>
  <c r="E24" i="12" s="1"/>
  <c r="F24" i="12" s="1"/>
  <c r="G24" i="12" s="1"/>
  <c r="H24" i="12" s="1"/>
  <c r="D58" i="7"/>
  <c r="E58" i="7" s="1"/>
  <c r="F58" i="7" s="1"/>
  <c r="G58" i="7" s="1"/>
  <c r="H58" i="7" s="1"/>
  <c r="C5" i="8" l="1"/>
  <c r="D5" i="8"/>
  <c r="E5" i="8" s="1"/>
  <c r="F5" i="8" s="1"/>
  <c r="G5" i="8" s="1"/>
  <c r="H5" i="8" s="1"/>
  <c r="B1" i="7" l="1"/>
  <c r="B1" i="10" s="1"/>
  <c r="H3" i="11"/>
  <c r="H23" i="11" s="1"/>
  <c r="D3" i="11"/>
  <c r="D23" i="11" s="1"/>
  <c r="E3" i="11"/>
  <c r="E23" i="11" s="1"/>
  <c r="F3" i="11"/>
  <c r="F23" i="11" s="1"/>
  <c r="G3" i="11"/>
  <c r="G23" i="11" s="1"/>
  <c r="C3" i="11"/>
  <c r="C23" i="11" s="1"/>
  <c r="F13" i="10"/>
  <c r="G13" i="10"/>
  <c r="H13" i="10"/>
  <c r="H63" i="10"/>
  <c r="H14" i="13" s="1"/>
  <c r="D46" i="7" a="1"/>
  <c r="D46" i="7" s="1"/>
  <c r="D14" i="10" s="1"/>
  <c r="E46" i="7" a="1"/>
  <c r="E46" i="7" s="1"/>
  <c r="E14" i="10" s="1"/>
  <c r="F46" i="7" a="1"/>
  <c r="F46" i="7" s="1"/>
  <c r="F14" i="10" s="1"/>
  <c r="G46" i="7" a="1"/>
  <c r="G46" i="7" s="1"/>
  <c r="G14" i="10" s="1"/>
  <c r="H46" i="7" a="1"/>
  <c r="H46" i="7" s="1"/>
  <c r="H14" i="10" s="1"/>
  <c r="C46" i="7" a="1"/>
  <c r="C46" i="7" s="1"/>
  <c r="C14" i="10" s="1"/>
  <c r="D90" i="10"/>
  <c r="E90" i="10"/>
  <c r="F90" i="10"/>
  <c r="G90" i="10"/>
  <c r="H90" i="10"/>
  <c r="C90" i="10"/>
  <c r="D62" i="10"/>
  <c r="D13" i="13" s="1"/>
  <c r="E62" i="10"/>
  <c r="E13" i="13" s="1"/>
  <c r="F62" i="10"/>
  <c r="F13" i="13" s="1"/>
  <c r="G62" i="10"/>
  <c r="G13" i="13" s="1"/>
  <c r="H62" i="10"/>
  <c r="H13" i="13" s="1"/>
  <c r="E63" i="10"/>
  <c r="E14" i="13" s="1"/>
  <c r="D13" i="10"/>
  <c r="E13" i="10"/>
  <c r="C63" i="10"/>
  <c r="C14" i="13" s="1"/>
  <c r="C13" i="10"/>
  <c r="C62" i="10"/>
  <c r="C13" i="13" s="1"/>
  <c r="D4" i="10"/>
  <c r="D26" i="10" s="1"/>
  <c r="D57" i="10" s="1"/>
  <c r="D81" i="10" s="1"/>
  <c r="E4" i="10"/>
  <c r="E26" i="10" s="1"/>
  <c r="E57" i="10" s="1"/>
  <c r="E81" i="10" s="1"/>
  <c r="F4" i="10"/>
  <c r="F26" i="10" s="1"/>
  <c r="F57" i="10" s="1"/>
  <c r="F81" i="10" s="1"/>
  <c r="G4" i="10"/>
  <c r="G26" i="10" s="1"/>
  <c r="G57" i="10" s="1"/>
  <c r="G81" i="10" s="1"/>
  <c r="H4" i="10"/>
  <c r="H26" i="10" s="1"/>
  <c r="H57" i="10" s="1"/>
  <c r="H81" i="10" s="1"/>
  <c r="C4" i="10"/>
  <c r="C26" i="10" s="1"/>
  <c r="D71" i="9"/>
  <c r="E71" i="9"/>
  <c r="F71" i="9"/>
  <c r="G71" i="9"/>
  <c r="H71" i="9"/>
  <c r="C71" i="9"/>
  <c r="D61" i="9"/>
  <c r="E61" i="9"/>
  <c r="F61" i="9"/>
  <c r="G61" i="9"/>
  <c r="H61" i="9"/>
  <c r="E45" i="7" a="1"/>
  <c r="E45" i="7" s="1"/>
  <c r="E15" i="10" s="1"/>
  <c r="E19" i="10" s="1"/>
  <c r="C61" i="9"/>
  <c r="D45" i="7" a="1"/>
  <c r="D45" i="7" s="1"/>
  <c r="F45" i="7" a="1"/>
  <c r="F45" i="7" s="1"/>
  <c r="G45" i="7" a="1"/>
  <c r="G45" i="7" s="1"/>
  <c r="H45" i="7" a="1"/>
  <c r="H45" i="7" s="1"/>
  <c r="C45" i="7" a="1"/>
  <c r="C45" i="7" s="1"/>
  <c r="D46" i="9" a="1"/>
  <c r="D46" i="9" s="1"/>
  <c r="E46" i="9" a="1"/>
  <c r="E46" i="9" s="1"/>
  <c r="F46" i="9" a="1"/>
  <c r="F46" i="9" s="1"/>
  <c r="G46" i="9" a="1"/>
  <c r="G46" i="9" s="1"/>
  <c r="H46" i="9" a="1"/>
  <c r="H46" i="9" s="1"/>
  <c r="C46" i="9" a="1"/>
  <c r="C46" i="9" s="1"/>
  <c r="C41" i="9"/>
  <c r="C42" i="9" s="1" a="1"/>
  <c r="C42" i="9" s="1"/>
  <c r="C35" i="10" s="1"/>
  <c r="E41" i="9"/>
  <c r="E42" i="9" s="1" a="1"/>
  <c r="E42" i="9" s="1"/>
  <c r="E35" i="10" s="1"/>
  <c r="F41" i="9"/>
  <c r="F42" i="9" s="1" a="1"/>
  <c r="F42" i="9" s="1"/>
  <c r="F35" i="10" s="1"/>
  <c r="G41" i="9"/>
  <c r="G42" i="9" s="1" a="1"/>
  <c r="G42" i="9" s="1"/>
  <c r="G35" i="10" s="1"/>
  <c r="H41" i="9"/>
  <c r="H42" i="9" s="1" a="1"/>
  <c r="H42" i="9" s="1"/>
  <c r="H35" i="10" s="1"/>
  <c r="D41" i="9"/>
  <c r="D42" i="9" s="1" a="1"/>
  <c r="D42" i="9" s="1"/>
  <c r="D35" i="10" s="1"/>
  <c r="D33" i="7"/>
  <c r="D50" i="7" s="1"/>
  <c r="D55" i="7" s="1"/>
  <c r="E33" i="7"/>
  <c r="E50" i="7" s="1"/>
  <c r="E55" i="7" s="1"/>
  <c r="F33" i="7"/>
  <c r="F50" i="7" s="1"/>
  <c r="F55" i="7" s="1"/>
  <c r="G33" i="7"/>
  <c r="G50" i="7" s="1"/>
  <c r="G55" i="7" s="1"/>
  <c r="H33" i="7"/>
  <c r="H50" i="7" s="1"/>
  <c r="H55" i="7" s="1"/>
  <c r="C33" i="7"/>
  <c r="C50" i="7" s="1"/>
  <c r="C55" i="7" s="1"/>
  <c r="D4" i="9"/>
  <c r="D31" i="9" s="1"/>
  <c r="D40" i="9" s="1"/>
  <c r="D45" i="9" s="1"/>
  <c r="D58" i="9" s="1"/>
  <c r="E4" i="9"/>
  <c r="E31" i="9" s="1"/>
  <c r="E40" i="9" s="1"/>
  <c r="E45" i="9" s="1"/>
  <c r="E58" i="9" s="1"/>
  <c r="F4" i="9"/>
  <c r="F31" i="9" s="1"/>
  <c r="F40" i="9" s="1"/>
  <c r="F45" i="9" s="1"/>
  <c r="F58" i="9" s="1"/>
  <c r="G4" i="9"/>
  <c r="G31" i="9" s="1"/>
  <c r="G40" i="9" s="1"/>
  <c r="G45" i="9" s="1"/>
  <c r="G58" i="9" s="1"/>
  <c r="H4" i="9"/>
  <c r="H31" i="9" s="1"/>
  <c r="H40" i="9" s="1"/>
  <c r="H45" i="9" s="1"/>
  <c r="H58" i="9" s="1"/>
  <c r="C4" i="9"/>
  <c r="C31" i="9" s="1"/>
  <c r="C40" i="9" s="1"/>
  <c r="C45" i="9" s="1"/>
  <c r="C58" i="9" s="1"/>
  <c r="B27" i="8"/>
  <c r="B4" i="8"/>
  <c r="C3" i="8"/>
  <c r="G4" i="8"/>
  <c r="G15" i="8" s="1"/>
  <c r="G26" i="8" s="1"/>
  <c r="H4" i="8"/>
  <c r="H15" i="8" s="1"/>
  <c r="H26" i="8" s="1"/>
  <c r="D4" i="8"/>
  <c r="D15" i="8" s="1"/>
  <c r="D26" i="8" s="1"/>
  <c r="E4" i="8"/>
  <c r="E15" i="8" s="1"/>
  <c r="E26" i="8" s="1"/>
  <c r="F4" i="8"/>
  <c r="F15" i="8" s="1"/>
  <c r="F26" i="8" s="1"/>
  <c r="C4" i="8"/>
  <c r="C15" i="8" s="1"/>
  <c r="C26" i="8" s="1"/>
  <c r="B1" i="9" l="1"/>
  <c r="B2" i="13"/>
  <c r="B2" i="12"/>
  <c r="B1" i="11"/>
  <c r="H67" i="10"/>
  <c r="B1" i="8"/>
  <c r="G63" i="10"/>
  <c r="G14" i="13" s="1"/>
  <c r="C67" i="10"/>
  <c r="E67" i="10"/>
  <c r="F63" i="10"/>
  <c r="F14" i="13" s="1"/>
  <c r="D14" i="13"/>
  <c r="H15" i="10"/>
  <c r="H19" i="10" s="1"/>
  <c r="H47" i="9"/>
  <c r="H48" i="9" s="1"/>
  <c r="H36" i="10" s="1"/>
  <c r="H50" i="9"/>
  <c r="G15" i="10"/>
  <c r="G19" i="10" s="1"/>
  <c r="G47" i="9"/>
  <c r="G48" i="9" s="1"/>
  <c r="G36" i="10" s="1"/>
  <c r="G50" i="9"/>
  <c r="F15" i="10"/>
  <c r="F19" i="10" s="1"/>
  <c r="F50" i="9"/>
  <c r="F47" i="9"/>
  <c r="F48" i="9" s="1"/>
  <c r="F36" i="10" s="1"/>
  <c r="C15" i="10"/>
  <c r="C66" i="10" s="1"/>
  <c r="C50" i="9"/>
  <c r="C47" i="9"/>
  <c r="C48" i="9" s="1"/>
  <c r="C53" i="9" s="1" a="1"/>
  <c r="C53" i="9" s="1"/>
  <c r="D15" i="10"/>
  <c r="D19" i="10" s="1"/>
  <c r="D47" i="9"/>
  <c r="D48" i="9" s="1"/>
  <c r="D36" i="10" s="1"/>
  <c r="D50" i="9"/>
  <c r="C10" i="8"/>
  <c r="D67" i="10"/>
  <c r="E47" i="9"/>
  <c r="E48" i="9" s="1"/>
  <c r="E36" i="10" s="1"/>
  <c r="G67" i="10"/>
  <c r="F67" i="10"/>
  <c r="E50" i="9"/>
  <c r="F66" i="10"/>
  <c r="E66" i="10"/>
  <c r="H66" i="10"/>
  <c r="C91" i="10"/>
  <c r="C101" i="10"/>
  <c r="E16" i="10"/>
  <c r="E70" i="10" s="1"/>
  <c r="E21" i="13" s="1"/>
  <c r="C9" i="8"/>
  <c r="C7" i="8"/>
  <c r="D9" i="8"/>
  <c r="C6" i="10" l="1"/>
  <c r="C7" i="10" s="1"/>
  <c r="C8" i="10" s="1"/>
  <c r="C35" i="8"/>
  <c r="C34" i="8"/>
  <c r="D53" i="9" a="1"/>
  <c r="D53" i="9" s="1"/>
  <c r="C19" i="10"/>
  <c r="H18" i="11"/>
  <c r="F53" i="9" a="1"/>
  <c r="F53" i="9" s="1"/>
  <c r="C16" i="10"/>
  <c r="C70" i="10" s="1"/>
  <c r="C21" i="13" s="1"/>
  <c r="H53" i="9" a="1"/>
  <c r="H53" i="9" s="1"/>
  <c r="E18" i="11"/>
  <c r="F18" i="11"/>
  <c r="H16" i="10"/>
  <c r="H70" i="10" s="1"/>
  <c r="H21" i="13" s="1"/>
  <c r="D16" i="10"/>
  <c r="D70" i="10" s="1"/>
  <c r="D21" i="13" s="1"/>
  <c r="D66" i="10"/>
  <c r="D18" i="11" s="1"/>
  <c r="C18" i="11"/>
  <c r="D10" i="8"/>
  <c r="D11" i="8" s="1"/>
  <c r="G53" i="9" a="1"/>
  <c r="G53" i="9" s="1"/>
  <c r="F16" i="10"/>
  <c r="F70" i="10" s="1"/>
  <c r="F21" i="13" s="1"/>
  <c r="C11" i="8"/>
  <c r="D18" i="8" s="1"/>
  <c r="C84" i="10" s="1"/>
  <c r="G16" i="10"/>
  <c r="G70" i="10" s="1"/>
  <c r="G21" i="13" s="1"/>
  <c r="C36" i="10"/>
  <c r="G66" i="10"/>
  <c r="G18" i="11" s="1"/>
  <c r="E53" i="9" a="1"/>
  <c r="E53" i="9" s="1"/>
  <c r="D101" i="10"/>
  <c r="D91" i="10"/>
  <c r="C27" i="8"/>
  <c r="E10" i="8"/>
  <c r="D7" i="8"/>
  <c r="E9" i="8"/>
  <c r="C59" i="10" l="1"/>
  <c r="C10" i="11"/>
  <c r="C4" i="11"/>
  <c r="C18" i="10"/>
  <c r="C20" i="10" s="1"/>
  <c r="C37" i="10" s="1"/>
  <c r="G19" i="11"/>
  <c r="G20" i="11" s="1"/>
  <c r="D58" i="10"/>
  <c r="D17" i="8"/>
  <c r="D20" i="8" s="1"/>
  <c r="D30" i="10" s="1"/>
  <c r="D31" i="10" s="1"/>
  <c r="E19" i="8"/>
  <c r="F19" i="11"/>
  <c r="F20" i="11" s="1"/>
  <c r="E11" i="8"/>
  <c r="E58" i="10" s="1"/>
  <c r="H19" i="11"/>
  <c r="H20" i="11" s="1"/>
  <c r="D19" i="11"/>
  <c r="D20" i="11" s="1"/>
  <c r="E18" i="8"/>
  <c r="F6" i="11"/>
  <c r="C6" i="11"/>
  <c r="H6" i="11"/>
  <c r="G6" i="11"/>
  <c r="E6" i="11"/>
  <c r="D6" i="11"/>
  <c r="C58" i="10"/>
  <c r="C60" i="10" s="1"/>
  <c r="C11" i="13" s="1"/>
  <c r="C17" i="8"/>
  <c r="C20" i="8" s="1"/>
  <c r="C30" i="10" s="1"/>
  <c r="C31" i="10" s="1"/>
  <c r="E19" i="11"/>
  <c r="E20" i="11" s="1"/>
  <c r="F19" i="8"/>
  <c r="G12" i="11"/>
  <c r="C12" i="11"/>
  <c r="H12" i="11"/>
  <c r="F12" i="11"/>
  <c r="E12" i="11"/>
  <c r="D12" i="11"/>
  <c r="C19" i="11"/>
  <c r="C20" i="11" s="1"/>
  <c r="E101" i="10"/>
  <c r="E91" i="10"/>
  <c r="D27" i="8"/>
  <c r="D28" i="8" s="1"/>
  <c r="D6" i="10"/>
  <c r="D7" i="10" s="1"/>
  <c r="C62" i="9"/>
  <c r="D62" i="9"/>
  <c r="E62" i="9"/>
  <c r="F62" i="9"/>
  <c r="G62" i="9"/>
  <c r="H62" i="9"/>
  <c r="C72" i="9"/>
  <c r="D72" i="9"/>
  <c r="E72" i="9"/>
  <c r="F72" i="9"/>
  <c r="G72" i="9"/>
  <c r="H72" i="9"/>
  <c r="C28" i="8"/>
  <c r="C29" i="8" s="1"/>
  <c r="C32" i="8" s="1"/>
  <c r="F10" i="8"/>
  <c r="E7" i="8"/>
  <c r="F9" i="8"/>
  <c r="E17" i="8" l="1"/>
  <c r="F18" i="8"/>
  <c r="E84" i="10" s="1"/>
  <c r="D84" i="10"/>
  <c r="G19" i="8"/>
  <c r="E20" i="8"/>
  <c r="E30" i="10" s="1"/>
  <c r="E31" i="10" s="1"/>
  <c r="D29" i="8"/>
  <c r="F11" i="8"/>
  <c r="F58" i="10" s="1"/>
  <c r="D4" i="11"/>
  <c r="D10" i="11"/>
  <c r="D8" i="10"/>
  <c r="D18" i="10" s="1"/>
  <c r="D20" i="10" s="1"/>
  <c r="D37" i="10" s="1"/>
  <c r="D59" i="10"/>
  <c r="D60" i="10" s="1"/>
  <c r="D11" i="13" s="1"/>
  <c r="F101" i="10"/>
  <c r="F91" i="10"/>
  <c r="E27" i="8"/>
  <c r="E28" i="8" s="1"/>
  <c r="E6" i="10"/>
  <c r="E7" i="10" s="1"/>
  <c r="D31" i="8"/>
  <c r="C75" i="9"/>
  <c r="C65" i="9"/>
  <c r="E31" i="8"/>
  <c r="D75" i="9"/>
  <c r="D65" i="9"/>
  <c r="C5" i="9"/>
  <c r="C6" i="9" s="1"/>
  <c r="C8" i="9" s="1"/>
  <c r="C16" i="9"/>
  <c r="C17" i="9" s="1"/>
  <c r="H10" i="8"/>
  <c r="G10" i="8"/>
  <c r="F7" i="8"/>
  <c r="G9" i="8"/>
  <c r="F17" i="8" l="1"/>
  <c r="F20" i="8" s="1"/>
  <c r="F30" i="10" s="1"/>
  <c r="F31" i="10" s="1"/>
  <c r="G18" i="8"/>
  <c r="F84" i="10" s="1"/>
  <c r="H19" i="8"/>
  <c r="E29" i="8"/>
  <c r="E32" i="8" s="1"/>
  <c r="E16" i="9" s="1"/>
  <c r="E17" i="9" s="1"/>
  <c r="D32" i="8"/>
  <c r="D5" i="9" s="1"/>
  <c r="G11" i="8"/>
  <c r="G58" i="10" s="1"/>
  <c r="E10" i="11"/>
  <c r="E4" i="11"/>
  <c r="E8" i="10"/>
  <c r="E18" i="10" s="1"/>
  <c r="E20" i="10" s="1"/>
  <c r="E37" i="10" s="1"/>
  <c r="E59" i="10"/>
  <c r="E60" i="10" s="1"/>
  <c r="E11" i="13" s="1"/>
  <c r="H101" i="10"/>
  <c r="G101" i="10"/>
  <c r="H91" i="10"/>
  <c r="G91" i="10"/>
  <c r="F27" i="8"/>
  <c r="F28" i="8" s="1"/>
  <c r="F6" i="10"/>
  <c r="F7" i="10" s="1"/>
  <c r="F31" i="8"/>
  <c r="E75" i="9"/>
  <c r="E65" i="9"/>
  <c r="C19" i="9"/>
  <c r="C21" i="9" s="1"/>
  <c r="C24" i="9" s="1"/>
  <c r="D9" i="9"/>
  <c r="C10" i="9"/>
  <c r="C13" i="9" s="1"/>
  <c r="C5" i="11" s="1"/>
  <c r="C7" i="11" s="1"/>
  <c r="G7" i="8"/>
  <c r="D16" i="9" l="1"/>
  <c r="D17" i="9" s="1"/>
  <c r="D19" i="9" s="1"/>
  <c r="E20" i="9" s="1"/>
  <c r="H18" i="8"/>
  <c r="G84" i="10" s="1"/>
  <c r="E5" i="9"/>
  <c r="E6" i="9" s="1"/>
  <c r="C70" i="9"/>
  <c r="C73" i="9" s="1"/>
  <c r="C76" i="9" s="1"/>
  <c r="C27" i="9"/>
  <c r="C34" i="10" s="1"/>
  <c r="C61" i="10" s="1"/>
  <c r="C11" i="11"/>
  <c r="C14" i="11" s="1"/>
  <c r="C8" i="11"/>
  <c r="C24" i="11" s="1"/>
  <c r="C9" i="11"/>
  <c r="C25" i="11" s="1"/>
  <c r="C26" i="11" s="1"/>
  <c r="G17" i="8"/>
  <c r="G20" i="8" s="1"/>
  <c r="G30" i="10" s="1"/>
  <c r="G31" i="10" s="1"/>
  <c r="F29" i="8"/>
  <c r="F32" i="8" s="1"/>
  <c r="F5" i="9" s="1"/>
  <c r="I19" i="8"/>
  <c r="F4" i="11"/>
  <c r="F10" i="11"/>
  <c r="F8" i="10"/>
  <c r="F18" i="10" s="1"/>
  <c r="F20" i="10" s="1"/>
  <c r="F37" i="10" s="1"/>
  <c r="F59" i="10"/>
  <c r="F60" i="10" s="1"/>
  <c r="F11" i="13" s="1"/>
  <c r="D20" i="9"/>
  <c r="C85" i="10"/>
  <c r="G27" i="8"/>
  <c r="G28" i="8" s="1"/>
  <c r="G6" i="10"/>
  <c r="G7" i="10" s="1"/>
  <c r="G31" i="8"/>
  <c r="F75" i="9"/>
  <c r="F65" i="9"/>
  <c r="C60" i="9"/>
  <c r="C63" i="9" s="1"/>
  <c r="C66" i="9" s="1"/>
  <c r="D6" i="9"/>
  <c r="E19" i="9"/>
  <c r="H7" i="8"/>
  <c r="H9" i="8"/>
  <c r="C65" i="10" l="1"/>
  <c r="C16" i="13" s="1"/>
  <c r="C12" i="13"/>
  <c r="D85" i="10"/>
  <c r="D21" i="9"/>
  <c r="D24" i="9" s="1"/>
  <c r="D70" i="9" s="1"/>
  <c r="D73" i="9" s="1"/>
  <c r="D76" i="9" s="1"/>
  <c r="C78" i="9"/>
  <c r="C86" i="10" s="1"/>
  <c r="C33" i="9"/>
  <c r="C36" i="9" s="1"/>
  <c r="D34" i="9"/>
  <c r="C96" i="10" s="1"/>
  <c r="C98" i="10" s="1"/>
  <c r="F16" i="9"/>
  <c r="F17" i="9" s="1"/>
  <c r="F19" i="9" s="1"/>
  <c r="E21" i="9"/>
  <c r="E24" i="9" s="1"/>
  <c r="E70" i="9" s="1"/>
  <c r="E73" i="9" s="1"/>
  <c r="E76" i="9" s="1"/>
  <c r="G29" i="8"/>
  <c r="G32" i="8" s="1"/>
  <c r="G5" i="9" s="1"/>
  <c r="H11" i="8"/>
  <c r="H58" i="10" s="1"/>
  <c r="C16" i="11"/>
  <c r="C29" i="11" s="1"/>
  <c r="C30" i="11" s="1"/>
  <c r="C15" i="11"/>
  <c r="C28" i="11" s="1"/>
  <c r="E35" i="9"/>
  <c r="G4" i="11"/>
  <c r="G10" i="11"/>
  <c r="G8" i="10"/>
  <c r="G18" i="10" s="1"/>
  <c r="G20" i="10" s="1"/>
  <c r="G37" i="10" s="1"/>
  <c r="G59" i="10"/>
  <c r="G60" i="10" s="1"/>
  <c r="G11" i="13" s="1"/>
  <c r="F20" i="9"/>
  <c r="E85" i="10"/>
  <c r="C38" i="10"/>
  <c r="C44" i="10" s="1"/>
  <c r="C46" i="10" s="1"/>
  <c r="C54" i="10" s="1"/>
  <c r="C83" i="10" s="1"/>
  <c r="C87" i="10" s="1"/>
  <c r="C93" i="10" s="1"/>
  <c r="H27" i="8"/>
  <c r="H28" i="8" s="1"/>
  <c r="H6" i="10"/>
  <c r="H7" i="10" s="1"/>
  <c r="H10" i="11" s="1"/>
  <c r="H31" i="8"/>
  <c r="G75" i="9"/>
  <c r="G65" i="9"/>
  <c r="F6" i="9"/>
  <c r="D8" i="9"/>
  <c r="E9" i="9" s="1"/>
  <c r="E8" i="9"/>
  <c r="F9" i="9" s="1"/>
  <c r="D11" i="11" l="1"/>
  <c r="D14" i="11" s="1"/>
  <c r="D15" i="11" s="1"/>
  <c r="D28" i="11" s="1"/>
  <c r="G16" i="9"/>
  <c r="G17" i="9" s="1"/>
  <c r="G19" i="9" s="1"/>
  <c r="H17" i="8"/>
  <c r="H20" i="8" s="1"/>
  <c r="H30" i="10" s="1"/>
  <c r="H31" i="10" s="1"/>
  <c r="E11" i="11"/>
  <c r="E14" i="11" s="1"/>
  <c r="E16" i="11" s="1"/>
  <c r="E29" i="11" s="1"/>
  <c r="E30" i="11" s="1"/>
  <c r="F21" i="9"/>
  <c r="F24" i="9" s="1"/>
  <c r="F70" i="9" s="1"/>
  <c r="F73" i="9" s="1"/>
  <c r="F76" i="9" s="1"/>
  <c r="I18" i="8"/>
  <c r="H84" i="10" s="1"/>
  <c r="E10" i="9"/>
  <c r="E13" i="9" s="1"/>
  <c r="E60" i="9" s="1"/>
  <c r="E63" i="9" s="1"/>
  <c r="E66" i="9" s="1"/>
  <c r="E78" i="9" s="1"/>
  <c r="E86" i="10" s="1"/>
  <c r="H29" i="8"/>
  <c r="H32" i="8" s="1"/>
  <c r="H5" i="9" s="1"/>
  <c r="D10" i="9"/>
  <c r="D13" i="9" s="1"/>
  <c r="D27" i="9" s="1"/>
  <c r="D34" i="10" s="1"/>
  <c r="H4" i="11"/>
  <c r="C71" i="10"/>
  <c r="C64" i="10"/>
  <c r="C15" i="13" s="1"/>
  <c r="H8" i="10"/>
  <c r="H18" i="10" s="1"/>
  <c r="H20" i="10" s="1"/>
  <c r="H37" i="10" s="1"/>
  <c r="H59" i="10"/>
  <c r="H60" i="10" s="1"/>
  <c r="H11" i="13" s="1"/>
  <c r="G20" i="9"/>
  <c r="F85" i="10"/>
  <c r="H75" i="9"/>
  <c r="H65" i="9"/>
  <c r="G6" i="9"/>
  <c r="F8" i="9"/>
  <c r="G9" i="9" s="1"/>
  <c r="C74" i="10" l="1"/>
  <c r="C22" i="13"/>
  <c r="D16" i="11"/>
  <c r="D29" i="11" s="1"/>
  <c r="D30" i="11" s="1"/>
  <c r="E15" i="11"/>
  <c r="E28" i="11" s="1"/>
  <c r="F11" i="11"/>
  <c r="F14" i="11" s="1"/>
  <c r="F15" i="11" s="1"/>
  <c r="F28" i="11" s="1"/>
  <c r="H16" i="9"/>
  <c r="H17" i="9" s="1"/>
  <c r="H19" i="9" s="1"/>
  <c r="H85" i="10" s="1"/>
  <c r="G21" i="9"/>
  <c r="G24" i="9" s="1"/>
  <c r="G70" i="9" s="1"/>
  <c r="G73" i="9" s="1"/>
  <c r="G76" i="9" s="1"/>
  <c r="E5" i="11"/>
  <c r="E7" i="11" s="1"/>
  <c r="E9" i="11" s="1"/>
  <c r="E25" i="11" s="1"/>
  <c r="E26" i="11" s="1"/>
  <c r="E27" i="9"/>
  <c r="E34" i="10" s="1"/>
  <c r="E38" i="10" s="1"/>
  <c r="E44" i="10" s="1"/>
  <c r="E46" i="10" s="1"/>
  <c r="E54" i="10" s="1"/>
  <c r="E83" i="10" s="1"/>
  <c r="E87" i="10" s="1"/>
  <c r="E93" i="10" s="1"/>
  <c r="C68" i="10"/>
  <c r="C19" i="13" s="1"/>
  <c r="C35" i="11"/>
  <c r="D60" i="9"/>
  <c r="D63" i="9" s="1"/>
  <c r="D66" i="9" s="1"/>
  <c r="D78" i="9" s="1"/>
  <c r="D86" i="10" s="1"/>
  <c r="D5" i="11"/>
  <c r="D7" i="11" s="1"/>
  <c r="F10" i="9"/>
  <c r="F13" i="9" s="1"/>
  <c r="H20" i="9"/>
  <c r="G85" i="10"/>
  <c r="D38" i="10"/>
  <c r="D44" i="10" s="1"/>
  <c r="D46" i="10" s="1"/>
  <c r="D54" i="10" s="1"/>
  <c r="D83" i="10" s="1"/>
  <c r="D61" i="10"/>
  <c r="H6" i="9"/>
  <c r="F35" i="9"/>
  <c r="E34" i="9"/>
  <c r="D96" i="10" s="1"/>
  <c r="D98" i="10" s="1"/>
  <c r="D33" i="9"/>
  <c r="D36" i="9" s="1"/>
  <c r="G8" i="9"/>
  <c r="H9" i="9" s="1"/>
  <c r="D65" i="10" l="1"/>
  <c r="D16" i="13" s="1"/>
  <c r="D12" i="13"/>
  <c r="C76" i="10"/>
  <c r="C25" i="13"/>
  <c r="E8" i="11"/>
  <c r="E24" i="11" s="1"/>
  <c r="F16" i="11"/>
  <c r="F29" i="11" s="1"/>
  <c r="F30" i="11" s="1"/>
  <c r="E33" i="9"/>
  <c r="E36" i="9" s="1"/>
  <c r="F34" i="9"/>
  <c r="E96" i="10" s="1"/>
  <c r="E98" i="10" s="1"/>
  <c r="G35" i="9"/>
  <c r="E61" i="10"/>
  <c r="G10" i="9"/>
  <c r="G13" i="9" s="1"/>
  <c r="G5" i="11" s="1"/>
  <c r="G7" i="11" s="1"/>
  <c r="G11" i="11"/>
  <c r="G14" i="11" s="1"/>
  <c r="G15" i="11" s="1"/>
  <c r="G28" i="11" s="1"/>
  <c r="F60" i="9"/>
  <c r="F63" i="9" s="1"/>
  <c r="F66" i="9" s="1"/>
  <c r="F78" i="9" s="1"/>
  <c r="F86" i="10" s="1"/>
  <c r="F5" i="11"/>
  <c r="F7" i="11" s="1"/>
  <c r="F27" i="9"/>
  <c r="F34" i="10" s="1"/>
  <c r="F38" i="10" s="1"/>
  <c r="F44" i="10" s="1"/>
  <c r="F46" i="10" s="1"/>
  <c r="F54" i="10" s="1"/>
  <c r="F83" i="10" s="1"/>
  <c r="H21" i="9"/>
  <c r="H24" i="9" s="1"/>
  <c r="D87" i="10"/>
  <c r="D93" i="10" s="1"/>
  <c r="D9" i="11"/>
  <c r="D25" i="11" s="1"/>
  <c r="D26" i="11" s="1"/>
  <c r="D8" i="11"/>
  <c r="D24" i="11" s="1"/>
  <c r="D64" i="10"/>
  <c r="D15" i="13" s="1"/>
  <c r="D71" i="10"/>
  <c r="H8" i="9"/>
  <c r="H10" i="9" s="1"/>
  <c r="H13" i="9" s="1"/>
  <c r="C77" i="10" l="1"/>
  <c r="C27" i="13"/>
  <c r="E65" i="10"/>
  <c r="E12" i="13"/>
  <c r="D74" i="10"/>
  <c r="D22" i="13"/>
  <c r="G60" i="9"/>
  <c r="G63" i="9" s="1"/>
  <c r="G66" i="9" s="1"/>
  <c r="G78" i="9" s="1"/>
  <c r="G86" i="10" s="1"/>
  <c r="F61" i="10"/>
  <c r="F87" i="10"/>
  <c r="F93" i="10" s="1"/>
  <c r="E64" i="10"/>
  <c r="F33" i="9"/>
  <c r="F36" i="9" s="1"/>
  <c r="G16" i="11"/>
  <c r="G29" i="11" s="1"/>
  <c r="G30" i="11" s="1"/>
  <c r="G27" i="9"/>
  <c r="G34" i="10" s="1"/>
  <c r="G38" i="10" s="1"/>
  <c r="G44" i="10" s="1"/>
  <c r="G46" i="10" s="1"/>
  <c r="G54" i="10" s="1"/>
  <c r="G83" i="10" s="1"/>
  <c r="G34" i="9"/>
  <c r="F96" i="10" s="1"/>
  <c r="F98" i="10" s="1"/>
  <c r="H35" i="9"/>
  <c r="H60" i="9"/>
  <c r="H63" i="9" s="1"/>
  <c r="H66" i="9" s="1"/>
  <c r="H5" i="11"/>
  <c r="H7" i="11" s="1"/>
  <c r="D68" i="10"/>
  <c r="D19" i="13" s="1"/>
  <c r="D35" i="11"/>
  <c r="H70" i="9"/>
  <c r="H73" i="9" s="1"/>
  <c r="H76" i="9" s="1"/>
  <c r="H11" i="11"/>
  <c r="H14" i="11" s="1"/>
  <c r="G8" i="11"/>
  <c r="G24" i="11" s="1"/>
  <c r="G9" i="11"/>
  <c r="G25" i="11" s="1"/>
  <c r="G26" i="11" s="1"/>
  <c r="F9" i="11"/>
  <c r="F25" i="11" s="1"/>
  <c r="F26" i="11" s="1"/>
  <c r="F8" i="11"/>
  <c r="F24" i="11" s="1"/>
  <c r="H27" i="9"/>
  <c r="I34" i="9" s="1"/>
  <c r="F65" i="10" l="1"/>
  <c r="F12" i="13"/>
  <c r="E71" i="10"/>
  <c r="E16" i="13"/>
  <c r="E68" i="10"/>
  <c r="E19" i="13" s="1"/>
  <c r="E15" i="13"/>
  <c r="D76" i="10"/>
  <c r="D25" i="13"/>
  <c r="C104" i="10"/>
  <c r="C103" i="10" s="1"/>
  <c r="C105" i="10" s="1"/>
  <c r="C107" i="10" s="1"/>
  <c r="C28" i="13"/>
  <c r="F64" i="10"/>
  <c r="G87" i="10"/>
  <c r="G93" i="10" s="1"/>
  <c r="G33" i="9"/>
  <c r="G36" i="9" s="1"/>
  <c r="I35" i="9"/>
  <c r="H96" i="10" s="1"/>
  <c r="H98" i="10" s="1"/>
  <c r="H34" i="9"/>
  <c r="G96" i="10" s="1"/>
  <c r="G98" i="10" s="1"/>
  <c r="H78" i="9"/>
  <c r="H86" i="10" s="1"/>
  <c r="H15" i="11"/>
  <c r="H28" i="11" s="1"/>
  <c r="H16" i="11"/>
  <c r="H29" i="11" s="1"/>
  <c r="H30" i="11" s="1"/>
  <c r="H8" i="11"/>
  <c r="H24" i="11" s="1"/>
  <c r="H9" i="11"/>
  <c r="H25" i="11" s="1"/>
  <c r="H26" i="11" s="1"/>
  <c r="G61" i="10"/>
  <c r="H33" i="9"/>
  <c r="H34" i="10"/>
  <c r="F15" i="13" l="1"/>
  <c r="E74" i="10"/>
  <c r="E22" i="13"/>
  <c r="G65" i="10"/>
  <c r="G16" i="13" s="1"/>
  <c r="G12" i="13"/>
  <c r="D77" i="10"/>
  <c r="D27" i="13"/>
  <c r="E35" i="11"/>
  <c r="F71" i="10"/>
  <c r="F35" i="11" s="1"/>
  <c r="F16" i="13"/>
  <c r="F68" i="10"/>
  <c r="F19" i="13" s="1"/>
  <c r="H36" i="9"/>
  <c r="G64" i="10"/>
  <c r="G15" i="13" s="1"/>
  <c r="H38" i="10"/>
  <c r="H44" i="10" s="1"/>
  <c r="H46" i="10" s="1"/>
  <c r="H54" i="10" s="1"/>
  <c r="H83" i="10" s="1"/>
  <c r="H87" i="10" s="1"/>
  <c r="H93" i="10" s="1"/>
  <c r="H61" i="10"/>
  <c r="D28" i="13" l="1"/>
  <c r="D104" i="10"/>
  <c r="D103" i="10" s="1"/>
  <c r="D105" i="10" s="1"/>
  <c r="D107" i="10" s="1"/>
  <c r="E76" i="10"/>
  <c r="E25" i="13"/>
  <c r="H65" i="10"/>
  <c r="H16" i="13" s="1"/>
  <c r="H12" i="13"/>
  <c r="G71" i="10"/>
  <c r="F74" i="10"/>
  <c r="F22" i="13"/>
  <c r="G68" i="10"/>
  <c r="G19" i="13" s="1"/>
  <c r="G35" i="11"/>
  <c r="H64" i="10"/>
  <c r="H15" i="13" s="1"/>
  <c r="H71" i="10" l="1"/>
  <c r="H74" i="10" s="1"/>
  <c r="F76" i="10"/>
  <c r="F25" i="13"/>
  <c r="G74" i="10"/>
  <c r="G22" i="13"/>
  <c r="E77" i="10"/>
  <c r="E27" i="13"/>
  <c r="H68" i="10"/>
  <c r="H19" i="13" s="1"/>
  <c r="C57" i="10"/>
  <c r="C81" i="10" s="1"/>
  <c r="H22" i="13" l="1"/>
  <c r="H35" i="11"/>
  <c r="H76" i="10"/>
  <c r="H25" i="13"/>
  <c r="G76" i="10"/>
  <c r="G25" i="13"/>
  <c r="E104" i="10"/>
  <c r="E103" i="10" s="1"/>
  <c r="E105" i="10" s="1"/>
  <c r="E107" i="10" s="1"/>
  <c r="E28" i="13"/>
  <c r="F77" i="10"/>
  <c r="F27" i="13"/>
  <c r="F104" i="10" l="1"/>
  <c r="F103" i="10" s="1"/>
  <c r="F105" i="10" s="1"/>
  <c r="F107" i="10" s="1"/>
  <c r="F28" i="13"/>
  <c r="G77" i="10"/>
  <c r="G27" i="13"/>
  <c r="H77" i="10"/>
  <c r="H27" i="13"/>
  <c r="G104" i="10" l="1"/>
  <c r="G103" i="10" s="1"/>
  <c r="G105" i="10" s="1"/>
  <c r="G107" i="10" s="1"/>
  <c r="G28" i="13"/>
  <c r="H104" i="10"/>
  <c r="H103" i="10" s="1"/>
  <c r="H105" i="10" s="1"/>
  <c r="H107" i="10" s="1"/>
  <c r="H28"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<sst xmlns="http://schemas.openxmlformats.org/spreadsheetml/2006/main" count="361" uniqueCount="247">
  <si>
    <t> </t>
  </si>
  <si>
    <t>Guidelines on how to best use this model</t>
  </si>
  <si>
    <t>Background:</t>
  </si>
  <si>
    <t xml:space="preserve">HasName Co would like to budget its sales and production costs for the next six months in order to meet the management target sales. </t>
  </si>
  <si>
    <t>Objectif:</t>
  </si>
  <si>
    <t>The objectif is to forecast sales and thereby analyzed how it will impact the production and overall costs for each product.</t>
  </si>
  <si>
    <t>This model is divided into 5 parts :</t>
  </si>
  <si>
    <t>N°</t>
  </si>
  <si>
    <t>Sheet Name</t>
  </si>
  <si>
    <t>Description</t>
  </si>
  <si>
    <t>Tab color</t>
  </si>
  <si>
    <t>Input</t>
  </si>
  <si>
    <t>Is the input sheet for all assumptions</t>
  </si>
  <si>
    <t>Sales, RM, SGA</t>
  </si>
  <si>
    <t>Contains all the budgeted figures</t>
  </si>
  <si>
    <t>Dash</t>
  </si>
  <si>
    <t>Contains all KPIs for decision making</t>
  </si>
  <si>
    <t>Note</t>
  </si>
  <si>
    <t xml:space="preserve"> No financials were provided. Only data regarding the number of porduct A &amp; B to be produced and other relevant costs associated with the production. Hence, the financials product in the "SGA &amp; PL &amp; BS" tab are to be viewed not as consolidated but as marginal changes to be expected. </t>
  </si>
  <si>
    <t>Unit settings</t>
  </si>
  <si>
    <t>6-MONTHS PLAN</t>
  </si>
  <si>
    <t>Sales assumptions</t>
  </si>
  <si>
    <t>Product A price per unit</t>
  </si>
  <si>
    <t>Product B price per unit</t>
  </si>
  <si>
    <t>Collection of sales in cash</t>
  </si>
  <si>
    <t>Sum must equal 100%"</t>
  </si>
  <si>
    <t>Sales collected in the month after sales</t>
  </si>
  <si>
    <t>Sales collected two months after sales</t>
  </si>
  <si>
    <t>Commission on sold unit</t>
  </si>
  <si>
    <t>Production &amp; Raw Material assumptions</t>
  </si>
  <si>
    <t>Desired ending inventory as % of sales</t>
  </si>
  <si>
    <t>Raw material needed per unit A (in kg)</t>
  </si>
  <si>
    <t>Raw material needed per unit B (in kg)</t>
  </si>
  <si>
    <t>Desired RM ending inventory for both A &amp; B</t>
  </si>
  <si>
    <t>Cost of RM for A per kg</t>
  </si>
  <si>
    <t>Cost of RM for B per kg</t>
  </si>
  <si>
    <t xml:space="preserve">RM paid cash </t>
  </si>
  <si>
    <t>RM paid in the month after purchase</t>
  </si>
  <si>
    <t>RM paid two months after purchase</t>
  </si>
  <si>
    <t>Direct labor assumptions</t>
  </si>
  <si>
    <t>DL hours need for A (in hour)</t>
  </si>
  <si>
    <t>Cost of DL (in 1 euro)</t>
  </si>
  <si>
    <t>Number of workers</t>
  </si>
  <si>
    <t>DL hours need for B</t>
  </si>
  <si>
    <t>Cost of DL (in euro)</t>
  </si>
  <si>
    <t>Overhead rate for variable costs</t>
  </si>
  <si>
    <t>Depreciation costs</t>
  </si>
  <si>
    <t>Property taxes</t>
  </si>
  <si>
    <t xml:space="preserve"> ! No additional investment in equipment</t>
  </si>
  <si>
    <t>Finished goods assumptions</t>
  </si>
  <si>
    <t>Assumed hours per unit produced for A</t>
  </si>
  <si>
    <t>Assumed hours per unit produced for B</t>
  </si>
  <si>
    <t>S&amp;A assumptions</t>
  </si>
  <si>
    <t xml:space="preserve"> Advertising </t>
  </si>
  <si>
    <t xml:space="preserve"> Executive salaries 5M, growth @ 5% per month</t>
  </si>
  <si>
    <t xml:space="preserve"> Insurance </t>
  </si>
  <si>
    <t>Selling quantity product A</t>
  </si>
  <si>
    <t>Selling quantity product B</t>
  </si>
  <si>
    <t>Total budget sales in quantity</t>
  </si>
  <si>
    <t>Total sales of A in euro</t>
  </si>
  <si>
    <t>Total sales of B in euro</t>
  </si>
  <si>
    <t>Total sales in euro</t>
  </si>
  <si>
    <t>Months</t>
  </si>
  <si>
    <t>Sales collection schedules</t>
  </si>
  <si>
    <t>Account receivables, beginning</t>
  </si>
  <si>
    <t>Sales collected in cash or within the same month</t>
  </si>
  <si>
    <t>Total cash collections</t>
  </si>
  <si>
    <t>Production budgeting</t>
  </si>
  <si>
    <t xml:space="preserve">+ desired finished goods ending inventory </t>
  </si>
  <si>
    <t>Total needs</t>
  </si>
  <si>
    <t>- finished goods, beginning balance</t>
  </si>
  <si>
    <t>Total required production needs</t>
  </si>
  <si>
    <t>Required production of A as %</t>
  </si>
  <si>
    <t>Required production of B as %</t>
  </si>
  <si>
    <t>Raw material budgeting</t>
  </si>
  <si>
    <t>Required production of A</t>
  </si>
  <si>
    <t>RM needs (in kg)</t>
  </si>
  <si>
    <t>+ desired RM ending inventory</t>
  </si>
  <si>
    <t>- RM, beginning balance</t>
  </si>
  <si>
    <t>RM to be purchased for A</t>
  </si>
  <si>
    <t xml:space="preserve">Cost of RM for A per kg </t>
  </si>
  <si>
    <t>Costs of RM</t>
  </si>
  <si>
    <t>Required production of B</t>
  </si>
  <si>
    <t>RM to be purchased for B</t>
  </si>
  <si>
    <t xml:space="preserve">Cost of RM for B per kg </t>
  </si>
  <si>
    <t xml:space="preserve">Total cost of RM </t>
  </si>
  <si>
    <t>RM payment schedule</t>
  </si>
  <si>
    <t>Accounts payable, beggining balance</t>
  </si>
  <si>
    <t>RM paid cash or within the month of purchase</t>
  </si>
  <si>
    <t>Total cash disbursement for RM</t>
  </si>
  <si>
    <t>Direct labor budgeting</t>
  </si>
  <si>
    <t xml:space="preserve">Direct labor costs per worker (in 1 euro) </t>
  </si>
  <si>
    <t>Total DL costs</t>
  </si>
  <si>
    <t>Overhead budgeting</t>
  </si>
  <si>
    <t>Total variable overhead costs</t>
  </si>
  <si>
    <t>Total fixed overhead costs</t>
  </si>
  <si>
    <t>Total overhead costs</t>
  </si>
  <si>
    <t>- depreciation</t>
  </si>
  <si>
    <t>Cash disbursement for manuf. overhead</t>
  </si>
  <si>
    <t>Predetermined overhead rate</t>
  </si>
  <si>
    <t>Finished good inventory</t>
  </si>
  <si>
    <t>Product A</t>
  </si>
  <si>
    <t>RM cost per unit</t>
  </si>
  <si>
    <t>DL cost per unit</t>
  </si>
  <si>
    <t>Overhead cost per unit</t>
  </si>
  <si>
    <t>Unit cost of production for A</t>
  </si>
  <si>
    <t>Finished goods, Ending balance in unit</t>
  </si>
  <si>
    <t>Finished good inventory costs</t>
  </si>
  <si>
    <t>Product B</t>
  </si>
  <si>
    <t>Unit cost of production for B</t>
  </si>
  <si>
    <t>Finished good, Ending inventory in unit</t>
  </si>
  <si>
    <t>Total finished goods cost</t>
  </si>
  <si>
    <t>Selling, general &amp; administrative expenses</t>
  </si>
  <si>
    <t>Budgeted sales in unit</t>
  </si>
  <si>
    <t>Commission costs</t>
  </si>
  <si>
    <t xml:space="preserve"> Total variable S&amp;A expenses </t>
  </si>
  <si>
    <t xml:space="preserve"> Fixed S&amp;A expenses </t>
  </si>
  <si>
    <t xml:space="preserve"> Executive salaries </t>
  </si>
  <si>
    <t xml:space="preserve"> Property taxes </t>
  </si>
  <si>
    <t xml:space="preserve"> Depreciation of PPE</t>
  </si>
  <si>
    <t xml:space="preserve"> Total fixed S&amp;A expenses </t>
  </si>
  <si>
    <t xml:space="preserve"> Total S&amp;A expenses </t>
  </si>
  <si>
    <t xml:space="preserve"> Less depreciation </t>
  </si>
  <si>
    <t xml:space="preserve"> Cash disbursements for S&amp;A expenses </t>
  </si>
  <si>
    <t>Cash budgeting</t>
  </si>
  <si>
    <t xml:space="preserve"> Cash balance, beginning  </t>
  </si>
  <si>
    <t xml:space="preserve">Add receipts: </t>
  </si>
  <si>
    <t>Cash from sales</t>
  </si>
  <si>
    <t xml:space="preserve">Total cash available </t>
  </si>
  <si>
    <t xml:space="preserve">Less disbursements: </t>
  </si>
  <si>
    <t>Total costs of RM</t>
  </si>
  <si>
    <t>Total costs of DM</t>
  </si>
  <si>
    <t xml:space="preserve">Total costs of Overhead </t>
  </si>
  <si>
    <t xml:space="preserve">Total Selling and administration expenses </t>
  </si>
  <si>
    <t>Total operating expenses</t>
  </si>
  <si>
    <t xml:space="preserve">Equipement piurchases </t>
  </si>
  <si>
    <t>Capital expenditures</t>
  </si>
  <si>
    <t xml:space="preserve">Dividends </t>
  </si>
  <si>
    <t xml:space="preserve">Total disbursements </t>
  </si>
  <si>
    <t xml:space="preserve">Excess(deficiency) of cash available over disb. </t>
  </si>
  <si>
    <t xml:space="preserve">Financing </t>
  </si>
  <si>
    <t xml:space="preserve">Borrowings </t>
  </si>
  <si>
    <t xml:space="preserve">Repayments </t>
  </si>
  <si>
    <t xml:space="preserve">Interest </t>
  </si>
  <si>
    <t>Total financing cash</t>
  </si>
  <si>
    <t xml:space="preserve">Cash balance, ending </t>
  </si>
  <si>
    <t>Sales</t>
  </si>
  <si>
    <t>Costs of good solds</t>
  </si>
  <si>
    <t>Gross profit</t>
  </si>
  <si>
    <t>- S&amp;A expenses</t>
  </si>
  <si>
    <t>Operating income</t>
  </si>
  <si>
    <t>- Interest expenses</t>
  </si>
  <si>
    <t>Income before tax</t>
  </si>
  <si>
    <t>- income tax @ 25%</t>
  </si>
  <si>
    <t>Net income</t>
  </si>
  <si>
    <t xml:space="preserve">Balance Sheet budgeting </t>
  </si>
  <si>
    <t>ASSETS</t>
  </si>
  <si>
    <t xml:space="preserve"> Cash </t>
  </si>
  <si>
    <t xml:space="preserve"> Accounts receivable </t>
  </si>
  <si>
    <t xml:space="preserve"> Raw materials inventory </t>
  </si>
  <si>
    <t xml:space="preserve"> Finished goods inventory </t>
  </si>
  <si>
    <t xml:space="preserve"> Total current assets </t>
  </si>
  <si>
    <t xml:space="preserve"> Property, plant and equipment, net</t>
  </si>
  <si>
    <t xml:space="preserve"> Insurance</t>
  </si>
  <si>
    <t>Total fixed</t>
  </si>
  <si>
    <t xml:space="preserve">Total assets </t>
  </si>
  <si>
    <t>LIABILITIES</t>
  </si>
  <si>
    <t>Accounts payables</t>
  </si>
  <si>
    <t>Interest payables</t>
  </si>
  <si>
    <t>Current liabilities</t>
  </si>
  <si>
    <t>Long term debt</t>
  </si>
  <si>
    <t>Non current liabilities</t>
  </si>
  <si>
    <t>Capital</t>
  </si>
  <si>
    <t xml:space="preserve"> Retained earnings </t>
  </si>
  <si>
    <t xml:space="preserve"> Total owners' equity </t>
  </si>
  <si>
    <t xml:space="preserve"> Total liabilities and owners'equity </t>
  </si>
  <si>
    <t>Variables selling expenses</t>
  </si>
  <si>
    <t>Variable administrative expenses</t>
  </si>
  <si>
    <t>- Commission</t>
  </si>
  <si>
    <t>Net sales</t>
  </si>
  <si>
    <t>Contribution margin</t>
  </si>
  <si>
    <t>Fixed selling costs</t>
  </si>
  <si>
    <t>Fixed administrative costs</t>
  </si>
  <si>
    <t>Net operating margin</t>
  </si>
  <si>
    <r>
      <t xml:space="preserve">Profit &amp; Loss budgeting
</t>
    </r>
    <r>
      <rPr>
        <b/>
        <sz val="16"/>
        <color theme="2" tint="-0.499984740745262"/>
        <rFont val="Arial"/>
        <family val="2"/>
      </rPr>
      <t>Contribution P&amp;L</t>
    </r>
  </si>
  <si>
    <t>Cost-Volume-Profit analysis</t>
  </si>
  <si>
    <t>Per unit contribution margin</t>
  </si>
  <si>
    <t>Contribution margin A</t>
  </si>
  <si>
    <t>- Costs of goods sold</t>
  </si>
  <si>
    <t>- Variables S&amp;A expenses</t>
  </si>
  <si>
    <t>Sales B</t>
  </si>
  <si>
    <t>Net Sales A</t>
  </si>
  <si>
    <t>Contribution margin B</t>
  </si>
  <si>
    <t>Total fixed costs</t>
  </si>
  <si>
    <t xml:space="preserve">Fixed cost @ A </t>
  </si>
  <si>
    <t>Fixed cost @ B</t>
  </si>
  <si>
    <r>
      <t xml:space="preserve">Break-even quantity B (in million)
</t>
    </r>
    <r>
      <rPr>
        <sz val="12"/>
        <color theme="2" tint="-0.249977111117893"/>
        <rFont val="Arial"/>
        <family val="2"/>
      </rPr>
      <t>Fixed Cost / (Unit CM)</t>
    </r>
  </si>
  <si>
    <r>
      <t xml:space="preserve">Break-even quantity A (in million)
</t>
    </r>
    <r>
      <rPr>
        <sz val="12"/>
        <color theme="2" tint="-0.249977111117893"/>
        <rFont val="Arial"/>
        <family val="2"/>
      </rPr>
      <t xml:space="preserve">          Fixed Cost / (Unit CM)</t>
    </r>
  </si>
  <si>
    <r>
      <t xml:space="preserve">Break-even euro A (in million)
          </t>
    </r>
    <r>
      <rPr>
        <sz val="12"/>
        <color theme="2" tint="-0.249977111117893"/>
        <rFont val="Arial"/>
        <family val="2"/>
      </rPr>
      <t>Fixed Cost / (Unit CM ratio)</t>
    </r>
  </si>
  <si>
    <t>Margin of safety A</t>
  </si>
  <si>
    <r>
      <t xml:space="preserve">Break-even euro B (in million)
          </t>
    </r>
    <r>
      <rPr>
        <sz val="12"/>
        <color theme="2" tint="-0.249977111117893"/>
        <rFont val="Arial"/>
        <family val="2"/>
      </rPr>
      <t>Fixed Cost / (Unit CM ratio)</t>
    </r>
  </si>
  <si>
    <t>Margin of safety B</t>
  </si>
  <si>
    <t>Leverage</t>
  </si>
  <si>
    <t>Break-even analysis</t>
  </si>
  <si>
    <t>Degree of Operating leverage (DOL)</t>
  </si>
  <si>
    <t>! Percent change in Op. inc = DOL x percent change in sales</t>
  </si>
  <si>
    <t>! Break-even = Qty x Price - Qty x Var. costs  - Fixed costs = Qty x (Price - Var cost) - Fixed cost = Qty x unit CM - Fixed cost</t>
  </si>
  <si>
    <t>HasName co,   by elie diwambuena</t>
  </si>
  <si>
    <t>Contribution ratio A @ sales</t>
  </si>
  <si>
    <t>Contribution ratio B @ sales</t>
  </si>
  <si>
    <t xml:space="preserve"> S&amp;A assumptions </t>
  </si>
  <si>
    <t xml:space="preserve">Sales </t>
  </si>
  <si>
    <t xml:space="preserve"> Production &amp; Raw </t>
  </si>
  <si>
    <t>! Suppliers increased their price due to disruption of the supply chain that made RM scare</t>
  </si>
  <si>
    <t>Profit &amp; Loss 
Contribution P&amp;L</t>
  </si>
  <si>
    <t xml:space="preserve">Balance Sheet </t>
  </si>
  <si>
    <t xml:space="preserve"> Cost of RM for A per kg actual</t>
  </si>
  <si>
    <t xml:space="preserve"> Cost of RM for B per kg actual</t>
  </si>
  <si>
    <t xml:space="preserve">  Advertising  actual</t>
  </si>
  <si>
    <t xml:space="preserve">  Executive salaries actual</t>
  </si>
  <si>
    <t>! All other items remained constant</t>
  </si>
  <si>
    <t xml:space="preserve"> Actual Sales growth per month </t>
  </si>
  <si>
    <t xml:space="preserve"> Budgeted sales growth</t>
  </si>
  <si>
    <t xml:space="preserve"> Cost of RM for A per kg budgeted</t>
  </si>
  <si>
    <t xml:space="preserve"> Cost of RM for B per kg budgeted</t>
  </si>
  <si>
    <t xml:space="preserve">  Advertising  budgeted</t>
  </si>
  <si>
    <t xml:space="preserve">  Executive salaries budgeted</t>
  </si>
  <si>
    <t>Choose the level of activity</t>
  </si>
  <si>
    <t>! Suppoise that  This is what actually happened in the next six months as opposed to what was planned</t>
  </si>
  <si>
    <t>Variance analysis</t>
  </si>
  <si>
    <t>! Sales growth of A gradually decreased from 5% to 3%  instead</t>
  </si>
  <si>
    <t xml:space="preserve"> Expected Sales of prod. A growth per month</t>
  </si>
  <si>
    <t xml:space="preserve"> Expected Sales of prod. B growth per month</t>
  </si>
  <si>
    <t>If the " actual level" is unchecked, the outcomes will be that of the budgeted level</t>
  </si>
  <si>
    <t>! When actual level is UNCHECKED, we are comparing budgeted outcomes to actual outcomes at their respective level of activity. Budgeted - Actuals</t>
  </si>
  <si>
    <t>! When actual level is CHECKED, we are comparing budgeted outcomes based on acutal level of acitivy to actual outcomes. Budgeted at current level - Actuals</t>
  </si>
  <si>
    <t>Fast-forward</t>
  </si>
  <si>
    <t>After 6 months, the outcomes happened to be different from what were expected. Hence, the management would like to understand where the difference comes from and why. Thus, the second objectif is to do a variance analysis.</t>
  </si>
  <si>
    <t xml:space="preserve">Actuals </t>
  </si>
  <si>
    <t>Contains the actual results after the six months</t>
  </si>
  <si>
    <t>Contains the details about the variance analysis</t>
  </si>
  <si>
    <t xml:space="preserve">Show budget based on actual level of acitivy? </t>
  </si>
  <si>
    <t xml:space="preserve">Please do not share or reproduce this material. </t>
  </si>
  <si>
    <t>Contact me at eliediwa9@gmail.com for any inquiry</t>
  </si>
  <si>
    <t>! You can check or uncheck the "Level of activity" box under the "variance analysis" tab to test the model</t>
  </si>
  <si>
    <t>! You can change assumptions regarding sales quantity  growth rate for products A&amp; B under the tab "Input"</t>
  </si>
  <si>
    <t>Only use it for the purpose for which you have been given access 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</si>
</sst>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 #,##0.00_ ;_ * \-#,##0.00_ ;_ * &quot;-&quot;??_ ;_ @_ "/>
    <numFmt numFmtId="165" formatCode="_(* #,##0_);_(* \(#,##0\);_(* &quot;-&quot;??_);_(@_)"/>
    <numFmt numFmtId="166" formatCode="0.000"/>
    <numFmt numFmtId="167" formatCode="0.0%"/>
    <numFmt numFmtId="168" formatCode="#,##0.0"/>
    <numFmt numFmtId="169" formatCode="&quot;€&quot;\ #,##0.00;[Red]&quot;€&quot;\ #,##0.00"/>
    <numFmt numFmtId="170" formatCode="0.00_);\(0.00\)"/>
  </numFmts>
  <fonts count="26" x14ac:knownFonts="1">
    <font>
      <sz val="12"/>
      <color theme="1"/>
      <name val="Calibri"/>
      <family val="2"/>
      <scheme val="minor"/>
    </font>
    <font>
      <sz val="12"/>
      <color theme="1"/>
      <name val="Calibri"/>
      <family val="2"/>
      <scheme val="minor"/>
    </font>
    <font>
      <sz val="12"/>
      <color theme="1"/>
      <name val="Helvetica"/>
      <family val="2"/>
    </font>
    <font>
      <sz val="12"/>
      <color rgb="FF000000"/>
      <name val="Helvetica"/>
      <family val="2"/>
    </font>
    <font>
      <b/>
      <sz val="12"/>
      <color rgb="FF000000"/>
      <name val="Helvetica"/>
      <family val="2"/>
    </font>
    <font>
      <sz val="12"/>
      <color theme="1"/>
      <name val="Arial"/>
      <family val="2"/>
    </font>
    <font>
      <sz val="14"/>
      <color theme="1"/>
      <name val="Arial"/>
      <family val="2"/>
    </font>
    <font>
      <sz val="12"/>
      <name val="Arial"/>
      <family val="2"/>
    </font>
    <font>
      <u/>
      <sz val="14"/>
      <name val="Arial"/>
      <family val="2"/>
    </font>
    <font>
      <sz val="12"/>
      <color rgb="FF000000"/>
      <name val="Arial"/>
      <family val="2"/>
    </font>
    <font>
      <b/>
      <sz val="12"/>
      <color theme="1"/>
      <name val="Arial"/>
      <family val="2"/>
    </font>
    <font>
      <b/>
      <sz val="14"/>
      <color theme="1"/>
      <name val="Arial"/>
      <family val="2"/>
    </font>
    <font>
      <b/>
      <sz val="16"/>
      <color theme="1"/>
      <name val="Arial"/>
      <family val="2"/>
    </font>
    <font>
      <sz val="12"/>
      <name val="Arial"/>
      <family val="2"/>
    </font>
    <font>
      <b/>
      <sz val="12"/>
      <color rgb="FF000000"/>
      <name val="Arial"/>
      <family val="2"/>
    </font>
    <font>
      <sz val="12"/>
      <color rgb="FFFF0000"/>
      <name val="Arial"/>
      <family val="2"/>
    </font>
    <font>
      <sz val="12"/>
      <color theme="2" tint="-0.249977111117893"/>
      <name val="Arial"/>
      <family val="2"/>
    </font>
    <font>
      <sz val="12"/>
      <color theme="2" tint="-0.499984740745262"/>
      <name val="Arial"/>
      <family val="2"/>
    </font>
    <font>
      <b/>
      <sz val="16"/>
      <color theme="2" tint="-0.499984740745262"/>
      <name val="Arial"/>
      <family val="2"/>
    </font>
    <font>
      <sz val="16"/>
      <color theme="1"/>
      <name val="Arial"/>
      <family val="2"/>
    </font>
    <font>
      <sz val="14"/>
      <color rgb="FF000000"/>
      <name val="Arial"/>
      <family val="2"/>
    </font>
    <font>
      <sz val="12"/>
      <color rgb="FFC00000"/>
      <name val="Arial"/>
      <family val="2"/>
    </font>
    <font>
      <sz val="11"/>
      <color theme="1"/>
      <name val="Arial"/>
      <family val="2"/>
    </font>
    <font>
      <sz val="10"/>
      <color rgb="FFC00000"/>
      <name val="Arial"/>
      <family val="2"/>
    </font>
    <font>
      <sz val="13"/>
      <color rgb="FF000000"/>
      <name val="Lucida Grande"/>
      <family val="2"/>
    </font>
    <font>
      <sz val="14"/>
      <color rgb="FFFF0000"/>
      <name val="Arial"/>
      <family val="2"/>
    </font>
  </fonts>
  <fills count="11">
    <fill>
      <patternFill patternType="none"/>
    </fill>
    <fill>
      <patternFill patternType="gray125"/>
    </fill>
    <fill>
      <patternFill patternType="solid">
        <fgColor theme="0"/>
        <bgColor indexed="64"/>
      </patternFill>
    </fill>
    <fill>
      <patternFill patternType="solid">
        <fgColor rgb="FFFFFFFF"/>
        <bgColor rgb="FF000000"/>
      </patternFill>
    </fill>
    <fill>
      <patternFill patternType="solid">
        <fgColor rgb="FFFFC000"/>
        <bgColor rgb="FF000000"/>
      </patternFill>
    </fill>
    <fill>
      <patternFill patternType="solid">
        <fgColor rgb="FF00C057"/>
        <bgColor rgb="FF000000"/>
      </patternFill>
    </fill>
    <fill>
      <patternFill patternType="solid">
        <fgColor rgb="FF16365C"/>
        <bgColor rgb="FF000000"/>
      </patternFill>
    </fill>
    <fill>
      <patternFill patternType="solid">
        <fgColor rgb="FFC00000"/>
        <bgColor rgb="FF000000"/>
      </patternFill>
    </fill>
    <fill>
      <patternFill patternType="solid">
        <fgColor rgb="FF7030A0"/>
        <bgColor rgb="FF000000"/>
      </patternFill>
    </fill>
    <fill>
      <patternFill patternType="solid">
        <fgColor theme="4" tint="0.59999389629810485"/>
        <bgColor indexed="64"/>
      </patternFill>
    </fill>
    <fill>
      <patternFill patternType="solid">
        <fgColor theme="7" tint="0.79998168889431442"/>
        <bgColor indexed="64"/>
      </patternFill>
    </fill>
  </fills>
  <borders count="7">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000000"/>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15">
    <xf numFmtId="0" fontId="0" fillId="0" borderId="0" xfId="0"/>
    <xf numFmtId="165" fontId="3" fillId="2" borderId="0" xfId="0" applyNumberFormat="1" applyFont="1" applyFill="1"/>
    <xf numFmtId="43" fontId="3" fillId="2" borderId="0" xfId="0" applyNumberFormat="1" applyFont="1" applyFill="1"/>
    <xf numFmtId="165" fontId="4" fillId="2" borderId="0" xfId="0" applyNumberFormat="1" applyFont="1" applyFill="1"/>
    <xf numFmtId="165" fontId="3" fillId="2" borderId="0" xfId="0" quotePrefix="1" applyNumberFormat="1" applyFont="1" applyFill="1"/>
    <xf numFmtId="0" fontId="5" fillId="2" borderId="0" xfId="0" applyFont="1" applyFill="1"/>
    <xf numFmtId="0" fontId="7" fillId="3" borderId="0" xfId="0" applyFont="1" applyFill="1" applyAlignment="1">
      <alignment wrapText="1"/>
    </xf>
    <xf numFmtId="0" fontId="8" fillId="3" borderId="0" xfId="0" applyFont="1" applyFill="1"/>
    <xf numFmtId="0" fontId="7" fillId="3" borderId="0" xfId="0" applyFont="1" applyFill="1"/>
    <xf numFmtId="0" fontId="7" fillId="3" borderId="2" xfId="0" applyFont="1" applyFill="1" applyBorder="1" applyAlignment="1">
      <alignment wrapText="1"/>
    </xf>
    <xf numFmtId="0" fontId="7" fillId="3" borderId="3" xfId="0" applyFont="1" applyFill="1" applyBorder="1" applyAlignment="1">
      <alignment wrapText="1"/>
    </xf>
    <xf numFmtId="0" fontId="7" fillId="3" borderId="4" xfId="0" applyFont="1" applyFill="1" applyBorder="1" applyAlignment="1">
      <alignment wrapText="1"/>
    </xf>
    <xf numFmtId="0" fontId="7" fillId="3" borderId="1" xfId="0" applyFont="1" applyFill="1" applyBorder="1"/>
    <xf numFmtId="0" fontId="7" fillId="3" borderId="1" xfId="0" applyFont="1" applyFill="1" applyBorder="1" applyAlignment="1">
      <alignment wrapText="1"/>
    </xf>
    <xf numFmtId="0" fontId="7" fillId="4" borderId="1" xfId="0" applyFont="1" applyFill="1" applyBorder="1" applyAlignment="1">
      <alignment wrapText="1"/>
    </xf>
    <xf numFmtId="0" fontId="7" fillId="5" borderId="1" xfId="0" applyFont="1" applyFill="1" applyBorder="1" applyAlignment="1">
      <alignment wrapText="1"/>
    </xf>
    <xf numFmtId="0" fontId="7" fillId="6" borderId="1" xfId="0" applyFont="1" applyFill="1" applyBorder="1" applyAlignment="1">
      <alignment wrapText="1"/>
    </xf>
    <xf numFmtId="0" fontId="7" fillId="3" borderId="0" xfId="0" applyFont="1" applyFill="1" applyAlignment="1">
      <alignment vertical="center" wrapText="1"/>
    </xf>
    <xf numFmtId="165" fontId="9" fillId="2" borderId="0" xfId="0" applyNumberFormat="1" applyFont="1" applyFill="1"/>
    <xf numFmtId="0" fontId="6" fillId="2" borderId="5" xfId="0" applyFont="1" applyFill="1" applyBorder="1"/>
    <xf numFmtId="0" fontId="5" fillId="2" borderId="5" xfId="0" applyFont="1" applyFill="1" applyBorder="1"/>
    <xf numFmtId="0" fontId="10" fillId="2" borderId="0" xfId="0" applyFont="1" applyFill="1" applyAlignment="1">
      <alignment horizontal="center"/>
    </xf>
    <xf numFmtId="0" fontId="10" fillId="2" borderId="5" xfId="0" applyFont="1" applyFill="1" applyBorder="1"/>
    <xf numFmtId="10" fontId="9" fillId="2" borderId="0" xfId="0" applyNumberFormat="1" applyFont="1" applyFill="1" applyAlignment="1">
      <alignment horizontal="center"/>
    </xf>
    <xf numFmtId="165" fontId="3" fillId="2" borderId="5" xfId="0" applyNumberFormat="1" applyFont="1" applyFill="1" applyBorder="1"/>
    <xf numFmtId="165" fontId="5" fillId="2" borderId="0" xfId="0" applyNumberFormat="1" applyFont="1" applyFill="1"/>
    <xf numFmtId="0" fontId="5" fillId="2" borderId="0" xfId="0" applyFont="1" applyFill="1" applyAlignment="1">
      <alignment horizontal="right"/>
    </xf>
    <xf numFmtId="10" fontId="9" fillId="2" borderId="0" xfId="0" applyNumberFormat="1" applyFont="1" applyFill="1" applyAlignment="1">
      <alignment horizontal="right"/>
    </xf>
    <xf numFmtId="10" fontId="3" fillId="2" borderId="0" xfId="0" applyNumberFormat="1" applyFont="1" applyFill="1"/>
    <xf numFmtId="10" fontId="5" fillId="2" borderId="0" xfId="0" applyNumberFormat="1" applyFont="1" applyFill="1"/>
    <xf numFmtId="10" fontId="9" fillId="2" borderId="0" xfId="0" applyNumberFormat="1" applyFont="1" applyFill="1" applyAlignment="1">
      <alignment horizontal="center" wrapText="1"/>
    </xf>
    <xf numFmtId="164" fontId="5" fillId="2" borderId="5" xfId="0" applyNumberFormat="1" applyFont="1" applyFill="1" applyBorder="1"/>
    <xf numFmtId="2" fontId="5" fillId="2" borderId="0" xfId="0" applyNumberFormat="1" applyFont="1" applyFill="1"/>
    <xf numFmtId="165" fontId="9" fillId="2" borderId="5" xfId="0" applyNumberFormat="1" applyFont="1" applyFill="1" applyBorder="1"/>
    <xf numFmtId="9" fontId="5" fillId="2" borderId="0" xfId="0" applyNumberFormat="1" applyFont="1" applyFill="1"/>
    <xf numFmtId="0" fontId="5" fillId="2" borderId="0" xfId="0" quotePrefix="1" applyFont="1" applyFill="1"/>
    <xf numFmtId="166" fontId="5" fillId="2" borderId="0" xfId="0" applyNumberFormat="1" applyFont="1" applyFill="1"/>
    <xf numFmtId="0" fontId="5" fillId="2" borderId="5" xfId="0" quotePrefix="1" applyFont="1" applyFill="1" applyBorder="1"/>
    <xf numFmtId="2" fontId="5" fillId="2" borderId="5" xfId="0" applyNumberFormat="1" applyFont="1" applyFill="1" applyBorder="1"/>
    <xf numFmtId="43" fontId="5" fillId="2" borderId="0" xfId="0" applyNumberFormat="1" applyFont="1" applyFill="1"/>
    <xf numFmtId="167" fontId="5" fillId="2" borderId="0" xfId="0" applyNumberFormat="1" applyFont="1" applyFill="1"/>
    <xf numFmtId="165" fontId="3" fillId="2" borderId="5" xfId="0" quotePrefix="1" applyNumberFormat="1" applyFont="1" applyFill="1" applyBorder="1"/>
    <xf numFmtId="0" fontId="12" fillId="2" borderId="5" xfId="0" applyFont="1" applyFill="1" applyBorder="1"/>
    <xf numFmtId="0" fontId="12" fillId="2" borderId="0" xfId="0" applyFont="1" applyFill="1"/>
    <xf numFmtId="168" fontId="13" fillId="2" borderId="0" xfId="0" applyNumberFormat="1" applyFont="1" applyFill="1" applyAlignment="1">
      <alignment horizontal="right"/>
    </xf>
    <xf numFmtId="4" fontId="5" fillId="2" borderId="5" xfId="0" applyNumberFormat="1" applyFont="1" applyFill="1" applyBorder="1"/>
    <xf numFmtId="169" fontId="3" fillId="2" borderId="0" xfId="0" applyNumberFormat="1" applyFont="1" applyFill="1" applyAlignment="1">
      <alignment horizontal="right"/>
    </xf>
    <xf numFmtId="169" fontId="2" fillId="2" borderId="0" xfId="0" applyNumberFormat="1" applyFont="1" applyFill="1" applyAlignment="1">
      <alignment horizontal="right"/>
    </xf>
    <xf numFmtId="165" fontId="14" fillId="2" borderId="0" xfId="0" applyNumberFormat="1" applyFont="1" applyFill="1" applyAlignment="1">
      <alignment horizontal="center"/>
    </xf>
    <xf numFmtId="165" fontId="15" fillId="2" borderId="0" xfId="0" quotePrefix="1" applyNumberFormat="1" applyFont="1" applyFill="1"/>
    <xf numFmtId="4" fontId="13" fillId="2" borderId="0" xfId="0" applyNumberFormat="1" applyFont="1" applyFill="1" applyAlignment="1">
      <alignment horizontal="right"/>
    </xf>
    <xf numFmtId="0" fontId="5" fillId="2" borderId="6" xfId="0" applyFont="1" applyFill="1" applyBorder="1"/>
    <xf numFmtId="2" fontId="5" fillId="2" borderId="6" xfId="0" applyNumberFormat="1" applyFont="1" applyFill="1" applyBorder="1"/>
    <xf numFmtId="0" fontId="5" fillId="2" borderId="6" xfId="0" quotePrefix="1" applyFont="1" applyFill="1" applyBorder="1"/>
    <xf numFmtId="0" fontId="17" fillId="2" borderId="0" xfId="0" applyFont="1" applyFill="1"/>
    <xf numFmtId="0" fontId="17" fillId="2" borderId="6" xfId="0" applyFont="1" applyFill="1" applyBorder="1"/>
    <xf numFmtId="2" fontId="17" fillId="2" borderId="0" xfId="0" applyNumberFormat="1" applyFont="1" applyFill="1"/>
    <xf numFmtId="2" fontId="17" fillId="2" borderId="6" xfId="0" applyNumberFormat="1" applyFont="1" applyFill="1" applyBorder="1"/>
    <xf numFmtId="166" fontId="17" fillId="2" borderId="0" xfId="0" applyNumberFormat="1" applyFont="1" applyFill="1"/>
    <xf numFmtId="0" fontId="12" fillId="2" borderId="5" xfId="0" applyFont="1" applyFill="1" applyBorder="1" applyAlignment="1">
      <alignment wrapText="1"/>
    </xf>
    <xf numFmtId="0" fontId="19" fillId="2" borderId="0" xfId="0" applyFont="1" applyFill="1"/>
    <xf numFmtId="0" fontId="12" fillId="2" borderId="6" xfId="0" applyFont="1" applyFill="1" applyBorder="1"/>
    <xf numFmtId="0" fontId="16" fillId="2" borderId="0" xfId="0" applyFont="1" applyFill="1"/>
    <xf numFmtId="43" fontId="16" fillId="2" borderId="0" xfId="0" applyNumberFormat="1" applyFont="1" applyFill="1"/>
    <xf numFmtId="0" fontId="16" fillId="2" borderId="0" xfId="0" quotePrefix="1" applyFont="1" applyFill="1"/>
    <xf numFmtId="2" fontId="16" fillId="2" borderId="0" xfId="0" applyNumberFormat="1" applyFont="1" applyFill="1"/>
    <xf numFmtId="0" fontId="5" fillId="2" borderId="0" xfId="0" applyFont="1" applyFill="1" applyAlignment="1">
      <alignment wrapText="1"/>
    </xf>
    <xf numFmtId="43" fontId="5" fillId="2" borderId="0" xfId="0" applyNumberFormat="1" applyFont="1" applyFill="1" applyAlignment="1">
      <alignment vertical="center"/>
    </xf>
    <xf numFmtId="9" fontId="16" fillId="2" borderId="0" xfId="2" applyFont="1" applyFill="1"/>
    <xf numFmtId="167" fontId="16" fillId="2" borderId="0" xfId="2" applyNumberFormat="1" applyFont="1" applyFill="1"/>
    <xf numFmtId="0" fontId="5" fillId="2" borderId="0" xfId="0" applyFont="1" applyFill="1" applyAlignment="1">
      <alignment horizontal="left" wrapText="1"/>
    </xf>
    <xf numFmtId="0" fontId="10" fillId="2" borderId="6" xfId="0" applyFont="1" applyFill="1" applyBorder="1"/>
    <xf numFmtId="43" fontId="5" fillId="2" borderId="6" xfId="0" applyNumberFormat="1" applyFont="1" applyFill="1" applyBorder="1"/>
    <xf numFmtId="0" fontId="20" fillId="3" borderId="5" xfId="0" applyFont="1" applyFill="1" applyBorder="1"/>
    <xf numFmtId="0" fontId="9" fillId="3" borderId="5" xfId="0" applyFont="1" applyFill="1" applyBorder="1"/>
    <xf numFmtId="165" fontId="9" fillId="3" borderId="0" xfId="0" applyNumberFormat="1" applyFont="1" applyFill="1"/>
    <xf numFmtId="0" fontId="9" fillId="3" borderId="0" xfId="0" applyFont="1" applyFill="1" applyAlignment="1">
      <alignment horizontal="right"/>
    </xf>
    <xf numFmtId="10" fontId="9" fillId="3" borderId="0" xfId="0" applyNumberFormat="1" applyFont="1" applyFill="1" applyAlignment="1">
      <alignment horizontal="right"/>
    </xf>
    <xf numFmtId="0" fontId="9" fillId="3" borderId="0" xfId="0" applyFont="1" applyFill="1"/>
    <xf numFmtId="10" fontId="9" fillId="3" borderId="0" xfId="0" applyNumberFormat="1" applyFont="1" applyFill="1" applyAlignment="1">
      <alignment horizontal="center"/>
    </xf>
    <xf numFmtId="165" fontId="9" fillId="3" borderId="5" xfId="0" applyNumberFormat="1" applyFont="1" applyFill="1" applyBorder="1"/>
    <xf numFmtId="165" fontId="3" fillId="3" borderId="0" xfId="0" applyNumberFormat="1" applyFont="1" applyFill="1"/>
    <xf numFmtId="4" fontId="7" fillId="3" borderId="0" xfId="0" applyNumberFormat="1" applyFont="1" applyFill="1" applyAlignment="1">
      <alignment horizontal="right"/>
    </xf>
    <xf numFmtId="0" fontId="21" fillId="2" borderId="0" xfId="0" applyFont="1" applyFill="1"/>
    <xf numFmtId="170" fontId="5" fillId="2" borderId="5" xfId="0" applyNumberFormat="1" applyFont="1" applyFill="1" applyBorder="1"/>
    <xf numFmtId="170" fontId="5" fillId="2" borderId="0" xfId="0" applyNumberFormat="1" applyFont="1" applyFill="1"/>
    <xf numFmtId="170" fontId="3" fillId="2" borderId="0" xfId="0" applyNumberFormat="1" applyFont="1" applyFill="1"/>
    <xf numFmtId="170" fontId="3" fillId="2" borderId="5" xfId="0" applyNumberFormat="1" applyFont="1" applyFill="1" applyBorder="1"/>
    <xf numFmtId="170" fontId="5" fillId="2" borderId="6" xfId="0" applyNumberFormat="1" applyFont="1" applyFill="1" applyBorder="1"/>
    <xf numFmtId="170" fontId="17" fillId="2" borderId="0" xfId="0" applyNumberFormat="1" applyFont="1" applyFill="1"/>
    <xf numFmtId="170" fontId="17" fillId="2" borderId="6" xfId="0" applyNumberFormat="1" applyFont="1" applyFill="1" applyBorder="1"/>
    <xf numFmtId="1" fontId="5" fillId="2" borderId="5" xfId="0" applyNumberFormat="1" applyFont="1" applyFill="1" applyBorder="1"/>
    <xf numFmtId="170" fontId="3" fillId="2" borderId="0" xfId="1" applyNumberFormat="1" applyFont="1" applyFill="1" applyBorder="1" applyAlignment="1"/>
    <xf numFmtId="170" fontId="3" fillId="2" borderId="0" xfId="0" applyNumberFormat="1" applyFont="1" applyFill="1" applyAlignment="1">
      <alignment horizontal="center"/>
    </xf>
    <xf numFmtId="0" fontId="10" fillId="2" borderId="0" xfId="0" applyFont="1" applyFill="1"/>
    <xf numFmtId="0" fontId="10" fillId="2" borderId="0" xfId="0" applyFont="1" applyFill="1" applyAlignment="1">
      <alignment horizontal="right"/>
    </xf>
    <xf numFmtId="0" fontId="22" fillId="2" borderId="0" xfId="0" applyFont="1" applyFill="1"/>
    <xf numFmtId="0" fontId="23" fillId="2" borderId="0" xfId="0" applyFont="1" applyFill="1"/>
    <xf numFmtId="0" fontId="12" fillId="2" borderId="6" xfId="0" applyFont="1" applyFill="1" applyBorder="1" applyAlignment="1">
      <alignment wrapText="1"/>
    </xf>
    <xf numFmtId="0" fontId="7" fillId="3" borderId="2" xfId="0" applyFont="1" applyFill="1" applyBorder="1"/>
    <xf numFmtId="0" fontId="7" fillId="7" borderId="0" xfId="0" applyFont="1" applyFill="1" applyAlignment="1">
      <alignment wrapText="1"/>
    </xf>
    <xf numFmtId="0" fontId="7" fillId="8" borderId="0" xfId="0" applyFont="1" applyFill="1" applyAlignment="1">
      <alignment wrapText="1"/>
    </xf>
    <xf numFmtId="0" fontId="5" fillId="9" borderId="0" xfId="0" applyFont="1" applyFill="1"/>
    <xf numFmtId="0" fontId="10" fillId="9" borderId="0" xfId="0" applyFont="1" applyFill="1"/>
    <xf numFmtId="0" fontId="21" fillId="9" borderId="0" xfId="0" applyFont="1" applyFill="1"/>
    <xf numFmtId="0" fontId="25" fillId="3" borderId="0" xfId="0" applyFont="1" applyFill="1"/>
    <xf numFmtId="0" fontId="25" fillId="2" borderId="0" xfId="0" applyFont="1" applyFill="1"/>
    <xf numFmtId="0" fontId="15" fillId="3" borderId="0" xfId="0" applyFont="1" applyFill="1"/>
    <xf numFmtId="10" fontId="9" fillId="10" borderId="0" xfId="0" applyNumberFormat="1" applyFont="1" applyFill="1" applyAlignment="1" applyProtection="1">
      <alignment horizontal="right"/>
      <protection locked="0"/>
    </xf>
    <xf numFmtId="0" fontId="10" fillId="9" borderId="0" xfId="0" applyFont="1" applyFill="1" applyProtection="1">
      <protection locked="0"/>
    </xf>
    <xf numFmtId="165" fontId="9" fillId="10" borderId="0" xfId="0" applyNumberFormat="1" applyFont="1" applyFill="1"/>
    <xf numFmtId="2" fontId="5" fillId="10" borderId="0" xfId="0" applyNumberFormat="1" applyFont="1" applyFill="1" applyAlignment="1">
      <alignment horizontal="right"/>
    </xf>
    <xf numFmtId="0" fontId="10" fillId="2" borderId="0" xfId="0" applyFont="1" applyFill="1" applyAlignment="1">
      <alignment horizontal="center"/>
    </xf>
    <xf numFmtId="10" fontId="9" fillId="2" borderId="0" xfId="0" applyNumberFormat="1" applyFont="1" applyFill="1" applyAlignment="1">
      <alignment horizontal="center" wrapText="1"/>
    </xf>
    <xf numFmtId="0" fontId="11" fillId="2" borderId="0" xfId="0" applyFont="1" applyFill="1" applyAlignment="1">
      <alignment horizontal="center"/>
    </xf>
  </cellXfs>
  <cellStyles count="3">
    <cellStyle name="Comma" xfId="1" builtinId="3"/>
    <cellStyle name="Normal" xfId="0" builtinId="0"/>
    <cellStyle name="Percent" xfId="2" builtinId="5"/>
  </cellStyles>
  <dxfs count="4">
    <dxf>
      <font>
        <color theme="4" tint="0.59996337778862885"/>
      </font>
    </dxf>
    <dxf>
      <font>
        <color theme="4" tint="-0.24994659260841701"/>
      </font>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Contribution</a:t>
            </a:r>
            <a:r>
              <a:rPr lang="en-US" baseline="0"/>
              <a:t> margin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R"/>
        </a:p>
      </c:txPr>
    </c:title>
    <c:autoTitleDeleted val="0"/>
    <c:plotArea>
      <c:layout/>
      <c:barChart>
        <c:barDir val="col"/>
        <c:grouping val="clustered"/>
        <c:varyColors val="0"/>
        <c:ser>
          <c:idx val="0"/>
          <c:order val="0"/>
          <c:tx>
            <c:strRef>
              <c:f>Dash!$B$4</c:f>
              <c:strCache>
                <c:ptCount val="1"/>
                <c:pt idx="0">
                  <c:v>Net Sales A</c:v>
                </c:pt>
              </c:strCache>
            </c:strRef>
          </c:tx>
          <c:spPr>
            <a:solidFill>
              <a:schemeClr val="accent1"/>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Dash!$C$4:$H$4</c:f>
            </c:numRef>
          </c:val>
          <c:extLst>
            <c:ext xmlns:c16="http://schemas.microsoft.com/office/drawing/2014/chart" uri="{C3380CC4-5D6E-409C-BE32-E72D297353CC}">
              <c16:uniqueId val="{00000000-9808-6F4B-A81C-7770F24AA8EA}"/>
            </c:ext>
          </c:extLst>
        </c:ser>
        <c:ser>
          <c:idx val="1"/>
          <c:order val="1"/>
          <c:tx>
            <c:strRef>
              <c:f>Dash!$B$5</c:f>
              <c:strCache>
                <c:ptCount val="1"/>
                <c:pt idx="0">
                  <c:v>- Costs of goods sold</c:v>
                </c:pt>
              </c:strCache>
            </c:strRef>
          </c:tx>
          <c:spPr>
            <a:solidFill>
              <a:schemeClr val="accent2"/>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Dash!$C$5:$H$5</c:f>
            </c:numRef>
          </c:val>
          <c:extLst>
            <c:ext xmlns:c16="http://schemas.microsoft.com/office/drawing/2014/chart" uri="{C3380CC4-5D6E-409C-BE32-E72D297353CC}">
              <c16:uniqueId val="{00000001-9808-6F4B-A81C-7770F24AA8EA}"/>
            </c:ext>
          </c:extLst>
        </c:ser>
        <c:ser>
          <c:idx val="2"/>
          <c:order val="2"/>
          <c:tx>
            <c:strRef>
              <c:f>Dash!$B$6</c:f>
              <c:strCache>
                <c:ptCount val="1"/>
                <c:pt idx="0">
                  <c:v>- Variables S&amp;A expenses</c:v>
                </c:pt>
              </c:strCache>
            </c:strRef>
          </c:tx>
          <c:spPr>
            <a:solidFill>
              <a:schemeClr val="accent3"/>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Dash!$C$6:$H$6</c:f>
            </c:numRef>
          </c:val>
          <c:extLst>
            <c:ext xmlns:c16="http://schemas.microsoft.com/office/drawing/2014/chart" uri="{C3380CC4-5D6E-409C-BE32-E72D297353CC}">
              <c16:uniqueId val="{00000002-9808-6F4B-A81C-7770F24AA8EA}"/>
            </c:ext>
          </c:extLst>
        </c:ser>
        <c:ser>
          <c:idx val="3"/>
          <c:order val="3"/>
          <c:tx>
            <c:strRef>
              <c:f>Dash!$B$7</c:f>
              <c:strCache>
                <c:ptCount val="1"/>
                <c:pt idx="0">
                  <c:v>Contribution margin A</c:v>
                </c:pt>
              </c:strCache>
            </c:strRef>
          </c:tx>
          <c:spPr>
            <a:solidFill>
              <a:schemeClr val="accent4"/>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Dash!$C$7:$H$7</c:f>
              <c:numCache>
                <c:formatCode>0.00</c:formatCode>
                <c:ptCount val="6"/>
                <c:pt idx="0">
                  <c:v>7.3719878048780494</c:v>
                </c:pt>
                <c:pt idx="1">
                  <c:v>8.5312423170731719</c:v>
                </c:pt>
                <c:pt idx="2">
                  <c:v>8.7497522378048771</c:v>
                </c:pt>
                <c:pt idx="3">
                  <c:v>9.003794971646343</c:v>
                </c:pt>
                <c:pt idx="4">
                  <c:v>9.2916521592530472</c:v>
                </c:pt>
                <c:pt idx="5">
                  <c:v>9.612194889166922</c:v>
                </c:pt>
              </c:numCache>
            </c:numRef>
          </c:val>
          <c:extLst>
            <c:ext xmlns:c16="http://schemas.microsoft.com/office/drawing/2014/chart" uri="{C3380CC4-5D6E-409C-BE32-E72D297353CC}">
              <c16:uniqueId val="{00000003-9808-6F4B-A81C-7770F24AA8EA}"/>
            </c:ext>
          </c:extLst>
        </c:ser>
        <c:ser>
          <c:idx val="6"/>
          <c:order val="5"/>
          <c:tx>
            <c:strRef>
              <c:f>Dash!$B$10</c:f>
              <c:strCache>
                <c:ptCount val="1"/>
                <c:pt idx="0">
                  <c:v>Sales B</c:v>
                </c:pt>
              </c:strCache>
            </c:strRef>
          </c:tx>
          <c:spPr>
            <a:solidFill>
              <a:schemeClr val="accent1">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Dash!$C$10:$H$10</c:f>
            </c:numRef>
          </c:val>
          <c:extLst>
            <c:ext xmlns:c16="http://schemas.microsoft.com/office/drawing/2014/chart" uri="{C3380CC4-5D6E-409C-BE32-E72D297353CC}">
              <c16:uniqueId val="{00000006-9808-6F4B-A81C-7770F24AA8EA}"/>
            </c:ext>
          </c:extLst>
        </c:ser>
        <c:ser>
          <c:idx val="7"/>
          <c:order val="6"/>
          <c:tx>
            <c:strRef>
              <c:f>Dash!$B$11</c:f>
              <c:strCache>
                <c:ptCount val="1"/>
                <c:pt idx="0">
                  <c:v>- Costs of goods sold</c:v>
                </c:pt>
              </c:strCache>
            </c:strRef>
          </c:tx>
          <c:spPr>
            <a:solidFill>
              <a:schemeClr val="accent2">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Dash!$C$11:$H$11</c:f>
            </c:numRef>
          </c:val>
          <c:extLst>
            <c:ext xmlns:c16="http://schemas.microsoft.com/office/drawing/2014/chart" uri="{C3380CC4-5D6E-409C-BE32-E72D297353CC}">
              <c16:uniqueId val="{00000007-9808-6F4B-A81C-7770F24AA8EA}"/>
            </c:ext>
          </c:extLst>
        </c:ser>
        <c:ser>
          <c:idx val="8"/>
          <c:order val="7"/>
          <c:tx>
            <c:strRef>
              <c:f>Dash!$B$12</c:f>
              <c:strCache>
                <c:ptCount val="1"/>
                <c:pt idx="0">
                  <c:v>- Variables S&amp;A expenses</c:v>
                </c:pt>
              </c:strCache>
            </c:strRef>
          </c:tx>
          <c:spPr>
            <a:solidFill>
              <a:schemeClr val="accent3">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Dash!$C$12:$H$12</c:f>
            </c:numRef>
          </c:val>
          <c:extLst>
            <c:ext xmlns:c16="http://schemas.microsoft.com/office/drawing/2014/chart" uri="{C3380CC4-5D6E-409C-BE32-E72D297353CC}">
              <c16:uniqueId val="{00000008-9808-6F4B-A81C-7770F24AA8EA}"/>
            </c:ext>
          </c:extLst>
        </c:ser>
        <c:ser>
          <c:idx val="9"/>
          <c:order val="8"/>
          <c:tx>
            <c:strRef>
              <c:f>Dash!$B$13</c:f>
              <c:strCache>
                <c:ptCount val="1"/>
              </c:strCache>
            </c:strRef>
          </c:tx>
          <c:spPr>
            <a:solidFill>
              <a:schemeClr val="accent4">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Dash!$C$13:$H$13</c:f>
            </c:numRef>
          </c:val>
          <c:extLst>
            <c:ext xmlns:c16="http://schemas.microsoft.com/office/drawing/2014/chart" uri="{C3380CC4-5D6E-409C-BE32-E72D297353CC}">
              <c16:uniqueId val="{00000009-9808-6F4B-A81C-7770F24AA8EA}"/>
            </c:ext>
          </c:extLst>
        </c:ser>
        <c:ser>
          <c:idx val="10"/>
          <c:order val="9"/>
          <c:tx>
            <c:strRef>
              <c:f>Dash!$B$14</c:f>
              <c:strCache>
                <c:ptCount val="1"/>
                <c:pt idx="0">
                  <c:v>Contribution margin B</c:v>
                </c:pt>
              </c:strCache>
            </c:strRef>
          </c:tx>
          <c:spPr>
            <a:solidFill>
              <a:schemeClr val="accent5">
                <a:lumMod val="60000"/>
              </a:schemeClr>
            </a:solidFill>
            <a:ln>
              <a:noFill/>
            </a:ln>
            <a:effectLst/>
          </c:spPr>
          <c:invertIfNegative val="0"/>
          <c:cat>
            <c:numRef>
              <c:f>Dash!$C$3:$H$3</c:f>
              <c:numCache>
                <c:formatCode>General</c:formatCode>
                <c:ptCount val="6"/>
                <c:pt idx="0">
                  <c:v>1</c:v>
                </c:pt>
                <c:pt idx="1">
                  <c:v>2</c:v>
                </c:pt>
                <c:pt idx="2">
                  <c:v>3</c:v>
                </c:pt>
                <c:pt idx="3">
                  <c:v>4</c:v>
                </c:pt>
                <c:pt idx="4">
                  <c:v>5</c:v>
                </c:pt>
                <c:pt idx="5">
                  <c:v>6</c:v>
                </c:pt>
              </c:numCache>
            </c:numRef>
          </c:cat>
          <c:val>
            <c:numRef>
              <c:f>Dash!$C$14:$H$14</c:f>
              <c:numCache>
                <c:formatCode>0.00</c:formatCode>
                <c:ptCount val="6"/>
                <c:pt idx="0">
                  <c:v>1.5416271951219507</c:v>
                </c:pt>
                <c:pt idx="1">
                  <c:v>1.5821354329268296</c:v>
                </c:pt>
                <c:pt idx="2">
                  <c:v>1.5878713996951221</c:v>
                </c:pt>
                <c:pt idx="3">
                  <c:v>1.6000018477286591</c:v>
                </c:pt>
                <c:pt idx="4">
                  <c:v>1.6204800010907014</c:v>
                </c:pt>
                <c:pt idx="5">
                  <c:v>1.6486893791940167</c:v>
                </c:pt>
              </c:numCache>
            </c:numRef>
          </c:val>
          <c:extLst>
            <c:ext xmlns:c16="http://schemas.microsoft.com/office/drawing/2014/chart" uri="{C3380CC4-5D6E-409C-BE32-E72D297353CC}">
              <c16:uniqueId val="{0000000A-9808-6F4B-A81C-7770F24AA8EA}"/>
            </c:ext>
          </c:extLst>
        </c:ser>
        <c:dLbls>
          <c:showLegendKey val="0"/>
          <c:showVal val="0"/>
          <c:showCatName val="0"/>
          <c:showSerName val="0"/>
          <c:showPercent val="0"/>
          <c:showBubbleSize val="0"/>
        </c:dLbls>
        <c:gapWidth val="219"/>
        <c:overlap val="-27"/>
        <c:axId val="956878591"/>
        <c:axId val="956880591"/>
      </c:barChart>
      <c:lineChart>
        <c:grouping val="standard"/>
        <c:varyColors val="0"/>
        <c:ser>
          <c:idx val="5"/>
          <c:order val="4"/>
          <c:tx>
            <c:strRef>
              <c:f>Dash!$B$9</c:f>
              <c:strCache>
                <c:ptCount val="1"/>
                <c:pt idx="0">
                  <c:v>Contribution ratio A @ sales</c:v>
                </c:pt>
              </c:strCache>
            </c:strRef>
          </c:tx>
          <c:spPr>
            <a:ln w="28575" cap="rnd">
              <a:solidFill>
                <a:schemeClr val="accent6"/>
              </a:solidFill>
              <a:round/>
            </a:ln>
            <a:effectLst/>
          </c:spPr>
          <c:marker>
            <c:symbol val="none"/>
          </c:marker>
          <c:cat>
            <c:numRef>
              <c:f>Dash!$C$3:$H$3</c:f>
              <c:numCache>
                <c:formatCode>General</c:formatCode>
                <c:ptCount val="6"/>
                <c:pt idx="0">
                  <c:v>1</c:v>
                </c:pt>
                <c:pt idx="1">
                  <c:v>2</c:v>
                </c:pt>
                <c:pt idx="2">
                  <c:v>3</c:v>
                </c:pt>
                <c:pt idx="3">
                  <c:v>4</c:v>
                </c:pt>
                <c:pt idx="4">
                  <c:v>5</c:v>
                </c:pt>
                <c:pt idx="5">
                  <c:v>6</c:v>
                </c:pt>
              </c:numCache>
            </c:numRef>
          </c:cat>
          <c:val>
            <c:numRef>
              <c:f>Dash!$C$9:$H$9</c:f>
              <c:numCache>
                <c:formatCode>0.0%</c:formatCode>
                <c:ptCount val="6"/>
                <c:pt idx="0">
                  <c:v>0.30716999816156237</c:v>
                </c:pt>
                <c:pt idx="1">
                  <c:v>0.33854559360853803</c:v>
                </c:pt>
                <c:pt idx="2">
                  <c:v>0.33068260056972842</c:v>
                </c:pt>
                <c:pt idx="3">
                  <c:v>0.32407974374582826</c:v>
                </c:pt>
                <c:pt idx="4">
                  <c:v>0.3185150325346906</c:v>
                </c:pt>
                <c:pt idx="5">
                  <c:v>0.31381251485879702</c:v>
                </c:pt>
              </c:numCache>
            </c:numRef>
          </c:val>
          <c:smooth val="0"/>
          <c:extLst>
            <c:ext xmlns:c16="http://schemas.microsoft.com/office/drawing/2014/chart" uri="{C3380CC4-5D6E-409C-BE32-E72D297353CC}">
              <c16:uniqueId val="{00000005-9808-6F4B-A81C-7770F24AA8EA}"/>
            </c:ext>
          </c:extLst>
        </c:ser>
        <c:ser>
          <c:idx val="12"/>
          <c:order val="10"/>
          <c:tx>
            <c:strRef>
              <c:f>Dash!$B$16</c:f>
              <c:strCache>
                <c:ptCount val="1"/>
                <c:pt idx="0">
                  <c:v>Contribution ratio B @ sales</c:v>
                </c:pt>
              </c:strCache>
            </c:strRef>
          </c:tx>
          <c:spPr>
            <a:ln w="28575" cap="rnd">
              <a:solidFill>
                <a:schemeClr val="accent1">
                  <a:lumMod val="80000"/>
                  <a:lumOff val="20000"/>
                </a:schemeClr>
              </a:solidFill>
              <a:round/>
            </a:ln>
            <a:effectLst/>
          </c:spPr>
          <c:marker>
            <c:symbol val="none"/>
          </c:marker>
          <c:cat>
            <c:numRef>
              <c:f>Dash!$C$3:$H$3</c:f>
              <c:numCache>
                <c:formatCode>General</c:formatCode>
                <c:ptCount val="6"/>
                <c:pt idx="0">
                  <c:v>1</c:v>
                </c:pt>
                <c:pt idx="1">
                  <c:v>2</c:v>
                </c:pt>
                <c:pt idx="2">
                  <c:v>3</c:v>
                </c:pt>
                <c:pt idx="3">
                  <c:v>4</c:v>
                </c:pt>
                <c:pt idx="4">
                  <c:v>5</c:v>
                </c:pt>
                <c:pt idx="5">
                  <c:v>6</c:v>
                </c:pt>
              </c:numCache>
            </c:numRef>
          </c:cat>
          <c:val>
            <c:numRef>
              <c:f>Dash!$C$16:$H$16</c:f>
              <c:numCache>
                <c:formatCode>0.0%</c:formatCode>
                <c:ptCount val="6"/>
                <c:pt idx="0">
                  <c:v>0.35037857653758403</c:v>
                </c:pt>
                <c:pt idx="1">
                  <c:v>0.34246211846353064</c:v>
                </c:pt>
                <c:pt idx="2">
                  <c:v>0.32733685785870098</c:v>
                </c:pt>
                <c:pt idx="3">
                  <c:v>0.31413097913535309</c:v>
                </c:pt>
                <c:pt idx="4">
                  <c:v>0.30300141759181964</c:v>
                </c:pt>
                <c:pt idx="5">
                  <c:v>0.29359626467415123</c:v>
                </c:pt>
              </c:numCache>
            </c:numRef>
          </c:val>
          <c:smooth val="0"/>
          <c:extLst>
            <c:ext xmlns:c16="http://schemas.microsoft.com/office/drawing/2014/chart" uri="{C3380CC4-5D6E-409C-BE32-E72D297353CC}">
              <c16:uniqueId val="{0000000C-9808-6F4B-A81C-7770F24AA8EA}"/>
            </c:ext>
          </c:extLst>
        </c:ser>
        <c:dLbls>
          <c:showLegendKey val="0"/>
          <c:showVal val="0"/>
          <c:showCatName val="0"/>
          <c:showSerName val="0"/>
          <c:showPercent val="0"/>
          <c:showBubbleSize val="0"/>
        </c:dLbls>
        <c:marker val="1"/>
        <c:smooth val="0"/>
        <c:axId val="955558207"/>
        <c:axId val="955555919"/>
      </c:lineChart>
      <c:catAx>
        <c:axId val="95687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6880591"/>
        <c:crosses val="autoZero"/>
        <c:auto val="1"/>
        <c:lblAlgn val="ctr"/>
        <c:lblOffset val="100"/>
        <c:noMultiLvlLbl val="0"/>
      </c:catAx>
      <c:valAx>
        <c:axId val="9568805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6878591"/>
        <c:crosses val="autoZero"/>
        <c:crossBetween val="between"/>
      </c:valAx>
      <c:valAx>
        <c:axId val="955555919"/>
        <c:scaling>
          <c:orientation val="minMax"/>
        </c:scaling>
        <c:delete val="0"/>
        <c:axPos val="r"/>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crossAx val="955558207"/>
        <c:crosses val="max"/>
        <c:crossBetween val="between"/>
      </c:valAx>
      <c:catAx>
        <c:axId val="955558207"/>
        <c:scaling>
          <c:orientation val="minMax"/>
        </c:scaling>
        <c:delete val="1"/>
        <c:axPos val="b"/>
        <c:numFmt formatCode="General" sourceLinked="1"/>
        <c:majorTickMark val="none"/>
        <c:minorTickMark val="none"/>
        <c:tickLblPos val="nextTo"/>
        <c:crossAx val="9555559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Break-even</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KR"/>
        </a:p>
      </c:txPr>
    </c:title>
    <c:autoTitleDeleted val="0"/>
    <c:plotArea>
      <c:layout/>
      <c:barChart>
        <c:barDir val="col"/>
        <c:grouping val="clustered"/>
        <c:varyColors val="0"/>
        <c:ser>
          <c:idx val="0"/>
          <c:order val="0"/>
          <c:tx>
            <c:strRef>
              <c:f>Dash!$B$24</c:f>
              <c:strCache>
                <c:ptCount val="1"/>
                <c:pt idx="0">
                  <c:v>Break-even quantity A (in million)
          Fixed Cost / (Unit CM)</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Dash!$C$24:$H$24</c:f>
              <c:numCache>
                <c:formatCode>_(* #,##0.00_);_(* \(#,##0.00\);_(* "-"??_);_(@_)</c:formatCode>
                <c:ptCount val="6"/>
                <c:pt idx="0">
                  <c:v>0.29961141632051452</c:v>
                </c:pt>
                <c:pt idx="1">
                  <c:v>0.37152033457741201</c:v>
                </c:pt>
                <c:pt idx="2">
                  <c:v>0.38035436999241534</c:v>
                </c:pt>
                <c:pt idx="3">
                  <c:v>0.38810377579722349</c:v>
                </c:pt>
                <c:pt idx="4">
                  <c:v>0.39488425775776781</c:v>
                </c:pt>
                <c:pt idx="5">
                  <c:v>0.40080164509610772</c:v>
                </c:pt>
              </c:numCache>
            </c:numRef>
          </c:val>
          <c:extLst>
            <c:ext xmlns:c16="http://schemas.microsoft.com/office/drawing/2014/chart" uri="{C3380CC4-5D6E-409C-BE32-E72D297353CC}">
              <c16:uniqueId val="{00000006-5BC4-D149-AE9D-DDBA271450EA}"/>
            </c:ext>
          </c:extLst>
        </c:ser>
        <c:ser>
          <c:idx val="1"/>
          <c:order val="1"/>
          <c:tx>
            <c:strRef>
              <c:f>Dash!$B$25</c:f>
              <c:strCache>
                <c:ptCount val="1"/>
                <c:pt idx="0">
                  <c:v>Break-even euro A (in million)
          Fixed Cost / (Unit CM ratio)</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Dash!$C$25:$H$25</c:f>
              <c:numCache>
                <c:formatCode>_(* #,##0.00_);_(* \(#,##0.00\);_(* "-"??_);_(@_)</c:formatCode>
                <c:ptCount val="6"/>
                <c:pt idx="0">
                  <c:v>2.3968613694224845</c:v>
                </c:pt>
                <c:pt idx="1">
                  <c:v>2.1747259935993939</c:v>
                </c:pt>
                <c:pt idx="2">
                  <c:v>2.2264367740260909</c:v>
                </c:pt>
                <c:pt idx="3">
                  <c:v>2.2717985824391773</c:v>
                </c:pt>
                <c:pt idx="4">
                  <c:v>2.3114887124168546</c:v>
                </c:pt>
                <c:pt idx="5">
                  <c:v>2.3461266443446482</c:v>
                </c:pt>
              </c:numCache>
            </c:numRef>
          </c:val>
          <c:extLst>
            <c:ext xmlns:c16="http://schemas.microsoft.com/office/drawing/2014/chart" uri="{C3380CC4-5D6E-409C-BE32-E72D297353CC}">
              <c16:uniqueId val="{00000007-5BC4-D149-AE9D-DDBA271450EA}"/>
            </c:ext>
          </c:extLst>
        </c:ser>
        <c:ser>
          <c:idx val="4"/>
          <c:order val="2"/>
          <c:tx>
            <c:strRef>
              <c:f>Dash!$B$28</c:f>
              <c:strCache>
                <c:ptCount val="1"/>
                <c:pt idx="0">
                  <c:v>Break-even quantity B (in million)
Fixed Cost / (Unit CM)</c:v>
                </c:pt>
              </c:strCache>
            </c:strRef>
          </c:tx>
          <c:spPr>
            <a:solidFill>
              <a:schemeClr val="accent3">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Dash!$C$28:$H$28</c:f>
              <c:numCache>
                <c:formatCode>_(* #,##0.00_);_(* \(#,##0.00\);_(* "-"??_);_(@_)</c:formatCode>
                <c:ptCount val="6"/>
                <c:pt idx="0">
                  <c:v>0.14094311371050058</c:v>
                </c:pt>
                <c:pt idx="1">
                  <c:v>0.7345521602092504</c:v>
                </c:pt>
                <c:pt idx="2">
                  <c:v>0.76849362626866191</c:v>
                </c:pt>
                <c:pt idx="3">
                  <c:v>0.80080063927356804</c:v>
                </c:pt>
                <c:pt idx="4">
                  <c:v>0.8302148910936783</c:v>
                </c:pt>
                <c:pt idx="5">
                  <c:v>0.85681024990700505</c:v>
                </c:pt>
              </c:numCache>
            </c:numRef>
          </c:val>
          <c:extLst>
            <c:ext xmlns:c16="http://schemas.microsoft.com/office/drawing/2014/chart" uri="{C3380CC4-5D6E-409C-BE32-E72D297353CC}">
              <c16:uniqueId val="{0000000A-5BC4-D149-AE9D-DDBA271450EA}"/>
            </c:ext>
          </c:extLst>
        </c:ser>
        <c:ser>
          <c:idx val="5"/>
          <c:order val="3"/>
          <c:tx>
            <c:strRef>
              <c:f>Dash!$B$29</c:f>
              <c:strCache>
                <c:ptCount val="1"/>
                <c:pt idx="0">
                  <c:v>Break-even euro B (in million)
          Fixed Cost / (Unit CM ratio)</c:v>
                </c:pt>
              </c:strCache>
            </c:strRef>
          </c:tx>
          <c:spPr>
            <a:solidFill>
              <a:schemeClr val="accent5">
                <a:lumMod val="60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Dash!$C$29:$H$29</c:f>
              <c:numCache>
                <c:formatCode>_(* #,##0.00_);_(* \(#,##0.00\);_(* "-"??_);_(@_)</c:formatCode>
                <c:ptCount val="6"/>
                <c:pt idx="0">
                  <c:v>0.56375836053063122</c:v>
                </c:pt>
                <c:pt idx="1">
                  <c:v>0.57679036957461283</c:v>
                </c:pt>
                <c:pt idx="2">
                  <c:v>0.60344213348302633</c:v>
                </c:pt>
                <c:pt idx="3">
                  <c:v>0.62881048032124598</c:v>
                </c:pt>
                <c:pt idx="4">
                  <c:v>0.65190735226189744</c:v>
                </c:pt>
                <c:pt idx="5">
                  <c:v>0.6727907526109459</c:v>
                </c:pt>
              </c:numCache>
            </c:numRef>
          </c:val>
          <c:extLst>
            <c:ext xmlns:c16="http://schemas.microsoft.com/office/drawing/2014/chart" uri="{C3380CC4-5D6E-409C-BE32-E72D297353CC}">
              <c16:uniqueId val="{0000000B-5BC4-D149-AE9D-DDBA271450EA}"/>
            </c:ext>
          </c:extLst>
        </c:ser>
        <c:dLbls>
          <c:showLegendKey val="0"/>
          <c:showVal val="1"/>
          <c:showCatName val="0"/>
          <c:showSerName val="0"/>
          <c:showPercent val="0"/>
          <c:showBubbleSize val="0"/>
        </c:dLbls>
        <c:gapWidth val="150"/>
        <c:overlap val="-25"/>
        <c:axId val="956365055"/>
        <c:axId val="950207007"/>
      </c:barChart>
      <c:catAx>
        <c:axId val="956365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KR"/>
          </a:p>
        </c:txPr>
        <c:crossAx val="950207007"/>
        <c:crosses val="autoZero"/>
        <c:auto val="1"/>
        <c:lblAlgn val="ctr"/>
        <c:lblOffset val="100"/>
        <c:noMultiLvlLbl val="0"/>
      </c:catAx>
      <c:valAx>
        <c:axId val="950207007"/>
        <c:scaling>
          <c:orientation val="minMax"/>
        </c:scaling>
        <c:delete val="1"/>
        <c:axPos val="l"/>
        <c:numFmt formatCode="_(* #,##0.00_);_(* \(#,##0.00\);_(* &quot;-&quot;??_);_(@_)" sourceLinked="1"/>
        <c:majorTickMark val="none"/>
        <c:minorTickMark val="none"/>
        <c:tickLblPos val="nextTo"/>
        <c:crossAx val="9563650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R"/>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fmlaLink="actual" lockText="1" noThreeD="1"/>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438786</xdr:colOff>
      <xdr:row>41</xdr:row>
      <xdr:rowOff>99676</xdr:rowOff>
    </xdr:from>
    <xdr:to>
      <xdr:col>4</xdr:col>
      <xdr:colOff>23283</xdr:colOff>
      <xdr:row>59</xdr:row>
      <xdr:rowOff>179917</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74867</xdr:colOff>
      <xdr:row>37</xdr:row>
      <xdr:rowOff>0</xdr:rowOff>
    </xdr:from>
    <xdr:to>
      <xdr:col>13</xdr:col>
      <xdr:colOff>412750</xdr:colOff>
      <xdr:row>62</xdr:row>
      <xdr:rowOff>19049</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139700</xdr:colOff>
          <xdr:row>2</xdr:row>
          <xdr:rowOff>114300</xdr:rowOff>
        </xdr:from>
        <xdr:to>
          <xdr:col>4</xdr:col>
          <xdr:colOff>12700</xdr:colOff>
          <xdr:row>4</xdr:row>
          <xdr:rowOff>88900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Actual level</a:t>
              </a:r>
            </a:p>
          </xdr:txBody>
        </xdr:sp>
        <xdr:clientData fLock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714F5-1C7F-4136-BC45-C0D8A74B0D61}">
  <dimension ref="A2:E29"/>
  <sheetViews>
    <sheetView tabSelected="1" zoomScaleNormal="100" workbookViewId="0">
      <selection activeCell="G10" sqref="G10"/>
    </sheetView>
  </sheetViews>
  <sheetFormatPr baseColWidth="10" defaultColWidth="9" defaultRowHeight="16" x14ac:dyDescent="0.2"/>
  <cols>
    <col min="1" max="1" width="5.6640625" style="5" customWidth="1"/>
    <col min="2" max="2" width="19" style="5" customWidth="1"/>
    <col min="3" max="3" width="66.6640625" style="5" customWidth="1"/>
    <col min="4" max="4" width="13" style="5" customWidth="1"/>
    <col min="5" max="5" width="11.6640625" style="5" customWidth="1"/>
    <col min="6" max="16384" width="9" style="5"/>
  </cols>
  <sheetData>
    <row r="2" spans="1:5" ht="20" x14ac:dyDescent="0.2">
      <c r="B2" s="43" t="s">
        <v>207</v>
      </c>
    </row>
    <row r="4" spans="1:5" ht="17" x14ac:dyDescent="0.2">
      <c r="B4" s="6" t="s">
        <v>0</v>
      </c>
      <c r="C4" s="6" t="s">
        <v>0</v>
      </c>
      <c r="D4" s="6" t="s">
        <v>0</v>
      </c>
      <c r="E4" s="6" t="s">
        <v>0</v>
      </c>
    </row>
    <row r="5" spans="1:5" ht="18" x14ac:dyDescent="0.2">
      <c r="B5" s="7" t="s">
        <v>1</v>
      </c>
      <c r="C5" s="7"/>
      <c r="D5" s="7"/>
      <c r="E5" s="6" t="s">
        <v>0</v>
      </c>
    </row>
    <row r="6" spans="1:5" ht="17" x14ac:dyDescent="0.2">
      <c r="B6" s="6" t="s">
        <v>0</v>
      </c>
      <c r="C6" s="6" t="s">
        <v>0</v>
      </c>
      <c r="D6" s="6" t="s">
        <v>0</v>
      </c>
      <c r="E6" s="6" t="s">
        <v>0</v>
      </c>
    </row>
    <row r="7" spans="1:5" ht="57" customHeight="1" x14ac:dyDescent="0.2">
      <c r="B7" s="17" t="s">
        <v>2</v>
      </c>
      <c r="C7" s="6" t="s">
        <v>3</v>
      </c>
      <c r="E7" s="6" t="s">
        <v>0</v>
      </c>
    </row>
    <row r="8" spans="1:5" ht="36" customHeight="1" x14ac:dyDescent="0.2">
      <c r="B8" s="17" t="s">
        <v>4</v>
      </c>
      <c r="C8" s="6" t="s">
        <v>5</v>
      </c>
      <c r="E8" s="6" t="s">
        <v>0</v>
      </c>
    </row>
    <row r="9" spans="1:5" ht="17" x14ac:dyDescent="0.2">
      <c r="B9" s="6" t="s">
        <v>0</v>
      </c>
      <c r="C9" s="6" t="s">
        <v>0</v>
      </c>
      <c r="D9" s="6" t="s">
        <v>0</v>
      </c>
      <c r="E9" s="6" t="s">
        <v>0</v>
      </c>
    </row>
    <row r="10" spans="1:5" ht="68" x14ac:dyDescent="0.2">
      <c r="B10" s="17" t="s">
        <v>236</v>
      </c>
      <c r="C10" s="6" t="s">
        <v>237</v>
      </c>
      <c r="D10" s="6"/>
      <c r="E10" s="6"/>
    </row>
    <row r="11" spans="1:5" x14ac:dyDescent="0.2">
      <c r="B11" s="6"/>
      <c r="C11" s="6"/>
      <c r="D11" s="6"/>
      <c r="E11" s="6"/>
    </row>
    <row r="12" spans="1:5" ht="17" x14ac:dyDescent="0.2">
      <c r="B12" s="8" t="s">
        <v>6</v>
      </c>
      <c r="C12" s="8"/>
      <c r="D12" s="8"/>
      <c r="E12" s="6" t="s">
        <v>0</v>
      </c>
    </row>
    <row r="13" spans="1:5" ht="17" x14ac:dyDescent="0.2">
      <c r="B13" s="8" t="s">
        <v>0</v>
      </c>
      <c r="C13" s="6" t="s">
        <v>0</v>
      </c>
      <c r="D13" s="6" t="s">
        <v>0</v>
      </c>
      <c r="E13" s="6" t="s">
        <v>0</v>
      </c>
    </row>
    <row r="14" spans="1:5" ht="17" x14ac:dyDescent="0.2">
      <c r="A14" s="9" t="s">
        <v>7</v>
      </c>
      <c r="B14" s="10" t="s">
        <v>8</v>
      </c>
      <c r="C14" s="10" t="s">
        <v>9</v>
      </c>
      <c r="D14" s="10" t="s">
        <v>10</v>
      </c>
    </row>
    <row r="15" spans="1:5" ht="17" x14ac:dyDescent="0.2">
      <c r="A15" s="11">
        <v>1</v>
      </c>
      <c r="B15" s="12" t="s">
        <v>11</v>
      </c>
      <c r="C15" s="13" t="s">
        <v>12</v>
      </c>
      <c r="D15" s="14" t="s">
        <v>0</v>
      </c>
    </row>
    <row r="16" spans="1:5" ht="17" x14ac:dyDescent="0.2">
      <c r="A16" s="11">
        <v>2</v>
      </c>
      <c r="B16" s="12" t="s">
        <v>13</v>
      </c>
      <c r="C16" s="13" t="s">
        <v>14</v>
      </c>
      <c r="D16" s="15" t="s">
        <v>0</v>
      </c>
    </row>
    <row r="17" spans="1:5" ht="17" x14ac:dyDescent="0.2">
      <c r="A17" s="11">
        <v>3</v>
      </c>
      <c r="B17" s="12" t="s">
        <v>15</v>
      </c>
      <c r="C17" s="13" t="s">
        <v>16</v>
      </c>
      <c r="D17" s="16" t="s">
        <v>0</v>
      </c>
    </row>
    <row r="18" spans="1:5" ht="17" x14ac:dyDescent="0.2">
      <c r="A18" s="9">
        <v>4</v>
      </c>
      <c r="B18" s="99" t="s">
        <v>238</v>
      </c>
      <c r="C18" s="9" t="s">
        <v>239</v>
      </c>
      <c r="D18" s="100"/>
    </row>
    <row r="19" spans="1:5" ht="17" x14ac:dyDescent="0.2">
      <c r="A19" s="9">
        <v>5</v>
      </c>
      <c r="B19" s="99" t="s">
        <v>229</v>
      </c>
      <c r="C19" s="9" t="s">
        <v>240</v>
      </c>
      <c r="D19" s="101"/>
    </row>
    <row r="20" spans="1:5" ht="17" x14ac:dyDescent="0.2">
      <c r="A20" s="6" t="s">
        <v>0</v>
      </c>
      <c r="B20" s="6" t="s">
        <v>0</v>
      </c>
      <c r="C20" s="6" t="s">
        <v>0</v>
      </c>
      <c r="D20" s="6" t="s">
        <v>0</v>
      </c>
    </row>
    <row r="21" spans="1:5" ht="18" x14ac:dyDescent="0.2">
      <c r="A21" s="7" t="s">
        <v>17</v>
      </c>
      <c r="B21" s="7"/>
      <c r="C21" s="6" t="s">
        <v>0</v>
      </c>
      <c r="D21" s="6" t="s">
        <v>0</v>
      </c>
    </row>
    <row r="22" spans="1:5" ht="85" x14ac:dyDescent="0.2">
      <c r="A22" s="6" t="s">
        <v>0</v>
      </c>
      <c r="B22" s="6" t="s">
        <v>0</v>
      </c>
      <c r="C22" s="6" t="s">
        <v>18</v>
      </c>
      <c r="D22" s="6" t="s">
        <v>0</v>
      </c>
    </row>
    <row r="23" spans="1:5" ht="13" customHeight="1" x14ac:dyDescent="0.2">
      <c r="A23" s="6" t="s">
        <v>0</v>
      </c>
      <c r="D23" s="6" t="s">
        <v>0</v>
      </c>
    </row>
    <row r="24" spans="1:5" ht="17" x14ac:dyDescent="0.2">
      <c r="B24" s="107" t="s">
        <v>245</v>
      </c>
      <c r="C24" s="8"/>
      <c r="D24" s="8"/>
      <c r="E24" s="6" t="s">
        <v>0</v>
      </c>
    </row>
    <row r="25" spans="1:5" ht="19" customHeight="1" x14ac:dyDescent="0.2">
      <c r="B25" s="107" t="s">
        <v>244</v>
      </c>
      <c r="D25" s="8"/>
      <c r="E25" s="6" t="s">
        <v>0</v>
      </c>
    </row>
    <row r="27" spans="1:5" ht="18" x14ac:dyDescent="0.2">
      <c r="B27" s="105" t="s">
        <v>242</v>
      </c>
      <c r="C27" s="105"/>
    </row>
    <row r="28" spans="1:5" ht="18" x14ac:dyDescent="0.2">
      <c r="B28" s="106" t="s">
        <v>246</v>
      </c>
      <c r="C28" s="106"/>
    </row>
    <row r="29" spans="1:5" ht="18" x14ac:dyDescent="0.2">
      <c r="B29" s="106" t="s">
        <v>243</v>
      </c>
    </row>
  </sheetData>
  <sheetProtection algorithmName="SHA-512" hashValue="7mUt0IC44kCt4Bnp4ABzTVuuRR07z3GJOjaykJ+q/tb3kaD2xoCN/YRKcc17LfJdgYfZV+qnw5kSscwpcji4Xg==" saltValue="GBaHLGCNUC7NhikN3cNS6Q==" spinCount="100000" sheet="1" objects="1" scenarios="1" select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BBC53-5F7E-45C5-B156-167649FA9FEE}">
  <sheetPr>
    <tabColor theme="7"/>
  </sheetPr>
  <dimension ref="B1:O61"/>
  <sheetViews>
    <sheetView workbookViewId="0">
      <selection activeCell="F7" sqref="F7"/>
    </sheetView>
  </sheetViews>
  <sheetFormatPr baseColWidth="10" defaultColWidth="9" defaultRowHeight="16" x14ac:dyDescent="0.2"/>
  <cols>
    <col min="1" max="1" width="9" style="5"/>
    <col min="2" max="2" width="41.1640625" style="5" customWidth="1"/>
    <col min="3" max="3" width="9.1640625" style="5" bestFit="1" customWidth="1"/>
    <col min="4" max="4" width="10.1640625" style="5" bestFit="1" customWidth="1"/>
    <col min="5" max="5" width="9" style="5"/>
    <col min="6" max="6" width="9.1640625" style="5" bestFit="1" customWidth="1"/>
    <col min="7" max="16384" width="9" style="5"/>
  </cols>
  <sheetData>
    <row r="1" spans="2:14" ht="20" x14ac:dyDescent="0.2">
      <c r="B1" s="43" t="str">
        <f>'Start here'!B2</f>
        <v>HasName co,   by elie diwambuena</v>
      </c>
    </row>
    <row r="3" spans="2:14" x14ac:dyDescent="0.2">
      <c r="B3" s="5" t="s">
        <v>19</v>
      </c>
      <c r="C3" s="5">
        <v>1000000</v>
      </c>
    </row>
    <row r="5" spans="2:14" x14ac:dyDescent="0.2">
      <c r="C5" s="112" t="s">
        <v>20</v>
      </c>
      <c r="D5" s="112"/>
      <c r="E5" s="112"/>
      <c r="F5" s="112"/>
      <c r="G5" s="112"/>
      <c r="H5" s="112"/>
    </row>
    <row r="6" spans="2:14" ht="18" x14ac:dyDescent="0.2">
      <c r="B6" s="19" t="s">
        <v>21</v>
      </c>
      <c r="C6" s="20">
        <v>1</v>
      </c>
      <c r="D6" s="20">
        <v>2</v>
      </c>
      <c r="E6" s="20">
        <v>3</v>
      </c>
      <c r="F6" s="20">
        <v>4</v>
      </c>
      <c r="G6" s="20">
        <v>5</v>
      </c>
      <c r="H6" s="20">
        <v>6</v>
      </c>
    </row>
    <row r="7" spans="2:14" x14ac:dyDescent="0.2">
      <c r="B7" s="110" t="s">
        <v>231</v>
      </c>
      <c r="C7" s="111" cm="1">
        <f t="array" ref="C7">3000000/unit</f>
        <v>3</v>
      </c>
      <c r="D7" s="108">
        <v>0.05</v>
      </c>
      <c r="E7" s="108">
        <v>0.05</v>
      </c>
      <c r="F7" s="108">
        <v>0.05</v>
      </c>
      <c r="G7" s="108">
        <v>0.05</v>
      </c>
      <c r="H7" s="108">
        <v>0.05</v>
      </c>
      <c r="J7" s="27"/>
      <c r="K7" s="27"/>
      <c r="L7" s="27"/>
      <c r="M7" s="27"/>
      <c r="N7" s="27"/>
    </row>
    <row r="8" spans="2:14" x14ac:dyDescent="0.2">
      <c r="B8" s="110" t="s">
        <v>232</v>
      </c>
      <c r="C8" s="111" cm="1">
        <f t="array" ref="C8">1100000/unit</f>
        <v>1.1000000000000001</v>
      </c>
      <c r="D8" s="108">
        <v>0.05</v>
      </c>
      <c r="E8" s="108">
        <v>0.05</v>
      </c>
      <c r="F8" s="108">
        <v>0.05</v>
      </c>
      <c r="G8" s="108">
        <v>0.05</v>
      </c>
      <c r="H8" s="108">
        <v>0.05</v>
      </c>
    </row>
    <row r="9" spans="2:14" x14ac:dyDescent="0.2">
      <c r="B9" s="18"/>
      <c r="C9" s="26"/>
      <c r="D9" s="27"/>
      <c r="E9" s="27"/>
      <c r="F9" s="27"/>
      <c r="G9" s="27"/>
      <c r="H9" s="27"/>
    </row>
    <row r="10" spans="2:14" x14ac:dyDescent="0.2">
      <c r="B10" s="18" t="s">
        <v>22</v>
      </c>
      <c r="C10" s="46">
        <v>8</v>
      </c>
      <c r="D10" s="46">
        <v>8</v>
      </c>
      <c r="E10" s="46">
        <v>8</v>
      </c>
      <c r="F10" s="46">
        <v>8</v>
      </c>
      <c r="G10" s="46">
        <v>8</v>
      </c>
      <c r="H10" s="46">
        <v>8</v>
      </c>
    </row>
    <row r="11" spans="2:14" x14ac:dyDescent="0.2">
      <c r="B11" s="18" t="s">
        <v>23</v>
      </c>
      <c r="C11" s="47">
        <v>4</v>
      </c>
      <c r="D11" s="47">
        <v>4</v>
      </c>
      <c r="E11" s="47">
        <v>4</v>
      </c>
      <c r="F11" s="47">
        <v>4</v>
      </c>
      <c r="G11" s="47">
        <v>4</v>
      </c>
      <c r="H11" s="47">
        <v>4</v>
      </c>
    </row>
    <row r="12" spans="2:14" x14ac:dyDescent="0.2">
      <c r="B12" s="18"/>
      <c r="D12" s="23"/>
      <c r="E12" s="23"/>
      <c r="F12" s="23"/>
      <c r="G12" s="23"/>
      <c r="H12" s="23"/>
    </row>
    <row r="13" spans="2:14" x14ac:dyDescent="0.2">
      <c r="B13" s="18" t="s">
        <v>24</v>
      </c>
      <c r="C13" s="28">
        <v>0.9</v>
      </c>
      <c r="D13" s="113" t="s">
        <v>25</v>
      </c>
      <c r="E13" s="23"/>
      <c r="F13" s="23"/>
      <c r="G13" s="23"/>
      <c r="H13" s="23"/>
    </row>
    <row r="14" spans="2:14" x14ac:dyDescent="0.2">
      <c r="B14" s="18" t="s">
        <v>26</v>
      </c>
      <c r="C14" s="29">
        <v>0.05</v>
      </c>
      <c r="D14" s="113"/>
      <c r="E14" s="23"/>
      <c r="F14" s="23"/>
      <c r="G14" s="23"/>
      <c r="H14" s="23"/>
    </row>
    <row r="15" spans="2:14" x14ac:dyDescent="0.2">
      <c r="B15" s="18" t="s">
        <v>27</v>
      </c>
      <c r="C15" s="29">
        <v>0.05</v>
      </c>
      <c r="D15" s="113"/>
      <c r="E15" s="23"/>
      <c r="F15" s="23"/>
      <c r="G15" s="23"/>
      <c r="H15" s="23"/>
    </row>
    <row r="16" spans="2:14" x14ac:dyDescent="0.2">
      <c r="B16" s="18"/>
      <c r="C16" s="29"/>
      <c r="D16" s="30"/>
      <c r="E16" s="23"/>
      <c r="F16" s="23"/>
      <c r="G16" s="23"/>
      <c r="H16" s="23"/>
    </row>
    <row r="17" spans="2:9" x14ac:dyDescent="0.2">
      <c r="B17" s="18" t="s">
        <v>28</v>
      </c>
      <c r="C17" s="29">
        <v>1E-4</v>
      </c>
      <c r="D17" s="29">
        <v>1E-4</v>
      </c>
      <c r="E17" s="29">
        <v>1E-4</v>
      </c>
      <c r="F17" s="29">
        <v>1E-4</v>
      </c>
      <c r="G17" s="29">
        <v>1E-4</v>
      </c>
      <c r="H17" s="29">
        <v>1E-4</v>
      </c>
    </row>
    <row r="18" spans="2:9" x14ac:dyDescent="0.2">
      <c r="B18" s="18"/>
      <c r="D18" s="23"/>
      <c r="E18" s="23"/>
      <c r="F18" s="23"/>
      <c r="G18" s="23"/>
      <c r="H18" s="23"/>
    </row>
    <row r="19" spans="2:9" x14ac:dyDescent="0.2">
      <c r="B19" s="33" t="s">
        <v>29</v>
      </c>
      <c r="C19" s="20">
        <v>1</v>
      </c>
      <c r="D19" s="20">
        <v>2</v>
      </c>
      <c r="E19" s="20">
        <v>3</v>
      </c>
      <c r="F19" s="20">
        <v>4</v>
      </c>
      <c r="G19" s="20">
        <v>5</v>
      </c>
      <c r="H19" s="20">
        <v>6</v>
      </c>
    </row>
    <row r="20" spans="2:9" x14ac:dyDescent="0.2">
      <c r="B20" s="18" t="s">
        <v>30</v>
      </c>
      <c r="C20" s="34">
        <v>0.01</v>
      </c>
      <c r="D20" s="34">
        <v>0.01</v>
      </c>
      <c r="E20" s="34">
        <v>0.01</v>
      </c>
      <c r="F20" s="34">
        <v>0.01</v>
      </c>
      <c r="G20" s="34">
        <v>0.01</v>
      </c>
      <c r="H20" s="34">
        <v>0.01</v>
      </c>
      <c r="I20" s="34"/>
    </row>
    <row r="21" spans="2:9" x14ac:dyDescent="0.2">
      <c r="B21" s="18" t="s">
        <v>31</v>
      </c>
      <c r="C21" s="5">
        <v>1.5</v>
      </c>
      <c r="D21" s="5">
        <v>1.5</v>
      </c>
      <c r="E21" s="5">
        <v>1.5</v>
      </c>
      <c r="F21" s="5">
        <v>1.5</v>
      </c>
      <c r="G21" s="5">
        <v>1.5</v>
      </c>
      <c r="H21" s="5">
        <v>1.5</v>
      </c>
    </row>
    <row r="22" spans="2:9" x14ac:dyDescent="0.2">
      <c r="B22" s="18" t="s">
        <v>32</v>
      </c>
      <c r="C22" s="5">
        <v>0.5</v>
      </c>
      <c r="D22" s="5">
        <v>0.5</v>
      </c>
      <c r="E22" s="5">
        <v>0.5</v>
      </c>
      <c r="F22" s="5">
        <v>0.5</v>
      </c>
      <c r="G22" s="5">
        <v>0.5</v>
      </c>
      <c r="H22" s="5">
        <v>0.5</v>
      </c>
    </row>
    <row r="23" spans="2:9" x14ac:dyDescent="0.2">
      <c r="B23" s="18" t="s">
        <v>33</v>
      </c>
      <c r="C23" s="34">
        <v>0.1</v>
      </c>
      <c r="D23" s="34">
        <v>0.1</v>
      </c>
      <c r="E23" s="34">
        <v>0.1</v>
      </c>
      <c r="F23" s="34">
        <v>0.1</v>
      </c>
      <c r="G23" s="34">
        <v>0.1</v>
      </c>
      <c r="H23" s="34">
        <v>0.1</v>
      </c>
    </row>
    <row r="24" spans="2:9" x14ac:dyDescent="0.2">
      <c r="B24" s="18" t="s">
        <v>34</v>
      </c>
      <c r="C24" s="5">
        <v>2</v>
      </c>
      <c r="D24" s="5">
        <v>2</v>
      </c>
      <c r="E24" s="5">
        <v>2</v>
      </c>
      <c r="F24" s="5">
        <v>2</v>
      </c>
      <c r="G24" s="5">
        <v>2</v>
      </c>
      <c r="H24" s="5">
        <v>2</v>
      </c>
    </row>
    <row r="25" spans="2:9" x14ac:dyDescent="0.2">
      <c r="B25" s="18" t="s">
        <v>35</v>
      </c>
      <c r="C25" s="5">
        <v>0.7</v>
      </c>
      <c r="D25" s="5">
        <v>0.7</v>
      </c>
      <c r="E25" s="5">
        <v>0.7</v>
      </c>
      <c r="F25" s="5">
        <v>0.7</v>
      </c>
      <c r="G25" s="5">
        <v>0.7</v>
      </c>
      <c r="H25" s="5">
        <v>0.7</v>
      </c>
    </row>
    <row r="26" spans="2:9" x14ac:dyDescent="0.2">
      <c r="B26" s="18"/>
      <c r="D26" s="23"/>
      <c r="E26" s="23"/>
      <c r="F26" s="23"/>
      <c r="G26" s="23"/>
      <c r="H26" s="23"/>
    </row>
    <row r="27" spans="2:9" x14ac:dyDescent="0.2">
      <c r="B27" s="18" t="s">
        <v>36</v>
      </c>
      <c r="C27" s="34">
        <v>0.8</v>
      </c>
      <c r="D27" s="23"/>
      <c r="E27" s="23"/>
      <c r="F27" s="23"/>
      <c r="G27" s="23"/>
      <c r="H27" s="23"/>
    </row>
    <row r="28" spans="2:9" x14ac:dyDescent="0.2">
      <c r="B28" s="18" t="s">
        <v>37</v>
      </c>
      <c r="C28" s="34">
        <v>0.1</v>
      </c>
      <c r="D28" s="23"/>
      <c r="E28" s="23"/>
      <c r="F28" s="23"/>
      <c r="G28" s="23"/>
      <c r="H28" s="23"/>
    </row>
    <row r="29" spans="2:9" x14ac:dyDescent="0.2">
      <c r="B29" s="18" t="s">
        <v>38</v>
      </c>
      <c r="C29" s="34">
        <v>0.1</v>
      </c>
      <c r="D29" s="23"/>
      <c r="E29" s="23"/>
      <c r="F29" s="23"/>
      <c r="G29" s="23"/>
      <c r="H29" s="23"/>
    </row>
    <row r="30" spans="2:9" x14ac:dyDescent="0.2">
      <c r="B30" s="18"/>
      <c r="D30" s="23"/>
      <c r="E30" s="23"/>
      <c r="F30" s="23"/>
      <c r="G30" s="23"/>
      <c r="H30" s="23"/>
    </row>
    <row r="31" spans="2:9" x14ac:dyDescent="0.2">
      <c r="B31" s="18"/>
      <c r="D31" s="23"/>
      <c r="E31" s="23"/>
      <c r="F31" s="23"/>
      <c r="G31" s="23"/>
      <c r="H31" s="23"/>
    </row>
    <row r="32" spans="2:9" x14ac:dyDescent="0.2">
      <c r="B32" s="18"/>
      <c r="D32" s="23"/>
      <c r="E32" s="23"/>
      <c r="F32" s="23"/>
      <c r="G32" s="23"/>
      <c r="H32" s="23"/>
    </row>
    <row r="33" spans="2:8" x14ac:dyDescent="0.2">
      <c r="B33" s="33" t="s">
        <v>39</v>
      </c>
      <c r="C33" s="20">
        <f>C19</f>
        <v>1</v>
      </c>
      <c r="D33" s="20">
        <f t="shared" ref="D33:H33" si="0">D19</f>
        <v>2</v>
      </c>
      <c r="E33" s="20">
        <f t="shared" si="0"/>
        <v>3</v>
      </c>
      <c r="F33" s="20">
        <f t="shared" si="0"/>
        <v>4</v>
      </c>
      <c r="G33" s="20">
        <f t="shared" si="0"/>
        <v>5</v>
      </c>
      <c r="H33" s="20">
        <f t="shared" si="0"/>
        <v>6</v>
      </c>
    </row>
    <row r="34" spans="2:8" x14ac:dyDescent="0.2">
      <c r="B34" s="18" t="s">
        <v>40</v>
      </c>
      <c r="C34" s="5">
        <v>144</v>
      </c>
      <c r="D34" s="5">
        <v>144</v>
      </c>
      <c r="E34" s="5">
        <v>144</v>
      </c>
      <c r="F34" s="5">
        <v>150</v>
      </c>
      <c r="G34" s="5">
        <v>150</v>
      </c>
      <c r="H34" s="5">
        <v>150</v>
      </c>
    </row>
    <row r="35" spans="2:8" x14ac:dyDescent="0.2">
      <c r="B35" s="18" t="s">
        <v>41</v>
      </c>
      <c r="C35" s="5">
        <v>10</v>
      </c>
      <c r="D35" s="5">
        <v>10</v>
      </c>
      <c r="E35" s="5">
        <v>10</v>
      </c>
      <c r="F35" s="5">
        <v>10</v>
      </c>
      <c r="G35" s="5">
        <v>10</v>
      </c>
      <c r="H35" s="5">
        <v>10</v>
      </c>
    </row>
    <row r="36" spans="2:8" x14ac:dyDescent="0.2">
      <c r="B36" s="18" t="s">
        <v>42</v>
      </c>
      <c r="C36" s="5">
        <v>20</v>
      </c>
      <c r="D36" s="5">
        <v>20</v>
      </c>
      <c r="E36" s="5">
        <v>20</v>
      </c>
      <c r="F36" s="5">
        <v>21</v>
      </c>
      <c r="G36" s="5">
        <v>21</v>
      </c>
      <c r="H36" s="5">
        <v>21</v>
      </c>
    </row>
    <row r="38" spans="2:8" x14ac:dyDescent="0.2">
      <c r="B38" s="18" t="s">
        <v>43</v>
      </c>
      <c r="C38" s="5">
        <v>64</v>
      </c>
      <c r="D38" s="5">
        <v>64</v>
      </c>
      <c r="E38" s="5">
        <v>64</v>
      </c>
      <c r="F38" s="5">
        <v>64</v>
      </c>
      <c r="G38" s="5">
        <v>64</v>
      </c>
      <c r="H38" s="5">
        <v>64</v>
      </c>
    </row>
    <row r="39" spans="2:8" x14ac:dyDescent="0.2">
      <c r="B39" s="18" t="s">
        <v>44</v>
      </c>
      <c r="C39" s="5">
        <v>10</v>
      </c>
      <c r="D39" s="5">
        <v>10</v>
      </c>
      <c r="E39" s="5">
        <v>10</v>
      </c>
      <c r="F39" s="5">
        <v>10</v>
      </c>
      <c r="G39" s="5">
        <v>10</v>
      </c>
      <c r="H39" s="5">
        <v>10</v>
      </c>
    </row>
    <row r="40" spans="2:8" x14ac:dyDescent="0.2">
      <c r="B40" s="18" t="s">
        <v>42</v>
      </c>
      <c r="C40" s="5">
        <v>5</v>
      </c>
      <c r="D40" s="5">
        <v>5</v>
      </c>
      <c r="E40" s="5">
        <v>5</v>
      </c>
      <c r="F40" s="5">
        <v>5</v>
      </c>
      <c r="G40" s="5">
        <v>5</v>
      </c>
      <c r="H40" s="5">
        <v>5</v>
      </c>
    </row>
    <row r="41" spans="2:8" x14ac:dyDescent="0.2">
      <c r="B41" s="18"/>
      <c r="D41" s="23"/>
      <c r="E41" s="23"/>
      <c r="F41" s="23"/>
      <c r="G41" s="23"/>
      <c r="H41" s="23"/>
    </row>
    <row r="42" spans="2:8" x14ac:dyDescent="0.2">
      <c r="B42" s="18"/>
      <c r="D42" s="23"/>
      <c r="E42" s="23"/>
      <c r="F42" s="23"/>
      <c r="G42" s="23"/>
      <c r="H42" s="23"/>
    </row>
    <row r="43" spans="2:8" x14ac:dyDescent="0.2">
      <c r="B43" s="18" t="s">
        <v>45</v>
      </c>
      <c r="C43" s="5">
        <v>5</v>
      </c>
      <c r="D43" s="5">
        <v>5</v>
      </c>
      <c r="E43" s="5">
        <v>5</v>
      </c>
      <c r="F43" s="5">
        <v>5</v>
      </c>
      <c r="G43" s="5">
        <v>5</v>
      </c>
      <c r="H43" s="5">
        <v>5</v>
      </c>
    </row>
    <row r="44" spans="2:8" x14ac:dyDescent="0.2">
      <c r="B44" s="18"/>
    </row>
    <row r="45" spans="2:8" x14ac:dyDescent="0.2">
      <c r="B45" s="18" t="s">
        <v>46</v>
      </c>
      <c r="C45" s="5" cm="1">
        <f t="array" ref="C45">1200/unit</f>
        <v>1.1999999999999999E-3</v>
      </c>
      <c r="D45" s="5" cm="1">
        <f t="array" ref="D45">1200/unit</f>
        <v>1.1999999999999999E-3</v>
      </c>
      <c r="E45" s="5" cm="1">
        <f t="array" ref="E45">1200/unit</f>
        <v>1.1999999999999999E-3</v>
      </c>
      <c r="F45" s="5" cm="1">
        <f t="array" ref="F45">1200/unit</f>
        <v>1.1999999999999999E-3</v>
      </c>
      <c r="G45" s="5" cm="1">
        <f t="array" ref="G45">1200/unit</f>
        <v>1.1999999999999999E-3</v>
      </c>
      <c r="H45" s="5" cm="1">
        <f t="array" ref="H45">1200/unit</f>
        <v>1.1999999999999999E-3</v>
      </c>
    </row>
    <row r="46" spans="2:8" x14ac:dyDescent="0.2">
      <c r="B46" s="18" t="s">
        <v>47</v>
      </c>
      <c r="C46" s="5" cm="1">
        <f t="array" ref="C46">5000/unit</f>
        <v>5.0000000000000001E-3</v>
      </c>
      <c r="D46" s="5" cm="1">
        <f t="array" ref="D46">5000/unit</f>
        <v>5.0000000000000001E-3</v>
      </c>
      <c r="E46" s="5" cm="1">
        <f t="array" ref="E46">5000/unit</f>
        <v>5.0000000000000001E-3</v>
      </c>
      <c r="F46" s="5" cm="1">
        <f t="array" ref="F46">5000/unit</f>
        <v>5.0000000000000001E-3</v>
      </c>
      <c r="G46" s="5" cm="1">
        <f t="array" ref="G46">5000/unit</f>
        <v>5.0000000000000001E-3</v>
      </c>
      <c r="H46" s="5" cm="1">
        <f t="array" ref="H46">5000/unit</f>
        <v>5.0000000000000001E-3</v>
      </c>
    </row>
    <row r="47" spans="2:8" x14ac:dyDescent="0.2">
      <c r="B47" s="49" t="s">
        <v>48</v>
      </c>
    </row>
    <row r="48" spans="2:8" x14ac:dyDescent="0.2">
      <c r="B48" s="18"/>
      <c r="D48" s="23"/>
      <c r="E48" s="23"/>
      <c r="F48" s="23"/>
      <c r="G48" s="23"/>
      <c r="H48" s="23"/>
    </row>
    <row r="49" spans="2:15" x14ac:dyDescent="0.2">
      <c r="B49" s="18"/>
      <c r="D49" s="23"/>
      <c r="E49" s="23"/>
      <c r="F49" s="23"/>
      <c r="G49" s="23"/>
      <c r="H49" s="23"/>
    </row>
    <row r="50" spans="2:15" x14ac:dyDescent="0.2">
      <c r="B50" s="33" t="s">
        <v>49</v>
      </c>
      <c r="C50" s="20">
        <f>C33</f>
        <v>1</v>
      </c>
      <c r="D50" s="20">
        <f t="shared" ref="D50:H50" si="1">D33</f>
        <v>2</v>
      </c>
      <c r="E50" s="20">
        <f t="shared" si="1"/>
        <v>3</v>
      </c>
      <c r="F50" s="20">
        <f t="shared" si="1"/>
        <v>4</v>
      </c>
      <c r="G50" s="20">
        <f t="shared" si="1"/>
        <v>5</v>
      </c>
      <c r="H50" s="20">
        <f t="shared" si="1"/>
        <v>6</v>
      </c>
    </row>
    <row r="51" spans="2:15" x14ac:dyDescent="0.2">
      <c r="B51" s="18" t="s">
        <v>50</v>
      </c>
      <c r="C51" s="5">
        <v>0.25</v>
      </c>
      <c r="D51" s="5">
        <v>0.25</v>
      </c>
      <c r="E51" s="5">
        <v>0.25</v>
      </c>
      <c r="F51" s="5">
        <v>0.25</v>
      </c>
      <c r="G51" s="5">
        <v>0.25</v>
      </c>
      <c r="H51" s="5">
        <v>0.25</v>
      </c>
    </row>
    <row r="52" spans="2:15" x14ac:dyDescent="0.2">
      <c r="B52" s="18" t="s">
        <v>51</v>
      </c>
      <c r="C52" s="5">
        <v>0.08</v>
      </c>
      <c r="D52" s="5">
        <v>0.08</v>
      </c>
      <c r="E52" s="5">
        <v>0.08</v>
      </c>
      <c r="F52" s="5">
        <v>0.08</v>
      </c>
      <c r="G52" s="5">
        <v>0.08</v>
      </c>
      <c r="H52" s="5">
        <v>0.08</v>
      </c>
    </row>
    <row r="53" spans="2:15" x14ac:dyDescent="0.2">
      <c r="B53" s="18"/>
      <c r="D53" s="23"/>
      <c r="E53" s="23"/>
      <c r="F53" s="23"/>
      <c r="G53" s="23"/>
      <c r="H53" s="23"/>
    </row>
    <row r="54" spans="2:15" x14ac:dyDescent="0.2">
      <c r="B54" s="18"/>
      <c r="D54" s="23"/>
      <c r="E54" s="23"/>
      <c r="F54" s="23"/>
      <c r="G54" s="23"/>
      <c r="H54" s="23"/>
    </row>
    <row r="55" spans="2:15" x14ac:dyDescent="0.2">
      <c r="B55" s="33" t="s">
        <v>52</v>
      </c>
      <c r="C55" s="20">
        <f>C50</f>
        <v>1</v>
      </c>
      <c r="D55" s="20">
        <f t="shared" ref="D55:H55" si="2">D50</f>
        <v>2</v>
      </c>
      <c r="E55" s="20">
        <f t="shared" si="2"/>
        <v>3</v>
      </c>
      <c r="F55" s="20">
        <f t="shared" si="2"/>
        <v>4</v>
      </c>
      <c r="G55" s="20">
        <f t="shared" si="2"/>
        <v>5</v>
      </c>
      <c r="H55" s="20">
        <f t="shared" si="2"/>
        <v>6</v>
      </c>
    </row>
    <row r="57" spans="2:15" x14ac:dyDescent="0.2">
      <c r="B57" s="1" t="s">
        <v>53</v>
      </c>
      <c r="C57" s="50">
        <v>4</v>
      </c>
      <c r="D57" s="50">
        <v>4.5</v>
      </c>
      <c r="E57" s="50">
        <v>5</v>
      </c>
      <c r="F57" s="50">
        <v>5.5</v>
      </c>
      <c r="G57" s="50">
        <v>6</v>
      </c>
      <c r="H57" s="50">
        <v>6.5</v>
      </c>
      <c r="J57" s="50"/>
      <c r="K57" s="50"/>
      <c r="L57" s="50"/>
      <c r="M57" s="50"/>
      <c r="N57" s="50"/>
      <c r="O57" s="50"/>
    </row>
    <row r="58" spans="2:15" x14ac:dyDescent="0.2">
      <c r="B58" s="1" t="s">
        <v>54</v>
      </c>
      <c r="C58" s="50">
        <v>5</v>
      </c>
      <c r="D58" s="50">
        <f>C58*1.05</f>
        <v>5.25</v>
      </c>
      <c r="E58" s="50">
        <f t="shared" ref="E58" si="3">D58*1.05</f>
        <v>5.5125000000000002</v>
      </c>
      <c r="F58" s="50">
        <f t="shared" ref="F58" si="4">E58*1.05</f>
        <v>5.7881250000000009</v>
      </c>
      <c r="G58" s="50">
        <f t="shared" ref="G58" si="5">F58*1.05</f>
        <v>6.0775312500000007</v>
      </c>
      <c r="H58" s="50">
        <f t="shared" ref="H58" si="6">G58*1.05</f>
        <v>6.3814078125000009</v>
      </c>
      <c r="J58" s="50"/>
      <c r="K58" s="50"/>
      <c r="L58" s="50"/>
      <c r="M58" s="50"/>
      <c r="N58" s="50"/>
      <c r="O58" s="50"/>
    </row>
    <row r="59" spans="2:15" x14ac:dyDescent="0.2">
      <c r="B59" s="1" t="s">
        <v>55</v>
      </c>
      <c r="C59" s="50">
        <v>1</v>
      </c>
      <c r="D59" s="50">
        <v>1</v>
      </c>
      <c r="E59" s="50">
        <v>1</v>
      </c>
      <c r="F59" s="50">
        <v>1</v>
      </c>
      <c r="G59" s="50">
        <v>1</v>
      </c>
      <c r="H59" s="50">
        <v>1</v>
      </c>
    </row>
    <row r="60" spans="2:15" x14ac:dyDescent="0.2">
      <c r="B60" s="1"/>
      <c r="C60" s="44"/>
    </row>
    <row r="61" spans="2:15" x14ac:dyDescent="0.2">
      <c r="B61" s="1"/>
      <c r="C61" s="44"/>
    </row>
  </sheetData>
  <sheetProtection algorithmName="SHA-512" hashValue="h5+95BJFlZMk0KBhphuKS9nUqpurKjb2eft/8TPOUGbHF7rgmbVAp+am2jFkF85V2UuVasDYLq0OQxS2VG/Odg==" saltValue="g0iiILoD9mNGwTYwHM/T7g==" spinCount="100000" sheet="1" objects="1" scenarios="1" selectLockedCells="1"/>
  <mergeCells count="2">
    <mergeCell ref="C5:H5"/>
    <mergeCell ref="D13: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36C78-20CB-4B1D-BC24-F85E6A8135DA}">
  <sheetPr>
    <tabColor rgb="FF00B050"/>
  </sheetPr>
  <dimension ref="B1:I35"/>
  <sheetViews>
    <sheetView zoomScaleNormal="100" workbookViewId="0">
      <selection activeCell="G1" sqref="G1"/>
    </sheetView>
  </sheetViews>
  <sheetFormatPr baseColWidth="10" defaultColWidth="9" defaultRowHeight="16" x14ac:dyDescent="0.2"/>
  <cols>
    <col min="1" max="1" width="9" style="5"/>
    <col min="2" max="2" width="46.5" style="5" customWidth="1"/>
    <col min="3" max="8" width="13.6640625" style="5" customWidth="1"/>
    <col min="9" max="9" width="14.6640625" style="5" customWidth="1"/>
    <col min="10" max="16384" width="9" style="5"/>
  </cols>
  <sheetData>
    <row r="1" spans="2:8" ht="20" x14ac:dyDescent="0.2">
      <c r="B1" s="60" t="str">
        <f>Input!B1</f>
        <v>HasName co,   by elie diwambuena</v>
      </c>
      <c r="D1" s="104" t="s">
        <v>241</v>
      </c>
      <c r="E1" s="102"/>
      <c r="F1" s="102"/>
      <c r="G1" s="109" t="b">
        <v>0</v>
      </c>
    </row>
    <row r="3" spans="2:8" x14ac:dyDescent="0.2">
      <c r="C3" s="112" t="str">
        <f>Input!C5</f>
        <v>6-MONTHS PLAN</v>
      </c>
      <c r="D3" s="112"/>
      <c r="E3" s="112"/>
      <c r="F3" s="112"/>
      <c r="G3" s="112"/>
      <c r="H3" s="112"/>
    </row>
    <row r="4" spans="2:8" ht="20" x14ac:dyDescent="0.2">
      <c r="B4" s="42" t="str">
        <f>"Sales budgeting  (in "&amp;Input!C3&amp; ")"</f>
        <v>Sales budgeting  (in 1000000)</v>
      </c>
      <c r="C4" s="20">
        <f>Input!C6</f>
        <v>1</v>
      </c>
      <c r="D4" s="20">
        <f>Input!D6</f>
        <v>2</v>
      </c>
      <c r="E4" s="20">
        <f>Input!E6</f>
        <v>3</v>
      </c>
      <c r="F4" s="20">
        <f>Input!F6</f>
        <v>4</v>
      </c>
      <c r="G4" s="20">
        <f>Input!G6</f>
        <v>5</v>
      </c>
      <c r="H4" s="20">
        <f>Input!H6</f>
        <v>6</v>
      </c>
    </row>
    <row r="5" spans="2:8" x14ac:dyDescent="0.2">
      <c r="B5" s="1" t="s">
        <v>56</v>
      </c>
      <c r="C5" s="92">
        <f>IF(actual=FALSE,Input!C7,Actuals!C7)</f>
        <v>3</v>
      </c>
      <c r="D5" s="86">
        <f>IF(actual=FALSE,C5*(1+Input!D7),C5*(1+Actuals!D7))</f>
        <v>3.1500000000000004</v>
      </c>
      <c r="E5" s="86">
        <f>IF(actual=FALSE,D5*(1+Input!E7),D5*(1+Actuals!E7))</f>
        <v>3.3075000000000006</v>
      </c>
      <c r="F5" s="86">
        <f>IF(actual=FALSE,E5*(1+Input!F7),E5*(1+Actuals!F7))</f>
        <v>3.4728750000000006</v>
      </c>
      <c r="G5" s="86">
        <f>IF(actual=FALSE,F5*(1+Input!G7),F5*(1+Actuals!G7))</f>
        <v>3.6465187500000007</v>
      </c>
      <c r="H5" s="86">
        <f>IF(actual=FALSE,G5*(1+Input!H7),G5*(1+Actuals!H7))</f>
        <v>3.8288446875000011</v>
      </c>
    </row>
    <row r="6" spans="2:8" x14ac:dyDescent="0.2">
      <c r="B6" s="24" t="s">
        <v>57</v>
      </c>
      <c r="C6" s="87">
        <f>Input!C8</f>
        <v>1.1000000000000001</v>
      </c>
      <c r="D6" s="87">
        <f>C6*(1+Input!D8)</f>
        <v>1.1550000000000002</v>
      </c>
      <c r="E6" s="87">
        <f>D6*(1+Input!E8)</f>
        <v>1.2127500000000002</v>
      </c>
      <c r="F6" s="87">
        <f>E6*(1+Input!F8)</f>
        <v>1.2733875000000003</v>
      </c>
      <c r="G6" s="87">
        <f>F6*(1+Input!G8)</f>
        <v>1.3370568750000005</v>
      </c>
      <c r="H6" s="87">
        <f>G6*(1+Input!H8)</f>
        <v>1.4039097187500005</v>
      </c>
    </row>
    <row r="7" spans="2:8" x14ac:dyDescent="0.2">
      <c r="B7" s="5" t="s">
        <v>58</v>
      </c>
      <c r="C7" s="85">
        <f>SUM(C5:C6)</f>
        <v>4.0999999999999996</v>
      </c>
      <c r="D7" s="85">
        <f t="shared" ref="D7:H7" si="0">SUM(D5:D6)</f>
        <v>4.3050000000000006</v>
      </c>
      <c r="E7" s="85">
        <f t="shared" si="0"/>
        <v>4.5202500000000008</v>
      </c>
      <c r="F7" s="85">
        <f t="shared" si="0"/>
        <v>4.7462625000000012</v>
      </c>
      <c r="G7" s="85">
        <f t="shared" si="0"/>
        <v>4.9835756250000012</v>
      </c>
      <c r="H7" s="85">
        <f t="shared" si="0"/>
        <v>5.2327544062500015</v>
      </c>
    </row>
    <row r="8" spans="2:8" x14ac:dyDescent="0.2">
      <c r="C8" s="85"/>
      <c r="D8" s="85"/>
      <c r="E8" s="85"/>
      <c r="F8" s="85"/>
      <c r="G8" s="85"/>
      <c r="H8" s="93"/>
    </row>
    <row r="9" spans="2:8" x14ac:dyDescent="0.2">
      <c r="B9" s="5" t="s">
        <v>59</v>
      </c>
      <c r="C9" s="85">
        <f>C5*Input!C10</f>
        <v>24</v>
      </c>
      <c r="D9" s="85">
        <f>D5*Input!D10</f>
        <v>25.200000000000003</v>
      </c>
      <c r="E9" s="85">
        <f>E5*Input!E10</f>
        <v>26.460000000000004</v>
      </c>
      <c r="F9" s="85">
        <f>F5*Input!F10</f>
        <v>27.783000000000005</v>
      </c>
      <c r="G9" s="85">
        <f>G5*Input!G10</f>
        <v>29.172150000000006</v>
      </c>
      <c r="H9" s="85">
        <f>H5*Input!H10</f>
        <v>30.630757500000009</v>
      </c>
    </row>
    <row r="10" spans="2:8" x14ac:dyDescent="0.2">
      <c r="B10" s="20" t="s">
        <v>60</v>
      </c>
      <c r="C10" s="84">
        <f>C6*Input!C11</f>
        <v>4.4000000000000004</v>
      </c>
      <c r="D10" s="84">
        <f>D6*Input!D11</f>
        <v>4.620000000000001</v>
      </c>
      <c r="E10" s="84">
        <f>E6*Input!E11</f>
        <v>4.8510000000000009</v>
      </c>
      <c r="F10" s="84">
        <f>F6*Input!F11</f>
        <v>5.0935500000000014</v>
      </c>
      <c r="G10" s="84">
        <f>G6*Input!G11</f>
        <v>5.3482275000000019</v>
      </c>
      <c r="H10" s="84">
        <f>H6*Input!H11</f>
        <v>5.6156388750000019</v>
      </c>
    </row>
    <row r="11" spans="2:8" x14ac:dyDescent="0.2">
      <c r="B11" s="5" t="s">
        <v>61</v>
      </c>
      <c r="C11" s="85">
        <f t="shared" ref="C11:H11" si="1">SUM(C9:C10)</f>
        <v>28.4</v>
      </c>
      <c r="D11" s="85">
        <f t="shared" si="1"/>
        <v>29.820000000000004</v>
      </c>
      <c r="E11" s="85">
        <f t="shared" si="1"/>
        <v>31.311000000000007</v>
      </c>
      <c r="F11" s="85">
        <f t="shared" si="1"/>
        <v>32.876550000000009</v>
      </c>
      <c r="G11" s="85">
        <f t="shared" si="1"/>
        <v>34.520377500000009</v>
      </c>
      <c r="H11" s="85">
        <f t="shared" si="1"/>
        <v>36.24639637500001</v>
      </c>
    </row>
    <row r="12" spans="2:8" x14ac:dyDescent="0.2">
      <c r="C12" s="25"/>
      <c r="D12" s="25"/>
      <c r="E12" s="25"/>
      <c r="F12" s="25"/>
      <c r="G12" s="25"/>
      <c r="H12" s="25"/>
    </row>
    <row r="13" spans="2:8" x14ac:dyDescent="0.2">
      <c r="D13" s="1"/>
      <c r="E13" s="1"/>
      <c r="F13" s="1"/>
      <c r="G13" s="1"/>
      <c r="H13" s="1"/>
    </row>
    <row r="14" spans="2:8" ht="18" x14ac:dyDescent="0.2">
      <c r="C14" s="114" t="s">
        <v>62</v>
      </c>
      <c r="D14" s="114"/>
      <c r="E14" s="114"/>
      <c r="F14" s="114"/>
      <c r="G14" s="114"/>
      <c r="H14" s="114"/>
    </row>
    <row r="15" spans="2:8" x14ac:dyDescent="0.2">
      <c r="B15" s="22" t="s">
        <v>63</v>
      </c>
      <c r="C15" s="20">
        <f>C4</f>
        <v>1</v>
      </c>
      <c r="D15" s="20">
        <f t="shared" ref="D15:H15" si="2">D4</f>
        <v>2</v>
      </c>
      <c r="E15" s="20">
        <f t="shared" si="2"/>
        <v>3</v>
      </c>
      <c r="F15" s="20">
        <f t="shared" si="2"/>
        <v>4</v>
      </c>
      <c r="G15" s="20">
        <f t="shared" si="2"/>
        <v>5</v>
      </c>
      <c r="H15" s="20">
        <f t="shared" si="2"/>
        <v>6</v>
      </c>
    </row>
    <row r="16" spans="2:8" x14ac:dyDescent="0.2">
      <c r="B16" s="5" t="s">
        <v>64</v>
      </c>
      <c r="C16" s="85"/>
      <c r="D16" s="85"/>
      <c r="E16" s="85"/>
      <c r="F16" s="85"/>
      <c r="G16" s="85"/>
      <c r="H16" s="85"/>
    </row>
    <row r="17" spans="2:9" x14ac:dyDescent="0.2">
      <c r="B17" s="5" t="s">
        <v>65</v>
      </c>
      <c r="C17" s="85">
        <f>C11*Input!$C$13</f>
        <v>25.56</v>
      </c>
      <c r="D17" s="85">
        <f>D11*Input!$C$13</f>
        <v>26.838000000000005</v>
      </c>
      <c r="E17" s="85">
        <f>E11*Input!$C$13</f>
        <v>28.179900000000007</v>
      </c>
      <c r="F17" s="85">
        <f>F11*Input!$C$13</f>
        <v>29.588895000000008</v>
      </c>
      <c r="G17" s="85">
        <f>G11*Input!$C$13</f>
        <v>31.06833975000001</v>
      </c>
      <c r="H17" s="85">
        <f>H11*Input!$C$13</f>
        <v>32.621756737500007</v>
      </c>
    </row>
    <row r="18" spans="2:9" x14ac:dyDescent="0.2">
      <c r="B18" s="5" t="s">
        <v>26</v>
      </c>
      <c r="C18" s="85"/>
      <c r="D18" s="86">
        <f>C11*Input!$C$14</f>
        <v>1.42</v>
      </c>
      <c r="E18" s="86">
        <f>D11*Input!$C$14</f>
        <v>1.4910000000000003</v>
      </c>
      <c r="F18" s="86">
        <f>E11*Input!$C$14</f>
        <v>1.5655500000000004</v>
      </c>
      <c r="G18" s="86">
        <f>F11*Input!$C$14</f>
        <v>1.6438275000000004</v>
      </c>
      <c r="H18" s="86">
        <f>G11*Input!$C$14</f>
        <v>1.7260188750000005</v>
      </c>
      <c r="I18" s="2">
        <f>H11*Input!$C$14</f>
        <v>1.8123198187500007</v>
      </c>
    </row>
    <row r="19" spans="2:9" x14ac:dyDescent="0.2">
      <c r="B19" s="20" t="s">
        <v>27</v>
      </c>
      <c r="C19" s="84"/>
      <c r="D19" s="87"/>
      <c r="E19" s="84">
        <f>C11*Input!$C$15</f>
        <v>1.42</v>
      </c>
      <c r="F19" s="84">
        <f>D11*Input!$C$15</f>
        <v>1.4910000000000003</v>
      </c>
      <c r="G19" s="84">
        <f>E11*Input!$C$15</f>
        <v>1.5655500000000004</v>
      </c>
      <c r="H19" s="84">
        <f>F11*Input!$C$15</f>
        <v>1.6438275000000004</v>
      </c>
      <c r="I19" s="31">
        <f>G11*Input!$C$15</f>
        <v>1.7260188750000005</v>
      </c>
    </row>
    <row r="20" spans="2:9" x14ac:dyDescent="0.2">
      <c r="B20" s="5" t="s">
        <v>66</v>
      </c>
      <c r="C20" s="85">
        <f>SUM(C16:C19)</f>
        <v>25.56</v>
      </c>
      <c r="D20" s="85">
        <f t="shared" ref="D20:H20" si="3">SUM(D16:D19)</f>
        <v>28.258000000000003</v>
      </c>
      <c r="E20" s="85">
        <f t="shared" si="3"/>
        <v>31.090900000000005</v>
      </c>
      <c r="F20" s="85">
        <f t="shared" si="3"/>
        <v>32.645445000000009</v>
      </c>
      <c r="G20" s="85">
        <f t="shared" si="3"/>
        <v>34.277717250000009</v>
      </c>
      <c r="H20" s="85">
        <f t="shared" si="3"/>
        <v>35.991603112500009</v>
      </c>
    </row>
    <row r="21" spans="2:9" x14ac:dyDescent="0.2">
      <c r="D21" s="1"/>
      <c r="H21" s="1"/>
    </row>
    <row r="22" spans="2:9" x14ac:dyDescent="0.2">
      <c r="D22" s="1"/>
      <c r="H22" s="1"/>
    </row>
    <row r="25" spans="2:9" ht="18" x14ac:dyDescent="0.2">
      <c r="C25" s="114" t="s">
        <v>62</v>
      </c>
      <c r="D25" s="114"/>
      <c r="E25" s="114"/>
      <c r="F25" s="114"/>
      <c r="G25" s="114"/>
      <c r="H25" s="114"/>
    </row>
    <row r="26" spans="2:9" ht="20" x14ac:dyDescent="0.2">
      <c r="B26" s="42" t="s">
        <v>67</v>
      </c>
      <c r="C26" s="20">
        <f>C15</f>
        <v>1</v>
      </c>
      <c r="D26" s="20">
        <f t="shared" ref="D26:H26" si="4">D15</f>
        <v>2</v>
      </c>
      <c r="E26" s="20">
        <f t="shared" si="4"/>
        <v>3</v>
      </c>
      <c r="F26" s="20">
        <f t="shared" si="4"/>
        <v>4</v>
      </c>
      <c r="G26" s="20">
        <f t="shared" si="4"/>
        <v>5</v>
      </c>
      <c r="H26" s="20">
        <f t="shared" si="4"/>
        <v>6</v>
      </c>
    </row>
    <row r="27" spans="2:9" x14ac:dyDescent="0.2">
      <c r="B27" s="5" t="str">
        <f>B7</f>
        <v>Total budget sales in quantity</v>
      </c>
      <c r="C27" s="85">
        <f t="shared" ref="C27:H27" si="5">C7</f>
        <v>4.0999999999999996</v>
      </c>
      <c r="D27" s="85">
        <f t="shared" si="5"/>
        <v>4.3050000000000006</v>
      </c>
      <c r="E27" s="85">
        <f t="shared" si="5"/>
        <v>4.5202500000000008</v>
      </c>
      <c r="F27" s="85">
        <f t="shared" si="5"/>
        <v>4.7462625000000012</v>
      </c>
      <c r="G27" s="85">
        <f t="shared" si="5"/>
        <v>4.9835756250000012</v>
      </c>
      <c r="H27" s="85">
        <f t="shared" si="5"/>
        <v>5.2327544062500015</v>
      </c>
    </row>
    <row r="28" spans="2:9" x14ac:dyDescent="0.2">
      <c r="B28" s="37" t="s">
        <v>68</v>
      </c>
      <c r="C28" s="84">
        <f>C27*Input!C20</f>
        <v>4.0999999999999995E-2</v>
      </c>
      <c r="D28" s="84">
        <f>D27*Input!D20</f>
        <v>4.3050000000000005E-2</v>
      </c>
      <c r="E28" s="84">
        <f>E27*Input!E20</f>
        <v>4.5202500000000007E-2</v>
      </c>
      <c r="F28" s="84">
        <f>F27*Input!F20</f>
        <v>4.7462625000000015E-2</v>
      </c>
      <c r="G28" s="84">
        <f>G27*Input!G20</f>
        <v>4.9835756250000016E-2</v>
      </c>
      <c r="H28" s="84">
        <f>H27*Input!H20</f>
        <v>5.2327544062500016E-2</v>
      </c>
    </row>
    <row r="29" spans="2:9" x14ac:dyDescent="0.2">
      <c r="B29" s="5" t="s">
        <v>69</v>
      </c>
      <c r="C29" s="85">
        <f>SUM(C27:C28)</f>
        <v>4.141</v>
      </c>
      <c r="D29" s="85">
        <f t="shared" ref="D29:H29" si="6">SUM(D27:D28)</f>
        <v>4.3480500000000006</v>
      </c>
      <c r="E29" s="85">
        <f t="shared" si="6"/>
        <v>4.565452500000001</v>
      </c>
      <c r="F29" s="85">
        <f t="shared" si="6"/>
        <v>4.7937251250000008</v>
      </c>
      <c r="G29" s="85">
        <f t="shared" si="6"/>
        <v>5.0334113812500014</v>
      </c>
      <c r="H29" s="85">
        <f t="shared" si="6"/>
        <v>5.2850819503125015</v>
      </c>
    </row>
    <row r="30" spans="2:9" x14ac:dyDescent="0.2">
      <c r="C30" s="85"/>
      <c r="D30" s="85"/>
      <c r="E30" s="85"/>
      <c r="F30" s="85"/>
      <c r="G30" s="85"/>
      <c r="H30" s="85"/>
    </row>
    <row r="31" spans="2:9" x14ac:dyDescent="0.2">
      <c r="B31" s="37" t="s">
        <v>70</v>
      </c>
      <c r="C31" s="84"/>
      <c r="D31" s="84">
        <f>-C28</f>
        <v>-4.0999999999999995E-2</v>
      </c>
      <c r="E31" s="84">
        <f t="shared" ref="E31:H31" si="7">-D28</f>
        <v>-4.3050000000000005E-2</v>
      </c>
      <c r="F31" s="84">
        <f t="shared" si="7"/>
        <v>-4.5202500000000007E-2</v>
      </c>
      <c r="G31" s="84">
        <f t="shared" si="7"/>
        <v>-4.7462625000000015E-2</v>
      </c>
      <c r="H31" s="84">
        <f t="shared" si="7"/>
        <v>-4.9835756250000016E-2</v>
      </c>
    </row>
    <row r="32" spans="2:9" x14ac:dyDescent="0.2">
      <c r="B32" s="5" t="s">
        <v>71</v>
      </c>
      <c r="C32" s="85">
        <f>C29+C31</f>
        <v>4.141</v>
      </c>
      <c r="D32" s="85">
        <f t="shared" ref="D32:H32" si="8">D29+D31</f>
        <v>4.3070500000000003</v>
      </c>
      <c r="E32" s="85">
        <f t="shared" si="8"/>
        <v>4.522402500000001</v>
      </c>
      <c r="F32" s="85">
        <f t="shared" si="8"/>
        <v>4.7485226250000006</v>
      </c>
      <c r="G32" s="85">
        <f t="shared" si="8"/>
        <v>4.9859487562500018</v>
      </c>
      <c r="H32" s="85">
        <f t="shared" si="8"/>
        <v>5.2352461940625012</v>
      </c>
    </row>
    <row r="34" spans="2:8" x14ac:dyDescent="0.2">
      <c r="B34" s="5" t="s">
        <v>72</v>
      </c>
      <c r="C34" s="40">
        <f>C5/C7</f>
        <v>0.73170731707317083</v>
      </c>
      <c r="D34" s="40"/>
      <c r="E34" s="40"/>
      <c r="F34" s="40"/>
      <c r="G34" s="40"/>
      <c r="H34" s="40"/>
    </row>
    <row r="35" spans="2:8" x14ac:dyDescent="0.2">
      <c r="B35" s="5" t="s">
        <v>73</v>
      </c>
      <c r="C35" s="40">
        <f>C6/C7</f>
        <v>0.26829268292682934</v>
      </c>
      <c r="D35" s="40"/>
      <c r="E35" s="40"/>
      <c r="F35" s="40"/>
      <c r="G35" s="40"/>
      <c r="H35" s="40"/>
    </row>
  </sheetData>
  <sheetProtection algorithmName="SHA-512" hashValue="Di5OrNXA6FBFWADsF/ON1DvtpxTtjq2LAah5SUlq/VBex1pNlRmNNEfQdLrHbkGKYn5Ccr7pqU/uZgUn4cwNTw==" saltValue="cYqEoWAkEnb94WsKn+7FFA==" spinCount="100000" sheet="1" objects="1" scenarios="1" selectLockedCells="1"/>
  <mergeCells count="3">
    <mergeCell ref="C25:H25"/>
    <mergeCell ref="C3:H3"/>
    <mergeCell ref="C14:H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BF288-712E-4841-8E56-76748DBC85BD}">
  <sheetPr>
    <tabColor rgb="FF00B050"/>
  </sheetPr>
  <dimension ref="B1:I78"/>
  <sheetViews>
    <sheetView workbookViewId="0">
      <selection activeCell="K59" sqref="K59"/>
    </sheetView>
  </sheetViews>
  <sheetFormatPr baseColWidth="10" defaultColWidth="9" defaultRowHeight="16" x14ac:dyDescent="0.2"/>
  <cols>
    <col min="1" max="1" width="9" style="5"/>
    <col min="2" max="2" width="48.1640625" style="5" customWidth="1"/>
    <col min="3" max="3" width="16.1640625" style="5" customWidth="1"/>
    <col min="4" max="4" width="18.5" style="5" customWidth="1"/>
    <col min="5" max="5" width="15.5" style="5" customWidth="1"/>
    <col min="6" max="8" width="11.6640625" style="5" customWidth="1"/>
    <col min="9" max="16384" width="9" style="5"/>
  </cols>
  <sheetData>
    <row r="1" spans="2:8" ht="20" x14ac:dyDescent="0.2">
      <c r="B1" s="60" t="str">
        <f>Input!B1</f>
        <v>HasName co,   by elie diwambuena</v>
      </c>
      <c r="D1" s="102" t="str">
        <f>'Sales &amp; Prod'!D1</f>
        <v xml:space="preserve">Show budget based on actual level of acitivy? </v>
      </c>
      <c r="E1" s="102"/>
      <c r="F1" s="102"/>
      <c r="G1" s="103" t="b">
        <f>'Sales &amp; Prod'!G1</f>
        <v>0</v>
      </c>
    </row>
    <row r="3" spans="2:8" ht="18" x14ac:dyDescent="0.2">
      <c r="C3" s="114" t="s">
        <v>62</v>
      </c>
      <c r="D3" s="114"/>
      <c r="E3" s="114"/>
      <c r="F3" s="114"/>
      <c r="G3" s="114"/>
      <c r="H3" s="114"/>
    </row>
    <row r="4" spans="2:8" ht="20" x14ac:dyDescent="0.2">
      <c r="B4" s="42" t="s">
        <v>74</v>
      </c>
      <c r="C4" s="20">
        <f>Input!C6</f>
        <v>1</v>
      </c>
      <c r="D4" s="20">
        <f>Input!D6</f>
        <v>2</v>
      </c>
      <c r="E4" s="20">
        <f>Input!E6</f>
        <v>3</v>
      </c>
      <c r="F4" s="20">
        <f>Input!F6</f>
        <v>4</v>
      </c>
      <c r="G4" s="20">
        <f>Input!G6</f>
        <v>5</v>
      </c>
      <c r="H4" s="20">
        <f>Input!H6</f>
        <v>6</v>
      </c>
    </row>
    <row r="5" spans="2:8" x14ac:dyDescent="0.2">
      <c r="B5" s="1" t="s">
        <v>75</v>
      </c>
      <c r="C5" s="86">
        <f>'Sales &amp; Prod'!$C$34*'Sales &amp; Prod'!C32</f>
        <v>3.0300000000000002</v>
      </c>
      <c r="D5" s="86">
        <f>'Sales &amp; Prod'!$C$34*'Sales &amp; Prod'!D32</f>
        <v>3.1515000000000004</v>
      </c>
      <c r="E5" s="86">
        <f>'Sales &amp; Prod'!$C$34*'Sales &amp; Prod'!E32</f>
        <v>3.3090750000000013</v>
      </c>
      <c r="F5" s="86">
        <f>'Sales &amp; Prod'!$C$34*'Sales &amp; Prod'!F32</f>
        <v>3.4745287500000011</v>
      </c>
      <c r="G5" s="86">
        <f>'Sales &amp; Prod'!$C$34*'Sales &amp; Prod'!G32</f>
        <v>3.648255187500002</v>
      </c>
      <c r="H5" s="86">
        <f>'Sales &amp; Prod'!$C$34*'Sales &amp; Prod'!H32</f>
        <v>3.8306679468750016</v>
      </c>
    </row>
    <row r="6" spans="2:8" x14ac:dyDescent="0.2">
      <c r="B6" s="1" t="s">
        <v>76</v>
      </c>
      <c r="C6" s="86">
        <f>C5*Input!C21</f>
        <v>4.5449999999999999</v>
      </c>
      <c r="D6" s="86">
        <f>D5*Input!D21</f>
        <v>4.7272500000000006</v>
      </c>
      <c r="E6" s="86">
        <f>E5*Input!E21</f>
        <v>4.9636125000000018</v>
      </c>
      <c r="F6" s="86">
        <f>F5*Input!F21</f>
        <v>5.2117931250000016</v>
      </c>
      <c r="G6" s="86">
        <f>G5*Input!G21</f>
        <v>5.472382781250003</v>
      </c>
      <c r="H6" s="86">
        <f>H5*Input!H21</f>
        <v>5.7460019203125023</v>
      </c>
    </row>
    <row r="7" spans="2:8" x14ac:dyDescent="0.2">
      <c r="B7" s="1"/>
      <c r="C7" s="86"/>
      <c r="D7" s="86"/>
      <c r="E7" s="86"/>
      <c r="F7" s="86"/>
      <c r="G7" s="86"/>
      <c r="H7" s="86"/>
    </row>
    <row r="8" spans="2:8" x14ac:dyDescent="0.2">
      <c r="B8" s="4" t="s">
        <v>77</v>
      </c>
      <c r="C8" s="86">
        <f>C6*Input!C23</f>
        <v>0.45450000000000002</v>
      </c>
      <c r="D8" s="86">
        <f>D6*Input!D23</f>
        <v>0.47272500000000006</v>
      </c>
      <c r="E8" s="86">
        <f>E6*Input!E23</f>
        <v>0.4963612500000002</v>
      </c>
      <c r="F8" s="86">
        <f>F6*Input!F23</f>
        <v>0.52117931250000016</v>
      </c>
      <c r="G8" s="86">
        <f>G6*Input!G23</f>
        <v>0.54723827812500037</v>
      </c>
      <c r="H8" s="86">
        <f>H6*Input!H23</f>
        <v>0.57460019203125023</v>
      </c>
    </row>
    <row r="9" spans="2:8" x14ac:dyDescent="0.2">
      <c r="B9" s="41" t="s">
        <v>78</v>
      </c>
      <c r="C9" s="87"/>
      <c r="D9" s="87">
        <f>-C8</f>
        <v>-0.45450000000000002</v>
      </c>
      <c r="E9" s="87">
        <f t="shared" ref="E9:H9" si="0">-D8</f>
        <v>-0.47272500000000006</v>
      </c>
      <c r="F9" s="87">
        <f t="shared" si="0"/>
        <v>-0.4963612500000002</v>
      </c>
      <c r="G9" s="87">
        <f t="shared" si="0"/>
        <v>-0.52117931250000016</v>
      </c>
      <c r="H9" s="87">
        <f t="shared" si="0"/>
        <v>-0.54723827812500037</v>
      </c>
    </row>
    <row r="10" spans="2:8" x14ac:dyDescent="0.2">
      <c r="B10" s="1" t="s">
        <v>79</v>
      </c>
      <c r="C10" s="86">
        <f>SUM(C6:C9)</f>
        <v>4.9995000000000003</v>
      </c>
      <c r="D10" s="86">
        <f t="shared" ref="D10:H10" si="1">SUM(D6:D9)</f>
        <v>4.7454749999999999</v>
      </c>
      <c r="E10" s="86">
        <f t="shared" si="1"/>
        <v>4.9872487500000027</v>
      </c>
      <c r="F10" s="86">
        <f t="shared" si="1"/>
        <v>5.2366111875000012</v>
      </c>
      <c r="G10" s="86">
        <f t="shared" si="1"/>
        <v>5.4984417468750033</v>
      </c>
      <c r="H10" s="86">
        <f t="shared" si="1"/>
        <v>5.7733638342187525</v>
      </c>
    </row>
    <row r="11" spans="2:8" x14ac:dyDescent="0.2">
      <c r="B11" s="1"/>
      <c r="C11" s="86"/>
      <c r="D11" s="86"/>
      <c r="E11" s="86"/>
      <c r="F11" s="86"/>
      <c r="G11" s="86"/>
      <c r="H11" s="86"/>
    </row>
    <row r="12" spans="2:8" x14ac:dyDescent="0.2">
      <c r="B12" s="24" t="s">
        <v>80</v>
      </c>
      <c r="C12" s="87">
        <f>IF(actual=FALSE,Input!C24,Actuals!C13)</f>
        <v>2</v>
      </c>
      <c r="D12" s="87">
        <f>IF(actual=FALSE,Input!D24,Actuals!D13)</f>
        <v>2</v>
      </c>
      <c r="E12" s="87">
        <f>IF(actual=FALSE,Input!E24,Actuals!E13)</f>
        <v>2</v>
      </c>
      <c r="F12" s="87">
        <f>IF(actual=FALSE,Input!F24,Actuals!F13)</f>
        <v>2</v>
      </c>
      <c r="G12" s="87">
        <f>IF(actual=FALSE,Input!G24,Actuals!G13)</f>
        <v>2</v>
      </c>
      <c r="H12" s="87">
        <f>IF(actual=FALSE,Input!H24,Actuals!H13)</f>
        <v>2</v>
      </c>
    </row>
    <row r="13" spans="2:8" x14ac:dyDescent="0.2">
      <c r="B13" s="1" t="s">
        <v>81</v>
      </c>
      <c r="C13" s="86">
        <f>C12*C10</f>
        <v>9.9990000000000006</v>
      </c>
      <c r="D13" s="86">
        <f t="shared" ref="D13:H13" si="2">D12*D10</f>
        <v>9.4909499999999998</v>
      </c>
      <c r="E13" s="86">
        <f t="shared" si="2"/>
        <v>9.9744975000000053</v>
      </c>
      <c r="F13" s="86">
        <f t="shared" si="2"/>
        <v>10.473222375000002</v>
      </c>
      <c r="G13" s="86">
        <f t="shared" si="2"/>
        <v>10.996883493750007</v>
      </c>
      <c r="H13" s="86">
        <f t="shared" si="2"/>
        <v>11.546727668437505</v>
      </c>
    </row>
    <row r="14" spans="2:8" x14ac:dyDescent="0.2">
      <c r="B14" s="1"/>
      <c r="C14" s="86"/>
      <c r="D14" s="86"/>
      <c r="E14" s="86"/>
      <c r="F14" s="86"/>
      <c r="G14" s="86"/>
      <c r="H14" s="86"/>
    </row>
    <row r="15" spans="2:8" x14ac:dyDescent="0.2">
      <c r="B15" s="1"/>
      <c r="C15" s="86"/>
      <c r="D15" s="86"/>
      <c r="E15" s="86"/>
      <c r="F15" s="86"/>
      <c r="G15" s="86"/>
      <c r="H15" s="86"/>
    </row>
    <row r="16" spans="2:8" x14ac:dyDescent="0.2">
      <c r="B16" s="1" t="s">
        <v>82</v>
      </c>
      <c r="C16" s="86">
        <f>'Sales &amp; Prod'!$C$35*'Sales &amp; Prod'!C32</f>
        <v>1.1110000000000002</v>
      </c>
      <c r="D16" s="86">
        <f>'Sales &amp; Prod'!$C$35*'Sales &amp; Prod'!D32</f>
        <v>1.1555500000000003</v>
      </c>
      <c r="E16" s="86">
        <f>'Sales &amp; Prod'!$C$35*'Sales &amp; Prod'!E32</f>
        <v>1.2133275000000006</v>
      </c>
      <c r="F16" s="86">
        <f>'Sales &amp; Prod'!$C$35*'Sales &amp; Prod'!F32</f>
        <v>1.2739938750000004</v>
      </c>
      <c r="G16" s="86">
        <f>'Sales &amp; Prod'!$C$35*'Sales &amp; Prod'!G32</f>
        <v>1.3376935687500009</v>
      </c>
      <c r="H16" s="86">
        <f>'Sales &amp; Prod'!$C$35*'Sales &amp; Prod'!H32</f>
        <v>1.4045782471875008</v>
      </c>
    </row>
    <row r="17" spans="2:8" x14ac:dyDescent="0.2">
      <c r="B17" s="1" t="s">
        <v>76</v>
      </c>
      <c r="C17" s="86">
        <f>Input!C22*C16</f>
        <v>0.5555000000000001</v>
      </c>
      <c r="D17" s="86">
        <f>Input!D22*D16</f>
        <v>0.57777500000000015</v>
      </c>
      <c r="E17" s="86">
        <f>Input!E22*E16</f>
        <v>0.60666375000000028</v>
      </c>
      <c r="F17" s="86">
        <f>Input!F22*F16</f>
        <v>0.63699693750000019</v>
      </c>
      <c r="G17" s="86">
        <f>Input!G22*G16</f>
        <v>0.66884678437500045</v>
      </c>
      <c r="H17" s="86">
        <f>Input!H22*H16</f>
        <v>0.7022891235937504</v>
      </c>
    </row>
    <row r="18" spans="2:8" x14ac:dyDescent="0.2">
      <c r="B18" s="1"/>
      <c r="C18" s="86"/>
      <c r="D18" s="86"/>
      <c r="E18" s="86"/>
      <c r="F18" s="86"/>
      <c r="G18" s="86"/>
      <c r="H18" s="86"/>
    </row>
    <row r="19" spans="2:8" x14ac:dyDescent="0.2">
      <c r="B19" s="1" t="s">
        <v>77</v>
      </c>
      <c r="C19" s="86">
        <f>C17*Input!C23</f>
        <v>5.5550000000000016E-2</v>
      </c>
      <c r="D19" s="86">
        <f>D17*Input!D23</f>
        <v>5.7777500000000016E-2</v>
      </c>
      <c r="E19" s="86">
        <f>E17*Input!E23</f>
        <v>6.0666375000000029E-2</v>
      </c>
      <c r="F19" s="86">
        <f>F17*Input!F23</f>
        <v>6.3699693750000022E-2</v>
      </c>
      <c r="G19" s="86">
        <f>G17*Input!G23</f>
        <v>6.6884678437500053E-2</v>
      </c>
      <c r="H19" s="86">
        <f>H17*Input!H23</f>
        <v>7.0228912359375048E-2</v>
      </c>
    </row>
    <row r="20" spans="2:8" x14ac:dyDescent="0.2">
      <c r="B20" s="24" t="s">
        <v>78</v>
      </c>
      <c r="C20" s="87"/>
      <c r="D20" s="87">
        <f>-C19</f>
        <v>-5.5550000000000016E-2</v>
      </c>
      <c r="E20" s="87">
        <f t="shared" ref="E20:H20" si="3">-D19</f>
        <v>-5.7777500000000016E-2</v>
      </c>
      <c r="F20" s="87">
        <f t="shared" si="3"/>
        <v>-6.0666375000000029E-2</v>
      </c>
      <c r="G20" s="87">
        <f t="shared" si="3"/>
        <v>-6.3699693750000022E-2</v>
      </c>
      <c r="H20" s="87">
        <f t="shared" si="3"/>
        <v>-6.6884678437500053E-2</v>
      </c>
    </row>
    <row r="21" spans="2:8" x14ac:dyDescent="0.2">
      <c r="B21" s="1" t="s">
        <v>83</v>
      </c>
      <c r="C21" s="86">
        <f>SUM(C17:C20)</f>
        <v>0.61105000000000009</v>
      </c>
      <c r="D21" s="86">
        <f t="shared" ref="D21:H21" si="4">SUM(D17:D20)</f>
        <v>0.5800025000000002</v>
      </c>
      <c r="E21" s="86">
        <f t="shared" si="4"/>
        <v>0.60955262500000029</v>
      </c>
      <c r="F21" s="86">
        <f t="shared" si="4"/>
        <v>0.64003025625000021</v>
      </c>
      <c r="G21" s="86">
        <f t="shared" si="4"/>
        <v>0.67203176906250039</v>
      </c>
      <c r="H21" s="86">
        <f t="shared" si="4"/>
        <v>0.70563335751562539</v>
      </c>
    </row>
    <row r="22" spans="2:8" x14ac:dyDescent="0.2">
      <c r="B22" s="1"/>
      <c r="C22" s="86"/>
      <c r="D22" s="86"/>
      <c r="E22" s="86"/>
      <c r="F22" s="86"/>
      <c r="G22" s="86"/>
      <c r="H22" s="86"/>
    </row>
    <row r="23" spans="2:8" x14ac:dyDescent="0.2">
      <c r="B23" s="24" t="s">
        <v>84</v>
      </c>
      <c r="C23" s="87">
        <f>IF(actual=FALSE,Input!C25,Actuals!C15)</f>
        <v>0.7</v>
      </c>
      <c r="D23" s="87">
        <f>IF(actual=FALSE,Input!D25,Actuals!D15)</f>
        <v>0.7</v>
      </c>
      <c r="E23" s="87">
        <f>IF(actual=FALSE,Input!E25,Actuals!E15)</f>
        <v>0.7</v>
      </c>
      <c r="F23" s="87">
        <f>IF(actual=FALSE,Input!F25,Actuals!F15)</f>
        <v>0.7</v>
      </c>
      <c r="G23" s="87">
        <f>IF(actual=FALSE,Input!G25,Actuals!G15)</f>
        <v>0.7</v>
      </c>
      <c r="H23" s="87">
        <f>IF(actual=FALSE,Input!H25,Actuals!H15)</f>
        <v>0.7</v>
      </c>
    </row>
    <row r="24" spans="2:8" x14ac:dyDescent="0.2">
      <c r="B24" s="1" t="s">
        <v>81</v>
      </c>
      <c r="C24" s="86">
        <f>C21*C23</f>
        <v>0.42773500000000003</v>
      </c>
      <c r="D24" s="86">
        <f t="shared" ref="D24:H24" si="5">D21*D23</f>
        <v>0.40600175000000011</v>
      </c>
      <c r="E24" s="86">
        <f t="shared" si="5"/>
        <v>0.42668683750000019</v>
      </c>
      <c r="F24" s="86">
        <f t="shared" si="5"/>
        <v>0.44802117937500013</v>
      </c>
      <c r="G24" s="86">
        <f t="shared" si="5"/>
        <v>0.47042223834375024</v>
      </c>
      <c r="H24" s="86">
        <f t="shared" si="5"/>
        <v>0.49394335026093772</v>
      </c>
    </row>
    <row r="25" spans="2:8" x14ac:dyDescent="0.2">
      <c r="B25" s="1"/>
      <c r="C25" s="86"/>
      <c r="D25" s="86"/>
      <c r="E25" s="86"/>
      <c r="F25" s="86"/>
      <c r="G25" s="86"/>
      <c r="H25" s="86"/>
    </row>
    <row r="26" spans="2:8" x14ac:dyDescent="0.2">
      <c r="B26" s="1"/>
      <c r="C26" s="86"/>
      <c r="D26" s="86"/>
      <c r="E26" s="86"/>
      <c r="F26" s="86"/>
      <c r="G26" s="86"/>
      <c r="H26" s="86"/>
    </row>
    <row r="27" spans="2:8" x14ac:dyDescent="0.2">
      <c r="B27" s="1" t="s">
        <v>85</v>
      </c>
      <c r="C27" s="86">
        <f>C24+C13</f>
        <v>10.426735000000001</v>
      </c>
      <c r="D27" s="86">
        <f t="shared" ref="D27:H27" si="6">D24+D13</f>
        <v>9.8969517499999995</v>
      </c>
      <c r="E27" s="86">
        <f t="shared" si="6"/>
        <v>10.401184337500005</v>
      </c>
      <c r="F27" s="86">
        <f t="shared" si="6"/>
        <v>10.921243554375003</v>
      </c>
      <c r="G27" s="86">
        <f t="shared" si="6"/>
        <v>11.467305732093758</v>
      </c>
      <c r="H27" s="86">
        <f t="shared" si="6"/>
        <v>12.040671018698443</v>
      </c>
    </row>
    <row r="28" spans="2:8" x14ac:dyDescent="0.2">
      <c r="B28" s="1"/>
      <c r="C28" s="1"/>
      <c r="D28" s="1"/>
      <c r="E28" s="1"/>
      <c r="F28" s="1"/>
      <c r="G28" s="1"/>
      <c r="H28" s="1"/>
    </row>
    <row r="29" spans="2:8" x14ac:dyDescent="0.2">
      <c r="B29" s="1"/>
      <c r="C29" s="1"/>
      <c r="D29" s="1"/>
      <c r="E29" s="1"/>
      <c r="F29" s="1"/>
      <c r="G29" s="1"/>
      <c r="H29" s="1"/>
    </row>
    <row r="30" spans="2:8" ht="18" x14ac:dyDescent="0.2">
      <c r="C30" s="114" t="s">
        <v>62</v>
      </c>
      <c r="D30" s="114"/>
      <c r="E30" s="114"/>
      <c r="F30" s="114"/>
      <c r="G30" s="114"/>
      <c r="H30" s="114"/>
    </row>
    <row r="31" spans="2:8" x14ac:dyDescent="0.2">
      <c r="B31" s="22" t="s">
        <v>86</v>
      </c>
      <c r="C31" s="20">
        <f>C4</f>
        <v>1</v>
      </c>
      <c r="D31" s="20">
        <f t="shared" ref="D31:H31" si="7">D4</f>
        <v>2</v>
      </c>
      <c r="E31" s="20">
        <f t="shared" si="7"/>
        <v>3</v>
      </c>
      <c r="F31" s="20">
        <f t="shared" si="7"/>
        <v>4</v>
      </c>
      <c r="G31" s="22">
        <f t="shared" si="7"/>
        <v>5</v>
      </c>
      <c r="H31" s="20">
        <f t="shared" si="7"/>
        <v>6</v>
      </c>
    </row>
    <row r="32" spans="2:8" x14ac:dyDescent="0.2">
      <c r="B32" s="1" t="s">
        <v>87</v>
      </c>
      <c r="C32" s="1"/>
      <c r="D32" s="1"/>
      <c r="E32" s="1"/>
      <c r="F32" s="1"/>
      <c r="G32" s="1"/>
      <c r="H32" s="1"/>
    </row>
    <row r="33" spans="2:9" x14ac:dyDescent="0.2">
      <c r="B33" s="1" t="s">
        <v>88</v>
      </c>
      <c r="C33" s="86">
        <f>C27*Input!$C$27</f>
        <v>8.3413880000000002</v>
      </c>
      <c r="D33" s="86">
        <f>D27*Input!$C$27</f>
        <v>7.9175614000000003</v>
      </c>
      <c r="E33" s="86">
        <f>E27*Input!$C$27</f>
        <v>8.3209474700000055</v>
      </c>
      <c r="F33" s="86">
        <f>F27*Input!$C$27</f>
        <v>8.7369948435000033</v>
      </c>
      <c r="G33" s="86">
        <f>G27*Input!$C$27</f>
        <v>9.1738445856750062</v>
      </c>
      <c r="H33" s="86">
        <f>H27*Input!$C$27</f>
        <v>9.6325368149587547</v>
      </c>
      <c r="I33" s="85"/>
    </row>
    <row r="34" spans="2:9" x14ac:dyDescent="0.2">
      <c r="B34" s="1" t="s">
        <v>37</v>
      </c>
      <c r="C34" s="86"/>
      <c r="D34" s="86">
        <f>C27*Input!$C$28</f>
        <v>1.0426735</v>
      </c>
      <c r="E34" s="86">
        <f>D27*Input!$C$28</f>
        <v>0.98969517500000004</v>
      </c>
      <c r="F34" s="86">
        <f>E27*Input!$C$28</f>
        <v>1.0401184337500007</v>
      </c>
      <c r="G34" s="86">
        <f>F27*Input!$C$28</f>
        <v>1.0921243554375004</v>
      </c>
      <c r="H34" s="86">
        <f>G27*Input!$C$28</f>
        <v>1.1467305732093758</v>
      </c>
      <c r="I34" s="86">
        <f>H27*Input!$C$28</f>
        <v>1.2040671018698443</v>
      </c>
    </row>
    <row r="35" spans="2:9" x14ac:dyDescent="0.2">
      <c r="B35" s="24" t="s">
        <v>38</v>
      </c>
      <c r="C35" s="87"/>
      <c r="D35" s="87"/>
      <c r="E35" s="87">
        <f>C27*Input!$C$29</f>
        <v>1.0426735</v>
      </c>
      <c r="F35" s="87">
        <f>D27*Input!$C$29</f>
        <v>0.98969517500000004</v>
      </c>
      <c r="G35" s="87">
        <f>E27*Input!$C$29</f>
        <v>1.0401184337500007</v>
      </c>
      <c r="H35" s="87">
        <f>F27*Input!$C$29</f>
        <v>1.0921243554375004</v>
      </c>
      <c r="I35" s="87">
        <f>G27*Input!$C$29</f>
        <v>1.1467305732093758</v>
      </c>
    </row>
    <row r="36" spans="2:9" x14ac:dyDescent="0.2">
      <c r="B36" s="1" t="s">
        <v>89</v>
      </c>
      <c r="C36" s="86">
        <f>SUM(C32:C35)</f>
        <v>8.3413880000000002</v>
      </c>
      <c r="D36" s="86">
        <f t="shared" ref="D36:H36" si="8">SUM(D32:D35)</f>
        <v>8.9602348999999997</v>
      </c>
      <c r="E36" s="86">
        <f t="shared" si="8"/>
        <v>10.353316145000004</v>
      </c>
      <c r="F36" s="86">
        <f t="shared" si="8"/>
        <v>10.766808452250004</v>
      </c>
      <c r="G36" s="86">
        <f t="shared" si="8"/>
        <v>11.306087374862507</v>
      </c>
      <c r="H36" s="86">
        <f t="shared" si="8"/>
        <v>11.87139174360563</v>
      </c>
      <c r="I36" s="85"/>
    </row>
    <row r="37" spans="2:9" x14ac:dyDescent="0.2">
      <c r="B37" s="1"/>
      <c r="C37" s="1"/>
      <c r="D37" s="1"/>
      <c r="E37" s="1"/>
      <c r="F37" s="1"/>
      <c r="G37" s="1"/>
      <c r="H37" s="1"/>
    </row>
    <row r="38" spans="2:9" x14ac:dyDescent="0.2">
      <c r="B38" s="1"/>
      <c r="C38" s="1"/>
      <c r="D38" s="1"/>
      <c r="E38" s="1"/>
      <c r="F38" s="1"/>
      <c r="G38" s="1"/>
      <c r="H38" s="1"/>
    </row>
    <row r="39" spans="2:9" ht="18" x14ac:dyDescent="0.2">
      <c r="B39" s="1"/>
      <c r="C39" s="114" t="s">
        <v>62</v>
      </c>
      <c r="D39" s="114"/>
      <c r="E39" s="114"/>
      <c r="F39" s="114"/>
      <c r="G39" s="114"/>
      <c r="H39" s="114"/>
    </row>
    <row r="40" spans="2:9" ht="20" x14ac:dyDescent="0.2">
      <c r="B40" s="42" t="s">
        <v>90</v>
      </c>
      <c r="C40" s="20">
        <f>C31</f>
        <v>1</v>
      </c>
      <c r="D40" s="20">
        <f t="shared" ref="D40:H40" si="9">D31</f>
        <v>2</v>
      </c>
      <c r="E40" s="20">
        <f t="shared" si="9"/>
        <v>3</v>
      </c>
      <c r="F40" s="20">
        <f t="shared" si="9"/>
        <v>4</v>
      </c>
      <c r="G40" s="22">
        <f t="shared" si="9"/>
        <v>5</v>
      </c>
      <c r="H40" s="20">
        <f t="shared" si="9"/>
        <v>6</v>
      </c>
    </row>
    <row r="41" spans="2:9" x14ac:dyDescent="0.2">
      <c r="B41" s="5" t="s">
        <v>91</v>
      </c>
      <c r="C41" s="85">
        <f>Input!C34*Input!C35+Input!C38*Input!C39</f>
        <v>2080</v>
      </c>
      <c r="D41" s="85">
        <f>Input!D34*Input!D35+Input!D38*Input!D39</f>
        <v>2080</v>
      </c>
      <c r="E41" s="85">
        <f>Input!E34*Input!E35+Input!E38*Input!E39</f>
        <v>2080</v>
      </c>
      <c r="F41" s="85">
        <f>Input!F34*Input!F35+Input!F38*Input!F39</f>
        <v>2140</v>
      </c>
      <c r="G41" s="85">
        <f>Input!G34*Input!G35+Input!G38*Input!G39</f>
        <v>2140</v>
      </c>
      <c r="H41" s="85">
        <f>Input!H34*Input!H35+Input!H38*Input!H39</f>
        <v>2140</v>
      </c>
    </row>
    <row r="42" spans="2:9" x14ac:dyDescent="0.2">
      <c r="B42" s="5" t="s">
        <v>92</v>
      </c>
      <c r="C42" s="85" cm="1">
        <f t="array" ref="C42">C41*(Input!C36+Input!C40)/unit</f>
        <v>5.1999999999999998E-2</v>
      </c>
      <c r="D42" s="85" cm="1">
        <f t="array" ref="D42">D41*(Input!D36+Input!D40)/unit</f>
        <v>5.1999999999999998E-2</v>
      </c>
      <c r="E42" s="85" cm="1">
        <f t="array" ref="E42">E41*(Input!E36+Input!E40)/unit</f>
        <v>5.1999999999999998E-2</v>
      </c>
      <c r="F42" s="85" cm="1">
        <f t="array" ref="F42">F41*(Input!F36+Input!F40)/unit</f>
        <v>5.5640000000000002E-2</v>
      </c>
      <c r="G42" s="85" cm="1">
        <f t="array" ref="G42">G41*(Input!G36+Input!G40)/unit</f>
        <v>5.5640000000000002E-2</v>
      </c>
      <c r="H42" s="85" cm="1">
        <f t="array" ref="H42">H41*(Input!H36+Input!H40)/unit</f>
        <v>5.5640000000000002E-2</v>
      </c>
    </row>
    <row r="45" spans="2:9" ht="20" x14ac:dyDescent="0.2">
      <c r="B45" s="42" t="s">
        <v>93</v>
      </c>
      <c r="C45" s="20">
        <f>C40</f>
        <v>1</v>
      </c>
      <c r="D45" s="20">
        <f t="shared" ref="D45:H45" si="10">D40</f>
        <v>2</v>
      </c>
      <c r="E45" s="20">
        <f t="shared" si="10"/>
        <v>3</v>
      </c>
      <c r="F45" s="20">
        <f t="shared" si="10"/>
        <v>4</v>
      </c>
      <c r="G45" s="20">
        <f t="shared" si="10"/>
        <v>5</v>
      </c>
      <c r="H45" s="20">
        <f t="shared" si="10"/>
        <v>6</v>
      </c>
    </row>
    <row r="46" spans="2:9" x14ac:dyDescent="0.2">
      <c r="B46" s="5" t="s">
        <v>94</v>
      </c>
      <c r="C46" s="85" cm="1">
        <f t="array" ref="C46">(Input!C34+Input!C38)*Input!C43/unit</f>
        <v>1.0399999999999999E-3</v>
      </c>
      <c r="D46" s="85" cm="1">
        <f t="array" ref="D46">(Input!D34+Input!D38)*Input!D43/unit</f>
        <v>1.0399999999999999E-3</v>
      </c>
      <c r="E46" s="85" cm="1">
        <f t="array" ref="E46">(Input!E34+Input!E38)*Input!E43/unit</f>
        <v>1.0399999999999999E-3</v>
      </c>
      <c r="F46" s="85" cm="1">
        <f t="array" ref="F46">(Input!F34+Input!F38)*Input!F43/unit</f>
        <v>1.07E-3</v>
      </c>
      <c r="G46" s="85" cm="1">
        <f t="array" ref="G46">(Input!G34+Input!G38)*Input!G43/unit</f>
        <v>1.07E-3</v>
      </c>
      <c r="H46" s="85" cm="1">
        <f t="array" ref="H46">(Input!H34+Input!H38)*Input!H43/unit</f>
        <v>1.07E-3</v>
      </c>
    </row>
    <row r="47" spans="2:9" x14ac:dyDescent="0.2">
      <c r="B47" s="20" t="s">
        <v>95</v>
      </c>
      <c r="C47" s="84">
        <f>Input!C45+Input!C46</f>
        <v>6.1999999999999998E-3</v>
      </c>
      <c r="D47" s="84">
        <f>Input!D45+Input!D46</f>
        <v>6.1999999999999998E-3</v>
      </c>
      <c r="E47" s="84">
        <f>Input!E45+Input!E46</f>
        <v>6.1999999999999998E-3</v>
      </c>
      <c r="F47" s="84">
        <f>Input!F45+Input!F46</f>
        <v>6.1999999999999998E-3</v>
      </c>
      <c r="G47" s="84">
        <f>Input!G45+Input!G46</f>
        <v>6.1999999999999998E-3</v>
      </c>
      <c r="H47" s="84">
        <f>Input!H45+Input!H46</f>
        <v>6.1999999999999998E-3</v>
      </c>
    </row>
    <row r="48" spans="2:9" x14ac:dyDescent="0.2">
      <c r="B48" s="5" t="s">
        <v>96</v>
      </c>
      <c r="C48" s="85">
        <f>SUM(C46:C47)</f>
        <v>7.2399999999999999E-3</v>
      </c>
      <c r="D48" s="85">
        <f t="shared" ref="D48:H48" si="11">SUM(D46:D47)</f>
        <v>7.2399999999999999E-3</v>
      </c>
      <c r="E48" s="85">
        <f t="shared" si="11"/>
        <v>7.2399999999999999E-3</v>
      </c>
      <c r="F48" s="85">
        <f t="shared" si="11"/>
        <v>7.2699999999999996E-3</v>
      </c>
      <c r="G48" s="85">
        <f t="shared" si="11"/>
        <v>7.2699999999999996E-3</v>
      </c>
      <c r="H48" s="85">
        <f t="shared" si="11"/>
        <v>7.2699999999999996E-3</v>
      </c>
    </row>
    <row r="49" spans="2:8" x14ac:dyDescent="0.2">
      <c r="C49" s="85"/>
      <c r="D49" s="85"/>
      <c r="E49" s="85"/>
      <c r="F49" s="85"/>
      <c r="G49" s="85"/>
      <c r="H49" s="85"/>
    </row>
    <row r="50" spans="2:8" x14ac:dyDescent="0.2">
      <c r="B50" s="37" t="s">
        <v>97</v>
      </c>
      <c r="C50" s="84">
        <f>-Input!C45</f>
        <v>-1.1999999999999999E-3</v>
      </c>
      <c r="D50" s="84">
        <f>-Input!D45</f>
        <v>-1.1999999999999999E-3</v>
      </c>
      <c r="E50" s="84">
        <f>-Input!E45</f>
        <v>-1.1999999999999999E-3</v>
      </c>
      <c r="F50" s="84">
        <f>-Input!F45</f>
        <v>-1.1999999999999999E-3</v>
      </c>
      <c r="G50" s="84">
        <f>-Input!G45</f>
        <v>-1.1999999999999999E-3</v>
      </c>
      <c r="H50" s="84">
        <f>-Input!H45</f>
        <v>-1.1999999999999999E-3</v>
      </c>
    </row>
    <row r="51" spans="2:8" x14ac:dyDescent="0.2">
      <c r="B51" s="5" t="s">
        <v>98</v>
      </c>
      <c r="C51" s="85"/>
      <c r="D51" s="85"/>
      <c r="E51" s="85"/>
      <c r="F51" s="85"/>
      <c r="G51" s="85"/>
      <c r="H51" s="85"/>
    </row>
    <row r="52" spans="2:8" x14ac:dyDescent="0.2">
      <c r="C52" s="85"/>
      <c r="D52" s="85"/>
      <c r="E52" s="85"/>
      <c r="F52" s="85"/>
      <c r="G52" s="85"/>
      <c r="H52" s="85"/>
    </row>
    <row r="53" spans="2:8" x14ac:dyDescent="0.2">
      <c r="B53" s="5" t="s">
        <v>99</v>
      </c>
      <c r="C53" s="85" cm="1">
        <f t="array" ref="C53">C48*unit/(Input!C34+Input!C38)</f>
        <v>34.807692307692307</v>
      </c>
      <c r="D53" s="85" cm="1">
        <f t="array" ref="D53">D48*unit/(Input!D34+Input!D38)</f>
        <v>34.807692307692307</v>
      </c>
      <c r="E53" s="85" cm="1">
        <f t="array" ref="E53">E48*unit/(Input!E34+Input!E38)</f>
        <v>34.807692307692307</v>
      </c>
      <c r="F53" s="85" cm="1">
        <f t="array" ref="F53">F48*unit/(Input!F34+Input!F38)</f>
        <v>33.971962616822431</v>
      </c>
      <c r="G53" s="85" cm="1">
        <f t="array" ref="G53">G48*unit/(Input!G34+Input!G38)</f>
        <v>33.971962616822431</v>
      </c>
      <c r="H53" s="85" cm="1">
        <f t="array" ref="H53">H48*unit/(Input!H34+Input!H38)</f>
        <v>33.971962616822431</v>
      </c>
    </row>
    <row r="58" spans="2:8" ht="20" x14ac:dyDescent="0.2">
      <c r="B58" s="42" t="s">
        <v>100</v>
      </c>
      <c r="C58" s="20">
        <f>C45</f>
        <v>1</v>
      </c>
      <c r="D58" s="20">
        <f t="shared" ref="D58:H58" si="12">D45</f>
        <v>2</v>
      </c>
      <c r="E58" s="20">
        <f t="shared" si="12"/>
        <v>3</v>
      </c>
      <c r="F58" s="20">
        <f t="shared" si="12"/>
        <v>4</v>
      </c>
      <c r="G58" s="20">
        <f t="shared" si="12"/>
        <v>5</v>
      </c>
      <c r="H58" s="20">
        <f t="shared" si="12"/>
        <v>6</v>
      </c>
    </row>
    <row r="59" spans="2:8" x14ac:dyDescent="0.2">
      <c r="B59" s="21" t="s">
        <v>101</v>
      </c>
    </row>
    <row r="60" spans="2:8" x14ac:dyDescent="0.2">
      <c r="B60" s="5" t="s">
        <v>102</v>
      </c>
      <c r="C60" s="85">
        <f>C13/C10</f>
        <v>2</v>
      </c>
      <c r="D60" s="85">
        <f t="shared" ref="D60:H60" si="13">D13/D10</f>
        <v>2</v>
      </c>
      <c r="E60" s="85">
        <f t="shared" si="13"/>
        <v>2</v>
      </c>
      <c r="F60" s="85">
        <f t="shared" si="13"/>
        <v>2</v>
      </c>
      <c r="G60" s="85">
        <f t="shared" si="13"/>
        <v>2</v>
      </c>
      <c r="H60" s="85">
        <f t="shared" si="13"/>
        <v>2</v>
      </c>
    </row>
    <row r="61" spans="2:8" x14ac:dyDescent="0.2">
      <c r="B61" s="5" t="s">
        <v>103</v>
      </c>
      <c r="C61" s="85">
        <f>Input!C35*Input!C51</f>
        <v>2.5</v>
      </c>
      <c r="D61" s="85">
        <f>Input!D35*Input!D51</f>
        <v>2.5</v>
      </c>
      <c r="E61" s="85">
        <f>Input!E35*Input!E51</f>
        <v>2.5</v>
      </c>
      <c r="F61" s="85">
        <f>Input!F35*Input!F51</f>
        <v>2.5</v>
      </c>
      <c r="G61" s="85">
        <f>Input!G35*Input!G51</f>
        <v>2.5</v>
      </c>
      <c r="H61" s="85">
        <f>Input!H35*Input!H51</f>
        <v>2.5</v>
      </c>
    </row>
    <row r="62" spans="2:8" x14ac:dyDescent="0.2">
      <c r="B62" s="20" t="s">
        <v>104</v>
      </c>
      <c r="C62" s="84">
        <f>C53*Input!C51*'Sales &amp; Prod'!$C$34</f>
        <v>6.3672607879924961</v>
      </c>
      <c r="D62" s="84">
        <f>D53*Input!D51*'Sales &amp; Prod'!$C$34</f>
        <v>6.3672607879924961</v>
      </c>
      <c r="E62" s="84">
        <f>E53*Input!E51*'Sales &amp; Prod'!$C$34</f>
        <v>6.3672607879924961</v>
      </c>
      <c r="F62" s="84">
        <f>F53*Input!F51*'Sales &amp; Prod'!$C$34</f>
        <v>6.2143834055162994</v>
      </c>
      <c r="G62" s="84">
        <f>G53*Input!G51*'Sales &amp; Prod'!$C$34</f>
        <v>6.2143834055162994</v>
      </c>
      <c r="H62" s="84">
        <f>H53*Input!H51*'Sales &amp; Prod'!$C$34</f>
        <v>6.2143834055162994</v>
      </c>
    </row>
    <row r="63" spans="2:8" x14ac:dyDescent="0.2">
      <c r="B63" s="5" t="s">
        <v>105</v>
      </c>
      <c r="C63" s="85">
        <f>SUM(C60:C62)</f>
        <v>10.867260787992496</v>
      </c>
      <c r="D63" s="85">
        <f t="shared" ref="D63:H63" si="14">SUM(D60:D62)</f>
        <v>10.867260787992496</v>
      </c>
      <c r="E63" s="85">
        <f t="shared" si="14"/>
        <v>10.867260787992496</v>
      </c>
      <c r="F63" s="85">
        <f t="shared" si="14"/>
        <v>10.714383405516299</v>
      </c>
      <c r="G63" s="85">
        <f t="shared" si="14"/>
        <v>10.714383405516299</v>
      </c>
      <c r="H63" s="85">
        <f t="shared" si="14"/>
        <v>10.714383405516299</v>
      </c>
    </row>
    <row r="64" spans="2:8" x14ac:dyDescent="0.2">
      <c r="C64" s="85"/>
      <c r="D64" s="85"/>
      <c r="E64" s="85"/>
      <c r="F64" s="85"/>
      <c r="G64" s="85"/>
      <c r="H64" s="85"/>
    </row>
    <row r="65" spans="2:8" x14ac:dyDescent="0.2">
      <c r="B65" s="37" t="s">
        <v>106</v>
      </c>
      <c r="C65" s="84">
        <f>'Sales &amp; Prod'!C28*'Sales &amp; Prod'!$C$34</f>
        <v>0.03</v>
      </c>
      <c r="D65" s="84">
        <f>'Sales &amp; Prod'!D28*'Sales &amp; Prod'!$C$34</f>
        <v>3.1500000000000007E-2</v>
      </c>
      <c r="E65" s="84">
        <f>'Sales &amp; Prod'!E28*'Sales &amp; Prod'!$C$34</f>
        <v>3.3075000000000007E-2</v>
      </c>
      <c r="F65" s="84">
        <f>'Sales &amp; Prod'!F28*'Sales &amp; Prod'!$C$34</f>
        <v>3.4728750000000017E-2</v>
      </c>
      <c r="G65" s="84">
        <f>'Sales &amp; Prod'!G28*'Sales &amp; Prod'!$C$34</f>
        <v>3.6465187500000017E-2</v>
      </c>
      <c r="H65" s="84">
        <f>'Sales &amp; Prod'!H28*'Sales &amp; Prod'!$C$34</f>
        <v>3.8288446875000014E-2</v>
      </c>
    </row>
    <row r="66" spans="2:8" x14ac:dyDescent="0.2">
      <c r="B66" s="35" t="s">
        <v>107</v>
      </c>
      <c r="C66" s="85">
        <f>C65*C63</f>
        <v>0.32601782363977488</v>
      </c>
      <c r="D66" s="85">
        <f t="shared" ref="D66:H66" si="15">D65*D63</f>
        <v>0.34231871482176368</v>
      </c>
      <c r="E66" s="85">
        <f t="shared" si="15"/>
        <v>0.3594346505628519</v>
      </c>
      <c r="F66" s="85">
        <f t="shared" si="15"/>
        <v>0.37209714269432437</v>
      </c>
      <c r="G66" s="85">
        <f t="shared" si="15"/>
        <v>0.39070199982904058</v>
      </c>
      <c r="H66" s="85">
        <f t="shared" si="15"/>
        <v>0.41023709982049256</v>
      </c>
    </row>
    <row r="67" spans="2:8" x14ac:dyDescent="0.2">
      <c r="C67" s="85"/>
      <c r="D67" s="85"/>
      <c r="E67" s="85"/>
      <c r="F67" s="85"/>
      <c r="G67" s="85"/>
      <c r="H67" s="85"/>
    </row>
    <row r="68" spans="2:8" x14ac:dyDescent="0.2">
      <c r="C68" s="85"/>
      <c r="D68" s="85"/>
      <c r="E68" s="85"/>
      <c r="F68" s="85"/>
      <c r="G68" s="85"/>
      <c r="H68" s="85"/>
    </row>
    <row r="69" spans="2:8" x14ac:dyDescent="0.2">
      <c r="B69" s="21" t="s">
        <v>108</v>
      </c>
      <c r="C69" s="85"/>
      <c r="D69" s="85"/>
      <c r="E69" s="85"/>
      <c r="F69" s="85"/>
      <c r="G69" s="85"/>
      <c r="H69" s="85"/>
    </row>
    <row r="70" spans="2:8" x14ac:dyDescent="0.2">
      <c r="B70" s="5" t="s">
        <v>102</v>
      </c>
      <c r="C70" s="85">
        <f>C24/C21</f>
        <v>0.7</v>
      </c>
      <c r="D70" s="85">
        <f t="shared" ref="D70:H70" si="16">D24/D21</f>
        <v>0.7</v>
      </c>
      <c r="E70" s="85">
        <f t="shared" si="16"/>
        <v>0.7</v>
      </c>
      <c r="F70" s="85">
        <f t="shared" si="16"/>
        <v>0.7</v>
      </c>
      <c r="G70" s="85">
        <f t="shared" si="16"/>
        <v>0.7</v>
      </c>
      <c r="H70" s="85">
        <f t="shared" si="16"/>
        <v>0.7</v>
      </c>
    </row>
    <row r="71" spans="2:8" x14ac:dyDescent="0.2">
      <c r="B71" s="5" t="s">
        <v>103</v>
      </c>
      <c r="C71" s="85">
        <f>Input!C39*Input!C52</f>
        <v>0.8</v>
      </c>
      <c r="D71" s="85">
        <f>Input!D39*Input!D52</f>
        <v>0.8</v>
      </c>
      <c r="E71" s="85">
        <f>Input!E39*Input!E52</f>
        <v>0.8</v>
      </c>
      <c r="F71" s="85">
        <f>Input!F39*Input!F52</f>
        <v>0.8</v>
      </c>
      <c r="G71" s="85">
        <f>Input!G39*Input!G52</f>
        <v>0.8</v>
      </c>
      <c r="H71" s="85">
        <f>Input!H39*Input!H52</f>
        <v>0.8</v>
      </c>
    </row>
    <row r="72" spans="2:8" x14ac:dyDescent="0.2">
      <c r="B72" s="20" t="s">
        <v>104</v>
      </c>
      <c r="C72" s="84">
        <f>C53*Input!C52*'Sales &amp; Prod'!$C$35</f>
        <v>0.74709193245778627</v>
      </c>
      <c r="D72" s="84">
        <f>D53*Input!D52*'Sales &amp; Prod'!$C$35</f>
        <v>0.74709193245778627</v>
      </c>
      <c r="E72" s="84">
        <f>E53*Input!E52*'Sales &amp; Prod'!$C$35</f>
        <v>0.74709193245778627</v>
      </c>
      <c r="F72" s="84">
        <f>F53*Input!F52*'Sales &amp; Prod'!$C$35</f>
        <v>0.72915431958057919</v>
      </c>
      <c r="G72" s="84">
        <f>G53*Input!G52*'Sales &amp; Prod'!$C$35</f>
        <v>0.72915431958057919</v>
      </c>
      <c r="H72" s="84">
        <f>H53*Input!H52*'Sales &amp; Prod'!$C$35</f>
        <v>0.72915431958057919</v>
      </c>
    </row>
    <row r="73" spans="2:8" x14ac:dyDescent="0.2">
      <c r="B73" s="5" t="s">
        <v>109</v>
      </c>
      <c r="C73" s="85">
        <f>SUM(C70:C72)</f>
        <v>2.2470919324577863</v>
      </c>
      <c r="D73" s="85">
        <f t="shared" ref="D73:H73" si="17">SUM(D70:D72)</f>
        <v>2.2470919324577863</v>
      </c>
      <c r="E73" s="85">
        <f t="shared" si="17"/>
        <v>2.2470919324577863</v>
      </c>
      <c r="F73" s="85">
        <f t="shared" si="17"/>
        <v>2.2291543195805792</v>
      </c>
      <c r="G73" s="85">
        <f t="shared" si="17"/>
        <v>2.2291543195805792</v>
      </c>
      <c r="H73" s="85">
        <f t="shared" si="17"/>
        <v>2.2291543195805792</v>
      </c>
    </row>
    <row r="74" spans="2:8" x14ac:dyDescent="0.2">
      <c r="C74" s="85"/>
      <c r="D74" s="85"/>
      <c r="E74" s="85"/>
      <c r="F74" s="85"/>
      <c r="G74" s="85"/>
      <c r="H74" s="85"/>
    </row>
    <row r="75" spans="2:8" x14ac:dyDescent="0.2">
      <c r="B75" s="20" t="s">
        <v>110</v>
      </c>
      <c r="C75" s="84">
        <f>'Sales &amp; Prod'!C28*'Sales &amp; Prod'!$C$35</f>
        <v>1.1000000000000001E-2</v>
      </c>
      <c r="D75" s="84">
        <f>'Sales &amp; Prod'!D28*'Sales &amp; Prod'!$C$35</f>
        <v>1.1550000000000005E-2</v>
      </c>
      <c r="E75" s="84">
        <f>'Sales &amp; Prod'!E28*'Sales &amp; Prod'!$C$35</f>
        <v>1.2127500000000005E-2</v>
      </c>
      <c r="F75" s="84">
        <f>'Sales &amp; Prod'!F28*'Sales &amp; Prod'!$C$35</f>
        <v>1.2733875000000007E-2</v>
      </c>
      <c r="G75" s="84">
        <f>'Sales &amp; Prod'!G28*'Sales &amp; Prod'!$C$35</f>
        <v>1.3370568750000008E-2</v>
      </c>
      <c r="H75" s="84">
        <f>'Sales &amp; Prod'!H28*'Sales &amp; Prod'!$C$35</f>
        <v>1.4039097187500007E-2</v>
      </c>
    </row>
    <row r="76" spans="2:8" x14ac:dyDescent="0.2">
      <c r="B76" s="35" t="s">
        <v>107</v>
      </c>
      <c r="C76" s="85">
        <f>C75*C73</f>
        <v>2.4718011257035651E-2</v>
      </c>
      <c r="D76" s="85">
        <f t="shared" ref="D76:H76" si="18">D75*D73</f>
        <v>2.5953911819887442E-2</v>
      </c>
      <c r="E76" s="85">
        <f t="shared" si="18"/>
        <v>2.7251607410881812E-2</v>
      </c>
      <c r="F76" s="85">
        <f t="shared" si="18"/>
        <v>2.8385772461249164E-2</v>
      </c>
      <c r="G76" s="85">
        <f t="shared" si="18"/>
        <v>2.9805061084311621E-2</v>
      </c>
      <c r="H76" s="85">
        <f t="shared" si="18"/>
        <v>3.1295314138527201E-2</v>
      </c>
    </row>
    <row r="77" spans="2:8" x14ac:dyDescent="0.2">
      <c r="C77" s="85"/>
      <c r="D77" s="85"/>
      <c r="E77" s="85"/>
      <c r="F77" s="85"/>
      <c r="G77" s="85"/>
      <c r="H77" s="85"/>
    </row>
    <row r="78" spans="2:8" x14ac:dyDescent="0.2">
      <c r="B78" s="5" t="s">
        <v>111</v>
      </c>
      <c r="C78" s="85">
        <f>C66+C76</f>
        <v>0.35073583489681054</v>
      </c>
      <c r="D78" s="85">
        <f t="shared" ref="D78:H78" si="19">D66+D76</f>
        <v>0.36827262664165111</v>
      </c>
      <c r="E78" s="85">
        <f t="shared" si="19"/>
        <v>0.38668625797373368</v>
      </c>
      <c r="F78" s="85">
        <f t="shared" si="19"/>
        <v>0.40048291515557355</v>
      </c>
      <c r="G78" s="85">
        <f t="shared" si="19"/>
        <v>0.42050706091335222</v>
      </c>
      <c r="H78" s="85">
        <f t="shared" si="19"/>
        <v>0.44153241395901976</v>
      </c>
    </row>
  </sheetData>
  <sheetProtection algorithmName="SHA-512" hashValue="/34aCYoEEMDM1kuMmu5Q6/OlHum5d3s+Etht/og87Oe/DIVZgP0UthiqIXt5sP7EgM6Dzcy6DzQHr/65Dt0zxw==" saltValue="xshJGUpxj3WmrGY9LhMgCQ==" spinCount="100000" sheet="1" objects="1" scenarios="1" selectLockedCells="1"/>
  <mergeCells count="3">
    <mergeCell ref="C39:H39"/>
    <mergeCell ref="C3:H3"/>
    <mergeCell ref="C30:H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3BEAB-3621-4947-BF85-A369AA8BFA0C}">
  <sheetPr>
    <tabColor rgb="FF00B050"/>
  </sheetPr>
  <dimension ref="B1:H112"/>
  <sheetViews>
    <sheetView workbookViewId="0">
      <selection activeCell="M12" sqref="M12"/>
    </sheetView>
  </sheetViews>
  <sheetFormatPr baseColWidth="10" defaultColWidth="9" defaultRowHeight="16" outlineLevelRow="1" x14ac:dyDescent="0.2"/>
  <cols>
    <col min="1" max="1" width="9" style="5"/>
    <col min="2" max="2" width="57.1640625" style="5" customWidth="1"/>
    <col min="3" max="6" width="14.5" style="5" customWidth="1"/>
    <col min="7" max="8" width="9.6640625" style="5" bestFit="1" customWidth="1"/>
    <col min="9" max="16384" width="9" style="5"/>
  </cols>
  <sheetData>
    <row r="1" spans="2:8" ht="20" x14ac:dyDescent="0.2">
      <c r="B1" s="43" t="str">
        <f>Input!B1</f>
        <v>HasName co,   by elie diwambuena</v>
      </c>
      <c r="D1" s="102" t="str">
        <f>'Sales &amp; Prod'!D1</f>
        <v xml:space="preserve">Show budget based on actual level of acitivy? </v>
      </c>
      <c r="E1" s="102"/>
      <c r="F1" s="102"/>
      <c r="G1" s="103" t="b">
        <f>'Sales &amp; Prod'!G1</f>
        <v>0</v>
      </c>
    </row>
    <row r="4" spans="2:8" ht="20" x14ac:dyDescent="0.2">
      <c r="B4" s="42" t="s">
        <v>112</v>
      </c>
      <c r="C4" s="20">
        <f>Input!C6</f>
        <v>1</v>
      </c>
      <c r="D4" s="20">
        <f>Input!D6</f>
        <v>2</v>
      </c>
      <c r="E4" s="20">
        <f>Input!E6</f>
        <v>3</v>
      </c>
      <c r="F4" s="20">
        <f>Input!F6</f>
        <v>4</v>
      </c>
      <c r="G4" s="20">
        <f>Input!G6</f>
        <v>5</v>
      </c>
      <c r="H4" s="20">
        <f>Input!H6</f>
        <v>6</v>
      </c>
    </row>
    <row r="6" spans="2:8" x14ac:dyDescent="0.2">
      <c r="B6" s="1" t="s">
        <v>113</v>
      </c>
      <c r="C6" s="85">
        <f>'Sales &amp; Prod'!C7</f>
        <v>4.0999999999999996</v>
      </c>
      <c r="D6" s="85">
        <f>'Sales &amp; Prod'!D7</f>
        <v>4.3050000000000006</v>
      </c>
      <c r="E6" s="85">
        <f>'Sales &amp; Prod'!E7</f>
        <v>4.5202500000000008</v>
      </c>
      <c r="F6" s="85">
        <f>'Sales &amp; Prod'!F7</f>
        <v>4.7462625000000012</v>
      </c>
      <c r="G6" s="85">
        <f>'Sales &amp; Prod'!G7</f>
        <v>4.9835756250000012</v>
      </c>
      <c r="H6" s="85">
        <f>'Sales &amp; Prod'!H7</f>
        <v>5.2327544062500015</v>
      </c>
    </row>
    <row r="7" spans="2:8" x14ac:dyDescent="0.2">
      <c r="B7" s="24" t="s">
        <v>114</v>
      </c>
      <c r="C7" s="88">
        <f>C6*Input!C17</f>
        <v>4.0999999999999999E-4</v>
      </c>
      <c r="D7" s="88">
        <f>D6*Input!D17</f>
        <v>4.3050000000000006E-4</v>
      </c>
      <c r="E7" s="88">
        <f>E6*Input!E17</f>
        <v>4.520250000000001E-4</v>
      </c>
      <c r="F7" s="88">
        <f>F6*Input!F17</f>
        <v>4.7462625000000016E-4</v>
      </c>
      <c r="G7" s="88">
        <f>G6*Input!G17</f>
        <v>4.9835756250000019E-4</v>
      </c>
      <c r="H7" s="88">
        <f>H6*Input!H17</f>
        <v>5.2327544062500016E-4</v>
      </c>
    </row>
    <row r="8" spans="2:8" x14ac:dyDescent="0.2">
      <c r="B8" s="1" t="s">
        <v>115</v>
      </c>
      <c r="C8" s="85">
        <f>C7</f>
        <v>4.0999999999999999E-4</v>
      </c>
      <c r="D8" s="85">
        <f t="shared" ref="D8:H8" si="0">D7</f>
        <v>4.3050000000000006E-4</v>
      </c>
      <c r="E8" s="85">
        <f t="shared" si="0"/>
        <v>4.520250000000001E-4</v>
      </c>
      <c r="F8" s="85">
        <f t="shared" si="0"/>
        <v>4.7462625000000016E-4</v>
      </c>
      <c r="G8" s="85">
        <f t="shared" si="0"/>
        <v>4.9835756250000019E-4</v>
      </c>
      <c r="H8" s="85">
        <f t="shared" si="0"/>
        <v>5.2327544062500016E-4</v>
      </c>
    </row>
    <row r="9" spans="2:8" x14ac:dyDescent="0.2">
      <c r="B9" s="1"/>
      <c r="C9" s="85"/>
      <c r="D9" s="85"/>
      <c r="E9" s="85"/>
      <c r="F9" s="85"/>
      <c r="G9" s="85"/>
      <c r="H9" s="85"/>
    </row>
    <row r="10" spans="2:8" x14ac:dyDescent="0.2">
      <c r="B10" s="3" t="s">
        <v>116</v>
      </c>
      <c r="C10" s="85"/>
      <c r="D10" s="85"/>
      <c r="E10" s="85"/>
      <c r="F10" s="85"/>
      <c r="G10" s="85"/>
      <c r="H10" s="85"/>
    </row>
    <row r="11" spans="2:8" x14ac:dyDescent="0.2">
      <c r="B11" s="1" t="s">
        <v>53</v>
      </c>
      <c r="C11" s="85">
        <f>IF(actual=FALSE,Input!C57,Actuals!C21)</f>
        <v>4</v>
      </c>
      <c r="D11" s="85">
        <f>IF(actual=FALSE,Input!D57,Actuals!D21)</f>
        <v>4.5</v>
      </c>
      <c r="E11" s="85">
        <f>IF(actual=FALSE,Input!E57,Actuals!E21)</f>
        <v>5</v>
      </c>
      <c r="F11" s="85">
        <f>IF(actual=FALSE,Input!F57,Actuals!F21)</f>
        <v>5.5</v>
      </c>
      <c r="G11" s="85">
        <f>IF(actual=FALSE,Input!G57,Actuals!G21)</f>
        <v>6</v>
      </c>
      <c r="H11" s="85">
        <f>IF(actual=FALSE,Input!H57,Actuals!H21)</f>
        <v>6.5</v>
      </c>
    </row>
    <row r="12" spans="2:8" x14ac:dyDescent="0.2">
      <c r="B12" s="1" t="s">
        <v>117</v>
      </c>
      <c r="C12" s="85">
        <f>IF(actual=FALSE, Input!C58,Actuals!C23)</f>
        <v>5</v>
      </c>
      <c r="D12" s="85">
        <f>IF(actual=FALSE, Input!D58,Actuals!D23)</f>
        <v>5.25</v>
      </c>
      <c r="E12" s="85">
        <f>IF(actual=FALSE, Input!E58,Actuals!E23)</f>
        <v>5.5125000000000002</v>
      </c>
      <c r="F12" s="85">
        <f>IF(actual=FALSE, Input!F58,Actuals!F23)</f>
        <v>5.7881250000000009</v>
      </c>
      <c r="G12" s="85">
        <f>IF(actual=FALSE, Input!G58,Actuals!G23)</f>
        <v>6.0775312500000007</v>
      </c>
      <c r="H12" s="85">
        <f>IF(actual=FALSE, Input!H58,Actuals!H23)</f>
        <v>6.3814078125000009</v>
      </c>
    </row>
    <row r="13" spans="2:8" x14ac:dyDescent="0.2">
      <c r="B13" s="1" t="s">
        <v>55</v>
      </c>
      <c r="C13" s="85">
        <f>Input!C59</f>
        <v>1</v>
      </c>
      <c r="D13" s="85">
        <f>Input!D59</f>
        <v>1</v>
      </c>
      <c r="E13" s="85">
        <f>Input!E59</f>
        <v>1</v>
      </c>
      <c r="F13" s="85">
        <f>Input!F59</f>
        <v>1</v>
      </c>
      <c r="G13" s="85">
        <f>Input!G59</f>
        <v>1</v>
      </c>
      <c r="H13" s="85">
        <f>Input!H59</f>
        <v>1</v>
      </c>
    </row>
    <row r="14" spans="2:8" x14ac:dyDescent="0.2">
      <c r="B14" s="1" t="s">
        <v>118</v>
      </c>
      <c r="C14" s="85">
        <f>Input!C46</f>
        <v>5.0000000000000001E-3</v>
      </c>
      <c r="D14" s="85">
        <f>Input!D46</f>
        <v>5.0000000000000001E-3</v>
      </c>
      <c r="E14" s="85">
        <f>Input!E46</f>
        <v>5.0000000000000001E-3</v>
      </c>
      <c r="F14" s="85">
        <f>Input!F46</f>
        <v>5.0000000000000001E-3</v>
      </c>
      <c r="G14" s="85">
        <f>Input!G46</f>
        <v>5.0000000000000001E-3</v>
      </c>
      <c r="H14" s="85">
        <f>Input!H46</f>
        <v>5.0000000000000001E-3</v>
      </c>
    </row>
    <row r="15" spans="2:8" x14ac:dyDescent="0.2">
      <c r="B15" s="24" t="s">
        <v>119</v>
      </c>
      <c r="C15" s="88">
        <f>Input!C45</f>
        <v>1.1999999999999999E-3</v>
      </c>
      <c r="D15" s="88">
        <f>Input!D45</f>
        <v>1.1999999999999999E-3</v>
      </c>
      <c r="E15" s="88">
        <f>Input!E45</f>
        <v>1.1999999999999999E-3</v>
      </c>
      <c r="F15" s="88">
        <f>Input!F45</f>
        <v>1.1999999999999999E-3</v>
      </c>
      <c r="G15" s="88">
        <f>Input!G45</f>
        <v>1.1999999999999999E-3</v>
      </c>
      <c r="H15" s="88">
        <f>Input!H45</f>
        <v>1.1999999999999999E-3</v>
      </c>
    </row>
    <row r="16" spans="2:8" x14ac:dyDescent="0.2">
      <c r="B16" s="1" t="s">
        <v>120</v>
      </c>
      <c r="C16" s="85">
        <f>SUM(C11:C15)</f>
        <v>10.006200000000002</v>
      </c>
      <c r="D16" s="85">
        <f t="shared" ref="D16:H16" si="1">SUM(D11:D15)</f>
        <v>10.756200000000002</v>
      </c>
      <c r="E16" s="85">
        <f t="shared" si="1"/>
        <v>11.518700000000001</v>
      </c>
      <c r="F16" s="85">
        <f t="shared" si="1"/>
        <v>12.294325000000002</v>
      </c>
      <c r="G16" s="85">
        <f t="shared" si="1"/>
        <v>13.083731250000001</v>
      </c>
      <c r="H16" s="85">
        <f t="shared" si="1"/>
        <v>13.887607812500002</v>
      </c>
    </row>
    <row r="17" spans="2:8" x14ac:dyDescent="0.2">
      <c r="B17" s="1"/>
      <c r="C17" s="85"/>
      <c r="D17" s="85"/>
      <c r="E17" s="85"/>
      <c r="F17" s="85"/>
      <c r="G17" s="85"/>
      <c r="H17" s="85"/>
    </row>
    <row r="18" spans="2:8" x14ac:dyDescent="0.2">
      <c r="B18" s="1" t="s">
        <v>121</v>
      </c>
      <c r="C18" s="85">
        <f>C16+C8</f>
        <v>10.006610000000002</v>
      </c>
      <c r="D18" s="85">
        <f t="shared" ref="D18:H18" si="2">D16+D8</f>
        <v>10.756630500000002</v>
      </c>
      <c r="E18" s="85">
        <f t="shared" si="2"/>
        <v>11.519152025</v>
      </c>
      <c r="F18" s="85">
        <f t="shared" si="2"/>
        <v>12.294799626250002</v>
      </c>
      <c r="G18" s="85">
        <f t="shared" si="2"/>
        <v>13.084229607562502</v>
      </c>
      <c r="H18" s="85">
        <f t="shared" si="2"/>
        <v>13.888131087940627</v>
      </c>
    </row>
    <row r="19" spans="2:8" x14ac:dyDescent="0.2">
      <c r="B19" s="24" t="s">
        <v>122</v>
      </c>
      <c r="C19" s="88">
        <f>-C15</f>
        <v>-1.1999999999999999E-3</v>
      </c>
      <c r="D19" s="88">
        <f t="shared" ref="D19:H19" si="3">-D15</f>
        <v>-1.1999999999999999E-3</v>
      </c>
      <c r="E19" s="88">
        <f t="shared" si="3"/>
        <v>-1.1999999999999999E-3</v>
      </c>
      <c r="F19" s="88">
        <f t="shared" si="3"/>
        <v>-1.1999999999999999E-3</v>
      </c>
      <c r="G19" s="88">
        <f t="shared" si="3"/>
        <v>-1.1999999999999999E-3</v>
      </c>
      <c r="H19" s="88">
        <f t="shared" si="3"/>
        <v>-1.1999999999999999E-3</v>
      </c>
    </row>
    <row r="20" spans="2:8" x14ac:dyDescent="0.2">
      <c r="B20" s="1" t="s">
        <v>123</v>
      </c>
      <c r="C20" s="85">
        <f>SUM(C18:C19)</f>
        <v>10.005410000000001</v>
      </c>
      <c r="D20" s="85">
        <f t="shared" ref="D20:H20" si="4">SUM(D18:D19)</f>
        <v>10.755430500000001</v>
      </c>
      <c r="E20" s="85">
        <f t="shared" si="4"/>
        <v>11.517952025</v>
      </c>
      <c r="F20" s="85">
        <f t="shared" si="4"/>
        <v>12.293599626250002</v>
      </c>
      <c r="G20" s="85">
        <f t="shared" si="4"/>
        <v>13.083029607562501</v>
      </c>
      <c r="H20" s="85">
        <f t="shared" si="4"/>
        <v>13.886931087940626</v>
      </c>
    </row>
    <row r="26" spans="2:8" ht="20" x14ac:dyDescent="0.2">
      <c r="B26" s="42" t="s">
        <v>124</v>
      </c>
      <c r="C26" s="91">
        <f>C4</f>
        <v>1</v>
      </c>
      <c r="D26" s="91">
        <f t="shared" ref="D26:H26" si="5">D4</f>
        <v>2</v>
      </c>
      <c r="E26" s="91">
        <f t="shared" si="5"/>
        <v>3</v>
      </c>
      <c r="F26" s="91">
        <f t="shared" si="5"/>
        <v>4</v>
      </c>
      <c r="G26" s="91">
        <f t="shared" si="5"/>
        <v>5</v>
      </c>
      <c r="H26" s="91">
        <f t="shared" si="5"/>
        <v>6</v>
      </c>
    </row>
    <row r="27" spans="2:8" x14ac:dyDescent="0.2">
      <c r="B27" s="1" t="s">
        <v>125</v>
      </c>
      <c r="C27" s="85"/>
      <c r="D27" s="85"/>
      <c r="E27" s="85"/>
      <c r="F27" s="85"/>
      <c r="G27" s="85"/>
      <c r="H27" s="85"/>
    </row>
    <row r="28" spans="2:8" x14ac:dyDescent="0.2">
      <c r="B28" s="1"/>
      <c r="C28" s="85"/>
      <c r="D28" s="85"/>
      <c r="E28" s="85"/>
      <c r="F28" s="85"/>
      <c r="G28" s="85"/>
      <c r="H28" s="85"/>
    </row>
    <row r="29" spans="2:8" x14ac:dyDescent="0.2">
      <c r="B29" s="3" t="s">
        <v>126</v>
      </c>
      <c r="C29" s="85"/>
      <c r="D29" s="85"/>
      <c r="E29" s="85"/>
      <c r="F29" s="85"/>
      <c r="G29" s="85"/>
      <c r="H29" s="85"/>
    </row>
    <row r="30" spans="2:8" x14ac:dyDescent="0.2">
      <c r="B30" s="1" t="s">
        <v>127</v>
      </c>
      <c r="C30" s="85">
        <f>'Sales &amp; Prod'!C20</f>
        <v>25.56</v>
      </c>
      <c r="D30" s="85">
        <f>'Sales &amp; Prod'!D20</f>
        <v>28.258000000000003</v>
      </c>
      <c r="E30" s="85">
        <f>'Sales &amp; Prod'!E20</f>
        <v>31.090900000000005</v>
      </c>
      <c r="F30" s="85">
        <f>'Sales &amp; Prod'!F20</f>
        <v>32.645445000000009</v>
      </c>
      <c r="G30" s="85">
        <f>'Sales &amp; Prod'!G20</f>
        <v>34.277717250000009</v>
      </c>
      <c r="H30" s="85">
        <f>'Sales &amp; Prod'!H20</f>
        <v>35.991603112500009</v>
      </c>
    </row>
    <row r="31" spans="2:8" x14ac:dyDescent="0.2">
      <c r="B31" s="1" t="s">
        <v>128</v>
      </c>
      <c r="C31" s="85">
        <f>C30</f>
        <v>25.56</v>
      </c>
      <c r="D31" s="85">
        <f t="shared" ref="D31:H31" si="6">D30</f>
        <v>28.258000000000003</v>
      </c>
      <c r="E31" s="85">
        <f t="shared" si="6"/>
        <v>31.090900000000005</v>
      </c>
      <c r="F31" s="85">
        <f t="shared" si="6"/>
        <v>32.645445000000009</v>
      </c>
      <c r="G31" s="85">
        <f t="shared" si="6"/>
        <v>34.277717250000009</v>
      </c>
      <c r="H31" s="85">
        <f t="shared" si="6"/>
        <v>35.991603112500009</v>
      </c>
    </row>
    <row r="32" spans="2:8" x14ac:dyDescent="0.2">
      <c r="B32" s="1"/>
      <c r="C32" s="85"/>
      <c r="D32" s="85"/>
      <c r="E32" s="85"/>
      <c r="F32" s="85"/>
      <c r="G32" s="85"/>
      <c r="H32" s="85"/>
    </row>
    <row r="33" spans="2:8" x14ac:dyDescent="0.2">
      <c r="B33" s="3" t="s">
        <v>129</v>
      </c>
      <c r="C33" s="85"/>
      <c r="D33" s="85"/>
      <c r="E33" s="85"/>
      <c r="F33" s="85"/>
      <c r="G33" s="85"/>
      <c r="H33" s="85"/>
    </row>
    <row r="34" spans="2:8" x14ac:dyDescent="0.2">
      <c r="B34" s="1" t="s">
        <v>130</v>
      </c>
      <c r="C34" s="85">
        <f>'RM &amp; DL &amp; FG'!C27</f>
        <v>10.426735000000001</v>
      </c>
      <c r="D34" s="85">
        <f>'RM &amp; DL &amp; FG'!D27</f>
        <v>9.8969517499999995</v>
      </c>
      <c r="E34" s="85">
        <f>'RM &amp; DL &amp; FG'!E27</f>
        <v>10.401184337500005</v>
      </c>
      <c r="F34" s="85">
        <f>'RM &amp; DL &amp; FG'!F27</f>
        <v>10.921243554375003</v>
      </c>
      <c r="G34" s="85">
        <f>'RM &amp; DL &amp; FG'!G27</f>
        <v>11.467305732093758</v>
      </c>
      <c r="H34" s="85">
        <f>'RM &amp; DL &amp; FG'!H27</f>
        <v>12.040671018698443</v>
      </c>
    </row>
    <row r="35" spans="2:8" x14ac:dyDescent="0.2">
      <c r="B35" s="1" t="s">
        <v>131</v>
      </c>
      <c r="C35" s="85">
        <f>'RM &amp; DL &amp; FG'!C42</f>
        <v>5.1999999999999998E-2</v>
      </c>
      <c r="D35" s="85">
        <f>'RM &amp; DL &amp; FG'!D42</f>
        <v>5.1999999999999998E-2</v>
      </c>
      <c r="E35" s="85">
        <f>'RM &amp; DL &amp; FG'!E42</f>
        <v>5.1999999999999998E-2</v>
      </c>
      <c r="F35" s="85">
        <f>'RM &amp; DL &amp; FG'!F42</f>
        <v>5.5640000000000002E-2</v>
      </c>
      <c r="G35" s="85">
        <f>'RM &amp; DL &amp; FG'!G42</f>
        <v>5.5640000000000002E-2</v>
      </c>
      <c r="H35" s="85">
        <f>'RM &amp; DL &amp; FG'!H42</f>
        <v>5.5640000000000002E-2</v>
      </c>
    </row>
    <row r="36" spans="2:8" x14ac:dyDescent="0.2">
      <c r="B36" s="1" t="s">
        <v>132</v>
      </c>
      <c r="C36" s="85">
        <f>'RM &amp; DL &amp; FG'!C48</f>
        <v>7.2399999999999999E-3</v>
      </c>
      <c r="D36" s="85">
        <f>'RM &amp; DL &amp; FG'!D48</f>
        <v>7.2399999999999999E-3</v>
      </c>
      <c r="E36" s="85">
        <f>'RM &amp; DL &amp; FG'!E48</f>
        <v>7.2399999999999999E-3</v>
      </c>
      <c r="F36" s="85">
        <f>'RM &amp; DL &amp; FG'!F48</f>
        <v>7.2699999999999996E-3</v>
      </c>
      <c r="G36" s="85">
        <f>'RM &amp; DL &amp; FG'!G48</f>
        <v>7.2699999999999996E-3</v>
      </c>
      <c r="H36" s="85">
        <f>'RM &amp; DL &amp; FG'!H48</f>
        <v>7.2699999999999996E-3</v>
      </c>
    </row>
    <row r="37" spans="2:8" x14ac:dyDescent="0.2">
      <c r="B37" s="24" t="s">
        <v>133</v>
      </c>
      <c r="C37" s="84">
        <f>C20</f>
        <v>10.005410000000001</v>
      </c>
      <c r="D37" s="84">
        <f t="shared" ref="D37:H37" si="7">D20</f>
        <v>10.755430500000001</v>
      </c>
      <c r="E37" s="84">
        <f t="shared" si="7"/>
        <v>11.517952025</v>
      </c>
      <c r="F37" s="84">
        <f t="shared" si="7"/>
        <v>12.293599626250002</v>
      </c>
      <c r="G37" s="84">
        <f t="shared" si="7"/>
        <v>13.083029607562501</v>
      </c>
      <c r="H37" s="84">
        <f t="shared" si="7"/>
        <v>13.886931087940626</v>
      </c>
    </row>
    <row r="38" spans="2:8" x14ac:dyDescent="0.2">
      <c r="B38" s="1" t="s">
        <v>134</v>
      </c>
      <c r="C38" s="85">
        <f>SUM(C34:C37)</f>
        <v>20.491385000000001</v>
      </c>
      <c r="D38" s="85">
        <f t="shared" ref="D38:H38" si="8">SUM(D34:D37)</f>
        <v>20.711622249999998</v>
      </c>
      <c r="E38" s="85">
        <f t="shared" si="8"/>
        <v>21.978376362500004</v>
      </c>
      <c r="F38" s="85">
        <f t="shared" si="8"/>
        <v>23.277753180625005</v>
      </c>
      <c r="G38" s="85">
        <f t="shared" si="8"/>
        <v>24.61324533965626</v>
      </c>
      <c r="H38" s="85">
        <f t="shared" si="8"/>
        <v>25.99051210663907</v>
      </c>
    </row>
    <row r="39" spans="2:8" x14ac:dyDescent="0.2">
      <c r="B39" s="1"/>
      <c r="C39" s="85"/>
      <c r="D39" s="85"/>
      <c r="E39" s="85"/>
      <c r="F39" s="85"/>
      <c r="G39" s="85"/>
      <c r="H39" s="85"/>
    </row>
    <row r="40" spans="2:8" x14ac:dyDescent="0.2">
      <c r="B40" s="24" t="s">
        <v>135</v>
      </c>
      <c r="C40" s="84"/>
      <c r="D40" s="84"/>
      <c r="E40" s="84"/>
      <c r="F40" s="84"/>
      <c r="G40" s="84"/>
      <c r="H40" s="84"/>
    </row>
    <row r="41" spans="2:8" x14ac:dyDescent="0.2">
      <c r="B41" s="1" t="s">
        <v>136</v>
      </c>
      <c r="C41" s="85"/>
      <c r="D41" s="85"/>
      <c r="E41" s="85"/>
      <c r="F41" s="85"/>
      <c r="G41" s="85"/>
      <c r="H41" s="85"/>
    </row>
    <row r="42" spans="2:8" x14ac:dyDescent="0.2">
      <c r="B42" s="1"/>
      <c r="C42" s="85"/>
      <c r="D42" s="85"/>
      <c r="E42" s="85"/>
      <c r="F42" s="85"/>
      <c r="G42" s="85"/>
      <c r="H42" s="85"/>
    </row>
    <row r="43" spans="2:8" x14ac:dyDescent="0.2">
      <c r="B43" s="24" t="s">
        <v>137</v>
      </c>
      <c r="C43" s="84"/>
      <c r="D43" s="84"/>
      <c r="E43" s="84"/>
      <c r="F43" s="84"/>
      <c r="G43" s="84"/>
      <c r="H43" s="84"/>
    </row>
    <row r="44" spans="2:8" x14ac:dyDescent="0.2">
      <c r="B44" s="1" t="s">
        <v>138</v>
      </c>
      <c r="C44" s="85">
        <f>C38+C40+C43</f>
        <v>20.491385000000001</v>
      </c>
      <c r="D44" s="85">
        <f t="shared" ref="D44:H44" si="9">D38+D40+D43</f>
        <v>20.711622249999998</v>
      </c>
      <c r="E44" s="85">
        <f t="shared" si="9"/>
        <v>21.978376362500004</v>
      </c>
      <c r="F44" s="85">
        <f t="shared" si="9"/>
        <v>23.277753180625005</v>
      </c>
      <c r="G44" s="85">
        <f t="shared" si="9"/>
        <v>24.61324533965626</v>
      </c>
      <c r="H44" s="85">
        <f t="shared" si="9"/>
        <v>25.99051210663907</v>
      </c>
    </row>
    <row r="45" spans="2:8" x14ac:dyDescent="0.2">
      <c r="B45" s="1"/>
      <c r="C45" s="85"/>
      <c r="D45" s="85"/>
      <c r="E45" s="85"/>
      <c r="F45" s="85"/>
      <c r="G45" s="85"/>
      <c r="H45" s="85"/>
    </row>
    <row r="46" spans="2:8" x14ac:dyDescent="0.2">
      <c r="B46" s="1" t="s">
        <v>139</v>
      </c>
      <c r="C46" s="85">
        <f>C31-C44</f>
        <v>5.0686149999999977</v>
      </c>
      <c r="D46" s="85">
        <f t="shared" ref="D46:H46" si="10">D31-D44</f>
        <v>7.5463777500000049</v>
      </c>
      <c r="E46" s="85">
        <f t="shared" si="10"/>
        <v>9.1125236375000007</v>
      </c>
      <c r="F46" s="85">
        <f t="shared" si="10"/>
        <v>9.3676918193750041</v>
      </c>
      <c r="G46" s="85">
        <f t="shared" si="10"/>
        <v>9.6644719103437495</v>
      </c>
      <c r="H46" s="85">
        <f t="shared" si="10"/>
        <v>10.001091005860939</v>
      </c>
    </row>
    <row r="47" spans="2:8" x14ac:dyDescent="0.2">
      <c r="C47" s="85"/>
      <c r="D47" s="85"/>
      <c r="E47" s="85"/>
      <c r="F47" s="85"/>
      <c r="G47" s="85"/>
      <c r="H47" s="85"/>
    </row>
    <row r="48" spans="2:8" x14ac:dyDescent="0.2">
      <c r="B48" s="1" t="s">
        <v>140</v>
      </c>
      <c r="C48" s="85"/>
      <c r="D48" s="85"/>
      <c r="E48" s="85"/>
      <c r="F48" s="85"/>
      <c r="G48" s="85"/>
      <c r="H48" s="85"/>
    </row>
    <row r="49" spans="2:8" x14ac:dyDescent="0.2">
      <c r="B49" s="1" t="s">
        <v>141</v>
      </c>
      <c r="C49" s="85"/>
      <c r="D49" s="85"/>
      <c r="E49" s="85"/>
      <c r="F49" s="85"/>
      <c r="G49" s="85"/>
      <c r="H49" s="85"/>
    </row>
    <row r="50" spans="2:8" x14ac:dyDescent="0.2">
      <c r="B50" s="1" t="s">
        <v>142</v>
      </c>
      <c r="C50" s="85"/>
      <c r="D50" s="85"/>
      <c r="E50" s="85"/>
      <c r="F50" s="85"/>
      <c r="G50" s="85"/>
      <c r="H50" s="85"/>
    </row>
    <row r="51" spans="2:8" x14ac:dyDescent="0.2">
      <c r="B51" s="24" t="s">
        <v>143</v>
      </c>
      <c r="C51" s="84"/>
      <c r="D51" s="84"/>
      <c r="E51" s="84"/>
      <c r="F51" s="84"/>
      <c r="G51" s="84"/>
      <c r="H51" s="84"/>
    </row>
    <row r="52" spans="2:8" x14ac:dyDescent="0.2">
      <c r="B52" s="1" t="s">
        <v>144</v>
      </c>
      <c r="C52" s="85"/>
      <c r="D52" s="85"/>
      <c r="E52" s="85"/>
      <c r="F52" s="85"/>
      <c r="G52" s="85"/>
      <c r="H52" s="85"/>
    </row>
    <row r="53" spans="2:8" x14ac:dyDescent="0.2">
      <c r="C53" s="85"/>
      <c r="D53" s="85"/>
      <c r="E53" s="85"/>
      <c r="F53" s="85"/>
      <c r="G53" s="85"/>
      <c r="H53" s="85"/>
    </row>
    <row r="54" spans="2:8" x14ac:dyDescent="0.2">
      <c r="B54" s="1" t="s">
        <v>145</v>
      </c>
      <c r="C54" s="85">
        <f>C46+C52</f>
        <v>5.0686149999999977</v>
      </c>
      <c r="D54" s="85">
        <f t="shared" ref="D54:H54" si="11">D46+D52</f>
        <v>7.5463777500000049</v>
      </c>
      <c r="E54" s="85">
        <f t="shared" si="11"/>
        <v>9.1125236375000007</v>
      </c>
      <c r="F54" s="85">
        <f t="shared" si="11"/>
        <v>9.3676918193750041</v>
      </c>
      <c r="G54" s="85">
        <f t="shared" si="11"/>
        <v>9.6644719103437495</v>
      </c>
      <c r="H54" s="85">
        <f t="shared" si="11"/>
        <v>10.001091005860939</v>
      </c>
    </row>
    <row r="57" spans="2:8" ht="42" x14ac:dyDescent="0.2">
      <c r="B57" s="59" t="s">
        <v>184</v>
      </c>
      <c r="C57" s="20">
        <f>C26</f>
        <v>1</v>
      </c>
      <c r="D57" s="20">
        <f t="shared" ref="D57:H57" si="12">D26</f>
        <v>2</v>
      </c>
      <c r="E57" s="20">
        <f t="shared" si="12"/>
        <v>3</v>
      </c>
      <c r="F57" s="20">
        <f t="shared" si="12"/>
        <v>4</v>
      </c>
      <c r="G57" s="20">
        <f t="shared" si="12"/>
        <v>5</v>
      </c>
      <c r="H57" s="20">
        <f t="shared" si="12"/>
        <v>6</v>
      </c>
    </row>
    <row r="58" spans="2:8" x14ac:dyDescent="0.2">
      <c r="B58" s="5" t="s">
        <v>146</v>
      </c>
      <c r="C58" s="5">
        <f>'Sales &amp; Prod'!C11</f>
        <v>28.4</v>
      </c>
      <c r="D58" s="5">
        <f>'Sales &amp; Prod'!D11</f>
        <v>29.820000000000004</v>
      </c>
      <c r="E58" s="5">
        <f>'Sales &amp; Prod'!E11</f>
        <v>31.311000000000007</v>
      </c>
      <c r="F58" s="5">
        <f>'Sales &amp; Prod'!F11</f>
        <v>32.876550000000009</v>
      </c>
      <c r="G58" s="5">
        <f>'Sales &amp; Prod'!G11</f>
        <v>34.520377500000009</v>
      </c>
      <c r="H58" s="5">
        <f>'Sales &amp; Prod'!H11</f>
        <v>36.24639637500001</v>
      </c>
    </row>
    <row r="59" spans="2:8" x14ac:dyDescent="0.2">
      <c r="B59" s="53" t="s">
        <v>178</v>
      </c>
      <c r="C59" s="52">
        <f>-C7</f>
        <v>-4.0999999999999999E-4</v>
      </c>
      <c r="D59" s="52">
        <f t="shared" ref="D59:H59" si="13">-D7</f>
        <v>-4.3050000000000006E-4</v>
      </c>
      <c r="E59" s="52">
        <f t="shared" si="13"/>
        <v>-4.520250000000001E-4</v>
      </c>
      <c r="F59" s="52">
        <f t="shared" si="13"/>
        <v>-4.7462625000000016E-4</v>
      </c>
      <c r="G59" s="52">
        <f t="shared" si="13"/>
        <v>-4.9835756250000019E-4</v>
      </c>
      <c r="H59" s="52">
        <f t="shared" si="13"/>
        <v>-5.2327544062500016E-4</v>
      </c>
    </row>
    <row r="60" spans="2:8" x14ac:dyDescent="0.2">
      <c r="B60" s="5" t="s">
        <v>179</v>
      </c>
      <c r="C60" s="32">
        <f>C58-C59</f>
        <v>28.400409999999997</v>
      </c>
      <c r="D60" s="32">
        <f t="shared" ref="D60:H60" si="14">D58-D59</f>
        <v>29.820430500000004</v>
      </c>
      <c r="E60" s="32">
        <f t="shared" si="14"/>
        <v>31.311452025000008</v>
      </c>
      <c r="F60" s="32">
        <f t="shared" si="14"/>
        <v>32.877024626250012</v>
      </c>
      <c r="G60" s="32">
        <f t="shared" si="14"/>
        <v>34.520875857562508</v>
      </c>
      <c r="H60" s="32">
        <f t="shared" si="14"/>
        <v>36.246919650440638</v>
      </c>
    </row>
    <row r="61" spans="2:8" x14ac:dyDescent="0.2">
      <c r="B61" s="5" t="s">
        <v>147</v>
      </c>
      <c r="C61" s="32">
        <f>C34+C35+C36</f>
        <v>10.485975</v>
      </c>
      <c r="D61" s="32">
        <f t="shared" ref="D61:H61" si="15">D34+D35+D36</f>
        <v>9.9561917499999986</v>
      </c>
      <c r="E61" s="32">
        <f t="shared" si="15"/>
        <v>10.460424337500005</v>
      </c>
      <c r="F61" s="32">
        <f t="shared" si="15"/>
        <v>10.984153554375004</v>
      </c>
      <c r="G61" s="32">
        <f t="shared" si="15"/>
        <v>11.530215732093758</v>
      </c>
      <c r="H61" s="32">
        <f t="shared" si="15"/>
        <v>12.103581018698444</v>
      </c>
    </row>
    <row r="62" spans="2:8" outlineLevel="1" x14ac:dyDescent="0.2">
      <c r="B62" s="54" t="s">
        <v>176</v>
      </c>
      <c r="C62" s="56">
        <f>C11</f>
        <v>4</v>
      </c>
      <c r="D62" s="56">
        <f t="shared" ref="D62:H62" si="16">D11</f>
        <v>4.5</v>
      </c>
      <c r="E62" s="56">
        <f t="shared" si="16"/>
        <v>5</v>
      </c>
      <c r="F62" s="56">
        <f t="shared" si="16"/>
        <v>5.5</v>
      </c>
      <c r="G62" s="56">
        <f t="shared" si="16"/>
        <v>6</v>
      </c>
      <c r="H62" s="56">
        <f t="shared" si="16"/>
        <v>6.5</v>
      </c>
    </row>
    <row r="63" spans="2:8" outlineLevel="1" x14ac:dyDescent="0.2">
      <c r="B63" s="54" t="s">
        <v>177</v>
      </c>
      <c r="C63" s="56">
        <f>C12</f>
        <v>5</v>
      </c>
      <c r="D63" s="56">
        <f>D12</f>
        <v>5.25</v>
      </c>
      <c r="E63" s="56">
        <f t="shared" ref="E63:H63" si="17">E12</f>
        <v>5.5125000000000002</v>
      </c>
      <c r="F63" s="56">
        <f t="shared" si="17"/>
        <v>5.7881250000000009</v>
      </c>
      <c r="G63" s="56">
        <f t="shared" si="17"/>
        <v>6.0775312500000007</v>
      </c>
      <c r="H63" s="56">
        <f t="shared" si="17"/>
        <v>6.3814078125000009</v>
      </c>
    </row>
    <row r="64" spans="2:8" outlineLevel="1" x14ac:dyDescent="0.2">
      <c r="B64" s="55" t="s">
        <v>180</v>
      </c>
      <c r="C64" s="57">
        <f>C60-SUM(C61:C63)</f>
        <v>8.9144349999999974</v>
      </c>
      <c r="D64" s="57">
        <f t="shared" ref="D64:H64" si="18">D60-SUM(D61:D63)</f>
        <v>10.114238750000005</v>
      </c>
      <c r="E64" s="57">
        <f t="shared" si="18"/>
        <v>10.338527687500005</v>
      </c>
      <c r="F64" s="57">
        <f t="shared" si="18"/>
        <v>10.604746071875006</v>
      </c>
      <c r="G64" s="57">
        <f t="shared" si="18"/>
        <v>10.91312887546875</v>
      </c>
      <c r="H64" s="57">
        <f t="shared" si="18"/>
        <v>11.261930819242195</v>
      </c>
    </row>
    <row r="65" spans="2:8" x14ac:dyDescent="0.2">
      <c r="B65" s="5" t="s">
        <v>148</v>
      </c>
      <c r="C65" s="32">
        <f>C60-C61</f>
        <v>17.914434999999997</v>
      </c>
      <c r="D65" s="32">
        <f t="shared" ref="D65:H65" si="19">D60-D61</f>
        <v>19.864238750000005</v>
      </c>
      <c r="E65" s="32">
        <f t="shared" si="19"/>
        <v>20.851027687500004</v>
      </c>
      <c r="F65" s="32">
        <f t="shared" si="19"/>
        <v>21.892871071875007</v>
      </c>
      <c r="G65" s="32">
        <f t="shared" si="19"/>
        <v>22.99066012546875</v>
      </c>
      <c r="H65" s="32">
        <f t="shared" si="19"/>
        <v>24.143338631742196</v>
      </c>
    </row>
    <row r="66" spans="2:8" outlineLevel="1" x14ac:dyDescent="0.2">
      <c r="B66" s="54" t="s">
        <v>181</v>
      </c>
      <c r="C66" s="58">
        <f>C15</f>
        <v>1.1999999999999999E-3</v>
      </c>
      <c r="D66" s="58">
        <f t="shared" ref="D66:H66" si="20">D15</f>
        <v>1.1999999999999999E-3</v>
      </c>
      <c r="E66" s="58">
        <f t="shared" si="20"/>
        <v>1.1999999999999999E-3</v>
      </c>
      <c r="F66" s="58">
        <f t="shared" si="20"/>
        <v>1.1999999999999999E-3</v>
      </c>
      <c r="G66" s="58">
        <f t="shared" si="20"/>
        <v>1.1999999999999999E-3</v>
      </c>
      <c r="H66" s="58">
        <f t="shared" si="20"/>
        <v>1.1999999999999999E-3</v>
      </c>
    </row>
    <row r="67" spans="2:8" outlineLevel="1" x14ac:dyDescent="0.2">
      <c r="B67" s="54" t="s">
        <v>182</v>
      </c>
      <c r="C67" s="56">
        <f>C13+C14</f>
        <v>1.0049999999999999</v>
      </c>
      <c r="D67" s="56">
        <f t="shared" ref="D67:H67" si="21">D13+D14</f>
        <v>1.0049999999999999</v>
      </c>
      <c r="E67" s="56">
        <f t="shared" si="21"/>
        <v>1.0049999999999999</v>
      </c>
      <c r="F67" s="56">
        <f t="shared" si="21"/>
        <v>1.0049999999999999</v>
      </c>
      <c r="G67" s="56">
        <f t="shared" si="21"/>
        <v>1.0049999999999999</v>
      </c>
      <c r="H67" s="56">
        <f t="shared" si="21"/>
        <v>1.0049999999999999</v>
      </c>
    </row>
    <row r="68" spans="2:8" outlineLevel="1" x14ac:dyDescent="0.2">
      <c r="B68" s="54" t="s">
        <v>183</v>
      </c>
      <c r="C68" s="56">
        <f>C64-SUM(C66:C67)</f>
        <v>7.9082349999999977</v>
      </c>
      <c r="D68" s="56">
        <f t="shared" ref="D68:H68" si="22">D64-SUM(D66:D67)</f>
        <v>9.1080387500000057</v>
      </c>
      <c r="E68" s="56">
        <f t="shared" si="22"/>
        <v>9.3323276875000047</v>
      </c>
      <c r="F68" s="56">
        <f t="shared" si="22"/>
        <v>9.5985460718750062</v>
      </c>
      <c r="G68" s="56">
        <f t="shared" si="22"/>
        <v>9.9069288754687506</v>
      </c>
      <c r="H68" s="56">
        <f t="shared" si="22"/>
        <v>10.255730819242196</v>
      </c>
    </row>
    <row r="70" spans="2:8" x14ac:dyDescent="0.2">
      <c r="B70" s="37" t="s">
        <v>149</v>
      </c>
      <c r="C70" s="45">
        <f t="shared" ref="C70:H70" si="23">C16</f>
        <v>10.006200000000002</v>
      </c>
      <c r="D70" s="45">
        <f t="shared" si="23"/>
        <v>10.756200000000002</v>
      </c>
      <c r="E70" s="45">
        <f t="shared" si="23"/>
        <v>11.518700000000001</v>
      </c>
      <c r="F70" s="45">
        <f t="shared" si="23"/>
        <v>12.294325000000002</v>
      </c>
      <c r="G70" s="45">
        <f t="shared" si="23"/>
        <v>13.083731250000001</v>
      </c>
      <c r="H70" s="45">
        <f t="shared" si="23"/>
        <v>13.887607812500002</v>
      </c>
    </row>
    <row r="71" spans="2:8" x14ac:dyDescent="0.2">
      <c r="B71" s="35" t="s">
        <v>150</v>
      </c>
      <c r="C71" s="32">
        <f t="shared" ref="C71:H71" si="24">C65-C70</f>
        <v>7.9082349999999959</v>
      </c>
      <c r="D71" s="32">
        <f t="shared" si="24"/>
        <v>9.108038750000004</v>
      </c>
      <c r="E71" s="32">
        <f t="shared" si="24"/>
        <v>9.332327687500003</v>
      </c>
      <c r="F71" s="32">
        <f t="shared" si="24"/>
        <v>9.5985460718750044</v>
      </c>
      <c r="G71" s="32">
        <f t="shared" si="24"/>
        <v>9.9069288754687488</v>
      </c>
      <c r="H71" s="32">
        <f t="shared" si="24"/>
        <v>10.255730819242194</v>
      </c>
    </row>
    <row r="73" spans="2:8" x14ac:dyDescent="0.2">
      <c r="B73" s="37" t="s">
        <v>151</v>
      </c>
      <c r="C73" s="20"/>
      <c r="D73" s="20"/>
      <c r="E73" s="20"/>
      <c r="F73" s="20"/>
      <c r="G73" s="20"/>
      <c r="H73" s="20"/>
    </row>
    <row r="74" spans="2:8" x14ac:dyDescent="0.2">
      <c r="B74" s="5" t="s">
        <v>152</v>
      </c>
      <c r="C74" s="32">
        <f>C71-C73</f>
        <v>7.9082349999999959</v>
      </c>
      <c r="D74" s="32">
        <f t="shared" ref="D74:H74" si="25">D71-D73</f>
        <v>9.108038750000004</v>
      </c>
      <c r="E74" s="32">
        <f t="shared" si="25"/>
        <v>9.332327687500003</v>
      </c>
      <c r="F74" s="32">
        <f t="shared" si="25"/>
        <v>9.5985460718750044</v>
      </c>
      <c r="G74" s="32">
        <f t="shared" si="25"/>
        <v>9.9069288754687488</v>
      </c>
      <c r="H74" s="32">
        <f t="shared" si="25"/>
        <v>10.255730819242194</v>
      </c>
    </row>
    <row r="76" spans="2:8" x14ac:dyDescent="0.2">
      <c r="B76" s="37" t="s">
        <v>153</v>
      </c>
      <c r="C76" s="38">
        <f>-C74*0.25</f>
        <v>-1.977058749999999</v>
      </c>
      <c r="D76" s="38">
        <f t="shared" ref="D76:H76" si="26">-D74*0.25</f>
        <v>-2.277009687500001</v>
      </c>
      <c r="E76" s="38">
        <f t="shared" si="26"/>
        <v>-2.3330819218750007</v>
      </c>
      <c r="F76" s="38">
        <f t="shared" si="26"/>
        <v>-2.3996365179687511</v>
      </c>
      <c r="G76" s="38">
        <f t="shared" si="26"/>
        <v>-2.4767322188671872</v>
      </c>
      <c r="H76" s="38">
        <f t="shared" si="26"/>
        <v>-2.5639327048105485</v>
      </c>
    </row>
    <row r="77" spans="2:8" x14ac:dyDescent="0.2">
      <c r="B77" s="5" t="s">
        <v>154</v>
      </c>
      <c r="C77" s="32">
        <f>SUM(C74:C76)</f>
        <v>5.9311762499999965</v>
      </c>
      <c r="D77" s="32">
        <f t="shared" ref="D77:H77" si="27">SUM(D74:D76)</f>
        <v>6.8310290625000025</v>
      </c>
      <c r="E77" s="32">
        <f t="shared" si="27"/>
        <v>6.9992457656250018</v>
      </c>
      <c r="F77" s="32">
        <f t="shared" si="27"/>
        <v>7.1989095539062529</v>
      </c>
      <c r="G77" s="32">
        <f t="shared" si="27"/>
        <v>7.4301966566015611</v>
      </c>
      <c r="H77" s="32">
        <f t="shared" si="27"/>
        <v>7.691798114431645</v>
      </c>
    </row>
    <row r="81" spans="2:8" ht="20" x14ac:dyDescent="0.2">
      <c r="B81" s="42" t="s">
        <v>155</v>
      </c>
      <c r="C81" s="91">
        <f t="shared" ref="C81:H81" si="28">C57</f>
        <v>1</v>
      </c>
      <c r="D81" s="91">
        <f t="shared" si="28"/>
        <v>2</v>
      </c>
      <c r="E81" s="91">
        <f t="shared" si="28"/>
        <v>3</v>
      </c>
      <c r="F81" s="91">
        <f t="shared" si="28"/>
        <v>4</v>
      </c>
      <c r="G81" s="91">
        <f t="shared" si="28"/>
        <v>5</v>
      </c>
      <c r="H81" s="91">
        <f t="shared" si="28"/>
        <v>6</v>
      </c>
    </row>
    <row r="82" spans="2:8" x14ac:dyDescent="0.2">
      <c r="B82" s="48" t="s">
        <v>156</v>
      </c>
      <c r="C82" s="85"/>
      <c r="D82" s="85"/>
      <c r="E82" s="85"/>
      <c r="F82" s="85"/>
      <c r="G82" s="85"/>
      <c r="H82" s="85"/>
    </row>
    <row r="83" spans="2:8" x14ac:dyDescent="0.2">
      <c r="B83" s="18" t="s">
        <v>157</v>
      </c>
      <c r="C83" s="85">
        <f t="shared" ref="C83:H83" si="29">C54</f>
        <v>5.0686149999999977</v>
      </c>
      <c r="D83" s="85">
        <f t="shared" si="29"/>
        <v>7.5463777500000049</v>
      </c>
      <c r="E83" s="85">
        <f t="shared" si="29"/>
        <v>9.1125236375000007</v>
      </c>
      <c r="F83" s="85">
        <f t="shared" si="29"/>
        <v>9.3676918193750041</v>
      </c>
      <c r="G83" s="85">
        <f t="shared" si="29"/>
        <v>9.6644719103437495</v>
      </c>
      <c r="H83" s="85">
        <f t="shared" si="29"/>
        <v>10.001091005860939</v>
      </c>
    </row>
    <row r="84" spans="2:8" x14ac:dyDescent="0.2">
      <c r="B84" s="18" t="s">
        <v>158</v>
      </c>
      <c r="C84" s="85">
        <f>'Sales &amp; Prod'!D18+'Sales &amp; Prod'!D19</f>
        <v>1.42</v>
      </c>
      <c r="D84" s="85">
        <f>'Sales &amp; Prod'!E18+'Sales &amp; Prod'!E19</f>
        <v>2.9110000000000005</v>
      </c>
      <c r="E84" s="85">
        <f>'Sales &amp; Prod'!F18+'Sales &amp; Prod'!F19</f>
        <v>3.0565500000000005</v>
      </c>
      <c r="F84" s="85">
        <f>'Sales &amp; Prod'!G18+'Sales &amp; Prod'!G19</f>
        <v>3.2093775000000009</v>
      </c>
      <c r="G84" s="85">
        <f>'Sales &amp; Prod'!H18+'Sales &amp; Prod'!H19</f>
        <v>3.3698463750000007</v>
      </c>
      <c r="H84" s="85">
        <f>'Sales &amp; Prod'!I18+'Sales &amp; Prod'!I19</f>
        <v>3.538338693750001</v>
      </c>
    </row>
    <row r="85" spans="2:8" x14ac:dyDescent="0.2">
      <c r="B85" s="18" t="s">
        <v>159</v>
      </c>
      <c r="C85" s="85">
        <f>'RM &amp; DL &amp; FG'!C19</f>
        <v>5.5550000000000016E-2</v>
      </c>
      <c r="D85" s="85">
        <f>'RM &amp; DL &amp; FG'!D19</f>
        <v>5.7777500000000016E-2</v>
      </c>
      <c r="E85" s="85">
        <f>'RM &amp; DL &amp; FG'!E19</f>
        <v>6.0666375000000029E-2</v>
      </c>
      <c r="F85" s="85">
        <f>'RM &amp; DL &amp; FG'!F19</f>
        <v>6.3699693750000022E-2</v>
      </c>
      <c r="G85" s="85">
        <f>'RM &amp; DL &amp; FG'!G19</f>
        <v>6.6884678437500053E-2</v>
      </c>
      <c r="H85" s="85">
        <f>'RM &amp; DL &amp; FG'!H19</f>
        <v>7.0228912359375048E-2</v>
      </c>
    </row>
    <row r="86" spans="2:8" x14ac:dyDescent="0.2">
      <c r="B86" s="33" t="s">
        <v>160</v>
      </c>
      <c r="C86" s="84">
        <f>'RM &amp; DL &amp; FG'!C78</f>
        <v>0.35073583489681054</v>
      </c>
      <c r="D86" s="84">
        <f>'RM &amp; DL &amp; FG'!D78</f>
        <v>0.36827262664165111</v>
      </c>
      <c r="E86" s="84">
        <f>'RM &amp; DL &amp; FG'!E78</f>
        <v>0.38668625797373368</v>
      </c>
      <c r="F86" s="84">
        <f>'RM &amp; DL &amp; FG'!F78</f>
        <v>0.40048291515557355</v>
      </c>
      <c r="G86" s="84">
        <f>'RM &amp; DL &amp; FG'!G78</f>
        <v>0.42050706091335222</v>
      </c>
      <c r="H86" s="84">
        <f>'RM &amp; DL &amp; FG'!H78</f>
        <v>0.44153241395901976</v>
      </c>
    </row>
    <row r="87" spans="2:8" x14ac:dyDescent="0.2">
      <c r="B87" s="18" t="s">
        <v>161</v>
      </c>
      <c r="C87" s="85">
        <f>SUM(C83:C86)</f>
        <v>6.8949008348968084</v>
      </c>
      <c r="D87" s="85">
        <f t="shared" ref="D87:H87" si="30">SUM(D83:D86)</f>
        <v>10.883427876641658</v>
      </c>
      <c r="E87" s="85">
        <f t="shared" si="30"/>
        <v>12.616426270473736</v>
      </c>
      <c r="F87" s="85">
        <f t="shared" si="30"/>
        <v>13.041251928280577</v>
      </c>
      <c r="G87" s="85">
        <f t="shared" si="30"/>
        <v>13.521710024694602</v>
      </c>
      <c r="H87" s="85">
        <f t="shared" si="30"/>
        <v>14.051191025929336</v>
      </c>
    </row>
    <row r="88" spans="2:8" x14ac:dyDescent="0.2">
      <c r="B88" s="18"/>
      <c r="C88" s="85"/>
      <c r="D88" s="85"/>
      <c r="E88" s="85"/>
      <c r="F88" s="85"/>
      <c r="G88" s="85"/>
      <c r="H88" s="85"/>
    </row>
    <row r="89" spans="2:8" x14ac:dyDescent="0.2">
      <c r="B89" s="18" t="s">
        <v>162</v>
      </c>
      <c r="C89" s="85"/>
      <c r="D89" s="85"/>
      <c r="E89" s="85"/>
      <c r="F89" s="85"/>
      <c r="G89" s="85"/>
      <c r="H89" s="85"/>
    </row>
    <row r="90" spans="2:8" x14ac:dyDescent="0.2">
      <c r="B90" s="33" t="s">
        <v>163</v>
      </c>
      <c r="C90" s="84">
        <f>Input!C59</f>
        <v>1</v>
      </c>
      <c r="D90" s="84">
        <f>Input!D59</f>
        <v>1</v>
      </c>
      <c r="E90" s="84">
        <f>Input!E59</f>
        <v>1</v>
      </c>
      <c r="F90" s="84">
        <f>Input!F59</f>
        <v>1</v>
      </c>
      <c r="G90" s="84">
        <f>Input!G59</f>
        <v>1</v>
      </c>
      <c r="H90" s="84">
        <f>Input!H59</f>
        <v>1</v>
      </c>
    </row>
    <row r="91" spans="2:8" x14ac:dyDescent="0.2">
      <c r="B91" s="5" t="s">
        <v>164</v>
      </c>
      <c r="C91" s="85">
        <f t="shared" ref="C91:H91" si="31">SUM(C89:C90)</f>
        <v>1</v>
      </c>
      <c r="D91" s="85">
        <f t="shared" si="31"/>
        <v>1</v>
      </c>
      <c r="E91" s="85">
        <f t="shared" si="31"/>
        <v>1</v>
      </c>
      <c r="F91" s="85">
        <f t="shared" si="31"/>
        <v>1</v>
      </c>
      <c r="G91" s="85">
        <f t="shared" si="31"/>
        <v>1</v>
      </c>
      <c r="H91" s="85">
        <f t="shared" si="31"/>
        <v>1</v>
      </c>
    </row>
    <row r="92" spans="2:8" x14ac:dyDescent="0.2">
      <c r="C92" s="85"/>
      <c r="D92" s="85"/>
      <c r="E92" s="85"/>
      <c r="F92" s="85"/>
      <c r="G92" s="85"/>
      <c r="H92" s="85"/>
    </row>
    <row r="93" spans="2:8" x14ac:dyDescent="0.2">
      <c r="B93" s="18" t="s">
        <v>165</v>
      </c>
      <c r="C93" s="86">
        <f>C87+C91</f>
        <v>7.8949008348968084</v>
      </c>
      <c r="D93" s="86">
        <f t="shared" ref="D93:H93" si="32">D87+D91</f>
        <v>11.883427876641658</v>
      </c>
      <c r="E93" s="86">
        <f t="shared" si="32"/>
        <v>13.616426270473736</v>
      </c>
      <c r="F93" s="86">
        <f t="shared" si="32"/>
        <v>14.041251928280577</v>
      </c>
      <c r="G93" s="86">
        <f t="shared" si="32"/>
        <v>14.521710024694602</v>
      </c>
      <c r="H93" s="86">
        <f t="shared" si="32"/>
        <v>15.051191025929336</v>
      </c>
    </row>
    <row r="94" spans="2:8" x14ac:dyDescent="0.2">
      <c r="B94" s="18"/>
      <c r="C94" s="86"/>
      <c r="D94" s="86"/>
      <c r="E94" s="86"/>
      <c r="F94" s="86"/>
      <c r="G94" s="86"/>
      <c r="H94" s="86"/>
    </row>
    <row r="95" spans="2:8" x14ac:dyDescent="0.2">
      <c r="B95" s="48" t="s">
        <v>166</v>
      </c>
      <c r="C95" s="86"/>
      <c r="D95" s="86"/>
      <c r="E95" s="86"/>
      <c r="F95" s="86"/>
      <c r="G95" s="86"/>
      <c r="H95" s="86"/>
    </row>
    <row r="96" spans="2:8" x14ac:dyDescent="0.2">
      <c r="B96" s="18" t="s">
        <v>167</v>
      </c>
      <c r="C96" s="86">
        <f>'RM &amp; DL &amp; FG'!D34+'RM &amp; DL &amp; FG'!D35</f>
        <v>1.0426735</v>
      </c>
      <c r="D96" s="86">
        <f>'RM &amp; DL &amp; FG'!E34+'RM &amp; DL &amp; FG'!E35</f>
        <v>2.0323686749999998</v>
      </c>
      <c r="E96" s="86">
        <f>'RM &amp; DL &amp; FG'!F34+'RM &amp; DL &amp; FG'!F35</f>
        <v>2.0298136087500005</v>
      </c>
      <c r="F96" s="86">
        <f>'RM &amp; DL &amp; FG'!G34+'RM &amp; DL &amp; FG'!G35</f>
        <v>2.1322427891875009</v>
      </c>
      <c r="G96" s="86">
        <f>'RM &amp; DL &amp; FG'!H34+'RM &amp; DL &amp; FG'!H35</f>
        <v>2.2388549286468762</v>
      </c>
      <c r="H96" s="86">
        <f>'RM &amp; DL &amp; FG'!I34+'RM &amp; DL &amp; FG'!I35</f>
        <v>2.3507976750792201</v>
      </c>
    </row>
    <row r="97" spans="2:8" x14ac:dyDescent="0.2">
      <c r="B97" s="33" t="s">
        <v>168</v>
      </c>
      <c r="C97" s="87"/>
      <c r="D97" s="87"/>
      <c r="E97" s="87"/>
      <c r="F97" s="87"/>
      <c r="G97" s="87"/>
      <c r="H97" s="87"/>
    </row>
    <row r="98" spans="2:8" x14ac:dyDescent="0.2">
      <c r="B98" s="18" t="s">
        <v>169</v>
      </c>
      <c r="C98" s="86">
        <f>SUM(C96:C97)</f>
        <v>1.0426735</v>
      </c>
      <c r="D98" s="86">
        <f t="shared" ref="D98:H98" si="33">SUM(D96:D97)</f>
        <v>2.0323686749999998</v>
      </c>
      <c r="E98" s="86">
        <f t="shared" si="33"/>
        <v>2.0298136087500005</v>
      </c>
      <c r="F98" s="86">
        <f t="shared" si="33"/>
        <v>2.1322427891875009</v>
      </c>
      <c r="G98" s="86">
        <f t="shared" si="33"/>
        <v>2.2388549286468762</v>
      </c>
      <c r="H98" s="86">
        <f t="shared" si="33"/>
        <v>2.3507976750792201</v>
      </c>
    </row>
    <row r="99" spans="2:8" x14ac:dyDescent="0.2">
      <c r="B99" s="18"/>
      <c r="C99" s="86"/>
      <c r="D99" s="86"/>
      <c r="E99" s="86"/>
      <c r="F99" s="86"/>
      <c r="G99" s="86"/>
      <c r="H99" s="86"/>
    </row>
    <row r="100" spans="2:8" x14ac:dyDescent="0.2">
      <c r="B100" s="33" t="s">
        <v>170</v>
      </c>
      <c r="C100" s="87"/>
      <c r="D100" s="87"/>
      <c r="E100" s="87"/>
      <c r="F100" s="87"/>
      <c r="G100" s="87"/>
      <c r="H100" s="87"/>
    </row>
    <row r="101" spans="2:8" x14ac:dyDescent="0.2">
      <c r="B101" s="18" t="s">
        <v>171</v>
      </c>
      <c r="C101" s="86">
        <f>C100</f>
        <v>0</v>
      </c>
      <c r="D101" s="86">
        <f t="shared" ref="D101:H101" si="34">D100</f>
        <v>0</v>
      </c>
      <c r="E101" s="86">
        <f t="shared" si="34"/>
        <v>0</v>
      </c>
      <c r="F101" s="86">
        <f t="shared" si="34"/>
        <v>0</v>
      </c>
      <c r="G101" s="86">
        <f t="shared" si="34"/>
        <v>0</v>
      </c>
      <c r="H101" s="86">
        <f t="shared" si="34"/>
        <v>0</v>
      </c>
    </row>
    <row r="102" spans="2:8" x14ac:dyDescent="0.2">
      <c r="B102" s="18"/>
      <c r="C102" s="86"/>
      <c r="D102" s="86"/>
      <c r="E102" s="86"/>
      <c r="F102" s="86"/>
      <c r="G102" s="86"/>
      <c r="H102" s="86"/>
    </row>
    <row r="103" spans="2:8" x14ac:dyDescent="0.2">
      <c r="B103" s="18" t="s">
        <v>172</v>
      </c>
      <c r="C103" s="86">
        <f>C93-C98-C104</f>
        <v>0.92105108489681164</v>
      </c>
      <c r="D103" s="86">
        <f>D93-D98-D104</f>
        <v>3.0200301391416549</v>
      </c>
      <c r="E103" s="86">
        <f t="shared" ref="E103:H103" si="35">E93-E98-E104</f>
        <v>4.5873668960987342</v>
      </c>
      <c r="F103" s="86">
        <f t="shared" si="35"/>
        <v>4.710099585186823</v>
      </c>
      <c r="G103" s="86">
        <f t="shared" si="35"/>
        <v>4.8526584394461647</v>
      </c>
      <c r="H103" s="86">
        <f t="shared" si="35"/>
        <v>5.008595236418472</v>
      </c>
    </row>
    <row r="104" spans="2:8" x14ac:dyDescent="0.2">
      <c r="B104" s="33" t="s">
        <v>173</v>
      </c>
      <c r="C104" s="87">
        <f>C77</f>
        <v>5.9311762499999965</v>
      </c>
      <c r="D104" s="87">
        <f t="shared" ref="D104:H104" si="36">D77</f>
        <v>6.8310290625000025</v>
      </c>
      <c r="E104" s="87">
        <f t="shared" si="36"/>
        <v>6.9992457656250018</v>
      </c>
      <c r="F104" s="87">
        <f t="shared" si="36"/>
        <v>7.1989095539062529</v>
      </c>
      <c r="G104" s="87">
        <f t="shared" si="36"/>
        <v>7.4301966566015611</v>
      </c>
      <c r="H104" s="87">
        <f t="shared" si="36"/>
        <v>7.691798114431645</v>
      </c>
    </row>
    <row r="105" spans="2:8" x14ac:dyDescent="0.2">
      <c r="B105" s="18" t="s">
        <v>174</v>
      </c>
      <c r="C105" s="86">
        <f>SUM(C103:C104)</f>
        <v>6.8522273348968081</v>
      </c>
      <c r="D105" s="86">
        <f t="shared" ref="D105:H105" si="37">SUM(D103:D104)</f>
        <v>9.8510592016416574</v>
      </c>
      <c r="E105" s="86">
        <f t="shared" si="37"/>
        <v>11.586612661723736</v>
      </c>
      <c r="F105" s="86">
        <f t="shared" si="37"/>
        <v>11.909009139093076</v>
      </c>
      <c r="G105" s="86">
        <f t="shared" si="37"/>
        <v>12.282855096047726</v>
      </c>
      <c r="H105" s="86">
        <f t="shared" si="37"/>
        <v>12.700393350850117</v>
      </c>
    </row>
    <row r="106" spans="2:8" x14ac:dyDescent="0.2">
      <c r="B106" s="18"/>
      <c r="C106" s="86"/>
      <c r="D106" s="86"/>
      <c r="E106" s="86"/>
      <c r="F106" s="86"/>
      <c r="G106" s="86"/>
      <c r="H106" s="86"/>
    </row>
    <row r="107" spans="2:8" x14ac:dyDescent="0.2">
      <c r="B107" s="18" t="s">
        <v>175</v>
      </c>
      <c r="C107" s="86">
        <f>C105+C101+C98</f>
        <v>7.8949008348968084</v>
      </c>
      <c r="D107" s="86">
        <f t="shared" ref="D107:H107" si="38">D105+D101+D98</f>
        <v>11.883427876641658</v>
      </c>
      <c r="E107" s="86">
        <f t="shared" si="38"/>
        <v>13.616426270473736</v>
      </c>
      <c r="F107" s="86">
        <f t="shared" si="38"/>
        <v>14.041251928280577</v>
      </c>
      <c r="G107" s="86">
        <f t="shared" si="38"/>
        <v>14.521710024694602</v>
      </c>
      <c r="H107" s="86">
        <f t="shared" si="38"/>
        <v>15.051191025929338</v>
      </c>
    </row>
    <row r="108" spans="2:8" x14ac:dyDescent="0.2">
      <c r="B108" s="1"/>
      <c r="C108" s="1"/>
      <c r="D108" s="1"/>
      <c r="E108" s="1"/>
      <c r="F108" s="1"/>
      <c r="G108" s="1"/>
      <c r="H108" s="1"/>
    </row>
    <row r="109" spans="2:8" x14ac:dyDescent="0.2">
      <c r="B109" s="1"/>
      <c r="C109" s="1"/>
      <c r="D109" s="1"/>
      <c r="E109" s="1"/>
      <c r="F109" s="1"/>
      <c r="G109" s="1"/>
      <c r="H109" s="1"/>
    </row>
    <row r="110" spans="2:8" x14ac:dyDescent="0.2">
      <c r="B110" s="1"/>
      <c r="C110" s="1"/>
      <c r="D110" s="1"/>
      <c r="E110" s="1"/>
      <c r="F110" s="1"/>
      <c r="G110" s="1"/>
      <c r="H110" s="1"/>
    </row>
    <row r="111" spans="2:8" x14ac:dyDescent="0.2">
      <c r="B111" s="1"/>
      <c r="C111" s="1"/>
      <c r="D111" s="1"/>
      <c r="E111" s="1"/>
      <c r="F111" s="1"/>
      <c r="G111" s="1"/>
      <c r="H111" s="1"/>
    </row>
    <row r="112" spans="2:8" x14ac:dyDescent="0.2">
      <c r="B112" s="18"/>
      <c r="C112" s="1"/>
      <c r="D112" s="1"/>
      <c r="E112" s="1"/>
      <c r="F112" s="1"/>
      <c r="G112" s="1"/>
      <c r="H112" s="1"/>
    </row>
  </sheetData>
  <sheetProtection algorithmName="SHA-512" hashValue="7SM9tuWykpJ7KDgyFDVUo1rdyTMaHP6iIPo/9TGBzdXvCz8dxnvwdENJ0agUKf5kQftWBJVgJopmvcbulJfViA==" saltValue="NOxhuoKYP6JSVmOS6vFeZg==" spinCount="100000"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3EAE0-C113-6145-B183-0FCD62427E4B}">
  <sheetPr>
    <tabColor theme="4" tint="-0.499984740745262"/>
  </sheetPr>
  <dimension ref="B1:H37"/>
  <sheetViews>
    <sheetView zoomScaleNormal="100" workbookViewId="0">
      <selection activeCell="K17" sqref="K17"/>
    </sheetView>
  </sheetViews>
  <sheetFormatPr baseColWidth="10" defaultRowHeight="16" outlineLevelRow="1" x14ac:dyDescent="0.2"/>
  <cols>
    <col min="1" max="1" width="6.33203125" style="5" customWidth="1"/>
    <col min="2" max="2" width="37.5" style="5" customWidth="1"/>
    <col min="3" max="3" width="13.33203125" style="5" customWidth="1"/>
    <col min="4" max="16384" width="10.83203125" style="5"/>
  </cols>
  <sheetData>
    <row r="1" spans="2:8" x14ac:dyDescent="0.2">
      <c r="B1" s="5" t="str">
        <f>Input!B1</f>
        <v>HasName co,   by elie diwambuena</v>
      </c>
    </row>
    <row r="3" spans="2:8" ht="20" x14ac:dyDescent="0.2">
      <c r="B3" s="61" t="s">
        <v>185</v>
      </c>
      <c r="C3" s="51">
        <f>Input!C6</f>
        <v>1</v>
      </c>
      <c r="D3" s="51">
        <f>Input!D6</f>
        <v>2</v>
      </c>
      <c r="E3" s="51">
        <f>Input!E6</f>
        <v>3</v>
      </c>
      <c r="F3" s="51">
        <f>Input!F6</f>
        <v>4</v>
      </c>
      <c r="G3" s="51">
        <f>Input!G6</f>
        <v>5</v>
      </c>
      <c r="H3" s="51">
        <f>Input!H6</f>
        <v>6</v>
      </c>
    </row>
    <row r="4" spans="2:8" s="62" customFormat="1" hidden="1" outlineLevel="1" x14ac:dyDescent="0.2">
      <c r="B4" s="62" t="s">
        <v>191</v>
      </c>
      <c r="C4" s="63">
        <f>'Sales &amp; Prod'!C9-'SGA &amp; PL &amp; BS'!C7*'Sales &amp; Prod'!$C$34</f>
        <v>23.999700000000001</v>
      </c>
      <c r="D4" s="63">
        <f>'Sales &amp; Prod'!D9-'SGA &amp; PL &amp; BS'!D7*'Sales &amp; Prod'!$C$34</f>
        <v>25.199685000000002</v>
      </c>
      <c r="E4" s="63">
        <f>'Sales &amp; Prod'!E9-'SGA &amp; PL &amp; BS'!E7*'Sales &amp; Prod'!$C$34</f>
        <v>26.459669250000005</v>
      </c>
      <c r="F4" s="63">
        <f>'Sales &amp; Prod'!F9-'SGA &amp; PL &amp; BS'!F7*'Sales &amp; Prod'!$C$34</f>
        <v>27.782652712500006</v>
      </c>
      <c r="G4" s="63">
        <f>'Sales &amp; Prod'!G9-'SGA &amp; PL &amp; BS'!G7*'Sales &amp; Prod'!$C$34</f>
        <v>29.171785348125006</v>
      </c>
      <c r="H4" s="63">
        <f>'Sales &amp; Prod'!H9-'SGA &amp; PL &amp; BS'!H7*'Sales &amp; Prod'!$C$34</f>
        <v>30.63037461553126</v>
      </c>
    </row>
    <row r="5" spans="2:8" s="62" customFormat="1" hidden="1" outlineLevel="1" x14ac:dyDescent="0.2">
      <c r="B5" s="64" t="s">
        <v>188</v>
      </c>
      <c r="C5" s="63">
        <f>'RM &amp; DL &amp; FG'!C13+('RM &amp; DL &amp; FG'!C42+'RM &amp; DL &amp; FG'!C48)*'Sales &amp; Prod'!$C$34</f>
        <v>10.042346341463416</v>
      </c>
      <c r="D5" s="63">
        <f>'RM &amp; DL &amp; FG'!D13+('RM &amp; DL &amp; FG'!D42+'RM &amp; DL &amp; FG'!D48)*'Sales &amp; Prod'!$C$34</f>
        <v>9.5342963414634152</v>
      </c>
      <c r="E5" s="63">
        <f>'RM &amp; DL &amp; FG'!E13+('RM &amp; DL &amp; FG'!E42+'RM &amp; DL &amp; FG'!E48)*'Sales &amp; Prod'!$C$34</f>
        <v>10.017843841463421</v>
      </c>
      <c r="F5" s="63">
        <f>'RM &amp; DL &amp; FG'!F13+('RM &amp; DL &amp; FG'!F42+'RM &amp; DL &amp; FG'!F48)*'Sales &amp; Prod'!$C$34</f>
        <v>10.519254082317076</v>
      </c>
      <c r="G5" s="63">
        <f>'RM &amp; DL &amp; FG'!G13+('RM &amp; DL &amp; FG'!G42+'RM &amp; DL &amp; FG'!G48)*'Sales &amp; Prod'!$C$34</f>
        <v>11.04291520106708</v>
      </c>
      <c r="H5" s="63">
        <f>'RM &amp; DL &amp; FG'!H13+('RM &amp; DL &amp; FG'!H42+'RM &amp; DL &amp; FG'!H48)*'Sales &amp; Prod'!$C$34</f>
        <v>11.592759375754579</v>
      </c>
    </row>
    <row r="6" spans="2:8" s="62" customFormat="1" hidden="1" outlineLevel="1" x14ac:dyDescent="0.2">
      <c r="B6" s="64" t="s">
        <v>189</v>
      </c>
      <c r="C6" s="65">
        <f>('SGA &amp; PL &amp; BS'!C11+'SGA &amp; PL &amp; BS'!C12)*'Sales &amp; Prod'!$C$34</f>
        <v>6.5853658536585371</v>
      </c>
      <c r="D6" s="65">
        <f>('SGA &amp; PL &amp; BS'!D11+'SGA &amp; PL &amp; BS'!D12)*'Sales &amp; Prod'!$C$34</f>
        <v>7.1341463414634152</v>
      </c>
      <c r="E6" s="65">
        <f>('SGA &amp; PL &amp; BS'!E11+'SGA &amp; PL &amp; BS'!E12)*'Sales &amp; Prod'!$C$34</f>
        <v>7.6920731707317076</v>
      </c>
      <c r="F6" s="65">
        <f>('SGA &amp; PL &amp; BS'!F11+'SGA &amp; PL &amp; BS'!F12)*'Sales &amp; Prod'!$C$34</f>
        <v>8.2596036585365873</v>
      </c>
      <c r="G6" s="65">
        <f>('SGA &amp; PL &amp; BS'!G11+'SGA &amp; PL &amp; BS'!G12)*'Sales &amp; Prod'!$C$34</f>
        <v>8.8372179878048787</v>
      </c>
      <c r="H6" s="65">
        <f>('SGA &amp; PL &amp; BS'!H11+'SGA &amp; PL &amp; BS'!H12)*'Sales &amp; Prod'!$C$34</f>
        <v>9.4254203506097571</v>
      </c>
    </row>
    <row r="7" spans="2:8" collapsed="1" x14ac:dyDescent="0.2">
      <c r="B7" s="5" t="s">
        <v>187</v>
      </c>
      <c r="C7" s="32">
        <f t="shared" ref="C7:H7" si="0">C4-SUM(C5:C6)</f>
        <v>7.3719878048780494</v>
      </c>
      <c r="D7" s="32">
        <f t="shared" si="0"/>
        <v>8.5312423170731719</v>
      </c>
      <c r="E7" s="32">
        <f t="shared" si="0"/>
        <v>8.7497522378048771</v>
      </c>
      <c r="F7" s="32">
        <f t="shared" si="0"/>
        <v>9.003794971646343</v>
      </c>
      <c r="G7" s="32">
        <f t="shared" si="0"/>
        <v>9.2916521592530472</v>
      </c>
      <c r="H7" s="32">
        <f t="shared" si="0"/>
        <v>9.612194889166922</v>
      </c>
    </row>
    <row r="8" spans="2:8" x14ac:dyDescent="0.2">
      <c r="B8" s="5" t="s">
        <v>186</v>
      </c>
      <c r="C8" s="32">
        <f>C7/'Sales &amp; Prod'!C5</f>
        <v>2.4573292682926833</v>
      </c>
      <c r="D8" s="32">
        <f>D7/'Sales &amp; Prod'!D5</f>
        <v>2.708330894308943</v>
      </c>
      <c r="E8" s="32">
        <f>E7/'Sales &amp; Prod'!E5</f>
        <v>2.6454277362977705</v>
      </c>
      <c r="F8" s="32">
        <f>F7/'Sales &amp; Prod'!F5</f>
        <v>2.5926055419922518</v>
      </c>
      <c r="G8" s="32">
        <f>G7/'Sales &amp; Prod'!G5</f>
        <v>2.5480884087742717</v>
      </c>
      <c r="H8" s="32">
        <f>H7/'Sales &amp; Prod'!H5</f>
        <v>2.5104687376188903</v>
      </c>
    </row>
    <row r="9" spans="2:8" x14ac:dyDescent="0.2">
      <c r="B9" s="68" t="s">
        <v>208</v>
      </c>
      <c r="C9" s="69">
        <f>C7/C4</f>
        <v>0.30716999816156237</v>
      </c>
      <c r="D9" s="69">
        <f t="shared" ref="D9:H9" si="1">D7/D4</f>
        <v>0.33854559360853803</v>
      </c>
      <c r="E9" s="69">
        <f t="shared" si="1"/>
        <v>0.33068260056972842</v>
      </c>
      <c r="F9" s="69">
        <f t="shared" si="1"/>
        <v>0.32407974374582826</v>
      </c>
      <c r="G9" s="69">
        <f t="shared" si="1"/>
        <v>0.3185150325346906</v>
      </c>
      <c r="H9" s="69">
        <f t="shared" si="1"/>
        <v>0.31381251485879702</v>
      </c>
    </row>
    <row r="10" spans="2:8" hidden="1" outlineLevel="1" x14ac:dyDescent="0.2">
      <c r="B10" s="62" t="s">
        <v>190</v>
      </c>
      <c r="C10" s="65">
        <f>'Sales &amp; Prod'!C10-'SGA &amp; PL &amp; BS'!C7*'Sales &amp; Prod'!$C$35</f>
        <v>4.3998900000000001</v>
      </c>
      <c r="D10" s="65">
        <f>'Sales &amp; Prod'!D10-'SGA &amp; PL &amp; BS'!D7*'Sales &amp; Prod'!$C$35</f>
        <v>4.6198845000000013</v>
      </c>
      <c r="E10" s="65">
        <f>'Sales &amp; Prod'!E10-'SGA &amp; PL &amp; BS'!E7*'Sales &amp; Prod'!$C$35</f>
        <v>4.8508787250000012</v>
      </c>
      <c r="F10" s="65">
        <f>'Sales &amp; Prod'!F10-'SGA &amp; PL &amp; BS'!F7*'Sales &amp; Prod'!$C$35</f>
        <v>5.0934226612500018</v>
      </c>
      <c r="G10" s="65">
        <f>'Sales &amp; Prod'!G10-'SGA &amp; PL &amp; BS'!G7*'Sales &amp; Prod'!$C$35</f>
        <v>5.3480937943125015</v>
      </c>
      <c r="H10" s="65">
        <f>'Sales &amp; Prod'!H10-'SGA &amp; PL &amp; BS'!H7*'Sales &amp; Prod'!$C$35</f>
        <v>5.6154984840281266</v>
      </c>
    </row>
    <row r="11" spans="2:8" hidden="1" outlineLevel="1" x14ac:dyDescent="0.2">
      <c r="B11" s="64" t="s">
        <v>188</v>
      </c>
      <c r="C11" s="65">
        <f>'RM &amp; DL &amp; FG'!C24+('RM &amp; DL &amp; FG'!C42+'RM &amp; DL &amp; FG'!C48)*'Sales &amp; Prod'!$C$35</f>
        <v>0.4436286585365854</v>
      </c>
      <c r="D11" s="65">
        <f>'RM &amp; DL &amp; FG'!D24+('RM &amp; DL &amp; FG'!D42+'RM &amp; DL &amp; FG'!D48)*'Sales &amp; Prod'!$C$35</f>
        <v>0.42189540853658547</v>
      </c>
      <c r="E11" s="65">
        <f>'RM &amp; DL &amp; FG'!E24+('RM &amp; DL &amp; FG'!E42+'RM &amp; DL &amp; FG'!E48)*'Sales &amp; Prod'!$C$35</f>
        <v>0.44258049603658556</v>
      </c>
      <c r="F11" s="65">
        <f>'RM &amp; DL &amp; FG'!F24+('RM &amp; DL &amp; FG'!F42+'RM &amp; DL &amp; FG'!F48)*'Sales &amp; Prod'!$C$35</f>
        <v>0.46489947205792698</v>
      </c>
      <c r="G11" s="65">
        <f>'RM &amp; DL &amp; FG'!G24+('RM &amp; DL &amp; FG'!G42+'RM &amp; DL &amp; FG'!G48)*'Sales &amp; Prod'!$C$35</f>
        <v>0.48730053102667709</v>
      </c>
      <c r="H11" s="65">
        <f>'RM &amp; DL &amp; FG'!H24+('RM &amp; DL &amp; FG'!H42+'RM &amp; DL &amp; FG'!H48)*'Sales &amp; Prod'!$C$35</f>
        <v>0.51082164294386456</v>
      </c>
    </row>
    <row r="12" spans="2:8" hidden="1" outlineLevel="1" x14ac:dyDescent="0.2">
      <c r="B12" s="64" t="s">
        <v>189</v>
      </c>
      <c r="C12" s="65">
        <f>('SGA &amp; PL &amp; BS'!C11+'SGA &amp; PL &amp; BS'!C12)*'Sales &amp; Prod'!$C$35</f>
        <v>2.4146341463414642</v>
      </c>
      <c r="D12" s="65">
        <f>('SGA &amp; PL &amp; BS'!D11+'SGA &amp; PL &amp; BS'!D12)*'Sales &amp; Prod'!$C$35</f>
        <v>2.6158536585365861</v>
      </c>
      <c r="E12" s="65">
        <f>('SGA &amp; PL &amp; BS'!E11+'SGA &amp; PL &amp; BS'!E12)*'Sales &amp; Prod'!$C$35</f>
        <v>2.8204268292682935</v>
      </c>
      <c r="F12" s="65">
        <f>('SGA &amp; PL &amp; BS'!F11+'SGA &amp; PL &amp; BS'!F12)*'Sales &amp; Prod'!$C$35</f>
        <v>3.0285213414634158</v>
      </c>
      <c r="G12" s="65">
        <f>('SGA &amp; PL &amp; BS'!G11+'SGA &amp; PL &amp; BS'!G12)*'Sales &amp; Prod'!$C$35</f>
        <v>3.2403132621951229</v>
      </c>
      <c r="H12" s="65">
        <f>('SGA &amp; PL &amp; BS'!H11+'SGA &amp; PL &amp; BS'!H12)*'Sales &amp; Prod'!$C$35</f>
        <v>3.4559874618902451</v>
      </c>
    </row>
    <row r="13" spans="2:8" hidden="1" outlineLevel="1" x14ac:dyDescent="0.2">
      <c r="B13" s="64"/>
      <c r="C13" s="65"/>
      <c r="D13" s="65"/>
      <c r="E13" s="65"/>
      <c r="F13" s="65"/>
      <c r="G13" s="65"/>
      <c r="H13" s="65"/>
    </row>
    <row r="14" spans="2:8" collapsed="1" x14ac:dyDescent="0.2">
      <c r="B14" s="5" t="s">
        <v>192</v>
      </c>
      <c r="C14" s="32">
        <f t="shared" ref="C14:H14" si="2">C10-SUM(C11:C12)</f>
        <v>1.5416271951219507</v>
      </c>
      <c r="D14" s="32">
        <f t="shared" si="2"/>
        <v>1.5821354329268296</v>
      </c>
      <c r="E14" s="32">
        <f t="shared" si="2"/>
        <v>1.5878713996951221</v>
      </c>
      <c r="F14" s="32">
        <f t="shared" si="2"/>
        <v>1.6000018477286591</v>
      </c>
      <c r="G14" s="32">
        <f t="shared" si="2"/>
        <v>1.6204800010907014</v>
      </c>
      <c r="H14" s="32">
        <f t="shared" si="2"/>
        <v>1.6486893791940167</v>
      </c>
    </row>
    <row r="15" spans="2:8" x14ac:dyDescent="0.2">
      <c r="B15" s="5" t="s">
        <v>186</v>
      </c>
      <c r="C15" s="39">
        <f>C14/'Sales &amp; Prod'!C6</f>
        <v>1.4014792682926822</v>
      </c>
      <c r="D15" s="39">
        <f>D14/'Sales &amp; Prod'!D6</f>
        <v>1.3698142276422764</v>
      </c>
      <c r="E15" s="39">
        <f>E14/'Sales &amp; Prod'!E6</f>
        <v>1.3093146977490182</v>
      </c>
      <c r="F15" s="39">
        <f>F14/'Sales &amp; Prod'!F6</f>
        <v>1.2564925034434991</v>
      </c>
      <c r="G15" s="39">
        <f>G14/'Sales &amp; Prod'!G6</f>
        <v>1.2119753702255194</v>
      </c>
      <c r="H15" s="39">
        <f>H14/'Sales &amp; Prod'!H6</f>
        <v>1.1743556990701374</v>
      </c>
    </row>
    <row r="16" spans="2:8" x14ac:dyDescent="0.2">
      <c r="B16" s="62" t="s">
        <v>209</v>
      </c>
      <c r="C16" s="69">
        <f>C14/C10</f>
        <v>0.35037857653758403</v>
      </c>
      <c r="D16" s="69">
        <f t="shared" ref="D16:H16" si="3">D14/D10</f>
        <v>0.34246211846353064</v>
      </c>
      <c r="E16" s="69">
        <f t="shared" si="3"/>
        <v>0.32733685785870098</v>
      </c>
      <c r="F16" s="69">
        <f t="shared" si="3"/>
        <v>0.31413097913535309</v>
      </c>
      <c r="G16" s="69">
        <f t="shared" si="3"/>
        <v>0.30300141759181964</v>
      </c>
      <c r="H16" s="69">
        <f t="shared" si="3"/>
        <v>0.29359626467415123</v>
      </c>
    </row>
    <row r="17" spans="2:8" x14ac:dyDescent="0.2">
      <c r="B17" s="62"/>
    </row>
    <row r="18" spans="2:8" x14ac:dyDescent="0.2">
      <c r="B18" s="5" t="s">
        <v>193</v>
      </c>
      <c r="C18" s="32">
        <f>'SGA &amp; PL &amp; BS'!C66+'SGA &amp; PL &amp; BS'!C67</f>
        <v>1.0062</v>
      </c>
      <c r="D18" s="32">
        <f>'SGA &amp; PL &amp; BS'!D66+'SGA &amp; PL &amp; BS'!D67</f>
        <v>1.0062</v>
      </c>
      <c r="E18" s="32">
        <f>'SGA &amp; PL &amp; BS'!E66+'SGA &amp; PL &amp; BS'!E67</f>
        <v>1.0062</v>
      </c>
      <c r="F18" s="32">
        <f>'SGA &amp; PL &amp; BS'!F66+'SGA &amp; PL &amp; BS'!F67</f>
        <v>1.0062</v>
      </c>
      <c r="G18" s="32">
        <f>'SGA &amp; PL &amp; BS'!G66+'SGA &amp; PL &amp; BS'!G67</f>
        <v>1.0062</v>
      </c>
      <c r="H18" s="32">
        <f>'SGA &amp; PL &amp; BS'!H66+'SGA &amp; PL &amp; BS'!H67</f>
        <v>1.0062</v>
      </c>
    </row>
    <row r="19" spans="2:8" x14ac:dyDescent="0.2">
      <c r="B19" s="5" t="s">
        <v>194</v>
      </c>
      <c r="C19" s="32">
        <f>C18*'Sales &amp; Prod'!$C$34</f>
        <v>0.73624390243902449</v>
      </c>
      <c r="D19" s="32">
        <f>D18*'Sales &amp; Prod'!$C$34</f>
        <v>0.73624390243902449</v>
      </c>
      <c r="E19" s="32">
        <f>E18*'Sales &amp; Prod'!$C$34</f>
        <v>0.73624390243902449</v>
      </c>
      <c r="F19" s="32">
        <f>F18*'Sales &amp; Prod'!$C$34</f>
        <v>0.73624390243902449</v>
      </c>
      <c r="G19" s="32">
        <f>G18*'Sales &amp; Prod'!$C$34</f>
        <v>0.73624390243902449</v>
      </c>
      <c r="H19" s="32">
        <f>H18*'Sales &amp; Prod'!$C$34</f>
        <v>0.73624390243902449</v>
      </c>
    </row>
    <row r="20" spans="2:8" x14ac:dyDescent="0.2">
      <c r="B20" s="5" t="s">
        <v>195</v>
      </c>
      <c r="C20" s="32">
        <f>C19*'Sales &amp; Prod'!$C$35</f>
        <v>0.19752885187388466</v>
      </c>
      <c r="D20" s="32">
        <f>D19*'Sales &amp; Prod'!$C$35</f>
        <v>0.19752885187388466</v>
      </c>
      <c r="E20" s="32">
        <f>E19*'Sales &amp; Prod'!$C$35</f>
        <v>0.19752885187388466</v>
      </c>
      <c r="F20" s="32">
        <f>F19*'Sales &amp; Prod'!$C$35</f>
        <v>0.19752885187388466</v>
      </c>
      <c r="G20" s="32">
        <f>G19*'Sales &amp; Prod'!$C$35</f>
        <v>0.19752885187388466</v>
      </c>
      <c r="H20" s="32">
        <f>H19*'Sales &amp; Prod'!$C$35</f>
        <v>0.19752885187388466</v>
      </c>
    </row>
    <row r="21" spans="2:8" x14ac:dyDescent="0.2">
      <c r="C21" s="39"/>
    </row>
    <row r="22" spans="2:8" x14ac:dyDescent="0.2">
      <c r="C22" s="39"/>
    </row>
    <row r="23" spans="2:8" x14ac:dyDescent="0.2">
      <c r="B23" s="71" t="s">
        <v>203</v>
      </c>
      <c r="C23" s="72">
        <f>C3</f>
        <v>1</v>
      </c>
      <c r="D23" s="72">
        <f t="shared" ref="D23:H23" si="4">D3</f>
        <v>2</v>
      </c>
      <c r="E23" s="72">
        <f t="shared" si="4"/>
        <v>3</v>
      </c>
      <c r="F23" s="72">
        <f t="shared" si="4"/>
        <v>4</v>
      </c>
      <c r="G23" s="72">
        <f t="shared" si="4"/>
        <v>5</v>
      </c>
      <c r="H23" s="72">
        <f t="shared" si="4"/>
        <v>6</v>
      </c>
    </row>
    <row r="24" spans="2:8" ht="34" x14ac:dyDescent="0.2">
      <c r="B24" s="66" t="s">
        <v>197</v>
      </c>
      <c r="C24" s="67">
        <f>C19/C8</f>
        <v>0.29961141632051452</v>
      </c>
      <c r="D24" s="67">
        <f>D18/D8</f>
        <v>0.37152033457741201</v>
      </c>
      <c r="E24" s="67">
        <f>E18/E8</f>
        <v>0.38035436999241534</v>
      </c>
      <c r="F24" s="67">
        <f>F18/F8</f>
        <v>0.38810377579722349</v>
      </c>
      <c r="G24" s="67">
        <f>G18/G8</f>
        <v>0.39488425775776781</v>
      </c>
      <c r="H24" s="67">
        <f>H18/H8</f>
        <v>0.40080164509610772</v>
      </c>
    </row>
    <row r="25" spans="2:8" ht="34" x14ac:dyDescent="0.2">
      <c r="B25" s="66" t="s">
        <v>198</v>
      </c>
      <c r="C25" s="67">
        <f>C19/C9</f>
        <v>2.3968613694224845</v>
      </c>
      <c r="D25" s="67">
        <f t="shared" ref="D25:H25" si="5">D19/D9</f>
        <v>2.1747259935993939</v>
      </c>
      <c r="E25" s="67">
        <f t="shared" si="5"/>
        <v>2.2264367740260909</v>
      </c>
      <c r="F25" s="67">
        <f t="shared" si="5"/>
        <v>2.2717985824391773</v>
      </c>
      <c r="G25" s="67">
        <f t="shared" si="5"/>
        <v>2.3114887124168546</v>
      </c>
      <c r="H25" s="67">
        <f t="shared" si="5"/>
        <v>2.3461266443446482</v>
      </c>
    </row>
    <row r="26" spans="2:8" ht="17" x14ac:dyDescent="0.2">
      <c r="B26" s="70" t="s">
        <v>199</v>
      </c>
      <c r="C26" s="67">
        <f>C4-C25</f>
        <v>21.602838630577516</v>
      </c>
      <c r="D26" s="67">
        <f t="shared" ref="D26:H26" si="6">D4-D25</f>
        <v>23.024959006400607</v>
      </c>
      <c r="E26" s="67">
        <f t="shared" si="6"/>
        <v>24.233232475973914</v>
      </c>
      <c r="F26" s="67">
        <f t="shared" si="6"/>
        <v>25.510854130060828</v>
      </c>
      <c r="G26" s="67">
        <f t="shared" si="6"/>
        <v>26.860296635708153</v>
      </c>
      <c r="H26" s="67">
        <f t="shared" si="6"/>
        <v>28.284247971186613</v>
      </c>
    </row>
    <row r="27" spans="2:8" x14ac:dyDescent="0.2">
      <c r="B27" s="66"/>
      <c r="C27" s="67"/>
      <c r="D27" s="67"/>
      <c r="E27" s="67"/>
      <c r="F27" s="67"/>
      <c r="G27" s="67"/>
      <c r="H27" s="67"/>
    </row>
    <row r="28" spans="2:8" ht="34" x14ac:dyDescent="0.2">
      <c r="B28" s="66" t="s">
        <v>196</v>
      </c>
      <c r="C28" s="67">
        <f>C20/C15</f>
        <v>0.14094311371050058</v>
      </c>
      <c r="D28" s="67">
        <f t="shared" ref="D28:H28" si="7">D18/D15</f>
        <v>0.7345521602092504</v>
      </c>
      <c r="E28" s="67">
        <f t="shared" si="7"/>
        <v>0.76849362626866191</v>
      </c>
      <c r="F28" s="67">
        <f t="shared" si="7"/>
        <v>0.80080063927356804</v>
      </c>
      <c r="G28" s="67">
        <f t="shared" si="7"/>
        <v>0.8302148910936783</v>
      </c>
      <c r="H28" s="67">
        <f t="shared" si="7"/>
        <v>0.85681024990700505</v>
      </c>
    </row>
    <row r="29" spans="2:8" ht="34" x14ac:dyDescent="0.2">
      <c r="B29" s="66" t="s">
        <v>200</v>
      </c>
      <c r="C29" s="67">
        <f>C20/C16</f>
        <v>0.56375836053063122</v>
      </c>
      <c r="D29" s="67">
        <f t="shared" ref="D29:H29" si="8">D20/D16</f>
        <v>0.57679036957461283</v>
      </c>
      <c r="E29" s="67">
        <f t="shared" si="8"/>
        <v>0.60344213348302633</v>
      </c>
      <c r="F29" s="67">
        <f t="shared" si="8"/>
        <v>0.62881048032124598</v>
      </c>
      <c r="G29" s="67">
        <f t="shared" si="8"/>
        <v>0.65190735226189744</v>
      </c>
      <c r="H29" s="67">
        <f t="shared" si="8"/>
        <v>0.6727907526109459</v>
      </c>
    </row>
    <row r="30" spans="2:8" ht="17" x14ac:dyDescent="0.2">
      <c r="B30" s="70" t="s">
        <v>201</v>
      </c>
      <c r="C30" s="67">
        <f>C10-C29</f>
        <v>3.836131639469369</v>
      </c>
      <c r="D30" s="67">
        <f t="shared" ref="D30:H30" si="9">D10-D29</f>
        <v>4.0430941304253887</v>
      </c>
      <c r="E30" s="67">
        <f t="shared" si="9"/>
        <v>4.2474365915169745</v>
      </c>
      <c r="F30" s="67">
        <f t="shared" si="9"/>
        <v>4.4646121809287553</v>
      </c>
      <c r="G30" s="67">
        <f t="shared" si="9"/>
        <v>4.6961864420506041</v>
      </c>
      <c r="H30" s="67">
        <f t="shared" si="9"/>
        <v>4.9427077314171806</v>
      </c>
    </row>
    <row r="31" spans="2:8" x14ac:dyDescent="0.2">
      <c r="B31" s="66"/>
      <c r="C31" s="67"/>
      <c r="D31" s="67"/>
      <c r="E31" s="67"/>
      <c r="F31" s="67"/>
      <c r="G31" s="67"/>
      <c r="H31" s="67"/>
    </row>
    <row r="32" spans="2:8" x14ac:dyDescent="0.2">
      <c r="B32" s="5" t="s">
        <v>206</v>
      </c>
      <c r="C32" s="67"/>
      <c r="D32" s="67"/>
      <c r="E32" s="67"/>
      <c r="F32" s="67"/>
      <c r="G32" s="67"/>
      <c r="H32" s="67"/>
    </row>
    <row r="33" spans="2:8" x14ac:dyDescent="0.2">
      <c r="C33" s="39"/>
    </row>
    <row r="34" spans="2:8" x14ac:dyDescent="0.2">
      <c r="B34" s="71" t="s">
        <v>202</v>
      </c>
      <c r="C34" s="51"/>
      <c r="D34" s="51"/>
      <c r="E34" s="51"/>
      <c r="F34" s="51"/>
      <c r="G34" s="51"/>
      <c r="H34" s="51"/>
    </row>
    <row r="35" spans="2:8" x14ac:dyDescent="0.2">
      <c r="B35" s="5" t="s">
        <v>204</v>
      </c>
      <c r="C35" s="36">
        <f>'SGA &amp; PL &amp; BS'!C64/'SGA &amp; PL &amp; BS'!C71</f>
        <v>1.127234458763555</v>
      </c>
      <c r="D35" s="36">
        <f>'SGA &amp; PL &amp; BS'!D64/'SGA &amp; PL &amp; BS'!D71</f>
        <v>1.1104738382892805</v>
      </c>
      <c r="E35" s="36">
        <f>'SGA &amp; PL &amp; BS'!E64/'SGA &amp; PL &amp; BS'!E71</f>
        <v>1.1078187600878755</v>
      </c>
      <c r="F35" s="36">
        <f>'SGA &amp; PL &amp; BS'!F64/'SGA &amp; PL &amp; BS'!F71</f>
        <v>1.1048283763463196</v>
      </c>
      <c r="G35" s="36">
        <f>'SGA &amp; PL &amp; BS'!G64/'SGA &amp; PL &amp; BS'!G71</f>
        <v>1.1015652794774298</v>
      </c>
      <c r="H35" s="36">
        <f>'SGA &amp; PL &amp; BS'!H64/'SGA &amp; PL &amp; BS'!H71</f>
        <v>1.0981109993753084</v>
      </c>
    </row>
    <row r="36" spans="2:8" x14ac:dyDescent="0.2">
      <c r="C36" s="39"/>
    </row>
    <row r="37" spans="2:8" x14ac:dyDescent="0.2">
      <c r="B37" s="5" t="s">
        <v>205</v>
      </c>
    </row>
  </sheetData>
  <sheetProtection algorithmName="SHA-512" hashValue="bHND5xaQKCijr8pzkUGvtfj9nCSdjwPKxFgBd5doHKUaLY5PwsbEISVMuNwk2Jwh+g5Qg7RSxwLFjac3A6EcHg==" saltValue="65Z/bhA7iCa/Lb8h1LGgFw==" spinCount="100000" sheet="1" objects="1" scenarios="1" selectLockedCells="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CDD8-A18C-EF4C-B7FE-D698CCBA15EA}">
  <sheetPr>
    <tabColor rgb="FF002060"/>
  </sheetPr>
  <dimension ref="B2:H34"/>
  <sheetViews>
    <sheetView zoomScaleNormal="100" workbookViewId="0">
      <selection activeCell="I38" sqref="I38"/>
    </sheetView>
  </sheetViews>
  <sheetFormatPr baseColWidth="10" defaultRowHeight="16" x14ac:dyDescent="0.2"/>
  <cols>
    <col min="1" max="1" width="7.6640625" style="5" customWidth="1"/>
    <col min="2" max="2" width="40.1640625" style="5" customWidth="1"/>
    <col min="3" max="16384" width="10.83203125" style="5"/>
  </cols>
  <sheetData>
    <row r="2" spans="2:8" x14ac:dyDescent="0.2">
      <c r="B2" s="94" t="str">
        <f>Input!B1</f>
        <v>HasName co,   by elie diwambuena</v>
      </c>
    </row>
    <row r="3" spans="2:8" x14ac:dyDescent="0.2">
      <c r="B3" s="94"/>
    </row>
    <row r="4" spans="2:8" x14ac:dyDescent="0.2">
      <c r="B4" s="95" t="s">
        <v>227</v>
      </c>
    </row>
    <row r="5" spans="2:8" x14ac:dyDescent="0.2">
      <c r="B5" s="95"/>
    </row>
    <row r="6" spans="2:8" x14ac:dyDescent="0.2">
      <c r="B6" s="97" t="s">
        <v>233</v>
      </c>
    </row>
    <row r="7" spans="2:8" x14ac:dyDescent="0.2">
      <c r="B7" s="97"/>
    </row>
    <row r="8" spans="2:8" x14ac:dyDescent="0.2">
      <c r="B8" s="96"/>
    </row>
    <row r="9" spans="2:8" ht="18" x14ac:dyDescent="0.2">
      <c r="B9" s="96"/>
      <c r="C9" s="114" t="str">
        <f>IF(actual=TRUE, "Revenues and Spending Variances", "Activty Variances")</f>
        <v>Activty Variances</v>
      </c>
      <c r="D9" s="114"/>
      <c r="E9" s="114"/>
      <c r="F9" s="114"/>
      <c r="G9" s="114"/>
      <c r="H9" s="114"/>
    </row>
    <row r="10" spans="2:8" ht="21" x14ac:dyDescent="0.2">
      <c r="B10" s="98" t="s">
        <v>229</v>
      </c>
      <c r="C10" s="51">
        <f>Input!C6</f>
        <v>1</v>
      </c>
      <c r="D10" s="51">
        <f>Input!D6</f>
        <v>2</v>
      </c>
      <c r="E10" s="51">
        <f>Input!E6</f>
        <v>3</v>
      </c>
      <c r="F10" s="51">
        <f>Input!F6</f>
        <v>4</v>
      </c>
      <c r="G10" s="51">
        <f>Input!G6</f>
        <v>5</v>
      </c>
      <c r="H10" s="51">
        <f>Input!H6</f>
        <v>6</v>
      </c>
    </row>
    <row r="11" spans="2:8" x14ac:dyDescent="0.2">
      <c r="B11" s="5" t="s">
        <v>179</v>
      </c>
      <c r="C11" s="32">
        <f>'SGA &amp; PL &amp; BS'!C60-Actuals!C32</f>
        <v>0</v>
      </c>
      <c r="D11" s="32">
        <f>'SGA &amp; PL &amp; BS'!D60-Actuals!D32</f>
        <v>0</v>
      </c>
      <c r="E11" s="32">
        <f>'SGA &amp; PL &amp; BS'!E60-Actuals!E32</f>
        <v>0.29820430500000228</v>
      </c>
      <c r="F11" s="32">
        <f>'SGA &amp; PL &amp; BS'!F60-Actuals!F32</f>
        <v>0.93337947465000681</v>
      </c>
      <c r="G11" s="32">
        <f>'SGA &amp; PL &amp; BS'!G60-Actuals!G32</f>
        <v>1.6189213514144996</v>
      </c>
      <c r="H11" s="32">
        <f>'SGA &amp; PL &amp; BS'!H60-Actuals!H32</f>
        <v>2.3579065091081901</v>
      </c>
    </row>
    <row r="12" spans="2:8" x14ac:dyDescent="0.2">
      <c r="B12" s="5" t="s">
        <v>147</v>
      </c>
      <c r="C12" s="32">
        <f>'SGA &amp; PL &amp; BS'!C61-Actuals!C33</f>
        <v>0</v>
      </c>
      <c r="D12" s="32">
        <f>'SGA &amp; PL &amp; BS'!D61-Actuals!D33</f>
        <v>-2.4771379499999995</v>
      </c>
      <c r="E12" s="32">
        <f>'SGA &amp; PL &amp; BS'!E61-Actuals!E33</f>
        <v>-2.4664608704999988</v>
      </c>
      <c r="F12" s="32">
        <f>'SGA &amp; PL &amp; BS'!F61-Actuals!F33</f>
        <v>-2.3188665058649995</v>
      </c>
      <c r="G12" s="32">
        <f>'SGA &amp; PL &amp; BS'!G61-Actuals!G33</f>
        <v>-2.1701308369534491</v>
      </c>
      <c r="H12" s="32">
        <f>'SGA &amp; PL &amp; BS'!H61-Actuals!H33</f>
        <v>-2.0058886474201767</v>
      </c>
    </row>
    <row r="13" spans="2:8" x14ac:dyDescent="0.2">
      <c r="B13" s="5" t="s">
        <v>176</v>
      </c>
      <c r="C13" s="32">
        <f>'SGA &amp; PL &amp; BS'!C62-Actuals!C34</f>
        <v>0</v>
      </c>
      <c r="D13" s="32">
        <f>'SGA &amp; PL &amp; BS'!D62-Actuals!D34</f>
        <v>0.29999999999999982</v>
      </c>
      <c r="E13" s="32">
        <f>'SGA &amp; PL &amp; BS'!E62-Actuals!E34</f>
        <v>0.59999999999999964</v>
      </c>
      <c r="F13" s="32">
        <f>'SGA &amp; PL &amp; BS'!F62-Actuals!F34</f>
        <v>0.90000000000000036</v>
      </c>
      <c r="G13" s="32">
        <f>'SGA &amp; PL &amp; BS'!G62-Actuals!G34</f>
        <v>1.2000000000000002</v>
      </c>
      <c r="H13" s="32">
        <f>'SGA &amp; PL &amp; BS'!H62-Actuals!H34</f>
        <v>1.5</v>
      </c>
    </row>
    <row r="14" spans="2:8" x14ac:dyDescent="0.2">
      <c r="B14" s="5" t="s">
        <v>177</v>
      </c>
      <c r="C14" s="32">
        <f>'SGA &amp; PL &amp; BS'!C63-Actuals!C35</f>
        <v>0</v>
      </c>
      <c r="D14" s="32">
        <f>'SGA &amp; PL &amp; BS'!D63-Actuals!D35</f>
        <v>0.15000000000000036</v>
      </c>
      <c r="E14" s="32">
        <f>'SGA &amp; PL &amp; BS'!E63-Actuals!E35</f>
        <v>0.26250000000000018</v>
      </c>
      <c r="F14" s="32">
        <f>'SGA &amp; PL &amp; BS'!F63-Actuals!F35</f>
        <v>0.48812500000000103</v>
      </c>
      <c r="G14" s="32">
        <f>'SGA &amp; PL &amp; BS'!G63-Actuals!G35</f>
        <v>0.67753125000000036</v>
      </c>
      <c r="H14" s="32">
        <f>'SGA &amp; PL &amp; BS'!H63-Actuals!H35</f>
        <v>0.88140781250000089</v>
      </c>
    </row>
    <row r="15" spans="2:8" x14ac:dyDescent="0.2">
      <c r="B15" s="5" t="s">
        <v>180</v>
      </c>
      <c r="C15" s="32">
        <f>'SGA &amp; PL &amp; BS'!C64-Actuals!C36</f>
        <v>0</v>
      </c>
      <c r="D15" s="32">
        <f>'SGA &amp; PL &amp; BS'!D64-Actuals!D36</f>
        <v>2.0271379500000002</v>
      </c>
      <c r="E15" s="32">
        <f>'SGA &amp; PL &amp; BS'!E64-Actuals!E36</f>
        <v>1.9021651755000022</v>
      </c>
      <c r="F15" s="32">
        <f>'SGA &amp; PL &amp; BS'!F64-Actuals!F36</f>
        <v>1.8641209805150041</v>
      </c>
      <c r="G15" s="32">
        <f>'SGA &amp; PL &amp; BS'!G64-Actuals!G36</f>
        <v>1.9115209383679499</v>
      </c>
      <c r="H15" s="32">
        <f>'SGA &amp; PL &amp; BS'!H64-Actuals!H36</f>
        <v>1.9823873440283677</v>
      </c>
    </row>
    <row r="16" spans="2:8" x14ac:dyDescent="0.2">
      <c r="B16" s="5" t="s">
        <v>148</v>
      </c>
      <c r="C16" s="32">
        <f>'SGA &amp; PL &amp; BS'!C65-Actuals!C37</f>
        <v>0</v>
      </c>
      <c r="D16" s="32">
        <f>'SGA &amp; PL &amp; BS'!D65-Actuals!D37</f>
        <v>2.4771379499999995</v>
      </c>
      <c r="E16" s="32">
        <f>'SGA &amp; PL &amp; BS'!E65-Actuals!E37</f>
        <v>2.7646651755000029</v>
      </c>
      <c r="F16" s="32">
        <f>'SGA &amp; PL &amp; BS'!F65-Actuals!F37</f>
        <v>3.2522459805150064</v>
      </c>
      <c r="G16" s="32">
        <f>'SGA &amp; PL &amp; BS'!G65-Actuals!G37</f>
        <v>3.7890521883679469</v>
      </c>
      <c r="H16" s="32">
        <f>'SGA &amp; PL &amp; BS'!H65-Actuals!H37</f>
        <v>4.3637951565283686</v>
      </c>
    </row>
    <row r="17" spans="2:8" x14ac:dyDescent="0.2">
      <c r="B17" s="5" t="s">
        <v>181</v>
      </c>
      <c r="C17" s="32">
        <f>'SGA &amp; PL &amp; BS'!C66-Actuals!C38</f>
        <v>0</v>
      </c>
      <c r="D17" s="32">
        <f>'SGA &amp; PL &amp; BS'!D66-Actuals!D38</f>
        <v>0</v>
      </c>
      <c r="E17" s="32">
        <f>'SGA &amp; PL &amp; BS'!E66-Actuals!E38</f>
        <v>0</v>
      </c>
      <c r="F17" s="32">
        <f>'SGA &amp; PL &amp; BS'!F66-Actuals!F38</f>
        <v>0</v>
      </c>
      <c r="G17" s="32">
        <f>'SGA &amp; PL &amp; BS'!G66-Actuals!G38</f>
        <v>0</v>
      </c>
      <c r="H17" s="32">
        <f>'SGA &amp; PL &amp; BS'!H66-Actuals!H38</f>
        <v>0</v>
      </c>
    </row>
    <row r="18" spans="2:8" x14ac:dyDescent="0.2">
      <c r="B18" s="5" t="s">
        <v>182</v>
      </c>
      <c r="C18" s="32">
        <f>'SGA &amp; PL &amp; BS'!C67-Actuals!C39</f>
        <v>0</v>
      </c>
      <c r="D18" s="32">
        <f>'SGA &amp; PL &amp; BS'!D67-Actuals!D39</f>
        <v>0</v>
      </c>
      <c r="E18" s="32">
        <f>'SGA &amp; PL &amp; BS'!E67-Actuals!E39</f>
        <v>0</v>
      </c>
      <c r="F18" s="32">
        <f>'SGA &amp; PL &amp; BS'!F67-Actuals!F39</f>
        <v>0</v>
      </c>
      <c r="G18" s="32">
        <f>'SGA &amp; PL &amp; BS'!G67-Actuals!G39</f>
        <v>0</v>
      </c>
      <c r="H18" s="32">
        <f>'SGA &amp; PL &amp; BS'!H67-Actuals!H39</f>
        <v>0</v>
      </c>
    </row>
    <row r="19" spans="2:8" x14ac:dyDescent="0.2">
      <c r="B19" s="5" t="s">
        <v>183</v>
      </c>
      <c r="C19" s="32">
        <f>'SGA &amp; PL &amp; BS'!C68-Actuals!C40</f>
        <v>0</v>
      </c>
      <c r="D19" s="32">
        <f>'SGA &amp; PL &amp; BS'!D68-Actuals!D40</f>
        <v>2.0271379500000002</v>
      </c>
      <c r="E19" s="32">
        <f>'SGA &amp; PL &amp; BS'!E68-Actuals!E40</f>
        <v>1.9021651755000022</v>
      </c>
      <c r="F19" s="32">
        <f>'SGA &amp; PL &amp; BS'!F68-Actuals!F40</f>
        <v>1.8641209805150041</v>
      </c>
      <c r="G19" s="32">
        <f>'SGA &amp; PL &amp; BS'!G68-Actuals!G40</f>
        <v>1.9115209383679499</v>
      </c>
      <c r="H19" s="32">
        <f>'SGA &amp; PL &amp; BS'!H68-Actuals!H40</f>
        <v>1.9823873440283677</v>
      </c>
    </row>
    <row r="20" spans="2:8" x14ac:dyDescent="0.2">
      <c r="C20" s="32">
        <f>'SGA &amp; PL &amp; BS'!C69-Actuals!C41</f>
        <v>0</v>
      </c>
      <c r="D20" s="32">
        <f>'SGA &amp; PL &amp; BS'!D69-Actuals!D41</f>
        <v>0</v>
      </c>
      <c r="E20" s="32">
        <f>'SGA &amp; PL &amp; BS'!E69-Actuals!E41</f>
        <v>0</v>
      </c>
      <c r="F20" s="32">
        <f>'SGA &amp; PL &amp; BS'!F69-Actuals!F41</f>
        <v>0</v>
      </c>
      <c r="G20" s="32">
        <f>'SGA &amp; PL &amp; BS'!G69-Actuals!G41</f>
        <v>0</v>
      </c>
      <c r="H20" s="32">
        <f>'SGA &amp; PL &amp; BS'!H69-Actuals!H41</f>
        <v>0</v>
      </c>
    </row>
    <row r="21" spans="2:8" x14ac:dyDescent="0.2">
      <c r="B21" s="5" t="s">
        <v>149</v>
      </c>
      <c r="C21" s="32">
        <f>'SGA &amp; PL &amp; BS'!C70-Actuals!C42</f>
        <v>0</v>
      </c>
      <c r="D21" s="32">
        <f>'SGA &amp; PL &amp; BS'!D70-Actuals!D42</f>
        <v>0.44999999999999929</v>
      </c>
      <c r="E21" s="32">
        <f>'SGA &amp; PL &amp; BS'!E70-Actuals!E42</f>
        <v>0.86249999999999893</v>
      </c>
      <c r="F21" s="32">
        <f>'SGA &amp; PL &amp; BS'!F70-Actuals!F42</f>
        <v>1.3881250000000023</v>
      </c>
      <c r="G21" s="32">
        <f>'SGA &amp; PL &amp; BS'!G70-Actuals!G42</f>
        <v>1.8775312500000005</v>
      </c>
      <c r="H21" s="32">
        <f>'SGA &amp; PL &amp; BS'!H70-Actuals!H42</f>
        <v>2.3814078125000009</v>
      </c>
    </row>
    <row r="22" spans="2:8" x14ac:dyDescent="0.2">
      <c r="B22" s="5" t="s">
        <v>150</v>
      </c>
      <c r="C22" s="32">
        <f>'SGA &amp; PL &amp; BS'!C71-Actuals!C43</f>
        <v>0</v>
      </c>
      <c r="D22" s="32">
        <f>'SGA &amp; PL &amp; BS'!D71-Actuals!D43</f>
        <v>2.0271379500000002</v>
      </c>
      <c r="E22" s="32">
        <f>'SGA &amp; PL &amp; BS'!E71-Actuals!E43</f>
        <v>1.902165175500004</v>
      </c>
      <c r="F22" s="32">
        <f>'SGA &amp; PL &amp; BS'!F71-Actuals!F43</f>
        <v>1.8641209805150041</v>
      </c>
      <c r="G22" s="32">
        <f>'SGA &amp; PL &amp; BS'!G71-Actuals!G43</f>
        <v>1.9115209383679463</v>
      </c>
      <c r="H22" s="32">
        <f>'SGA &amp; PL &amp; BS'!H71-Actuals!H43</f>
        <v>1.9823873440283677</v>
      </c>
    </row>
    <row r="23" spans="2:8" x14ac:dyDescent="0.2">
      <c r="C23" s="32">
        <f>'SGA &amp; PL &amp; BS'!C72-Actuals!C44</f>
        <v>0</v>
      </c>
      <c r="D23" s="32">
        <f>'SGA &amp; PL &amp; BS'!D72-Actuals!D44</f>
        <v>0</v>
      </c>
      <c r="E23" s="32">
        <f>'SGA &amp; PL &amp; BS'!E72-Actuals!E44</f>
        <v>0</v>
      </c>
      <c r="F23" s="32">
        <f>'SGA &amp; PL &amp; BS'!F72-Actuals!F44</f>
        <v>0</v>
      </c>
      <c r="G23" s="32">
        <f>'SGA &amp; PL &amp; BS'!G72-Actuals!G44</f>
        <v>0</v>
      </c>
      <c r="H23" s="32">
        <f>'SGA &amp; PL &amp; BS'!H72-Actuals!H44</f>
        <v>0</v>
      </c>
    </row>
    <row r="24" spans="2:8" x14ac:dyDescent="0.2">
      <c r="B24" s="5" t="s">
        <v>151</v>
      </c>
      <c r="C24" s="32">
        <f>'SGA &amp; PL &amp; BS'!C73-Actuals!C45</f>
        <v>0</v>
      </c>
      <c r="D24" s="32">
        <f>'SGA &amp; PL &amp; BS'!D73-Actuals!D45</f>
        <v>0</v>
      </c>
      <c r="E24" s="32">
        <f>'SGA &amp; PL &amp; BS'!E73-Actuals!E45</f>
        <v>0</v>
      </c>
      <c r="F24" s="32">
        <f>'SGA &amp; PL &amp; BS'!F73-Actuals!F45</f>
        <v>0</v>
      </c>
      <c r="G24" s="32">
        <f>'SGA &amp; PL &amp; BS'!G73-Actuals!G45</f>
        <v>0</v>
      </c>
      <c r="H24" s="32">
        <f>'SGA &amp; PL &amp; BS'!H73-Actuals!H45</f>
        <v>0</v>
      </c>
    </row>
    <row r="25" spans="2:8" x14ac:dyDescent="0.2">
      <c r="B25" s="5" t="s">
        <v>152</v>
      </c>
      <c r="C25" s="32">
        <f>'SGA &amp; PL &amp; BS'!C74-Actuals!C46</f>
        <v>0</v>
      </c>
      <c r="D25" s="32">
        <f>'SGA &amp; PL &amp; BS'!D74-Actuals!D46</f>
        <v>2.0271379500000002</v>
      </c>
      <c r="E25" s="32">
        <f>'SGA &amp; PL &amp; BS'!E74-Actuals!E46</f>
        <v>1.902165175500004</v>
      </c>
      <c r="F25" s="32">
        <f>'SGA &amp; PL &amp; BS'!F74-Actuals!F46</f>
        <v>1.8641209805150041</v>
      </c>
      <c r="G25" s="32">
        <f>'SGA &amp; PL &amp; BS'!G74-Actuals!G46</f>
        <v>1.9115209383679463</v>
      </c>
      <c r="H25" s="32">
        <f>'SGA &amp; PL &amp; BS'!H74-Actuals!H46</f>
        <v>1.9823873440283677</v>
      </c>
    </row>
    <row r="26" spans="2:8" x14ac:dyDescent="0.2">
      <c r="C26" s="32">
        <f>'SGA &amp; PL &amp; BS'!C75-Actuals!C47</f>
        <v>0</v>
      </c>
      <c r="D26" s="32">
        <f>'SGA &amp; PL &amp; BS'!D75-Actuals!D47</f>
        <v>0</v>
      </c>
      <c r="E26" s="32">
        <f>'SGA &amp; PL &amp; BS'!E75-Actuals!E47</f>
        <v>0</v>
      </c>
      <c r="F26" s="32">
        <f>'SGA &amp; PL &amp; BS'!F75-Actuals!F47</f>
        <v>0</v>
      </c>
      <c r="G26" s="32">
        <f>'SGA &amp; PL &amp; BS'!G75-Actuals!G47</f>
        <v>0</v>
      </c>
      <c r="H26" s="32">
        <f>'SGA &amp; PL &amp; BS'!H75-Actuals!H47</f>
        <v>0</v>
      </c>
    </row>
    <row r="27" spans="2:8" x14ac:dyDescent="0.2">
      <c r="B27" s="5" t="s">
        <v>153</v>
      </c>
      <c r="C27" s="32">
        <f>'SGA &amp; PL &amp; BS'!C76-Actuals!C48</f>
        <v>0</v>
      </c>
      <c r="D27" s="32">
        <f>'SGA &amp; PL &amp; BS'!D76-Actuals!D48</f>
        <v>-0.50678448750000005</v>
      </c>
      <c r="E27" s="32">
        <f>'SGA &amp; PL &amp; BS'!E76-Actuals!E48</f>
        <v>-0.47554129387500099</v>
      </c>
      <c r="F27" s="32">
        <f>'SGA &amp; PL &amp; BS'!F76-Actuals!F48</f>
        <v>-0.46603024512875102</v>
      </c>
      <c r="G27" s="32">
        <f>'SGA &amp; PL &amp; BS'!G76-Actuals!G48</f>
        <v>-0.47788023459198659</v>
      </c>
      <c r="H27" s="32">
        <f>'SGA &amp; PL &amp; BS'!H76-Actuals!H48</f>
        <v>-0.49559683600709192</v>
      </c>
    </row>
    <row r="28" spans="2:8" x14ac:dyDescent="0.2">
      <c r="B28" s="5" t="s">
        <v>154</v>
      </c>
      <c r="C28" s="32">
        <f>'SGA &amp; PL &amp; BS'!C77-Actuals!C49</f>
        <v>0</v>
      </c>
      <c r="D28" s="32">
        <f>'SGA &amp; PL &amp; BS'!D77-Actuals!D49</f>
        <v>1.5203534624999993</v>
      </c>
      <c r="E28" s="32">
        <f>'SGA &amp; PL &amp; BS'!E77-Actuals!E49</f>
        <v>1.4266238816250025</v>
      </c>
      <c r="F28" s="32">
        <f>'SGA &amp; PL &amp; BS'!F77-Actuals!F49</f>
        <v>1.3980907353862531</v>
      </c>
      <c r="G28" s="32">
        <f>'SGA &amp; PL &amp; BS'!G77-Actuals!G49</f>
        <v>1.4336407037759589</v>
      </c>
      <c r="H28" s="32">
        <f>'SGA &amp; PL &amp; BS'!H77-Actuals!H49</f>
        <v>1.4867905080212758</v>
      </c>
    </row>
    <row r="31" spans="2:8" ht="20" x14ac:dyDescent="0.2">
      <c r="B31" s="43" t="s">
        <v>17</v>
      </c>
    </row>
    <row r="32" spans="2:8" x14ac:dyDescent="0.2">
      <c r="B32" s="83" t="s">
        <v>234</v>
      </c>
    </row>
    <row r="33" spans="2:2" x14ac:dyDescent="0.2">
      <c r="B33" s="83"/>
    </row>
    <row r="34" spans="2:2" x14ac:dyDescent="0.2">
      <c r="B34" s="83" t="s">
        <v>235</v>
      </c>
    </row>
  </sheetData>
  <sheetProtection algorithmName="SHA-512" hashValue="Z3V8/Kh898SW7N558A/nEDaGqc5cPvcF5GZaS+TwTzSak839GdayvIYMaa9CT3WrPlUpfs/L8xH59XIuSd+Z6g==" saltValue="ZWW57BuxXUm1Aobi2HMeJw==" spinCount="100000" sheet="1" objects="1" scenarios="1" selectLockedCells="1"/>
  <mergeCells count="1">
    <mergeCell ref="C9:H9"/>
  </mergeCells>
  <conditionalFormatting sqref="C11:H28">
    <cfRule type="cellIs" dxfId="3" priority="1" operator="lessThan">
      <formula>0</formula>
    </cfRule>
    <cfRule type="cellIs" dxfId="2" priority="2" operator="greaterThan">
      <formula>0</formula>
    </cfRule>
    <cfRule type="cellIs" dxfId="1" priority="3" operator="notEqual">
      <formula>0</formula>
    </cfRule>
    <cfRule type="cellIs" dxfId="0" priority="5" operator="notEqual">
      <formula>0</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5" r:id="rId3" name="Check Box 3">
              <controlPr locked="0" defaultSize="0" autoFill="0" autoLine="0" autoPict="0">
                <anchor moveWithCells="1">
                  <from>
                    <xdr:col>2</xdr:col>
                    <xdr:colOff>139700</xdr:colOff>
                    <xdr:row>2</xdr:row>
                    <xdr:rowOff>114300</xdr:rowOff>
                  </from>
                  <to>
                    <xdr:col>4</xdr:col>
                    <xdr:colOff>12700</xdr:colOff>
                    <xdr:row>4</xdr:row>
                    <xdr:rowOff>88900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489EE-C691-C34F-A84B-77D6838FD9BD}">
  <sheetPr>
    <tabColor rgb="FFC00000"/>
  </sheetPr>
  <dimension ref="B2:I79"/>
  <sheetViews>
    <sheetView zoomScaleNormal="100" workbookViewId="0">
      <selection activeCell="L32" sqref="L32"/>
    </sheetView>
  </sheetViews>
  <sheetFormatPr baseColWidth="10" defaultRowHeight="16" x14ac:dyDescent="0.2"/>
  <cols>
    <col min="1" max="1" width="10.83203125" style="5"/>
    <col min="2" max="2" width="40" style="5" customWidth="1"/>
    <col min="3" max="8" width="10.83203125" style="5"/>
    <col min="9" max="9" width="17.5" style="5" customWidth="1"/>
    <col min="10" max="16384" width="10.83203125" style="5"/>
  </cols>
  <sheetData>
    <row r="2" spans="2:9" x14ac:dyDescent="0.2">
      <c r="B2" s="5" t="str">
        <f>Input!B1</f>
        <v>HasName co,   by elie diwambuena</v>
      </c>
    </row>
    <row r="4" spans="2:9" x14ac:dyDescent="0.2">
      <c r="B4" s="83" t="s">
        <v>228</v>
      </c>
    </row>
    <row r="6" spans="2:9" ht="18" x14ac:dyDescent="0.2">
      <c r="B6" s="73" t="s">
        <v>211</v>
      </c>
      <c r="C6" s="74">
        <v>1</v>
      </c>
      <c r="D6" s="74">
        <v>2</v>
      </c>
      <c r="E6" s="74">
        <v>3</v>
      </c>
      <c r="F6" s="74">
        <v>4</v>
      </c>
      <c r="G6" s="74">
        <v>5</v>
      </c>
      <c r="H6" s="74">
        <v>6</v>
      </c>
      <c r="I6" s="51" t="s">
        <v>229</v>
      </c>
    </row>
    <row r="7" spans="2:9" x14ac:dyDescent="0.2">
      <c r="B7" s="75" t="s">
        <v>221</v>
      </c>
      <c r="C7" s="76" cm="1">
        <f t="array" ref="C7">3000000/unit</f>
        <v>3</v>
      </c>
      <c r="D7" s="77">
        <v>0.05</v>
      </c>
      <c r="E7" s="77">
        <v>0.04</v>
      </c>
      <c r="F7" s="77">
        <v>0.03</v>
      </c>
      <c r="G7" s="77">
        <v>0.03</v>
      </c>
      <c r="H7" s="77">
        <v>0.03</v>
      </c>
      <c r="I7" s="5" t="b">
        <v>1</v>
      </c>
    </row>
    <row r="8" spans="2:9" x14ac:dyDescent="0.2">
      <c r="B8" s="75" t="s">
        <v>222</v>
      </c>
      <c r="C8" s="26" cm="1">
        <f t="array" ref="C8">3000000/unit</f>
        <v>3</v>
      </c>
      <c r="D8" s="27">
        <v>0.05</v>
      </c>
      <c r="E8" s="27">
        <v>0.05</v>
      </c>
      <c r="F8" s="27">
        <v>0.05</v>
      </c>
      <c r="G8" s="27">
        <v>0.05</v>
      </c>
      <c r="H8" s="27">
        <v>0.05</v>
      </c>
      <c r="I8" s="5" t="b">
        <v>0</v>
      </c>
    </row>
    <row r="9" spans="2:9" x14ac:dyDescent="0.2">
      <c r="B9" s="75"/>
      <c r="C9" s="76"/>
      <c r="D9" s="77"/>
      <c r="E9" s="77"/>
      <c r="F9" s="77"/>
      <c r="G9" s="77"/>
      <c r="H9" s="77"/>
    </row>
    <row r="10" spans="2:9" x14ac:dyDescent="0.2">
      <c r="B10" s="75" t="s">
        <v>230</v>
      </c>
      <c r="C10" s="76"/>
      <c r="D10" s="77"/>
      <c r="E10" s="77"/>
      <c r="F10" s="77"/>
      <c r="G10" s="77"/>
      <c r="H10" s="77"/>
    </row>
    <row r="11" spans="2:9" x14ac:dyDescent="0.2">
      <c r="B11" s="75"/>
      <c r="C11" s="78"/>
      <c r="D11" s="79"/>
      <c r="E11" s="79"/>
      <c r="F11" s="79"/>
      <c r="G11" s="79"/>
      <c r="H11" s="79"/>
    </row>
    <row r="12" spans="2:9" x14ac:dyDescent="0.2">
      <c r="B12" s="80" t="s">
        <v>212</v>
      </c>
      <c r="C12" s="74">
        <v>1</v>
      </c>
      <c r="D12" s="74">
        <v>2</v>
      </c>
      <c r="E12" s="74">
        <v>3</v>
      </c>
      <c r="F12" s="74">
        <v>4</v>
      </c>
      <c r="G12" s="74">
        <v>5</v>
      </c>
      <c r="H12" s="74">
        <v>6</v>
      </c>
      <c r="I12" s="51" t="s">
        <v>229</v>
      </c>
    </row>
    <row r="13" spans="2:9" x14ac:dyDescent="0.2">
      <c r="B13" s="75" t="s">
        <v>216</v>
      </c>
      <c r="C13" s="78">
        <v>2</v>
      </c>
      <c r="D13" s="78">
        <v>2.5</v>
      </c>
      <c r="E13" s="78">
        <v>2.5</v>
      </c>
      <c r="F13" s="78">
        <v>2.5</v>
      </c>
      <c r="G13" s="78">
        <v>2.5</v>
      </c>
      <c r="H13" s="78">
        <v>2.5</v>
      </c>
      <c r="I13" s="5" t="b">
        <v>1</v>
      </c>
    </row>
    <row r="14" spans="2:9" x14ac:dyDescent="0.2">
      <c r="B14" s="75" t="s">
        <v>223</v>
      </c>
      <c r="C14" s="5">
        <v>2</v>
      </c>
      <c r="D14" s="5">
        <v>2</v>
      </c>
      <c r="E14" s="5">
        <v>2</v>
      </c>
      <c r="F14" s="5">
        <v>2</v>
      </c>
      <c r="G14" s="5">
        <v>2</v>
      </c>
      <c r="H14" s="5">
        <v>2</v>
      </c>
      <c r="I14" s="5" t="b">
        <v>0</v>
      </c>
    </row>
    <row r="15" spans="2:9" x14ac:dyDescent="0.2">
      <c r="B15" s="75" t="s">
        <v>217</v>
      </c>
      <c r="C15" s="78">
        <v>0.7</v>
      </c>
      <c r="D15" s="78">
        <v>0.88</v>
      </c>
      <c r="E15" s="78">
        <v>0.88</v>
      </c>
      <c r="F15" s="78">
        <v>0.88</v>
      </c>
      <c r="G15" s="78">
        <v>0.88</v>
      </c>
      <c r="H15" s="78">
        <v>0.88</v>
      </c>
      <c r="I15" s="5" t="b">
        <v>1</v>
      </c>
    </row>
    <row r="16" spans="2:9" x14ac:dyDescent="0.2">
      <c r="B16" s="75" t="s">
        <v>224</v>
      </c>
      <c r="C16" s="5">
        <v>0.7</v>
      </c>
      <c r="D16" s="5">
        <v>0.7</v>
      </c>
      <c r="E16" s="5">
        <v>0.7</v>
      </c>
      <c r="F16" s="5">
        <v>0.7</v>
      </c>
      <c r="G16" s="5">
        <v>0.7</v>
      </c>
      <c r="H16" s="5">
        <v>0.7</v>
      </c>
      <c r="I16" s="5" t="b">
        <v>0</v>
      </c>
    </row>
    <row r="17" spans="2:9" x14ac:dyDescent="0.2">
      <c r="B17" s="75"/>
      <c r="C17" s="78"/>
      <c r="D17" s="78"/>
      <c r="E17" s="78"/>
      <c r="F17" s="78"/>
      <c r="G17" s="78"/>
      <c r="H17" s="78"/>
    </row>
    <row r="18" spans="2:9" x14ac:dyDescent="0.2">
      <c r="B18" s="75" t="s">
        <v>213</v>
      </c>
      <c r="C18" s="78"/>
      <c r="D18" s="78"/>
      <c r="E18" s="78"/>
      <c r="F18" s="78"/>
      <c r="G18" s="78"/>
      <c r="H18" s="78"/>
    </row>
    <row r="19" spans="2:9" x14ac:dyDescent="0.2">
      <c r="B19" s="75"/>
      <c r="C19" s="78"/>
      <c r="D19" s="79"/>
      <c r="E19" s="79"/>
      <c r="F19" s="79"/>
      <c r="G19" s="79"/>
      <c r="H19" s="79"/>
    </row>
    <row r="20" spans="2:9" x14ac:dyDescent="0.2">
      <c r="B20" s="80" t="s">
        <v>210</v>
      </c>
      <c r="C20" s="74">
        <v>1</v>
      </c>
      <c r="D20" s="74">
        <v>2</v>
      </c>
      <c r="E20" s="74">
        <v>3</v>
      </c>
      <c r="F20" s="74">
        <v>4</v>
      </c>
      <c r="G20" s="74">
        <v>5</v>
      </c>
      <c r="H20" s="74">
        <v>6</v>
      </c>
      <c r="I20" s="51" t="s">
        <v>229</v>
      </c>
    </row>
    <row r="21" spans="2:9" x14ac:dyDescent="0.2">
      <c r="B21" s="81" t="s">
        <v>218</v>
      </c>
      <c r="C21" s="82">
        <v>4</v>
      </c>
      <c r="D21" s="82">
        <v>4.2</v>
      </c>
      <c r="E21" s="82">
        <v>4.4000000000000004</v>
      </c>
      <c r="F21" s="82">
        <v>4.5999999999999996</v>
      </c>
      <c r="G21" s="82">
        <v>4.8</v>
      </c>
      <c r="H21" s="82">
        <v>5</v>
      </c>
      <c r="I21" s="5" t="b">
        <v>1</v>
      </c>
    </row>
    <row r="22" spans="2:9" x14ac:dyDescent="0.2">
      <c r="B22" s="81" t="s">
        <v>225</v>
      </c>
      <c r="C22" s="50">
        <v>4</v>
      </c>
      <c r="D22" s="50">
        <v>4.5</v>
      </c>
      <c r="E22" s="50">
        <v>5</v>
      </c>
      <c r="F22" s="50">
        <v>5.5</v>
      </c>
      <c r="G22" s="50">
        <v>6</v>
      </c>
      <c r="H22" s="50">
        <v>6.5</v>
      </c>
      <c r="I22" s="5" t="b">
        <v>0</v>
      </c>
    </row>
    <row r="23" spans="2:9" x14ac:dyDescent="0.2">
      <c r="B23" s="81" t="s">
        <v>219</v>
      </c>
      <c r="C23" s="82">
        <v>5</v>
      </c>
      <c r="D23" s="82">
        <v>5.0999999999999996</v>
      </c>
      <c r="E23" s="82">
        <v>5.25</v>
      </c>
      <c r="F23" s="82">
        <v>5.3</v>
      </c>
      <c r="G23" s="82">
        <v>5.4</v>
      </c>
      <c r="H23" s="82">
        <v>5.5</v>
      </c>
      <c r="I23" s="5" t="b">
        <v>1</v>
      </c>
    </row>
    <row r="24" spans="2:9" x14ac:dyDescent="0.2">
      <c r="B24" s="81" t="s">
        <v>226</v>
      </c>
      <c r="C24" s="50">
        <v>5</v>
      </c>
      <c r="D24" s="50">
        <f>C24*1.05</f>
        <v>5.25</v>
      </c>
      <c r="E24" s="50">
        <f t="shared" ref="E24:H24" si="0">D24*1.05</f>
        <v>5.5125000000000002</v>
      </c>
      <c r="F24" s="50">
        <f t="shared" si="0"/>
        <v>5.7881250000000009</v>
      </c>
      <c r="G24" s="50">
        <f t="shared" si="0"/>
        <v>6.0775312500000007</v>
      </c>
      <c r="H24" s="50">
        <f t="shared" si="0"/>
        <v>6.3814078125000009</v>
      </c>
      <c r="I24" s="5" t="b">
        <v>0</v>
      </c>
    </row>
    <row r="25" spans="2:9" x14ac:dyDescent="0.2">
      <c r="B25" s="81"/>
      <c r="C25" s="82"/>
      <c r="D25" s="82"/>
      <c r="E25" s="82"/>
      <c r="F25" s="82"/>
      <c r="G25" s="82"/>
      <c r="H25" s="82"/>
    </row>
    <row r="26" spans="2:9" x14ac:dyDescent="0.2">
      <c r="B26" s="83" t="s">
        <v>220</v>
      </c>
    </row>
    <row r="29" spans="2:9" ht="42" x14ac:dyDescent="0.2">
      <c r="B29" s="59" t="s">
        <v>214</v>
      </c>
      <c r="C29" s="91">
        <v>1</v>
      </c>
      <c r="D29" s="91">
        <v>2</v>
      </c>
      <c r="E29" s="91">
        <v>3</v>
      </c>
      <c r="F29" s="91">
        <v>4</v>
      </c>
      <c r="G29" s="91">
        <v>5</v>
      </c>
      <c r="H29" s="91">
        <v>6</v>
      </c>
    </row>
    <row r="30" spans="2:9" x14ac:dyDescent="0.2">
      <c r="B30" s="5" t="s">
        <v>146</v>
      </c>
      <c r="C30" s="85">
        <v>28.4</v>
      </c>
      <c r="D30" s="85">
        <v>29.820000000000004</v>
      </c>
      <c r="E30" s="85">
        <v>31.012800000000006</v>
      </c>
      <c r="F30" s="85">
        <v>31.943184000000006</v>
      </c>
      <c r="G30" s="85">
        <v>32.901479520000009</v>
      </c>
      <c r="H30" s="85">
        <v>33.88852390560001</v>
      </c>
    </row>
    <row r="31" spans="2:9" x14ac:dyDescent="0.2">
      <c r="B31" s="53" t="s">
        <v>178</v>
      </c>
      <c r="C31" s="88">
        <v>-4.0999999999999999E-4</v>
      </c>
      <c r="D31" s="88">
        <v>-4.3050000000000006E-4</v>
      </c>
      <c r="E31" s="88">
        <v>-4.4772000000000008E-4</v>
      </c>
      <c r="F31" s="88">
        <v>-4.6115160000000013E-4</v>
      </c>
      <c r="G31" s="88">
        <v>-4.7498614800000011E-4</v>
      </c>
      <c r="H31" s="88">
        <v>-4.8923573244000023E-4</v>
      </c>
    </row>
    <row r="32" spans="2:9" x14ac:dyDescent="0.2">
      <c r="B32" s="5" t="s">
        <v>179</v>
      </c>
      <c r="C32" s="85">
        <v>28.400409999999997</v>
      </c>
      <c r="D32" s="85">
        <v>29.820430500000004</v>
      </c>
      <c r="E32" s="85">
        <v>31.013247720000006</v>
      </c>
      <c r="F32" s="85">
        <v>31.943645151600006</v>
      </c>
      <c r="G32" s="85">
        <v>32.901954506148009</v>
      </c>
      <c r="H32" s="85">
        <v>33.889013141332448</v>
      </c>
    </row>
    <row r="33" spans="2:8" x14ac:dyDescent="0.2">
      <c r="B33" s="5" t="s">
        <v>147</v>
      </c>
      <c r="C33" s="85">
        <v>10.485975</v>
      </c>
      <c r="D33" s="85">
        <v>12.433329699999998</v>
      </c>
      <c r="E33" s="85">
        <v>12.926885208000003</v>
      </c>
      <c r="F33" s="85">
        <v>13.303020060240003</v>
      </c>
      <c r="G33" s="85">
        <v>13.700346569047207</v>
      </c>
      <c r="H33" s="85">
        <v>14.109469666118621</v>
      </c>
    </row>
    <row r="34" spans="2:8" x14ac:dyDescent="0.2">
      <c r="B34" s="54" t="s">
        <v>176</v>
      </c>
      <c r="C34" s="89">
        <v>4</v>
      </c>
      <c r="D34" s="89">
        <v>4.2</v>
      </c>
      <c r="E34" s="89">
        <v>4.4000000000000004</v>
      </c>
      <c r="F34" s="89">
        <v>4.5999999999999996</v>
      </c>
      <c r="G34" s="89">
        <v>4.8</v>
      </c>
      <c r="H34" s="89">
        <v>5</v>
      </c>
    </row>
    <row r="35" spans="2:8" x14ac:dyDescent="0.2">
      <c r="B35" s="54" t="s">
        <v>177</v>
      </c>
      <c r="C35" s="89">
        <v>5</v>
      </c>
      <c r="D35" s="89">
        <v>5.0999999999999996</v>
      </c>
      <c r="E35" s="89">
        <v>5.25</v>
      </c>
      <c r="F35" s="89">
        <v>5.3</v>
      </c>
      <c r="G35" s="89">
        <v>5.4</v>
      </c>
      <c r="H35" s="89">
        <v>5.5</v>
      </c>
    </row>
    <row r="36" spans="2:8" x14ac:dyDescent="0.2">
      <c r="B36" s="55" t="s">
        <v>180</v>
      </c>
      <c r="C36" s="90">
        <v>8.9144349999999974</v>
      </c>
      <c r="D36" s="90">
        <v>8.0871008000000053</v>
      </c>
      <c r="E36" s="90">
        <v>8.4363625120000023</v>
      </c>
      <c r="F36" s="90">
        <v>8.7406250913600019</v>
      </c>
      <c r="G36" s="90">
        <v>9.0016079371008004</v>
      </c>
      <c r="H36" s="90">
        <v>9.2795434752138277</v>
      </c>
    </row>
    <row r="37" spans="2:8" x14ac:dyDescent="0.2">
      <c r="B37" s="5" t="s">
        <v>148</v>
      </c>
      <c r="C37" s="85">
        <v>17.914434999999997</v>
      </c>
      <c r="D37" s="85">
        <v>17.387100800000006</v>
      </c>
      <c r="E37" s="85">
        <v>18.086362512000001</v>
      </c>
      <c r="F37" s="85">
        <v>18.64062509136</v>
      </c>
      <c r="G37" s="85">
        <v>19.201607937100803</v>
      </c>
      <c r="H37" s="85">
        <v>19.779543475213828</v>
      </c>
    </row>
    <row r="38" spans="2:8" x14ac:dyDescent="0.2">
      <c r="B38" s="54" t="s">
        <v>181</v>
      </c>
      <c r="C38" s="89">
        <v>1.1999999999999999E-3</v>
      </c>
      <c r="D38" s="89">
        <v>1.1999999999999999E-3</v>
      </c>
      <c r="E38" s="89">
        <v>1.1999999999999999E-3</v>
      </c>
      <c r="F38" s="89">
        <v>1.1999999999999999E-3</v>
      </c>
      <c r="G38" s="89">
        <v>1.1999999999999999E-3</v>
      </c>
      <c r="H38" s="89">
        <v>1.1999999999999999E-3</v>
      </c>
    </row>
    <row r="39" spans="2:8" x14ac:dyDescent="0.2">
      <c r="B39" s="54" t="s">
        <v>182</v>
      </c>
      <c r="C39" s="89">
        <v>1.0049999999999999</v>
      </c>
      <c r="D39" s="89">
        <v>1.0049999999999999</v>
      </c>
      <c r="E39" s="89">
        <v>1.0049999999999999</v>
      </c>
      <c r="F39" s="89">
        <v>1.0049999999999999</v>
      </c>
      <c r="G39" s="89">
        <v>1.0049999999999999</v>
      </c>
      <c r="H39" s="89">
        <v>1.0049999999999999</v>
      </c>
    </row>
    <row r="40" spans="2:8" x14ac:dyDescent="0.2">
      <c r="B40" s="54" t="s">
        <v>183</v>
      </c>
      <c r="C40" s="89">
        <v>7.9082349999999977</v>
      </c>
      <c r="D40" s="89">
        <v>7.0809008000000055</v>
      </c>
      <c r="E40" s="89">
        <v>7.4301625120000026</v>
      </c>
      <c r="F40" s="89">
        <v>7.7344250913600021</v>
      </c>
      <c r="G40" s="89">
        <v>7.9954079371008007</v>
      </c>
      <c r="H40" s="89">
        <v>8.273343475213828</v>
      </c>
    </row>
    <row r="41" spans="2:8" x14ac:dyDescent="0.2">
      <c r="C41" s="85"/>
      <c r="D41" s="85"/>
      <c r="E41" s="85"/>
      <c r="F41" s="85"/>
      <c r="G41" s="85"/>
      <c r="H41" s="85"/>
    </row>
    <row r="42" spans="2:8" x14ac:dyDescent="0.2">
      <c r="B42" s="37" t="s">
        <v>149</v>
      </c>
      <c r="C42" s="84">
        <v>10.006200000000002</v>
      </c>
      <c r="D42" s="84">
        <v>10.306200000000002</v>
      </c>
      <c r="E42" s="84">
        <v>10.656200000000002</v>
      </c>
      <c r="F42" s="84">
        <v>10.9062</v>
      </c>
      <c r="G42" s="84">
        <v>11.206200000000001</v>
      </c>
      <c r="H42" s="84">
        <v>11.506200000000002</v>
      </c>
    </row>
    <row r="43" spans="2:8" x14ac:dyDescent="0.2">
      <c r="B43" s="35" t="s">
        <v>150</v>
      </c>
      <c r="C43" s="85">
        <v>7.9082349999999959</v>
      </c>
      <c r="D43" s="85">
        <v>7.0809008000000038</v>
      </c>
      <c r="E43" s="85">
        <v>7.430162511999999</v>
      </c>
      <c r="F43" s="85">
        <v>7.7344250913600003</v>
      </c>
      <c r="G43" s="85">
        <v>7.9954079371008024</v>
      </c>
      <c r="H43" s="85">
        <v>8.2733434752138262</v>
      </c>
    </row>
    <row r="44" spans="2:8" x14ac:dyDescent="0.2">
      <c r="C44" s="85"/>
      <c r="D44" s="85"/>
      <c r="E44" s="85"/>
      <c r="F44" s="85"/>
      <c r="G44" s="85"/>
      <c r="H44" s="85"/>
    </row>
    <row r="45" spans="2:8" x14ac:dyDescent="0.2">
      <c r="B45" s="37" t="s">
        <v>151</v>
      </c>
      <c r="C45" s="84"/>
      <c r="D45" s="84"/>
      <c r="E45" s="84"/>
      <c r="F45" s="84"/>
      <c r="G45" s="84"/>
      <c r="H45" s="84"/>
    </row>
    <row r="46" spans="2:8" x14ac:dyDescent="0.2">
      <c r="B46" s="5" t="s">
        <v>152</v>
      </c>
      <c r="C46" s="85">
        <v>7.9082349999999959</v>
      </c>
      <c r="D46" s="85">
        <v>7.0809008000000038</v>
      </c>
      <c r="E46" s="85">
        <v>7.430162511999999</v>
      </c>
      <c r="F46" s="85">
        <v>7.7344250913600003</v>
      </c>
      <c r="G46" s="85">
        <v>7.9954079371008024</v>
      </c>
      <c r="H46" s="85">
        <v>8.2733434752138262</v>
      </c>
    </row>
    <row r="47" spans="2:8" x14ac:dyDescent="0.2">
      <c r="C47" s="85"/>
      <c r="D47" s="85"/>
      <c r="E47" s="85"/>
      <c r="F47" s="85"/>
      <c r="G47" s="85"/>
      <c r="H47" s="85"/>
    </row>
    <row r="48" spans="2:8" x14ac:dyDescent="0.2">
      <c r="B48" s="37" t="s">
        <v>153</v>
      </c>
      <c r="C48" s="84">
        <v>-1.977058749999999</v>
      </c>
      <c r="D48" s="84">
        <v>-1.7702252000000009</v>
      </c>
      <c r="E48" s="84">
        <v>-1.8575406279999997</v>
      </c>
      <c r="F48" s="84">
        <v>-1.9336062728400001</v>
      </c>
      <c r="G48" s="84">
        <v>-1.9988519842752006</v>
      </c>
      <c r="H48" s="84">
        <v>-2.0683358688034565</v>
      </c>
    </row>
    <row r="49" spans="2:8" x14ac:dyDescent="0.2">
      <c r="B49" s="5" t="s">
        <v>154</v>
      </c>
      <c r="C49" s="85">
        <v>5.9311762499999965</v>
      </c>
      <c r="D49" s="85">
        <v>5.3106756000000033</v>
      </c>
      <c r="E49" s="85">
        <v>5.5726218839999992</v>
      </c>
      <c r="F49" s="85">
        <v>5.8008188185199998</v>
      </c>
      <c r="G49" s="85">
        <v>5.9965559528256023</v>
      </c>
      <c r="H49" s="85">
        <v>6.2050076064103692</v>
      </c>
    </row>
    <row r="53" spans="2:8" ht="20" x14ac:dyDescent="0.2">
      <c r="B53" s="42" t="s">
        <v>215</v>
      </c>
      <c r="C53" s="91">
        <v>1</v>
      </c>
      <c r="D53" s="91">
        <v>2</v>
      </c>
      <c r="E53" s="91">
        <v>3</v>
      </c>
      <c r="F53" s="91">
        <v>4</v>
      </c>
      <c r="G53" s="91">
        <v>5</v>
      </c>
      <c r="H53" s="91">
        <v>6</v>
      </c>
    </row>
    <row r="54" spans="2:8" x14ac:dyDescent="0.2">
      <c r="B54" s="48" t="s">
        <v>156</v>
      </c>
      <c r="C54" s="85"/>
      <c r="D54" s="85"/>
      <c r="E54" s="85"/>
      <c r="F54" s="85"/>
      <c r="G54" s="85"/>
      <c r="H54" s="85"/>
    </row>
    <row r="55" spans="2:8" x14ac:dyDescent="0.2">
      <c r="B55" s="18" t="s">
        <v>157</v>
      </c>
      <c r="C55" s="85">
        <v>5.0686149999999977</v>
      </c>
      <c r="D55" s="85">
        <v>5.5192398000000011</v>
      </c>
      <c r="E55" s="85">
        <v>7.2401870719999977</v>
      </c>
      <c r="F55" s="85">
        <v>7.5820243881600042</v>
      </c>
      <c r="G55" s="85">
        <v>7.853309212804799</v>
      </c>
      <c r="H55" s="85">
        <v>8.1269457891889516</v>
      </c>
    </row>
    <row r="56" spans="2:8" x14ac:dyDescent="0.2">
      <c r="B56" s="18" t="s">
        <v>158</v>
      </c>
      <c r="C56" s="85">
        <v>1.42</v>
      </c>
      <c r="D56" s="85">
        <v>2.9110000000000005</v>
      </c>
      <c r="E56" s="85">
        <v>3.041640000000001</v>
      </c>
      <c r="F56" s="85">
        <v>3.1477992000000006</v>
      </c>
      <c r="G56" s="85">
        <v>3.2422331760000009</v>
      </c>
      <c r="H56" s="85">
        <v>3.339500171280001</v>
      </c>
    </row>
    <row r="57" spans="2:8" x14ac:dyDescent="0.2">
      <c r="B57" s="18" t="s">
        <v>159</v>
      </c>
      <c r="C57" s="85">
        <v>5.5550000000000016E-2</v>
      </c>
      <c r="D57" s="85">
        <v>5.7777500000000016E-2</v>
      </c>
      <c r="E57" s="85">
        <v>6.0083100000000028E-2</v>
      </c>
      <c r="F57" s="85">
        <v>6.1879818000000031E-2</v>
      </c>
      <c r="G57" s="85">
        <v>6.3736212540000031E-2</v>
      </c>
      <c r="H57" s="85">
        <v>6.564829891620004E-2</v>
      </c>
    </row>
    <row r="58" spans="2:8" x14ac:dyDescent="0.2">
      <c r="B58" s="33" t="s">
        <v>160</v>
      </c>
      <c r="C58" s="84">
        <v>0.35073583489681054</v>
      </c>
      <c r="D58" s="84">
        <v>0.38610162664165115</v>
      </c>
      <c r="E58" s="84">
        <v>0.40154569170731724</v>
      </c>
      <c r="F58" s="84">
        <v>0.40821162091306146</v>
      </c>
      <c r="G58" s="84">
        <v>0.42045796954045328</v>
      </c>
      <c r="H58" s="84">
        <v>0.43307170862666705</v>
      </c>
    </row>
    <row r="59" spans="2:8" x14ac:dyDescent="0.2">
      <c r="B59" s="18" t="s">
        <v>161</v>
      </c>
      <c r="C59" s="85">
        <v>6.8949008348968084</v>
      </c>
      <c r="D59" s="85">
        <v>8.8741189266416534</v>
      </c>
      <c r="E59" s="85">
        <v>10.743455863707316</v>
      </c>
      <c r="F59" s="85">
        <v>11.199915027073066</v>
      </c>
      <c r="G59" s="85">
        <v>11.579736570885254</v>
      </c>
      <c r="H59" s="85">
        <v>11.965165968011819</v>
      </c>
    </row>
    <row r="60" spans="2:8" x14ac:dyDescent="0.2">
      <c r="B60" s="18"/>
      <c r="C60" s="85"/>
      <c r="D60" s="85"/>
      <c r="E60" s="85"/>
      <c r="F60" s="85"/>
      <c r="G60" s="85"/>
      <c r="H60" s="85"/>
    </row>
    <row r="61" spans="2:8" x14ac:dyDescent="0.2">
      <c r="B61" s="18" t="s">
        <v>162</v>
      </c>
      <c r="C61" s="85"/>
      <c r="D61" s="85"/>
      <c r="E61" s="85"/>
      <c r="F61" s="85"/>
      <c r="G61" s="85"/>
      <c r="H61" s="85"/>
    </row>
    <row r="62" spans="2:8" x14ac:dyDescent="0.2">
      <c r="B62" s="33" t="s">
        <v>163</v>
      </c>
      <c r="C62" s="84">
        <v>1</v>
      </c>
      <c r="D62" s="84">
        <v>1</v>
      </c>
      <c r="E62" s="84">
        <v>1</v>
      </c>
      <c r="F62" s="84">
        <v>1</v>
      </c>
      <c r="G62" s="84">
        <v>1</v>
      </c>
      <c r="H62" s="84">
        <v>1</v>
      </c>
    </row>
    <row r="63" spans="2:8" x14ac:dyDescent="0.2">
      <c r="B63" s="5" t="s">
        <v>164</v>
      </c>
      <c r="C63" s="85">
        <v>1</v>
      </c>
      <c r="D63" s="85">
        <v>1</v>
      </c>
      <c r="E63" s="85">
        <v>1</v>
      </c>
      <c r="F63" s="85">
        <v>1</v>
      </c>
      <c r="G63" s="85">
        <v>1</v>
      </c>
      <c r="H63" s="85">
        <v>1</v>
      </c>
    </row>
    <row r="64" spans="2:8" x14ac:dyDescent="0.2">
      <c r="C64" s="85"/>
      <c r="D64" s="85"/>
      <c r="E64" s="85"/>
      <c r="F64" s="85"/>
      <c r="G64" s="85"/>
      <c r="H64" s="85"/>
    </row>
    <row r="65" spans="2:8" x14ac:dyDescent="0.2">
      <c r="B65" s="18" t="s">
        <v>165</v>
      </c>
      <c r="C65" s="86">
        <v>7.8949008348968084</v>
      </c>
      <c r="D65" s="86">
        <v>9.8741189266416534</v>
      </c>
      <c r="E65" s="86">
        <v>11.743455863707316</v>
      </c>
      <c r="F65" s="86">
        <v>12.199915027073066</v>
      </c>
      <c r="G65" s="86">
        <v>12.579736570885254</v>
      </c>
      <c r="H65" s="86">
        <v>12.965165968011819</v>
      </c>
    </row>
    <row r="66" spans="2:8" x14ac:dyDescent="0.2">
      <c r="B66" s="18"/>
      <c r="C66" s="86"/>
      <c r="D66" s="86"/>
      <c r="E66" s="86"/>
      <c r="F66" s="86"/>
      <c r="G66" s="86"/>
      <c r="H66" s="86"/>
    </row>
    <row r="67" spans="2:8" x14ac:dyDescent="0.2">
      <c r="B67" s="48" t="s">
        <v>166</v>
      </c>
      <c r="C67" s="86"/>
      <c r="D67" s="86"/>
      <c r="E67" s="86"/>
      <c r="F67" s="86"/>
      <c r="G67" s="86"/>
      <c r="H67" s="86"/>
    </row>
    <row r="68" spans="2:8" x14ac:dyDescent="0.2">
      <c r="B68" s="18" t="s">
        <v>167</v>
      </c>
      <c r="C68" s="86">
        <v>1.0426735</v>
      </c>
      <c r="D68" s="86">
        <v>2.28008247</v>
      </c>
      <c r="E68" s="86">
        <v>2.5241734908000004</v>
      </c>
      <c r="F68" s="86">
        <v>2.6107755268240007</v>
      </c>
      <c r="G68" s="86">
        <v>2.6877546629287212</v>
      </c>
      <c r="H68" s="86">
        <v>2.7683996235165829</v>
      </c>
    </row>
    <row r="69" spans="2:8" x14ac:dyDescent="0.2">
      <c r="B69" s="33" t="s">
        <v>168</v>
      </c>
      <c r="C69" s="87"/>
      <c r="D69" s="87"/>
      <c r="E69" s="87"/>
      <c r="F69" s="87"/>
      <c r="G69" s="87"/>
      <c r="H69" s="87"/>
    </row>
    <row r="70" spans="2:8" x14ac:dyDescent="0.2">
      <c r="B70" s="18" t="s">
        <v>169</v>
      </c>
      <c r="C70" s="86">
        <v>1.0426735</v>
      </c>
      <c r="D70" s="86">
        <v>2.28008247</v>
      </c>
      <c r="E70" s="86">
        <v>2.5241734908000004</v>
      </c>
      <c r="F70" s="86">
        <v>2.6107755268240007</v>
      </c>
      <c r="G70" s="86">
        <v>2.6877546629287212</v>
      </c>
      <c r="H70" s="86">
        <v>2.7683996235165829</v>
      </c>
    </row>
    <row r="71" spans="2:8" x14ac:dyDescent="0.2">
      <c r="B71" s="18"/>
      <c r="C71" s="86"/>
      <c r="D71" s="86"/>
      <c r="E71" s="86"/>
      <c r="F71" s="86"/>
      <c r="G71" s="86"/>
      <c r="H71" s="86"/>
    </row>
    <row r="72" spans="2:8" x14ac:dyDescent="0.2">
      <c r="B72" s="33" t="s">
        <v>170</v>
      </c>
      <c r="C72" s="87"/>
      <c r="D72" s="87"/>
      <c r="E72" s="87"/>
      <c r="F72" s="87"/>
      <c r="G72" s="87"/>
      <c r="H72" s="87"/>
    </row>
    <row r="73" spans="2:8" x14ac:dyDescent="0.2">
      <c r="B73" s="18" t="s">
        <v>171</v>
      </c>
      <c r="C73" s="86">
        <v>0</v>
      </c>
      <c r="D73" s="86">
        <v>0</v>
      </c>
      <c r="E73" s="86">
        <v>0</v>
      </c>
      <c r="F73" s="86">
        <v>0</v>
      </c>
      <c r="G73" s="86">
        <v>0</v>
      </c>
      <c r="H73" s="86">
        <v>0</v>
      </c>
    </row>
    <row r="74" spans="2:8" x14ac:dyDescent="0.2">
      <c r="B74" s="18"/>
      <c r="C74" s="86"/>
      <c r="D74" s="86"/>
      <c r="E74" s="86"/>
      <c r="F74" s="86"/>
      <c r="G74" s="86"/>
      <c r="H74" s="86"/>
    </row>
    <row r="75" spans="2:8" x14ac:dyDescent="0.2">
      <c r="B75" s="18" t="s">
        <v>172</v>
      </c>
      <c r="C75" s="86">
        <v>0.92105108489681164</v>
      </c>
      <c r="D75" s="86">
        <v>2.2833608566416501</v>
      </c>
      <c r="E75" s="86">
        <v>3.6466604889073162</v>
      </c>
      <c r="F75" s="86">
        <v>3.7883206817290649</v>
      </c>
      <c r="G75" s="86">
        <v>3.8954259551309303</v>
      </c>
      <c r="H75" s="86">
        <v>3.9917587380848669</v>
      </c>
    </row>
    <row r="76" spans="2:8" x14ac:dyDescent="0.2">
      <c r="B76" s="33" t="s">
        <v>173</v>
      </c>
      <c r="C76" s="87">
        <v>5.9311762499999965</v>
      </c>
      <c r="D76" s="87">
        <v>5.3106756000000033</v>
      </c>
      <c r="E76" s="87">
        <v>5.5726218839999992</v>
      </c>
      <c r="F76" s="87">
        <v>5.8008188185199998</v>
      </c>
      <c r="G76" s="87">
        <v>5.9965559528256023</v>
      </c>
      <c r="H76" s="87">
        <v>6.2050076064103692</v>
      </c>
    </row>
    <row r="77" spans="2:8" x14ac:dyDescent="0.2">
      <c r="B77" s="18" t="s">
        <v>174</v>
      </c>
      <c r="C77" s="86">
        <v>6.8522273348968081</v>
      </c>
      <c r="D77" s="86">
        <v>7.5940364566416534</v>
      </c>
      <c r="E77" s="86">
        <v>9.2192823729073154</v>
      </c>
      <c r="F77" s="86">
        <v>9.5891395002490647</v>
      </c>
      <c r="G77" s="86">
        <v>9.8919819079565325</v>
      </c>
      <c r="H77" s="86">
        <v>10.196766344495236</v>
      </c>
    </row>
    <row r="78" spans="2:8" x14ac:dyDescent="0.2">
      <c r="B78" s="18"/>
      <c r="C78" s="86"/>
      <c r="D78" s="86"/>
      <c r="E78" s="86"/>
      <c r="F78" s="86"/>
      <c r="G78" s="86"/>
      <c r="H78" s="86"/>
    </row>
    <row r="79" spans="2:8" x14ac:dyDescent="0.2">
      <c r="B79" s="18" t="s">
        <v>175</v>
      </c>
      <c r="C79" s="86">
        <v>7.8949008348968084</v>
      </c>
      <c r="D79" s="86">
        <v>9.8741189266416534</v>
      </c>
      <c r="E79" s="86">
        <v>11.743455863707316</v>
      </c>
      <c r="F79" s="86">
        <v>12.199915027073065</v>
      </c>
      <c r="G79" s="86">
        <v>12.579736570885254</v>
      </c>
      <c r="H79" s="86">
        <v>12.965165968011819</v>
      </c>
    </row>
  </sheetData>
  <sheetProtection algorithmName="SHA-512" hashValue="qVqcGiUmMsPZocmZ94SF6mDnTY81irNiTK2RxB78EcNn6+6xazMmAawdE/vxZdcr02KYtP/kYP6pWJlFw2ymCA==" saltValue="k4V4X08+M8BJ5PKyp9aW+g=="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Start here</vt:lpstr>
      <vt:lpstr>Input</vt:lpstr>
      <vt:lpstr>Sales &amp; Prod</vt:lpstr>
      <vt:lpstr>RM &amp; DL &amp; FG</vt:lpstr>
      <vt:lpstr>SGA &amp; PL &amp; BS</vt:lpstr>
      <vt:lpstr>Dash</vt:lpstr>
      <vt:lpstr>Variance analysis</vt:lpstr>
      <vt:lpstr>Actuals</vt:lpstr>
      <vt:lpstr>actual</vt:lpstr>
      <vt:lpstr>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디와엘리</dc:creator>
  <cp:keywords/>
  <dc:description/>
  <cp:lastModifiedBy>Microsoft Office User</cp:lastModifiedBy>
  <cp:revision/>
  <dcterms:created xsi:type="dcterms:W3CDTF">2019-11-02T14:11:00Z</dcterms:created>
  <dcterms:modified xsi:type="dcterms:W3CDTF">2023-07-06T11:21:44Z</dcterms:modified>
  <cp:category/>
  <cp:contentStatus/>
</cp:coreProperties>
</file>