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5B1A2CDA-FA7A-2C4B-9637-11E91B3EB193}" xr6:coauthVersionLast="47" xr6:coauthVersionMax="47" xr10:uidLastSave="{00000000-0000-0000-0000-000000000000}"/>
  <bookViews>
    <workbookView xWindow="28800" yWindow="-7600" windowWidth="25380" windowHeight="28800" activeTab="8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24" l="1"/>
  <c r="C58" i="24"/>
  <c r="C160" i="24"/>
  <c r="F20" i="24"/>
  <c r="D20" i="24"/>
  <c r="C20" i="24"/>
  <c r="C16" i="24"/>
  <c r="C21" i="26"/>
  <c r="C22" i="26"/>
  <c r="C23" i="26"/>
  <c r="C24" i="26"/>
  <c r="C25" i="26"/>
  <c r="C26" i="26"/>
  <c r="C27" i="26"/>
  <c r="C137" i="23"/>
  <c r="C136" i="23"/>
  <c r="D49" i="24"/>
  <c r="D39" i="18"/>
  <c r="D38" i="18"/>
  <c r="D70" i="18"/>
  <c r="D71" i="18"/>
  <c r="D65" i="18"/>
  <c r="D29" i="18"/>
  <c r="B1" i="24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35" i="22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5" i="24" s="1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4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2" i="24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15" i="21" a="1"/>
  <c r="D15" i="21" s="1"/>
  <c r="D16" i="21" s="1"/>
  <c r="E65" i="18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24" i="23"/>
  <c r="C130" i="23" s="1"/>
  <c r="C36" i="26"/>
  <c r="C38" i="19"/>
  <c r="C39" i="26"/>
  <c r="C37" i="26"/>
  <c r="C12" i="19"/>
  <c r="G60" i="24"/>
  <c r="C60" i="24" s="1" a="1"/>
  <c r="C60" i="24" s="1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H5" i="26"/>
  <c r="C21" i="19"/>
  <c r="E107" i="23"/>
  <c r="E106" i="23"/>
  <c r="C132" i="23"/>
  <c r="C138" i="23" s="1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C117" i="18" l="1"/>
  <c r="C121" i="18" s="1"/>
  <c r="C154" i="24" s="1"/>
  <c r="F15" i="20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D157" i="24" l="1"/>
  <c r="D159" i="24" s="1"/>
  <c r="E157" i="24"/>
  <c r="E159" i="24" s="1"/>
  <c r="F157" i="24"/>
  <c r="F159" i="24" s="1"/>
  <c r="G157" i="24"/>
  <c r="C158" i="24" s="1"/>
  <c r="G158" i="24"/>
  <c r="G18" i="2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 l="1"/>
  <c r="C162" i="24" s="1"/>
  <c r="G19" i="20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22" i="21" s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5" i="2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<sst xmlns="http://schemas.openxmlformats.org/spreadsheetml/2006/main" count="623" uniqueCount="381">
  <si>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</si>
  <si>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</si>
  <si>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</si>
  <si>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</si>
  <si>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</si>
  <si>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</si>
  <si>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</si>
  <si>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</si>
  <si>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</si>
  <si>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</si>
  <si>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</si>
  <si>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</si>
  <si>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</si>
  <si>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</si>
  <si>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</si>
  <si>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</si>
  <si>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</si>
  <si>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</si>
  <si>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</si>
  <si>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</si>
  <si>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</si>
  <si>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</si>
  <si>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</si>
  <si>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</si>
  <si>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</si>
  <si>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</si>
  <si>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</si>
  <si>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</si>
  <si>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</si>
  <si>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</si>
  <si>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</si>
  <si>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</si>
  <si>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</si>
  <si>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</si>
  <si>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</si>
  <si>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</si>
  <si>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</si>
  <si>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</si>
  <si>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</si>
  <si>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</si>
  <si>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</si>
  <si>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</si>
  <si>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</si>
  <si>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</si>
  <si>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</si>
  <si>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</si>
  <si>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</si>
  <si>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</si>
  <si>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</si>
  <si>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</si>
  <si>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</si>
  <si>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</si>
  <si>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</si>
  <si>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</si>
  <si>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</si>
  <si>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</si>
  <si>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</si>
  <si>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</si>
  <si>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</si>
  <si>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</si>
  <si>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</si>
  <si>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</si>
  <si>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</si>
  <si>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</si>
  <si>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</si>
  <si>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</si>
  <si>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</si>
  <si>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</si>
  <si>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</si>
  <si>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</si>
  <si>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</si>
  <si>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</si>
  <si>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</si>
  <si>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</si>
  <si>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</si>
  <si>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</si>
  <si>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</si>
  <si>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</si>
  <si>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</si>
  <si>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</si>
  <si>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</si>
  <si>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</si>
  <si>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</si>
  <si>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</si>
  <si>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</si>
  <si>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</si>
  <si>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</si>
  <si>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</si>
  <si>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</si>
  <si>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</si>
  <si>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</si>
  <si>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</si>
  <si>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</si>
  <si>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</si>
  <si>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</si>
  <si>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</si>
  <si>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</si>
  <si>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</si>
  <si>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</si>
  <si>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</si>
  <si>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</si>
  <si>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</si>
  <si>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</si>
  <si>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</si>
  <si>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</si>
  <si>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</si>
  <si>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</si>
  <si>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</si>
  <si>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</si>
  <si>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</si>
  <si>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</si>
  <si>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</si>
  <si>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</si>
  <si>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</si>
  <si>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</si>
  <si>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</si>
  <si>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</si>
  <si>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</si>
  <si>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</si>
  <si>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</si>
  <si>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</si>
  <si>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</si>
  <si>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</si>
  <si>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</si>
  <si>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</si>
  <si>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</si>
  <si>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</si>
  <si>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</si>
  <si>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</si>
  <si>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</si>
  <si>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</si>
  <si>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</si>
  <si>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</si>
  <si>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</si>
  <si>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</si>
  <si>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</si>
  <si>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</si>
  <si>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</si>
  <si>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</si>
  <si>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</si>
  <si>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</si>
  <si>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</si>
  <si>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</si>
  <si>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</si>
  <si>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</si>
  <si>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</si>
  <si>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</si>
  <si>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</si>
  <si>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</si>
  <si>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</si>
  <si>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</si>
  <si>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</si>
  <si>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</si>
  <si>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</si>
  <si>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</si>
  <si>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</si>
  <si>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</si>
  <si>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</si>
  <si>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</si>
  <si>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</si>
  <si>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</si>
  <si>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</si>
  <si>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</si>
  <si>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</si>
  <si>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</si>
  <si>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</si>
  <si>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</si>
  <si>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</si>
  <si>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</si>
  <si>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</si>
  <si>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</si>
  <si>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</si>
  <si>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</si>
  <si>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</si>
  <si>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</si>
  <si>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</si>
  <si>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</si>
  <si>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</si>
  <si>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</si>
  <si>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</si>
  <si>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</si>
  <si>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</si>
  <si>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</si>
  <si>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</si>
  <si>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</si>
  <si>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</si>
  <si>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</si>
  <si>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</si>
  <si>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</si>
  <si>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</si>
  <si>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</si>
  <si>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</si>
  <si>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</si>
  <si>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</si>
  <si>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</si>
  <si>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</si>
  <si>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</si>
  <si>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</si>
  <si>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</si>
  <si>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</si>
  <si>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</si>
  <si>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</si>
  <si>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</si>
  <si>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</si>
  <si>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</si>
  <si>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</si>
  <si>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</si>
  <si>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</si>
  <si>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</si>
  <si>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</si>
  <si>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</si>
  <si>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</si>
  <si>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</si>
  <si>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</si>
  <si>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</si>
  <si>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</si>
  <si>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</si>
  <si>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</si>
  <si>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</si>
  <si>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</si>
  <si>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</si>
  <si>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</si>
  <si>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</si>
  <si>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</si>
  <si>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</si>
  <si>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</si>
  <si>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</si>
  <si>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</si>
  <si>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</si>
  <si>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</si>
  <si>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</si>
  <si>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</si>
  <si>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</si>
  <si>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</si>
  <si>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</si>
  <si>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</si>
  <si>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</si>
  <si>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</si>
  <si>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</si>
  <si>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</si>
  <si>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</si>
  <si>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</si>
  <si>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</si>
  <si>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</si>
  <si>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</si>
  <si>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</si>
  <si>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</si>
  <si>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</si>
  <si>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</si>
  <si>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</si>
  <si>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</si>
  <si>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</si>
  <si>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</si>
  <si>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</si>
  <si>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</si>
  <si>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</si>
  <si>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</si>
  <si>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</si>
  <si>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</si>
  <si>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</si>
  <si>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</si>
  <si>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</si>
  <si>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</si>
  <si>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</si>
  <si>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</si>
  <si>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</si>
  <si>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</si>
  <si>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</si>
  <si>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</si>
  <si>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</si>
  <si>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</si>
  <si>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</si>
  <si>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</si>
  <si>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</si>
  <si>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</si>
  <si>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</si>
  <si>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</si>
  <si>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</si>
  <si>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</si>
  <si>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</si>
  <si>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</si>
  <si>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</si>
  <si>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</si>
  <si>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</si>
  <si>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</si>
  <si>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</si>
  <si>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</si>
  <si>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</si>
  <si>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</si>
  <si>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</si>
  <si>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</si>
  <si>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</si>
  <si>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</si>
  <si>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</si>
  <si>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</si>
  <si>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</si>
  <si>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</si>
  <si>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</si>
  <si>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</si>
  <si>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</si>
  <si>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</si>
  <si>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</si>
  <si>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</si>
  <si>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</si>
  <si>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</si>
  <si>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</si>
  <si>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</si>
  <si>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</si>
  <si>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</si>
  <si>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</si>
  <si>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</si>
  <si>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</si>
  <si>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</si>
  <si>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</si>
  <si>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</si>
  <si>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</si>
  <si>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</si>
  <si>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</si>
  <si>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</si>
  <si>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</si>
  <si>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</si>
  <si>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</si>
  <si>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</si>
  <si>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</si>
  <si>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</si>
  <si>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</si>
  <si>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</si>
  <si>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</si>
  <si>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</si>
  <si>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</si>
  <si>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</si>
  <si>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</si>
  <si>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</si>
  <si>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</si>
  <si>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</si>
  <si>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</si>
  <si>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</si>
  <si>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</si>
  <si>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</si>
  <si>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</si>
  <si>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</si>
  <si>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</si>
  <si>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</si>
  <si>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</si>
  <si>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</si>
  <si>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</si>
  <si>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</si>
  <si>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</si>
  <si>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</si>
  <si>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</si>
  <si>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</si>
  <si>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</si>
  <si>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</si>
  <si>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</si>
  <si>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</si>
  <si>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</si>
  <si>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</si>
  <si>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</si>
  <si>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</si>
  <si>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</si>
  <si>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</si>
  <si>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</si>
  <si>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</si>
  <si>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</si>
  <si>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</si>
  <si>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</si>
  <si>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</si>
  <si>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</si>
  <si>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</si>
  <si>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</si>
  <si>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</si>
  <si>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</si>
  <si>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</si>
  <si>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</si>
  <si>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</si>
  <si>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</si>
  <si>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</si>
  <si>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</si>
  <si>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</si>
  <si>
    <t>Noname</t>
  </si>
  <si>
    <t>Dilution
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</si>
</sst>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40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theme="6" tint="0.59999389629810485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8" tint="0.79998168889431442"/>
      <name val="Arial"/>
      <family val="2"/>
    </font>
    <font>
      <b/>
      <sz val="10"/>
      <color rgb="FF203764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00206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63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24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2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2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2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2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1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1" fillId="2" borderId="0" xfId="0" applyNumberFormat="1" applyFont="1" applyFill="1" applyBorder="1" applyProtection="1">
      <alignment vertical="top" wrapText="1"/>
    </xf>
    <xf numFmtId="178" fontId="22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2" fillId="2" borderId="0" xfId="0" applyNumberFormat="1" applyFont="1" applyFill="1" applyProtection="1">
      <alignment vertical="top" wrapText="1"/>
    </xf>
    <xf numFmtId="2" fontId="23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25" fillId="2" borderId="0" xfId="0" applyFont="1" applyFill="1" applyBorder="1" applyProtection="1">
      <alignment vertical="top" wrapText="1"/>
    </xf>
    <xf numFmtId="170" fontId="25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26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2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25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28" fillId="6" borderId="0" xfId="0" applyFont="1" applyFill="1" applyAlignment="1" applyProtection="1"/>
    <xf numFmtId="0" fontId="28" fillId="2" borderId="0" xfId="0" applyFont="1" applyFill="1" applyAlignment="1" applyProtection="1"/>
    <xf numFmtId="0" fontId="33" fillId="13" borderId="0" xfId="4" applyFont="1" applyFill="1"/>
    <xf numFmtId="9" fontId="33" fillId="13" borderId="0" xfId="4" applyNumberFormat="1" applyFont="1" applyFill="1"/>
    <xf numFmtId="0" fontId="34" fillId="15" borderId="3" xfId="4" applyFont="1" applyFill="1" applyBorder="1"/>
    <xf numFmtId="180" fontId="34" fillId="15" borderId="3" xfId="4" applyNumberFormat="1" applyFont="1" applyFill="1" applyBorder="1" applyAlignment="1">
      <alignment horizontal="right"/>
    </xf>
    <xf numFmtId="180" fontId="34" fillId="13" borderId="0" xfId="4" applyNumberFormat="1" applyFont="1" applyFill="1" applyAlignment="1">
      <alignment horizontal="right"/>
    </xf>
    <xf numFmtId="180" fontId="35" fillId="13" borderId="0" xfId="4" applyNumberFormat="1" applyFont="1" applyFill="1" applyAlignment="1">
      <alignment horizontal="right"/>
    </xf>
    <xf numFmtId="2" fontId="33" fillId="13" borderId="0" xfId="4" applyNumberFormat="1" applyFont="1" applyFill="1"/>
    <xf numFmtId="170" fontId="33" fillId="13" borderId="0" xfId="4" applyNumberFormat="1" applyFont="1" applyFill="1"/>
    <xf numFmtId="172" fontId="33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33" fillId="13" borderId="0" xfId="4" applyNumberFormat="1" applyFont="1" applyFill="1"/>
    <xf numFmtId="164" fontId="33" fillId="13" borderId="0" xfId="5" applyNumberFormat="1" applyFont="1" applyFill="1" applyProtection="1"/>
    <xf numFmtId="164" fontId="33" fillId="13" borderId="0" xfId="5" applyNumberFormat="1" applyFont="1" applyFill="1" applyBorder="1" applyProtection="1"/>
    <xf numFmtId="172" fontId="33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4" fillId="13" borderId="0" xfId="4" applyFont="1" applyFill="1"/>
    <xf numFmtId="10" fontId="33" fillId="13" borderId="0" xfId="5" applyNumberFormat="1" applyFont="1" applyFill="1" applyProtection="1"/>
    <xf numFmtId="10" fontId="33" fillId="13" borderId="0" xfId="4" applyNumberFormat="1" applyFont="1" applyFill="1"/>
    <xf numFmtId="0" fontId="37" fillId="13" borderId="0" xfId="4" applyFont="1" applyFill="1"/>
    <xf numFmtId="0" fontId="29" fillId="19" borderId="0" xfId="4" applyFont="1" applyFill="1"/>
    <xf numFmtId="0" fontId="38" fillId="19" borderId="0" xfId="4" applyFont="1" applyFill="1"/>
    <xf numFmtId="0" fontId="31" fillId="19" borderId="15" xfId="4" applyFont="1" applyFill="1" applyBorder="1" applyAlignment="1" applyProtection="1">
      <alignment horizontal="center" vertical="center"/>
      <protection locked="0"/>
    </xf>
    <xf numFmtId="0" fontId="29" fillId="19" borderId="15" xfId="4" applyFont="1" applyFill="1" applyBorder="1"/>
    <xf numFmtId="180" fontId="29" fillId="19" borderId="23" xfId="4" applyNumberFormat="1" applyFont="1" applyFill="1" applyBorder="1"/>
    <xf numFmtId="180" fontId="29" fillId="19" borderId="25" xfId="4" applyNumberFormat="1" applyFont="1" applyFill="1" applyBorder="1"/>
    <xf numFmtId="0" fontId="32" fillId="19" borderId="0" xfId="4" applyFont="1" applyFill="1" applyAlignment="1">
      <alignment horizontal="right"/>
    </xf>
    <xf numFmtId="0" fontId="32" fillId="19" borderId="0" xfId="4" applyFont="1" applyFill="1" applyAlignment="1">
      <alignment horizontal="center"/>
    </xf>
    <xf numFmtId="0" fontId="30" fillId="19" borderId="0" xfId="4" applyFont="1" applyFill="1"/>
    <xf numFmtId="0" fontId="29" fillId="19" borderId="20" xfId="4" applyFont="1" applyFill="1" applyBorder="1"/>
    <xf numFmtId="10" fontId="29" fillId="19" borderId="22" xfId="4" applyNumberFormat="1" applyFont="1" applyFill="1" applyBorder="1"/>
    <xf numFmtId="10" fontId="29" fillId="19" borderId="24" xfId="4" applyNumberFormat="1" applyFont="1" applyFill="1" applyBorder="1"/>
    <xf numFmtId="0" fontId="29" fillId="19" borderId="0" xfId="4" applyFont="1" applyFill="1" applyAlignment="1">
      <alignment horizontal="right"/>
    </xf>
    <xf numFmtId="0" fontId="29" fillId="19" borderId="22" xfId="4" applyFont="1" applyFill="1" applyBorder="1"/>
    <xf numFmtId="2" fontId="29" fillId="19" borderId="21" xfId="4" applyNumberFormat="1" applyFont="1" applyFill="1" applyBorder="1"/>
    <xf numFmtId="2" fontId="29" fillId="19" borderId="26" xfId="4" applyNumberFormat="1" applyFont="1" applyFill="1" applyBorder="1"/>
    <xf numFmtId="0" fontId="29" fillId="19" borderId="23" xfId="4" applyFont="1" applyFill="1" applyBorder="1" applyAlignment="1">
      <alignment horizontal="right"/>
    </xf>
    <xf numFmtId="9" fontId="29" fillId="19" borderId="0" xfId="4" applyNumberFormat="1" applyFont="1" applyFill="1"/>
    <xf numFmtId="164" fontId="10" fillId="2" borderId="9" xfId="2" applyNumberFormat="1" applyFont="1" applyFill="1" applyBorder="1" applyAlignment="1" applyProtection="1">
      <alignment vertical="top" wrapText="1"/>
    </xf>
    <xf numFmtId="0" fontId="39" fillId="2" borderId="0" xfId="0" applyFont="1" applyFill="1" applyAlignment="1" applyProtection="1">
      <alignment vertical="top"/>
    </xf>
    <xf numFmtId="10" fontId="39" fillId="2" borderId="0" xfId="0" applyNumberFormat="1" applyFont="1" applyFill="1" applyAlignment="1" applyProtection="1">
      <alignment vertical="top"/>
    </xf>
    <xf numFmtId="2" fontId="39" fillId="2" borderId="0" xfId="0" applyNumberFormat="1" applyFont="1" applyFill="1" applyAlignment="1" applyProtection="1">
      <alignment vertical="top"/>
    </xf>
    <xf numFmtId="9" fontId="10" fillId="2" borderId="0" xfId="0" applyNumberFormat="1" applyFont="1" applyFill="1" applyAlignment="1" applyProtection="1">
      <alignment horizontal="center" vertical="top" wrapText="1"/>
    </xf>
    <xf numFmtId="0" fontId="27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29" fillId="19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 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9.4890720650088145</c:v>
                </c:pt>
                <c:pt idx="2">
                  <c:v>10.632226740355264</c:v>
                </c:pt>
                <c:pt idx="3">
                  <c:v>11.930602271644556</c:v>
                </c:pt>
                <c:pt idx="4">
                  <c:v>13.379137041819728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9.4890720650088127</c:v>
                </c:pt>
                <c:pt idx="2">
                  <c:v>10.632226740355263</c:v>
                </c:pt>
                <c:pt idx="3">
                  <c:v>11.930602271644554</c:v>
                </c:pt>
                <c:pt idx="4">
                  <c:v>13.379137041819728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2.9567411669766659</c:v>
                </c:pt>
                <c:pt idx="2">
                  <c:v>2.9298697004060443</c:v>
                </c:pt>
                <c:pt idx="3">
                  <c:v>2.9470818249243949</c:v>
                </c:pt>
                <c:pt idx="4">
                  <c:v>2.9930191865818259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3.4614544929375615E-2</c:v>
                </c:pt>
                <c:pt idx="2">
                  <c:v>4.3597430026482427E-2</c:v>
                </c:pt>
                <c:pt idx="3">
                  <c:v>4.3432773278802649E-2</c:v>
                </c:pt>
                <c:pt idx="4">
                  <c:v>4.2999350128149809E-2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8.6051212543811192E-2</c:v>
                </c:pt>
                <c:pt idx="2">
                  <c:v>0.10853708290420561</c:v>
                </c:pt>
                <c:pt idx="3">
                  <c:v>0.10752228927929985</c:v>
                </c:pt>
                <c:pt idx="4">
                  <c:v>0.10490455535191749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</c:v>
                </c:pt>
                <c:pt idx="3">
                  <c:v>0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0.40225516766253977</c:v>
                </c:pt>
                <c:pt idx="1">
                  <c:v>0.67295465539958743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0.3525921470806353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0.4016823454243868</c:v>
                </c:pt>
                <c:pt idx="1">
                  <c:v>0.67135298842100888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0.35467899835031647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0.40394204373738446</c:v>
                </c:pt>
                <c:pt idx="1">
                  <c:v>0.6776892070532361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0.35333946319186227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0.40989020909437418</c:v>
                </c:pt>
                <c:pt idx="1">
                  <c:v>0.69459991244227026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0.34981342762412432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0.51747810485629586</c:v>
                </c:pt>
                <c:pt idx="2">
                  <c:v>0.5205408498694587</c:v>
                </c:pt>
                <c:pt idx="3">
                  <c:v>0.51857489537805945</c:v>
                </c:pt>
                <c:pt idx="4">
                  <c:v>0.51339994687635138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2.485984221932783</c:v>
                </c:pt>
                <c:pt idx="2">
                  <c:v>2.4895293791004844</c:v>
                </c:pt>
                <c:pt idx="3">
                  <c:v>2.4756026650450176</c:v>
                </c:pt>
                <c:pt idx="4">
                  <c:v>2.4396776937156788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734963</xdr:colOff>
      <xdr:row>22</xdr:row>
      <xdr:rowOff>104967</xdr:rowOff>
    </xdr:from>
    <xdr:to>
      <xdr:col>19</xdr:col>
      <xdr:colOff>156632</xdr:colOff>
      <xdr:row>34</xdr:row>
      <xdr:rowOff>122767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788650</xdr:colOff>
      <xdr:row>36</xdr:row>
      <xdr:rowOff>43294</xdr:rowOff>
    </xdr:from>
    <xdr:to>
      <xdr:col>19</xdr:col>
      <xdr:colOff>141817</xdr:colOff>
      <xdr:row>48</xdr:row>
      <xdr:rowOff>48683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645584</xdr:colOff>
      <xdr:row>10</xdr:row>
      <xdr:rowOff>71967</xdr:rowOff>
    </xdr:from>
    <xdr:to>
      <xdr:col>19</xdr:col>
      <xdr:colOff>27901</xdr:colOff>
      <xdr:row>20</xdr:row>
      <xdr:rowOff>114301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03" t="s">
        <v>377</v>
      </c>
      <c r="C25" s="304"/>
    </row>
    <row r="26" spans="1:3" x14ac:dyDescent="0.2">
      <c r="B26" s="305"/>
      <c r="C26" s="305"/>
    </row>
    <row r="27" spans="1:3" x14ac:dyDescent="0.2">
      <c r="B27" s="305"/>
      <c r="C27" s="305"/>
    </row>
    <row r="28" spans="1:3" ht="18" x14ac:dyDescent="0.2">
      <c r="B28" s="306" t="s">
        <v>375</v>
      </c>
      <c r="C28" s="306"/>
    </row>
    <row r="29" spans="1:3" ht="18" x14ac:dyDescent="0.2">
      <c r="B29" s="307" t="s">
        <v>378</v>
      </c>
      <c r="C29" s="307"/>
    </row>
    <row r="30" spans="1:3" ht="18" x14ac:dyDescent="0.2">
      <c r="B30" s="307" t="s">
        <v>376</v>
      </c>
      <c r="C30" s="305"/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topLeftCell="A4" zoomScaleNormal="150" workbookViewId="0">
      <selection activeCell="H36" sqref="H36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348" t="s">
        <v>37</v>
      </c>
      <c r="C36" s="348"/>
      <c r="D36" s="349">
        <f>('Noname co'!C58+'Noname co'!C60+'Noname co'!C64)/'Noname co'!C51</f>
        <v>0.63291759708076911</v>
      </c>
      <c r="E36" s="349">
        <f>('Noname co'!D58+'Noname co'!D60+'Noname co'!D64)/'Noname co'!D51</f>
        <v>0.63464000787944452</v>
      </c>
      <c r="F36" s="349">
        <f>('Noname co'!E58+'Noname co'!E60+'Noname co'!E64)/'Noname co'!E51</f>
        <v>0.62591282260625025</v>
      </c>
      <c r="G36" s="349">
        <f>('Noname co'!F58+'Noname co'!F60+'Noname co'!F64)/'Noname co'!F51</f>
        <v>0.61830636354611357</v>
      </c>
      <c r="H36" s="349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348" t="s">
        <v>38</v>
      </c>
      <c r="C37" s="348"/>
      <c r="D37" s="350">
        <f>'Noname co'!C51/'Noname co'!C69</f>
        <v>3.4952361916183623</v>
      </c>
      <c r="E37" s="350">
        <f>'Noname co'!D51/'Noname co'!D69</f>
        <v>3.5555010812183183</v>
      </c>
      <c r="F37" s="350">
        <f>'Noname co'!E51/'Noname co'!E69</f>
        <v>3.4528554536698435</v>
      </c>
      <c r="G37" s="350">
        <f>'Noname co'!F51/'Noname co'!F69</f>
        <v>3.3974622747785728</v>
      </c>
      <c r="H37" s="350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11.26660465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1.1547578355827015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>C123/(1+(1-C$134)*C132)</f>
        <v>0.46121125949478453</v>
      </c>
    </row>
    <row r="139" spans="2:4" ht="18" thickTop="1" x14ac:dyDescent="0.15">
      <c r="B139" s="6" t="s">
        <v>63</v>
      </c>
      <c r="C139" s="6">
        <f>AVERAGE(C136:C138)</f>
        <v>0.44581733612884999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topLeftCell="A66" zoomScale="143" zoomScaleNormal="140" workbookViewId="0">
      <selection activeCell="E87" sqref="E87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12.41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11.26660465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12.41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17" x14ac:dyDescent="0.15">
      <c r="B124" s="69" t="s">
        <v>116</v>
      </c>
      <c r="C124" s="70" t="str">
        <f>B83</f>
        <v>Target co</v>
      </c>
      <c r="D124" s="70" t="s">
        <v>379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0.44581733612884999</v>
      </c>
      <c r="D127" s="105">
        <f>'Pre-analysis'!C138</f>
        <v>0.46121125949478453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11.26660465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1.1547578355827015</v>
      </c>
    </row>
    <row r="132" spans="2:4" ht="17" x14ac:dyDescent="0.15">
      <c r="B132" s="51" t="s">
        <v>122</v>
      </c>
      <c r="C132" s="106">
        <f>C127*(1+(1-$D103)*C131)</f>
        <v>0.46805619091274409</v>
      </c>
      <c r="D132" s="60">
        <f>'Pre-analysis'!C123</f>
        <v>0.85</v>
      </c>
    </row>
    <row r="135" spans="2:4" ht="20" customHeight="1" x14ac:dyDescent="0.15">
      <c r="B135" s="69" t="s">
        <v>123</v>
      </c>
      <c r="C135" s="70" t="str">
        <f>C124</f>
        <v>Target co</v>
      </c>
      <c r="D135" s="70" t="str">
        <f>D124</f>
        <v>Noname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24" customHeight="1" x14ac:dyDescent="0.15">
      <c r="B138" s="69" t="s">
        <v>125</v>
      </c>
      <c r="C138" s="70" t="str">
        <f>C135</f>
        <v>Target co</v>
      </c>
      <c r="D138" s="70" t="str">
        <f>D135</f>
        <v>Noname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topLeftCell="A81" zoomScaleNormal="140" workbookViewId="0">
      <selection activeCell="C118" sqref="C118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52" t="str">
        <f>Input!B2</f>
        <v>Noname co, by elie diwambuena</v>
      </c>
      <c r="C1" s="352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18" thickBot="1" x14ac:dyDescent="0.2">
      <c r="B116" s="108" t="s">
        <v>166</v>
      </c>
      <c r="C116" s="108" t="str">
        <f>Input!C124</f>
        <v>Target co</v>
      </c>
      <c r="D116" s="108" t="s">
        <v>379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7.5263933363892088E-2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0.5359107257964445</v>
      </c>
    </row>
    <row r="121" spans="2:7" ht="18" thickTop="1" x14ac:dyDescent="0.15">
      <c r="B121" s="6" t="s">
        <v>166</v>
      </c>
      <c r="C121" s="50">
        <f>C117*(1-C120)+C118*C120*(1-C119)</f>
        <v>7.3835078031724274E-2</v>
      </c>
      <c r="D121" s="50">
        <f>D117*(1-D120)+D118*D120*(1-D119)</f>
        <v>7.9612329429853537E-2</v>
      </c>
    </row>
  </sheetData>
  <sheetProtection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zoomScaleNormal="140" workbookViewId="0">
      <selection activeCell="C60" sqref="C60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12.41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11.26660465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16.23060465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34" x14ac:dyDescent="0.15">
      <c r="B19" s="136" t="s">
        <v>364</v>
      </c>
      <c r="C19" s="136" t="s">
        <v>170</v>
      </c>
      <c r="D19" s="136" t="s">
        <v>171</v>
      </c>
      <c r="F19" s="142" t="s">
        <v>380</v>
      </c>
    </row>
    <row r="20" spans="2:7" ht="17" x14ac:dyDescent="0.15">
      <c r="B20" s="6" t="s">
        <v>172</v>
      </c>
      <c r="C20" s="6">
        <f>C6</f>
        <v>226966.25</v>
      </c>
      <c r="D20" s="62">
        <f>C20/SUM($C$20:$C$23)</f>
        <v>0.1735395090471876</v>
      </c>
      <c r="F20" s="351">
        <f>D20/D6-1</f>
        <v>-0.30584196381124962</v>
      </c>
    </row>
    <row r="21" spans="2:7" ht="17" x14ac:dyDescent="0.15">
      <c r="B21" s="6" t="s">
        <v>104</v>
      </c>
      <c r="C21" s="6">
        <f t="shared" ref="C21" si="0">C7</f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347">
        <f>Calcul!D121</f>
        <v>7.9612329429853537E-2</v>
      </c>
      <c r="E53" s="355"/>
      <c r="F53" s="356"/>
      <c r="G53" s="357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0.96242319709256507</v>
      </c>
      <c r="E56" s="153">
        <f t="shared" ref="E56:G56" si="10">1/(1+$D53)^E55</f>
        <v>0.89145258057660726</v>
      </c>
      <c r="F56" s="153">
        <f t="shared" si="10"/>
        <v>0.82571545014439196</v>
      </c>
      <c r="G56" s="153">
        <f t="shared" si="10"/>
        <v>0.76482588021244124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-2.4764282674821141</v>
      </c>
      <c r="E57" s="153">
        <f t="shared" ref="E57:G57" si="11">E49*E56</f>
        <v>1.1284729818463295</v>
      </c>
      <c r="F57" s="153">
        <f t="shared" si="11"/>
        <v>1.0943100880751162</v>
      </c>
      <c r="G57" s="153">
        <f t="shared" si="11"/>
        <v>1.0613209756633832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0.80767577810271485</v>
      </c>
      <c r="D58" s="355"/>
      <c r="E58" s="356"/>
      <c r="F58" s="356"/>
      <c r="G58" s="357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58" t="s">
        <v>203</v>
      </c>
      <c r="E59" s="359"/>
      <c r="F59" s="359"/>
      <c r="G59" s="360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7.3835078031724274E-2</v>
      </c>
      <c r="D154" s="8"/>
      <c r="E154" s="353"/>
      <c r="F154" s="353"/>
      <c r="G154" s="353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0.96500865108073741</v>
      </c>
      <c r="E157" s="153">
        <f>1/(1+$C154)^E156</f>
        <v>0.89865629352464516</v>
      </c>
      <c r="F157" s="153">
        <f>1/(1+$C154)^F156</f>
        <v>0.83686621149667462</v>
      </c>
      <c r="G157" s="153">
        <f>1/(1+$C154)^G156</f>
        <v>0.77932471067214582</v>
      </c>
    </row>
    <row r="158" spans="2:9" x14ac:dyDescent="0.2">
      <c r="B158" s="3" t="s">
        <v>263</v>
      </c>
      <c r="C158" s="355">
        <f>G158*G157</f>
        <v>5.9379429334258091</v>
      </c>
      <c r="D158" s="356"/>
      <c r="E158" s="356"/>
      <c r="F158" s="357"/>
      <c r="G158" s="153">
        <f>G153*(1+C155)/(C154-C155)</f>
        <v>7.6193438397513393</v>
      </c>
    </row>
    <row r="159" spans="2:9" x14ac:dyDescent="0.2">
      <c r="B159" s="3" t="s">
        <v>264</v>
      </c>
      <c r="C159" s="153"/>
      <c r="D159" s="153">
        <f>D153*D157</f>
        <v>-9.8151883654093178E-2</v>
      </c>
      <c r="E159" s="153">
        <f t="shared" ref="E159:F159" si="40">E153*E157</f>
        <v>0.20328660448101504</v>
      </c>
      <c r="F159" s="153">
        <f t="shared" si="40"/>
        <v>0.20237729247265088</v>
      </c>
      <c r="G159" s="153">
        <f>(G153+G158)*G157</f>
        <v>6.2026959272988611</v>
      </c>
    </row>
    <row r="160" spans="2:9" x14ac:dyDescent="0.2">
      <c r="B160" s="3" t="s">
        <v>265</v>
      </c>
      <c r="C160" s="153">
        <f>SUM(D159:G159,C158)</f>
        <v>12.448150874024243</v>
      </c>
      <c r="D160" s="353"/>
      <c r="E160" s="353"/>
      <c r="F160" s="353"/>
      <c r="G160" s="353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12.132450874024244</v>
      </c>
      <c r="D162" s="354" t="str">
        <f>"Greater than "  &amp;Input!C85</f>
        <v>Greater than 1.32825</v>
      </c>
      <c r="E162" s="354"/>
      <c r="F162" s="354"/>
      <c r="G162" s="354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12.41</v>
      </c>
    </row>
    <row r="168" spans="2:7" ht="17" x14ac:dyDescent="0.15">
      <c r="B168" s="6" t="s">
        <v>270</v>
      </c>
      <c r="C168" s="56">
        <f>C166*C167/inM</f>
        <v>5.02490828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1.6215082800000005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11.26660465</v>
      </c>
    </row>
    <row r="173" spans="2:7" ht="17" x14ac:dyDescent="0.15">
      <c r="B173" s="102" t="s">
        <v>180</v>
      </c>
      <c r="C173" s="141">
        <f>SUM(C165,C166)*C167/inM</f>
        <v>16.29151293</v>
      </c>
    </row>
    <row r="175" spans="2:7" ht="34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Normal="140" workbookViewId="0">
      <selection activeCell="B10" sqref="B10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32.578349999999993</v>
      </c>
      <c r="E6" s="158" cm="1">
        <f t="array" ref="E6">_xlfn.IFS(OPT=0,Calcul!E5, OPT=1, Calcul!E5+Projects!E29, OPT=2, Calcul!E5+Projects!E68,OPT=3,Calcul!E5)</f>
        <v>36.813535499999986</v>
      </c>
      <c r="F6" s="158" cm="1">
        <f t="array" ref="F6">_xlfn.IFS(OPT=0,Calcul!F5, OPT=1, Calcul!F5+Projects!F29, OPT=2, Calcul!F5+Projects!F68,OPT=3,Calcul!F5)</f>
        <v>40.86302440499999</v>
      </c>
      <c r="G6" s="158" cm="1">
        <f t="array" ref="G6">_xlfn.IFS(OPT=0,Calcul!G5, OPT=1, Calcul!G5+Projects!G29, OPT=2, Calcul!G5+Projects!G68,OPT=3,Calcul!G5)</f>
        <v>44.540696601449994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-20.035685249999997</v>
      </c>
      <c r="E7" s="189" cm="1">
        <f t="array" ref="E7">_xlfn.IFS(OPT=0, Calcul!E9, OPT=1,Calcul!E9+Projects!E30, OPT=2,Calcul!E9+Projects!E69, OPT=3, Calcul!E9)</f>
        <v>-21.535918267499991</v>
      </c>
      <c r="F7" s="189" cm="1">
        <f t="array" ref="F7">_xlfn.IFS(OPT=0, Calcul!F9, OPT=1,Calcul!F9+Projects!F30, OPT=2,Calcul!F9+Projects!F69, OPT=3, Calcul!F9)</f>
        <v>-23.904869276924991</v>
      </c>
      <c r="G7" s="189" cm="1">
        <f t="array" ref="G7">_xlfn.IFS(OPT=0, Calcul!G9, OPT=1,Calcul!G9+Projects!G30, OPT=2,Calcul!G9+Projects!G69, OPT=3, Calcul!G9)</f>
        <v>-26.056307511848246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12.542664749999997</v>
      </c>
      <c r="E8" s="161">
        <f t="shared" ref="E8:G8" si="0">SUM(E6:E7)</f>
        <v>15.277617232499995</v>
      </c>
      <c r="F8" s="161">
        <f t="shared" si="0"/>
        <v>16.958155128074999</v>
      </c>
      <c r="G8" s="161">
        <f t="shared" si="0"/>
        <v>18.484389089601748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-0.32578349999999995</v>
      </c>
      <c r="E11" s="110" cm="1">
        <f t="array" ref="E11">_xlfn.IFS(OPT=0, Calcul!E11, OPT=1, Calcul!E11, OPT=2, Calcul!E11+Projects!E73, OPT=3, Calcul!E11)</f>
        <v>-0.5890165679999998</v>
      </c>
      <c r="F11" s="110" cm="1">
        <f t="array" ref="F11">_xlfn.IFS(OPT=0, Calcul!F11, OPT=1, Calcul!F11, OPT=2, Calcul!F11+Projects!F73, OPT=3, Calcul!F11)</f>
        <v>-0.65380839047999983</v>
      </c>
      <c r="G11" s="110" cm="1">
        <f t="array" ref="G11">_xlfn.IFS(OPT=0, Calcul!G11, OPT=1, Calcul!G11, OPT=2, Calcul!G11+Projects!G73, OPT=3, Calcul!G11)</f>
        <v>-0.71265114562319998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-9.806083349999998</v>
      </c>
      <c r="E12" s="189" cm="1">
        <f t="array" ref="E12">_xlfn.IFS(OPT=0,Calcul!E10,OPT=1,Calcul!E10+SUM(Projects!E34:E35),OPT=2,Calcul!E10+Projects!E74,OPT=3,Calcul!E10)</f>
        <v>-11.596263682499997</v>
      </c>
      <c r="F12" s="189" cm="1">
        <f t="array" ref="F12">_xlfn.IFS(OPT=0,Calcul!F10,OPT=1,Calcul!F10+SUM(Projects!F34:F35),OPT=2,Calcul!F10+Projects!F74,OPT=3,Calcul!F10)</f>
        <v>-12.871852687574997</v>
      </c>
      <c r="G12" s="189" cm="1">
        <f t="array" ref="G12">_xlfn.IFS(OPT=0,Calcul!G10,OPT=1,Calcul!G10+SUM(Projects!G34:G35),OPT=2,Calcul!G10+Projects!G74,OPT=3,Calcul!G10)</f>
        <v>-14.030319429456748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2.4107978999999986</v>
      </c>
      <c r="E13" s="161">
        <f t="shared" ref="E13:G13" si="1">SUM(E8:E12)</f>
        <v>3.0923369819999991</v>
      </c>
      <c r="F13" s="161">
        <f t="shared" si="1"/>
        <v>3.4324940500200043</v>
      </c>
      <c r="G13" s="161">
        <f t="shared" si="1"/>
        <v>3.7414185145217989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-1.1185250948694447</v>
      </c>
      <c r="E15" s="189" cm="1">
        <f t="array" ref="E15">_xlfn.IFS(OPT=0, Calcul!E36+Calcul!E41, OPT=1,Calcul!E36+Calcul!E41, OPT=2,Calcul!E36+Calcul!E41+Projects!E77+Input!E118,OPT=3, Calcul!E36+Calcul!E41)</f>
        <v>-1.2639333572024722</v>
      </c>
      <c r="F15" s="189" cm="1">
        <f t="array" ref="F15">_xlfn.IFS(OPT=0, Calcul!F36+Calcul!F41, OPT=1,Calcul!F36+Calcul!F41, OPT=2,Calcul!F36+Calcul!F41+Projects!F77+Input!F118,OPT=3, Calcul!F36+Calcul!F41)</f>
        <v>-1.4029660264947446</v>
      </c>
      <c r="G15" s="189" cm="1">
        <f t="array" ref="G15">_xlfn.IFS(OPT=0, Calcul!G36+Calcul!G41, OPT=1,Calcul!G36+Calcul!G41, OPT=2,Calcul!G36+Calcul!G41+Projects!G77+Input!G118,OPT=3, Calcul!G36+Calcul!G41)</f>
        <v>-1.5292329688792716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1.2922728051305539</v>
      </c>
      <c r="E16" s="161">
        <f t="shared" ref="E16:G16" si="2">SUM(E13:E15)</f>
        <v>1.8284036247975268</v>
      </c>
      <c r="F16" s="161">
        <f t="shared" si="2"/>
        <v>2.02952802352526</v>
      </c>
      <c r="G16" s="161">
        <f t="shared" si="2"/>
        <v>2.2121855456425275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-0.34891365738524954</v>
      </c>
      <c r="E18" s="189">
        <f xml:space="preserve"> -E16*Input!E19</f>
        <v>-0.49366897869533227</v>
      </c>
      <c r="F18" s="189">
        <f xml:space="preserve"> -F16*Input!F19</f>
        <v>-0.54797256635182023</v>
      </c>
      <c r="G18" s="189">
        <f xml:space="preserve"> -G16*Input!G19</f>
        <v>-0.59729009732348248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0.94335914774530427</v>
      </c>
      <c r="E19" s="161">
        <f t="shared" ref="E19:G19" si="3">SUM(E16:E18)</f>
        <v>1.3347346461021945</v>
      </c>
      <c r="F19" s="161">
        <f t="shared" si="3"/>
        <v>1.4815554571734397</v>
      </c>
      <c r="G19" s="161">
        <f t="shared" si="3"/>
        <v>1.614895448319045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0.94335914774530427</v>
      </c>
      <c r="E21" s="161">
        <f>E19*Input!E38</f>
        <v>1.3347346461021945</v>
      </c>
      <c r="F21" s="161">
        <f>F19*Input!F38</f>
        <v>1.4815554571734397</v>
      </c>
      <c r="G21" s="161">
        <f>G19*Input!G38</f>
        <v>1.614895448319045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Normal="140" workbookViewId="0">
      <selection activeCell="D10" sqref="D10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61" t="s">
        <v>273</v>
      </c>
      <c r="C3" s="361"/>
      <c r="D3" s="361"/>
      <c r="E3" s="361"/>
      <c r="F3" s="361"/>
      <c r="G3" s="361"/>
      <c r="H3" s="361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2.4107978999999986</v>
      </c>
      <c r="E6" s="117">
        <f>PL!E13</f>
        <v>3.0923369819999991</v>
      </c>
      <c r="F6" s="117">
        <f>PL!F13</f>
        <v>3.4324940500200043</v>
      </c>
      <c r="G6" s="117">
        <f>PL!G13</f>
        <v>3.7414185145217989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-0.65091543299999965</v>
      </c>
      <c r="E7" s="117">
        <f>-E6*Input!E19</f>
        <v>-0.83493098513999975</v>
      </c>
      <c r="F7" s="117">
        <f>-F6*Input!F19</f>
        <v>-0.92677339350540122</v>
      </c>
      <c r="G7" s="117">
        <f>-G6*Input!G19</f>
        <v>-1.0101829989208857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1.7598824669999988</v>
      </c>
      <c r="E8" s="117">
        <f t="shared" ref="E8:G8" si="1">SUM(E6:E7)</f>
        <v>2.2574059968599993</v>
      </c>
      <c r="F8" s="117">
        <f t="shared" si="1"/>
        <v>2.5057206565146029</v>
      </c>
      <c r="G8" s="117">
        <f t="shared" si="1"/>
        <v>2.7312355156009129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-1.4445841686643792</v>
      </c>
      <c r="E10" s="117" cm="1">
        <f t="array" ref="E10">_xlfn.IFS(OPT=0,Calcul!E24, OPT=1,Calcul!E24+Calcul!E65, OPT=2, Calcul!E24+Calcul!E98,OPT=3,Calcul!E24)</f>
        <v>-1.1219950269092465</v>
      </c>
      <c r="F10" s="117" cm="1">
        <f t="array" ref="F10">_xlfn.IFS(OPT=0,Calcul!F24, OPT=1,Calcul!F24+Calcul!F65, OPT=2, Calcul!F24+Calcul!F98,OPT=3,Calcul!F24)</f>
        <v>-1.2296162115130986</v>
      </c>
      <c r="G10" s="117" cm="1">
        <f t="array" ref="G10">_xlfn.IFS(OPT=0,Calcul!G24, OPT=1,Calcul!G24+Calcul!G65, OPT=2, Calcul!G24+Calcul!G98,OPT=3,Calcul!G24)</f>
        <v>-1.1167150866378073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-5.7440173044973952E-2</v>
      </c>
      <c r="E11" s="117" cm="1">
        <f t="array" ref="E11">_xlfn.IFS(OPT=0,Calcul!E16, OPT=1,Calcul!E16,OPT=2,Calcul!E16+Calcul!E89,OPT=3,Calcul!E16)</f>
        <v>-5.155672249584653E-2</v>
      </c>
      <c r="F11" s="117" cm="1">
        <f t="array" ref="F11">_xlfn.IFS(OPT=0,Calcul!F16, OPT=1,Calcul!F16,OPT=2,Calcul!F16+Calcul!F89,OPT=3,Calcul!F16)</f>
        <v>-4.9296158509490318E-2</v>
      </c>
      <c r="G11" s="117" cm="1">
        <f t="array" ref="G11">_xlfn.IFS(OPT=0,Calcul!G16, OPT=1,Calcul!G16,OPT=2,Calcul!G16+Calcul!G89,OPT=3,Calcul!G16)</f>
        <v>-4.4769874864527992E-2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7.0011238366878781E-2</v>
      </c>
      <c r="E12" s="133" cm="1">
        <f t="array" ref="E12">_xlfn.IFS(OPT=0,Calcul!E17,OPT=1,Calcul!E17, OPT=2,Calcul!E17+Calcul!E90,OPT=3,Calcul!E17)</f>
        <v>7.029896098769417E-2</v>
      </c>
      <c r="F12" s="133" cm="1">
        <f t="array" ref="F12">_xlfn.IFS(OPT=0,Calcul!F17,OPT=1,Calcul!F17, OPT=2,Calcul!F17+Calcul!F90,OPT=3,Calcul!F17)</f>
        <v>6.7216621929003129E-2</v>
      </c>
      <c r="G12" s="133" cm="1">
        <f t="array" ref="G12">_xlfn.IFS(OPT=0,Calcul!G17,OPT=1,Calcul!G17, OPT=2,Calcul!G17+Calcul!G90,OPT=3,Calcul!G17)</f>
        <v>6.1044913915521914E-2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0.32786936365752445</v>
      </c>
      <c r="E13" s="117">
        <f t="shared" ref="E13:G13" si="3">SUM(E8:E12)</f>
        <v>1.1541532084426005</v>
      </c>
      <c r="F13" s="117">
        <f t="shared" si="3"/>
        <v>1.2940249084210169</v>
      </c>
      <c r="G13" s="117">
        <f t="shared" si="3"/>
        <v>1.6307954680140995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-0.49563499999999827</v>
      </c>
      <c r="E15" s="133" cm="1">
        <f t="array" ref="E15">_xlfn.IFS(OPT=0,Calcul!E29, OPT=1,Calcul!E29+Calcul!E71, OPT=2,Calcul!E29+Calcul!E104,OPT=3,Calcul!E29)</f>
        <v>-1.2492070499999972</v>
      </c>
      <c r="F15" s="133" cm="1">
        <f t="array" ref="F15">_xlfn.IFS(OPT=0,Calcul!F29, OPT=1,Calcul!F29+Calcul!F71, OPT=2,Calcul!F29+Calcul!F104,OPT=3,Calcul!F29)</f>
        <v>-1.1944341255000026</v>
      </c>
      <c r="G15" s="133" cm="1">
        <f t="array" ref="G15">_xlfn.IFS(OPT=0,Calcul!G29, OPT=1,Calcul!G29+Calcul!G71, OPT=2,Calcul!G29+Calcul!G104,OPT=3,Calcul!G29)</f>
        <v>-1.0847633557950012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-0.49563499999999827</v>
      </c>
      <c r="E16" s="117">
        <f t="shared" ref="E16:G16" si="5">E15</f>
        <v>-1.2492070499999972</v>
      </c>
      <c r="F16" s="117">
        <f t="shared" si="5"/>
        <v>-1.1944341255000026</v>
      </c>
      <c r="G16" s="117">
        <f t="shared" si="5"/>
        <v>-1.0847633557950012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0.71758702054794377</v>
      </c>
      <c r="E20" s="117" cm="1">
        <f t="array" ref="E20">_xlfn.IFS(OPT&lt;&gt;2, Calcul!E35, OPT=2,Calcul!E35+Calcul!E110)</f>
        <v>0.70489731267123279</v>
      </c>
      <c r="F20" s="117" cm="1">
        <f t="array" ref="F20">_xlfn.IFS(OPT&lt;&gt;2, Calcul!F35, OPT=2,Calcul!F35+Calcul!F110)</f>
        <v>0.67399027665410927</v>
      </c>
      <c r="G20" s="117" cm="1">
        <f t="array" ref="G20">_xlfn.IFS(OPT&lt;&gt;2, Calcul!G35, OPT=2,Calcul!G35+Calcul!G110)</f>
        <v>0.61210571488859689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-1.1185250948694447</v>
      </c>
      <c r="E21" s="117">
        <f>PL!E15</f>
        <v>-1.2639333572024722</v>
      </c>
      <c r="F21" s="117">
        <f>PL!F15</f>
        <v>-1.4029660264947446</v>
      </c>
      <c r="G21" s="117">
        <f>PL!G15</f>
        <v>-1.5292329688792716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0.30200177561475011</v>
      </c>
      <c r="E22" s="117">
        <f>-E21*Input!E19</f>
        <v>0.34126200644466753</v>
      </c>
      <c r="F22" s="117">
        <f>-F21*Input!F19</f>
        <v>0.37880082715358104</v>
      </c>
      <c r="G22" s="117">
        <f>-G21*Input!G19</f>
        <v>0.41289290159740338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4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4.2762413440134113</v>
      </c>
      <c r="E25" s="117">
        <f t="shared" ref="E25:G25" si="6">SUM(E18:E24)</f>
        <v>0.91071405546704509</v>
      </c>
      <c r="F25" s="117">
        <f t="shared" si="6"/>
        <v>0.72883330830306559</v>
      </c>
      <c r="G25" s="117">
        <f t="shared" si="6"/>
        <v>0.47570130466047894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4.1084757076709373</v>
      </c>
      <c r="E27" s="117">
        <f t="shared" ref="E27:G27" si="7">SUM(E13,E16,E25)</f>
        <v>0.81566021390964838</v>
      </c>
      <c r="F27" s="117">
        <f t="shared" si="7"/>
        <v>0.82842409122407989</v>
      </c>
      <c r="G27" s="117">
        <f t="shared" si="7"/>
        <v>1.0217334168795773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1.4357000000000002</v>
      </c>
      <c r="E28" s="205" cm="1">
        <f t="array" ref="E28">_xlfn.IFS(OPT=2,BS!D8, OPT&lt;&gt;2,BS!D8)</f>
        <v>5.5442807076709339</v>
      </c>
      <c r="F28" s="205" cm="1">
        <f t="array" ref="F28">_xlfn.IFS(OPT=2,BS!E8, OPT&lt;&gt;2,BS!E8)</f>
        <v>6.3599409215805842</v>
      </c>
      <c r="G28" s="205" cm="1">
        <f t="array" ref="G28">_xlfn.IFS(OPT=2,BS!F8, OPT&lt;&gt;2,BS!F8)</f>
        <v>7.1883650128046632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5.5441757076709379</v>
      </c>
      <c r="E29" s="117">
        <f>SUM(E27:E28)</f>
        <v>6.3599409215805824</v>
      </c>
      <c r="F29" s="117">
        <f>SUM(F27:F28)</f>
        <v>7.1883650128046641</v>
      </c>
      <c r="G29" s="117">
        <f>SUM(G27:G28)</f>
        <v>8.2100984296842405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1.0499999999602494E-4</v>
      </c>
      <c r="E31" s="117">
        <f>BS!E8-CF!E29</f>
        <v>0</v>
      </c>
      <c r="F31" s="117">
        <f>BS!F8-CF!F29</f>
        <v>0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zoomScaleNormal="140" workbookViewId="0">
      <selection activeCell="D36" sqref="D36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5.5442807076709339</v>
      </c>
      <c r="E8" s="176" cm="1">
        <f t="array" ref="E8">_xlfn.IFS(OPT&lt;&gt;2,E40-SUM(E9:E11)-E18, OPT=2,E40-SUM(E9:E11)-E18)</f>
        <v>6.3599409215805842</v>
      </c>
      <c r="F8" s="176" cm="1">
        <f t="array" ref="F8">_xlfn.IFS(OPT&lt;&gt;2,F40-SUM(F9:F11)-F18, OPT=2,F40-SUM(F9:F11)-F18)</f>
        <v>7.1883650128046632</v>
      </c>
      <c r="G8" s="176" cm="1">
        <f t="array" ref="G8">_xlfn.IFS(OPT&lt;&gt;2,G40-SUM(G9:G11)-G18, OPT=2,G40-SUM(G9:G11)-G18)</f>
        <v>8.2100984296842441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6.6941815068493131</v>
      </c>
      <c r="E9" s="60" cm="1">
        <f t="array" ref="E9">_xlfn.IFS(OPT=0,Calcul!E21,OPT=1,Calcul!E21+Calcul!E62,OPT=2,Calcul!E21+Projects!E118,OPT=3,Calcul!E21)</f>
        <v>7.5644251027397233</v>
      </c>
      <c r="F9" s="60" cm="1">
        <f t="array" ref="F9">_xlfn.IFS(OPT=0,Calcul!F21,OPT=1,Calcul!F21+Calcul!F62,OPT=2,Calcul!F21+Projects!F118,OPT=3,Calcul!F21)</f>
        <v>8.3965118640410932</v>
      </c>
      <c r="G9" s="60" cm="1">
        <f t="array" ref="G9">_xlfn.IFS(OPT=0,Calcul!G21,OPT=1,Calcul!G21+Calcul!G62,OPT=2,Calcul!G21+Projects!G118,OPT=3,Calcul!G21)</f>
        <v>9.1521979318047926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5.0089213124999992</v>
      </c>
      <c r="E10" s="60" cm="1">
        <f t="array" ref="E10">_xlfn.IFS(OPT=0,Calcul!E23,OPT=1,Calcul!E23+Calcul!E63,OPT=2,Calcul!E23+Projects!E119,OPT=3,Calcul!E23)</f>
        <v>5.3839795668749977</v>
      </c>
      <c r="F10" s="60" cm="1">
        <f t="array" ref="F10">_xlfn.IFS(OPT=0,Calcul!F23,OPT=1,Calcul!F23+Calcul!F63,OPT=2,Calcul!F23+Projects!F119,OPT=3,Calcul!F23)</f>
        <v>5.9762173192312478</v>
      </c>
      <c r="G10" s="60" cm="1">
        <f t="array" ref="G10">_xlfn.IFS(OPT=0,Calcul!G23,OPT=1,Calcul!G23+Calcul!G63,OPT=2,Calcul!G23+Projects!G119,OPT=3,Calcul!G23)</f>
        <v>6.5140768779620615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0.3965901730449739</v>
      </c>
      <c r="E11" s="186" cm="1">
        <f t="array" ref="E11">_xlfn.IFS(OPT=0,Calcul!E14,OPT=1,Calcul!E14,OPT=2,Calcul!E14+Projects!E120,OPT=3,Calcul!E14)</f>
        <v>0.44814689554082043</v>
      </c>
      <c r="F11" s="186" cm="1">
        <f t="array" ref="F11">_xlfn.IFS(OPT=0,Calcul!F14,OPT=1,Calcul!F14,OPT=2,Calcul!F14+Projects!F120,OPT=3,Calcul!F14)</f>
        <v>0.49744305405031075</v>
      </c>
      <c r="G11" s="186" cm="1">
        <f t="array" ref="G11">_xlfn.IFS(OPT=0,Calcul!G14,OPT=1,Calcul!G14,OPT=2,Calcul!G14+Projects!G120,OPT=3,Calcul!G14)</f>
        <v>0.54221292891483874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17.643973700065221</v>
      </c>
      <c r="E12" s="60">
        <f t="shared" ref="E12:G12" si="0">SUM(E8:E11)</f>
        <v>19.756492486736125</v>
      </c>
      <c r="F12" s="60">
        <f t="shared" si="0"/>
        <v>22.058537250127316</v>
      </c>
      <c r="G12" s="60">
        <f t="shared" si="0"/>
        <v>24.418586168365938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0</v>
      </c>
      <c r="E15" s="60" cm="1">
        <f t="array" ref="E15">_xlfn.IFS(OPT=2,Projects!$C$170, OPT&lt;&gt;2,0)</f>
        <v>0</v>
      </c>
      <c r="F15" s="60" cm="1">
        <f t="array" ref="F15">_xlfn.IFS(OPT=2,Projects!$C$170, OPT&lt;&gt;2,0)</f>
        <v>0</v>
      </c>
      <c r="G15" s="60" cm="1">
        <f t="array" ref="G15">_xlfn.IFS(OPT=2,Projects!$C$170, OPT&lt;&gt;2,0)</f>
        <v>0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8.1445874999999983</v>
      </c>
      <c r="E16" s="60" cm="1">
        <f t="array" ref="E16">_xlfn.IFS(OPT=0,Calcul!E27,OPT=1,Calcul!E27+Calcul!E70,OPT=2,Calcul!E27+Projects!E124,OPT=3,Calcul!E27)</f>
        <v>9.2033838749999966</v>
      </c>
      <c r="F16" s="60" cm="1">
        <f t="array" ref="F16">_xlfn.IFS(OPT=0,Calcul!F27,OPT=1,Calcul!F27+Calcul!F70,OPT=2,Calcul!F27+Projects!F124,OPT=3,Calcul!F27)</f>
        <v>10.215756101249998</v>
      </c>
      <c r="G16" s="60" cm="1">
        <f t="array" ref="G16">_xlfn.IFS(OPT=0,Calcul!G27,OPT=1,Calcul!G27+Calcul!G70,OPT=2,Calcul!G27+Projects!G124,OPT=3,Calcul!G27)</f>
        <v>11.135174150362499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1.4646974999999998</v>
      </c>
      <c r="E17" s="186" cm="1">
        <f t="array" ref="E17">_xlfn.IFS(OPT=0,Calcul!E28,OPT=1,Calcul!E28,OPT=2,Calcul!E28+Projects!E125,OPT=3,Calcul!E28)</f>
        <v>1.6551081749999996</v>
      </c>
      <c r="F17" s="186" cm="1">
        <f t="array" ref="F17">_xlfn.IFS(OPT=0,Calcul!F28,OPT=1,Calcul!F28,OPT=2,Calcul!F28+Projects!F125,OPT=3,Calcul!F28)</f>
        <v>1.8371700742499997</v>
      </c>
      <c r="G17" s="186" cm="1">
        <f t="array" ref="G17">_xlfn.IFS(OPT=0,Calcul!G28,OPT=1,Calcul!G28,OPT=2,Calcul!G28+Projects!G125,OPT=3,Calcul!G28)</f>
        <v>2.0025153809325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9.6092849999999981</v>
      </c>
      <c r="E18" s="176">
        <f t="shared" ref="E18:G18" si="1">SUM(E15:E17)</f>
        <v>10.858492049999995</v>
      </c>
      <c r="F18" s="176">
        <f t="shared" si="1"/>
        <v>12.052926175499998</v>
      </c>
      <c r="G18" s="176">
        <f t="shared" si="1"/>
        <v>13.137689531294999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27.253258700065217</v>
      </c>
      <c r="E21" s="176">
        <f t="shared" ref="E21:G21" si="2">SUM(E12,E18)</f>
        <v>30.61498453673612</v>
      </c>
      <c r="F21" s="176">
        <f t="shared" si="2"/>
        <v>34.111463425627313</v>
      </c>
      <c r="G21" s="176">
        <f t="shared" si="2"/>
        <v>37.556275699660937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0.30604584751354846</v>
      </c>
      <c r="E23" s="210">
        <f t="shared" ref="E23:G23" si="3">(E21-D21)/D21</f>
        <v>0.1233513347401226</v>
      </c>
      <c r="F23" s="210">
        <f t="shared" si="3"/>
        <v>0.11420808933271324</v>
      </c>
      <c r="G23" s="210">
        <f t="shared" si="3"/>
        <v>0.10098693893753029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5.4222870205479436</v>
      </c>
      <c r="E27" s="60" cm="1">
        <f t="array" ref="E27">_xlfn.IFS(OPT=0,Calcul!E34, OPT=1,Calcul!E34, OPT=2,Calcul!E34+Projects!E135,OPT=3,Calcul!E34)</f>
        <v>6.1271843332191764</v>
      </c>
      <c r="F27" s="60" cm="1">
        <f t="array" ref="F27">_xlfn.IFS(OPT=0,Calcul!F34, OPT=1,Calcul!F34, OPT=2,Calcul!F34+Projects!F135,OPT=3,Calcul!F34)</f>
        <v>6.8011746098732857</v>
      </c>
      <c r="G27" s="60" cm="1">
        <f t="array" ref="G27">_xlfn.IFS(OPT=0,Calcul!G34, OPT=1,Calcul!G34, OPT=2,Calcul!G34+Projects!G135,OPT=3,Calcul!G34)</f>
        <v>7.4132803247618826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1.6467686506849313</v>
      </c>
      <c r="E28" s="60" cm="1">
        <f t="array" ref="E28">_xlfn.IFS(OPT=0, Calcul!E22, OPT=1, Calcul!E22+Calcul!E64, OPT=2, Calcul!E22+Projects!E136,OPT=3, Calcul!E22)</f>
        <v>1.7700754740410951</v>
      </c>
      <c r="F28" s="60" cm="1">
        <f t="array" ref="F28">_xlfn.IFS(OPT=0, Calcul!F22, OPT=1, Calcul!F22+Calcul!F64, OPT=2, Calcul!F22+Projects!F136,OPT=3, Calcul!F22)</f>
        <v>1.9647837761856155</v>
      </c>
      <c r="G28" s="60" cm="1">
        <f t="array" ref="G28">_xlfn.IFS(OPT=0, Calcul!G22, OPT=1, Calcul!G22+Calcul!G64, OPT=2, Calcul!G22+Projects!G136,OPT=3, Calcul!G22)</f>
        <v>2.1416143160423218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0.54076123836687873</v>
      </c>
      <c r="E30" s="212" cm="1">
        <f t="array" ref="E30">_xlfn.IFS(OPT=0, Calcul!E15, OPT=1, Calcul!E15, OPT=2,Calcul!E15+Projects!E138,OPT=3, Calcul!E15)</f>
        <v>0.6110601993545729</v>
      </c>
      <c r="F30" s="212" cm="1">
        <f t="array" ref="F30">_xlfn.IFS(OPT=0, Calcul!F15, OPT=1, Calcul!F15, OPT=2,Calcul!F15+Projects!F138,OPT=3, Calcul!F15)</f>
        <v>0.67827682128357603</v>
      </c>
      <c r="G30" s="212" cm="1">
        <f t="array" ref="G30">_xlfn.IFS(OPT=0, Calcul!G15, OPT=1, Calcul!G15, OPT=2,Calcul!G15+Projects!G138,OPT=3, Calcul!G15)</f>
        <v>0.73932173519909794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8.1549016350564081</v>
      </c>
      <c r="E31" s="176">
        <f t="shared" ref="E31:F31" si="4">SUM(E27:E30)</f>
        <v>9.1242657463808623</v>
      </c>
      <c r="F31" s="176">
        <f t="shared" si="4"/>
        <v>10.127934978482761</v>
      </c>
      <c r="G31" s="176">
        <f>SUM(G27:G30)</f>
        <v>11.039449126546209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16.290494552319913</v>
      </c>
      <c r="E34" s="176">
        <f t="shared" ref="E34:F34" si="5">SUM(E31:E33)</f>
        <v>18.317485742888621</v>
      </c>
      <c r="F34" s="176">
        <f t="shared" si="5"/>
        <v>20.332409174606376</v>
      </c>
      <c r="G34" s="176">
        <f>SUM(G31:G33)</f>
        <v>22.162326000320952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6.408455</v>
      </c>
      <c r="E36" s="203" cm="1">
        <f t="array" ref="E36">_xlfn.IFS(OPT=0,D36, OPT=1, D36,OPT=2, $C$36+Projects!$C$168,OPT=3,D36+Projects!D17)</f>
        <v>6.408455</v>
      </c>
      <c r="F36" s="203" cm="1">
        <f t="array" ref="F36">_xlfn.IFS(OPT=0,E36, OPT=1, E36,OPT=2, $C$36+Projects!$C$168,OPT=3,E36+Projects!E17)</f>
        <v>6.408455</v>
      </c>
      <c r="G36" s="203" cm="1">
        <f t="array" ref="G36">_xlfn.IFS(OPT=0,F36, OPT=1, F36,OPT=2, $C$36+Projects!$C$168,OPT=3,F36+Projects!F17)</f>
        <v>6.408455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4.5543091477453039</v>
      </c>
      <c r="E37" s="212" cm="1">
        <f t="array" ref="E37">_xlfn.IFS(OPT=0,D37+PL!E21, OPT=1,D37+PL!E21, OPT=2,D37+PL!E21,OPT=3,D37+PL!E21)</f>
        <v>5.8890437938474989</v>
      </c>
      <c r="F37" s="212" cm="1">
        <f t="array" ref="F37">_xlfn.IFS(OPT=0,E37+PL!F21, OPT=1,E37+PL!F21, OPT=2,E37+PL!F21,OPT=3,E37+PL!F21)</f>
        <v>7.3705992510209386</v>
      </c>
      <c r="G37" s="212" cm="1">
        <f t="array" ref="G37">_xlfn.IFS(OPT=0,F37+PL!G21, OPT=1,F37+PL!G21, OPT=2,F37+PL!G21,OPT=3,F37+PL!G21)</f>
        <v>8.9854946993399842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10.962764147745304</v>
      </c>
      <c r="E38" s="176">
        <f t="shared" ref="E38:F38" si="6">SUM(E36:E37)</f>
        <v>12.297498793847499</v>
      </c>
      <c r="F38" s="176">
        <f t="shared" si="6"/>
        <v>13.779054251020938</v>
      </c>
      <c r="G38" s="176">
        <f t="shared" ref="G38" si="7">SUM(G36:G37)</f>
        <v>15.393949699339984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27.253258700065217</v>
      </c>
      <c r="E40" s="176">
        <f t="shared" ref="E40:G40" si="8">SUM(E38+E34)</f>
        <v>30.61498453673612</v>
      </c>
      <c r="F40" s="176">
        <f t="shared" si="8"/>
        <v>34.111463425627313</v>
      </c>
      <c r="G40" s="176">
        <f t="shared" si="8"/>
        <v>37.556275699660937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tabSelected="1" zoomScaleNormal="120" workbookViewId="0">
      <pane ySplit="9" topLeftCell="A10" activePane="bottomLeft" state="frozen"/>
      <selection pane="bottomLeft" activeCell="F32" sqref="F32"/>
    </sheetView>
  </sheetViews>
  <sheetFormatPr baseColWidth="10" defaultColWidth="10.75" defaultRowHeight="13" outlineLevelRow="1" x14ac:dyDescent="0.15"/>
  <cols>
    <col min="1" max="1" width="10.75" style="308"/>
    <col min="2" max="2" width="61" style="308" customWidth="1"/>
    <col min="3" max="3" width="15.5" style="308" customWidth="1"/>
    <col min="4" max="5" width="14.25" style="308" customWidth="1"/>
    <col min="6" max="6" width="13.75" style="308" customWidth="1"/>
    <col min="7" max="7" width="26.5" style="308" customWidth="1"/>
    <col min="8" max="8" width="26.25" style="308" customWidth="1"/>
    <col min="9" max="9" width="14.75" style="308" customWidth="1"/>
    <col min="10" max="10" width="13.5" style="308" customWidth="1"/>
    <col min="11" max="11" width="12.75" style="308" customWidth="1"/>
    <col min="12" max="16384" width="10.75" style="308"/>
  </cols>
  <sheetData>
    <row r="1" spans="2:11" s="329" customFormat="1" x14ac:dyDescent="0.15"/>
    <row r="2" spans="2:11" s="329" customFormat="1" ht="16" x14ac:dyDescent="0.2">
      <c r="B2" s="330" t="str">
        <f>Input!B2</f>
        <v>Noname co, by elie diwambuena</v>
      </c>
    </row>
    <row r="3" spans="2:11" s="329" customFormat="1" x14ac:dyDescent="0.15"/>
    <row r="4" spans="2:11" s="329" customFormat="1" ht="16" x14ac:dyDescent="0.2">
      <c r="B4" s="330" t="s">
        <v>276</v>
      </c>
      <c r="C4" s="331">
        <v>3</v>
      </c>
      <c r="G4" s="332" t="s">
        <v>277</v>
      </c>
      <c r="H4" s="333" t="str">
        <f>C20</f>
        <v>FY11</v>
      </c>
      <c r="I4" s="334" t="str">
        <f>D20</f>
        <v>FY12</v>
      </c>
    </row>
    <row r="5" spans="2:11" s="329" customFormat="1" x14ac:dyDescent="0.15">
      <c r="B5" s="335" t="s">
        <v>278</v>
      </c>
      <c r="C5" s="336">
        <v>0</v>
      </c>
      <c r="D5" s="337"/>
      <c r="G5" s="338" t="s">
        <v>279</v>
      </c>
      <c r="H5" s="339">
        <f>C26</f>
        <v>0.62348205300234816</v>
      </c>
      <c r="I5" s="340">
        <f>D26</f>
        <v>0.51747810485629586</v>
      </c>
      <c r="J5" s="341" t="s">
        <v>280</v>
      </c>
      <c r="K5" s="362" t="s">
        <v>281</v>
      </c>
    </row>
    <row r="6" spans="2:11" s="329" customFormat="1" x14ac:dyDescent="0.15">
      <c r="B6" s="335" t="s">
        <v>282</v>
      </c>
      <c r="C6" s="336">
        <v>1</v>
      </c>
      <c r="G6" s="342" t="s">
        <v>38</v>
      </c>
      <c r="H6" s="343">
        <f>C27</f>
        <v>3.466639144566614</v>
      </c>
      <c r="I6" s="344">
        <f>D27</f>
        <v>2.485984221932783</v>
      </c>
      <c r="J6" s="345" t="s">
        <v>283</v>
      </c>
      <c r="K6" s="362"/>
    </row>
    <row r="7" spans="2:11" s="329" customFormat="1" x14ac:dyDescent="0.15">
      <c r="B7" s="335" t="s">
        <v>366</v>
      </c>
      <c r="C7" s="336">
        <v>2</v>
      </c>
    </row>
    <row r="8" spans="2:11" s="329" customFormat="1" x14ac:dyDescent="0.15">
      <c r="B8" s="335" t="s">
        <v>284</v>
      </c>
      <c r="C8" s="336">
        <v>3</v>
      </c>
    </row>
    <row r="9" spans="2:11" s="329" customFormat="1" x14ac:dyDescent="0.15">
      <c r="G9" s="346"/>
    </row>
    <row r="10" spans="2:11" x14ac:dyDescent="0.15">
      <c r="G10" s="309"/>
    </row>
    <row r="11" spans="2:11" x14ac:dyDescent="0.15">
      <c r="B11" s="310" t="s">
        <v>285</v>
      </c>
      <c r="C11" s="311" t="str">
        <f>Input!C7</f>
        <v>FY11</v>
      </c>
      <c r="D11" s="311" t="str">
        <f>Input!D7</f>
        <v>FY12</v>
      </c>
      <c r="E11" s="311" t="str">
        <f>Input!E7</f>
        <v>FY13</v>
      </c>
      <c r="F11" s="311" t="str">
        <f>Input!F7</f>
        <v>FY14</v>
      </c>
      <c r="G11" s="311" t="str">
        <f>Input!G7</f>
        <v>FY15</v>
      </c>
      <c r="H11" s="312"/>
      <c r="I11" s="313"/>
      <c r="J11" s="313"/>
    </row>
    <row r="12" spans="2:11" x14ac:dyDescent="0.15">
      <c r="B12" s="308" t="s">
        <v>286</v>
      </c>
      <c r="D12" s="314">
        <f>SUM(CF!D13,CF!D16)</f>
        <v>-0.16776563634247382</v>
      </c>
      <c r="E12" s="314">
        <f>SUM(CF!E13,CF!E16)</f>
        <v>-9.5053841557396712E-2</v>
      </c>
      <c r="F12" s="314">
        <f>SUM(CF!F13,CF!F16)</f>
        <v>9.9590782921014309E-2</v>
      </c>
      <c r="G12" s="314">
        <f>SUM(CF!G13,CF!G16)</f>
        <v>0.54603211221909831</v>
      </c>
    </row>
    <row r="13" spans="2:11" x14ac:dyDescent="0.15">
      <c r="B13" s="308" t="s">
        <v>166</v>
      </c>
      <c r="C13" s="309">
        <f>Calcul!D121</f>
        <v>7.9612329429853537E-2</v>
      </c>
      <c r="D13" s="314"/>
      <c r="E13" s="314"/>
      <c r="F13" s="314"/>
      <c r="G13" s="314"/>
    </row>
    <row r="14" spans="2:11" x14ac:dyDescent="0.15">
      <c r="B14" s="308" t="s">
        <v>287</v>
      </c>
      <c r="D14" s="314">
        <f>0.5</f>
        <v>0.5</v>
      </c>
      <c r="E14" s="314">
        <f>D14+1</f>
        <v>1.5</v>
      </c>
      <c r="F14" s="314">
        <f t="shared" ref="F14:G14" si="0">E14+1</f>
        <v>2.5</v>
      </c>
      <c r="G14" s="314">
        <f t="shared" si="0"/>
        <v>3.5</v>
      </c>
    </row>
    <row r="15" spans="2:11" x14ac:dyDescent="0.15">
      <c r="B15" s="308" t="s">
        <v>288</v>
      </c>
      <c r="D15" s="314">
        <f>1/(1+$C$13)^D14</f>
        <v>0.96242319709256507</v>
      </c>
      <c r="E15" s="314">
        <f t="shared" ref="E15:G15" si="1">1/(1+$C$13)^E14</f>
        <v>0.89145258057660726</v>
      </c>
      <c r="F15" s="314">
        <f t="shared" si="1"/>
        <v>0.82571545014439196</v>
      </c>
      <c r="G15" s="314">
        <f t="shared" si="1"/>
        <v>0.76482588021244124</v>
      </c>
      <c r="H15" s="315"/>
      <c r="I15" s="315"/>
      <c r="J15" s="315"/>
    </row>
    <row r="16" spans="2:11" x14ac:dyDescent="0.15">
      <c r="B16" s="308" t="s">
        <v>289</v>
      </c>
      <c r="D16" s="314">
        <f>D15*D12</f>
        <v>-0.16146154009099228</v>
      </c>
      <c r="E16" s="314">
        <f t="shared" ref="E16:G16" si="2">E15*E12</f>
        <v>-8.4735992350061254E-2</v>
      </c>
      <c r="F16" s="314">
        <f t="shared" si="2"/>
        <v>8.2233648149857758E-2</v>
      </c>
      <c r="G16" s="314">
        <f t="shared" si="2"/>
        <v>0.41761949085223038</v>
      </c>
      <c r="H16" s="316"/>
      <c r="I16" s="316"/>
      <c r="J16" s="316"/>
    </row>
    <row r="17" spans="2:9" x14ac:dyDescent="0.15">
      <c r="B17" s="317" t="s">
        <v>201</v>
      </c>
      <c r="C17" s="318">
        <f>SUM(D16:G16)</f>
        <v>0.25365560656103459</v>
      </c>
    </row>
    <row r="20" spans="2:9" x14ac:dyDescent="0.15">
      <c r="B20" s="310" t="s">
        <v>290</v>
      </c>
      <c r="C20" s="311" t="str">
        <f>C11</f>
        <v>FY11</v>
      </c>
      <c r="D20" s="311" t="str">
        <f t="shared" ref="D20:G20" si="3">D11</f>
        <v>FY12</v>
      </c>
      <c r="E20" s="311" t="str">
        <f t="shared" si="3"/>
        <v>FY13</v>
      </c>
      <c r="F20" s="311" t="str">
        <f t="shared" si="3"/>
        <v>FY14</v>
      </c>
      <c r="G20" s="311" t="str">
        <f t="shared" si="3"/>
        <v>FY15</v>
      </c>
      <c r="H20" s="313"/>
      <c r="I20" s="313"/>
    </row>
    <row r="21" spans="2:9" outlineLevel="1" x14ac:dyDescent="0.15">
      <c r="B21" s="308" t="s">
        <v>291</v>
      </c>
      <c r="C21" s="319">
        <f>BS!C38/BS!C21</f>
        <v>0.28846528010734651</v>
      </c>
      <c r="D21" s="319">
        <f>BS!D38/BS!D21</f>
        <v>0.40225516766253977</v>
      </c>
      <c r="E21" s="319">
        <f>BS!E38/BS!E21</f>
        <v>0.4016823454243868</v>
      </c>
      <c r="F21" s="319">
        <f>BS!F38/BS!F21</f>
        <v>0.40394204373738446</v>
      </c>
      <c r="G21" s="319">
        <f>BS!G38/BS!G21</f>
        <v>0.40989020909437418</v>
      </c>
      <c r="H21" s="319"/>
      <c r="I21" s="319"/>
    </row>
    <row r="22" spans="2:9" outlineLevel="1" x14ac:dyDescent="0.15">
      <c r="B22" s="308" t="s">
        <v>292</v>
      </c>
      <c r="C22" s="320">
        <f>BS!C38/BS!C34</f>
        <v>0.40540992881052285</v>
      </c>
      <c r="D22" s="320">
        <f>BS!D38/BS!D34</f>
        <v>0.67295465539958743</v>
      </c>
      <c r="E22" s="320">
        <f>BS!E38/BS!E34</f>
        <v>0.67135298842100888</v>
      </c>
      <c r="F22" s="320">
        <f>BS!F38/BS!F34</f>
        <v>0.6776892070532361</v>
      </c>
      <c r="G22" s="320">
        <f>BS!G38/BS!G34</f>
        <v>0.69459991244227026</v>
      </c>
      <c r="H22" s="321"/>
      <c r="I22" s="321"/>
    </row>
    <row r="23" spans="2:9" outlineLevel="1" x14ac:dyDescent="0.15">
      <c r="B23" s="308" t="s">
        <v>293</v>
      </c>
      <c r="C23" s="320">
        <f>PL!C13/BS!C33</f>
        <v>0</v>
      </c>
      <c r="D23" s="320">
        <f>PL!D13/BS!D33</f>
        <v>0.29632725291408707</v>
      </c>
      <c r="E23" s="320">
        <f>PL!E13/BS!E33</f>
        <v>0.33637147628085584</v>
      </c>
      <c r="F23" s="320">
        <f>PL!F13/BS!F33</f>
        <v>0.33637147628085623</v>
      </c>
      <c r="G23" s="320">
        <f>PL!G13/BS!G33</f>
        <v>0.33637147628085573</v>
      </c>
      <c r="H23" s="322"/>
      <c r="I23" s="322"/>
    </row>
    <row r="24" spans="2:9" outlineLevel="1" x14ac:dyDescent="0.15">
      <c r="B24" s="308" t="s">
        <v>294</v>
      </c>
      <c r="C24" s="320">
        <f>PL!C13/SUM(BS!C29,BS!C27)</f>
        <v>0</v>
      </c>
      <c r="D24" s="320">
        <f>PL!D13/SUM(BS!D29,BS!D27)</f>
        <v>0.40399660061636467</v>
      </c>
      <c r="E24" s="320">
        <f>PL!E13/SUM(BS!E29,BS!E27)</f>
        <v>0.45859073583479248</v>
      </c>
      <c r="F24" s="320">
        <f>PL!F13/SUM(BS!F29,BS!F27)</f>
        <v>0.45859073583479321</v>
      </c>
      <c r="G24" s="320">
        <f>PL!G13/SUM(BS!G29,BS!G27)</f>
        <v>0.45859073583479237</v>
      </c>
      <c r="H24" s="321"/>
      <c r="I24" s="321"/>
    </row>
    <row r="25" spans="2:9" outlineLevel="1" x14ac:dyDescent="0.15">
      <c r="B25" s="308" t="s">
        <v>295</v>
      </c>
      <c r="C25" s="320">
        <f>BS!C18/BS!C21</f>
        <v>0.43674941294867492</v>
      </c>
      <c r="D25" s="320">
        <f>BS!D18/BS!D21</f>
        <v>0.3525921470806353</v>
      </c>
      <c r="E25" s="320">
        <f>BS!E18/BS!E21</f>
        <v>0.35467899835031647</v>
      </c>
      <c r="F25" s="320">
        <f>BS!F18/BS!F21</f>
        <v>0.35333946319186227</v>
      </c>
      <c r="G25" s="320">
        <f>BS!G18/BS!G21</f>
        <v>0.34981342762412432</v>
      </c>
      <c r="I25" s="321"/>
    </row>
    <row r="26" spans="2:9" outlineLevel="1" x14ac:dyDescent="0.15">
      <c r="B26" s="317" t="s">
        <v>279</v>
      </c>
      <c r="C26" s="323">
        <f>SUM(BS!C27,BS!C29,BS!C33)/BS!C21</f>
        <v>0.62348205300234816</v>
      </c>
      <c r="D26" s="323">
        <f>SUM(BS!D27,BS!D29,BS!D33)/BS!D21</f>
        <v>0.51747810485629586</v>
      </c>
      <c r="E26" s="323">
        <f>SUM(BS!E27,BS!E29,BS!E33)/BS!E21</f>
        <v>0.5205408498694587</v>
      </c>
      <c r="F26" s="323">
        <f>SUM(BS!F27,BS!F29,BS!F33)/BS!F21</f>
        <v>0.51857489537805945</v>
      </c>
      <c r="G26" s="323">
        <f>SUM(BS!G27,BS!G29,BS!G33)/BS!G21</f>
        <v>0.51339994687635138</v>
      </c>
    </row>
    <row r="27" spans="2:9" outlineLevel="1" x14ac:dyDescent="0.15">
      <c r="B27" s="317" t="s">
        <v>38</v>
      </c>
      <c r="C27" s="324">
        <f>BS!C40/BS!C38</f>
        <v>3.466639144566614</v>
      </c>
      <c r="D27" s="324">
        <f>BS!D40/BS!D38</f>
        <v>2.485984221932783</v>
      </c>
      <c r="E27" s="324">
        <f>BS!E40/BS!E38</f>
        <v>2.4895293791004844</v>
      </c>
      <c r="F27" s="324">
        <f>BS!F40/BS!F38</f>
        <v>2.4756026650450176</v>
      </c>
      <c r="G27" s="324">
        <f>BS!G40/BS!G38</f>
        <v>2.4396776937156788</v>
      </c>
    </row>
    <row r="28" spans="2:9" outlineLevel="1" x14ac:dyDescent="0.15"/>
    <row r="29" spans="2:9" outlineLevel="1" x14ac:dyDescent="0.15"/>
    <row r="30" spans="2:9" outlineLevel="1" x14ac:dyDescent="0.15"/>
    <row r="31" spans="2:9" outlineLevel="1" x14ac:dyDescent="0.15"/>
    <row r="35" spans="2:9" x14ac:dyDescent="0.15">
      <c r="B35" s="310" t="s">
        <v>296</v>
      </c>
      <c r="C35" s="311" t="str">
        <f>C20</f>
        <v>FY11</v>
      </c>
      <c r="D35" s="311" t="str">
        <f>D20</f>
        <v>FY12</v>
      </c>
      <c r="E35" s="311" t="str">
        <f>E20</f>
        <v>FY13</v>
      </c>
      <c r="F35" s="311" t="str">
        <f>F20</f>
        <v>FY14</v>
      </c>
      <c r="G35" s="311" t="str">
        <f>G20</f>
        <v>FY15</v>
      </c>
      <c r="H35" s="325"/>
      <c r="I35" s="312"/>
    </row>
    <row r="36" spans="2:9" outlineLevel="1" x14ac:dyDescent="0.15">
      <c r="B36" s="308" t="s">
        <v>297</v>
      </c>
      <c r="C36" s="314">
        <f>SUM('Noname co'!G64,'Noname co'!G69)-'Noname co'!G50</f>
        <v>4.6922049999999995</v>
      </c>
      <c r="D36" s="314">
        <f>SUM(BS!D38,BS!D33)-BS!D18</f>
        <v>9.4890720650088145</v>
      </c>
      <c r="E36" s="314">
        <f>SUM(BS!E38,BS!E33)-BS!E18</f>
        <v>10.632226740355264</v>
      </c>
      <c r="F36" s="314">
        <f>SUM(BS!F38,BS!F33)-BS!F18</f>
        <v>11.930602271644556</v>
      </c>
      <c r="G36" s="314">
        <f>SUM(BS!G38,BS!G33)-BS!G18</f>
        <v>13.379137041819728</v>
      </c>
    </row>
    <row r="37" spans="2:9" outlineLevel="1" x14ac:dyDescent="0.15">
      <c r="B37" s="308" t="s">
        <v>298</v>
      </c>
      <c r="C37" s="314">
        <f>'Noname co'!G46-'Noname co'!G62</f>
        <v>4.6921000000000017</v>
      </c>
      <c r="D37" s="314">
        <f>BS!D12-BS!D31</f>
        <v>9.4890720650088127</v>
      </c>
      <c r="E37" s="314">
        <f>BS!E12-BS!E31</f>
        <v>10.632226740355263</v>
      </c>
      <c r="F37" s="314">
        <f>BS!F12-BS!F31</f>
        <v>11.930602271644554</v>
      </c>
      <c r="G37" s="314">
        <f>BS!G12-BS!G31</f>
        <v>13.379137041819728</v>
      </c>
    </row>
    <row r="38" spans="2:9" outlineLevel="1" x14ac:dyDescent="0.15">
      <c r="B38" s="308" t="s">
        <v>299</v>
      </c>
      <c r="C38" s="320">
        <f>('Noname co'!G43+'Noname co'!G44-'Noname co'!G59)/('Noname co'!G58+'Noname co'!G60)</f>
        <v>1.6485762144053604</v>
      </c>
      <c r="D38" s="326">
        <f>SUM(BS!D9,BS!D10,-BS!D28)/SUM(BS!D27,BS!D29)</f>
        <v>1.6852199924359514</v>
      </c>
      <c r="E38" s="326">
        <f>SUM(BS!E9,BS!E10,-BS!E28)/SUM(BS!E27,BS!E29)</f>
        <v>1.6577359586102363</v>
      </c>
      <c r="F38" s="326">
        <f>SUM(BS!F9,BS!F10,-BS!F28)/SUM(BS!F27,BS!F29)</f>
        <v>1.6577359586102363</v>
      </c>
      <c r="G38" s="326">
        <f>SUM(BS!G9,BS!G10,-BS!G28)/SUM(BS!G27,BS!G29)</f>
        <v>1.657735958610236</v>
      </c>
      <c r="H38" s="320"/>
      <c r="I38" s="320"/>
    </row>
    <row r="39" spans="2:9" outlineLevel="1" x14ac:dyDescent="0.15">
      <c r="B39" s="308" t="s">
        <v>300</v>
      </c>
      <c r="C39" s="316">
        <f>'Noname co'!G46/('Noname co'!G58+'Noname co'!G60)</f>
        <v>2.24998324958124</v>
      </c>
      <c r="D39" s="314">
        <f>BS!D12/SUM(BS!D27,BS!D29)</f>
        <v>2.9567411669766659</v>
      </c>
      <c r="E39" s="314">
        <f>BS!E12/SUM(BS!E27,BS!E29)</f>
        <v>2.9298697004060443</v>
      </c>
      <c r="F39" s="314">
        <f>BS!F12/SUM(BS!F27,BS!F29)</f>
        <v>2.9470818249243949</v>
      </c>
      <c r="G39" s="314">
        <f>BS!G12/SUM(BS!G27,BS!G29)</f>
        <v>2.9930191865818259</v>
      </c>
      <c r="H39" s="316"/>
      <c r="I39" s="316"/>
    </row>
    <row r="40" spans="2:9" outlineLevel="1" x14ac:dyDescent="0.15"/>
    <row r="41" spans="2:9" outlineLevel="1" x14ac:dyDescent="0.15"/>
    <row r="42" spans="2:9" outlineLevel="1" x14ac:dyDescent="0.15"/>
    <row r="43" spans="2:9" outlineLevel="1" x14ac:dyDescent="0.15"/>
    <row r="44" spans="2:9" outlineLevel="1" x14ac:dyDescent="0.15"/>
    <row r="45" spans="2:9" outlineLevel="1" x14ac:dyDescent="0.15"/>
    <row r="46" spans="2:9" outlineLevel="1" x14ac:dyDescent="0.15"/>
    <row r="50" spans="2:9" x14ac:dyDescent="0.15">
      <c r="B50" s="310" t="s">
        <v>301</v>
      </c>
      <c r="C50" s="311" t="str">
        <f>C35</f>
        <v>FY11</v>
      </c>
      <c r="D50" s="311" t="str">
        <f t="shared" ref="D50:F50" si="4">D35</f>
        <v>FY12</v>
      </c>
      <c r="E50" s="311" t="str">
        <f t="shared" si="4"/>
        <v>FY13</v>
      </c>
      <c r="F50" s="311" t="str">
        <f t="shared" si="4"/>
        <v>FY14</v>
      </c>
      <c r="G50" s="311" t="str">
        <f>G35</f>
        <v>FY15</v>
      </c>
      <c r="H50" s="313"/>
      <c r="I50" s="313"/>
    </row>
    <row r="51" spans="2:9" outlineLevel="1" x14ac:dyDescent="0.15">
      <c r="B51" s="308" t="s">
        <v>302</v>
      </c>
      <c r="C51" s="326">
        <f>'Noname co'!G20/'Noname co'!G8</f>
        <v>2.933036817395587E-2</v>
      </c>
      <c r="D51" s="320">
        <f>PL!D19/PL!D6</f>
        <v>2.8956627568471224E-2</v>
      </c>
      <c r="E51" s="320">
        <f>PL!E19/PL!E6</f>
        <v>3.6256627568471249E-2</v>
      </c>
      <c r="F51" s="320">
        <f>PL!F19/PL!F6</f>
        <v>3.6256627568471339E-2</v>
      </c>
      <c r="G51" s="320">
        <f>PL!G19/PL!G6</f>
        <v>3.6256627568471235E-2</v>
      </c>
      <c r="H51" s="321"/>
      <c r="I51" s="321"/>
    </row>
    <row r="52" spans="2:9" outlineLevel="1" x14ac:dyDescent="0.15">
      <c r="B52" s="308" t="s">
        <v>303</v>
      </c>
      <c r="C52" s="326">
        <f>'Noname co'!G20/'Noname co'!G51</f>
        <v>3.9818852733981683E-2</v>
      </c>
      <c r="D52" s="320">
        <f>PL!D19/BS!D21</f>
        <v>3.4614544929375615E-2</v>
      </c>
      <c r="E52" s="320">
        <f>PL!E19/BS!E21</f>
        <v>4.3597430026482427E-2</v>
      </c>
      <c r="F52" s="320">
        <f>PL!F19/BS!F21</f>
        <v>4.3432773278802649E-2</v>
      </c>
      <c r="G52" s="320">
        <f>PL!G19/BS!G21</f>
        <v>4.2999350128149809E-2</v>
      </c>
      <c r="H52" s="321"/>
      <c r="I52" s="321"/>
    </row>
    <row r="53" spans="2:9" outlineLevel="1" x14ac:dyDescent="0.15">
      <c r="B53" s="308" t="s">
        <v>304</v>
      </c>
      <c r="C53" s="327">
        <f>'Noname co'!G20/'Noname co'!G69</f>
        <v>0.13803689899583027</v>
      </c>
      <c r="D53" s="327">
        <f>PL!D21/BS!D38</f>
        <v>8.6051212543811192E-2</v>
      </c>
      <c r="E53" s="327">
        <f>PL!E21/BS!E38</f>
        <v>0.10853708290420561</v>
      </c>
      <c r="F53" s="327">
        <f>PL!F21/BS!F38</f>
        <v>0.10752228927929985</v>
      </c>
      <c r="G53" s="327">
        <f>PL!G21/BS!G38</f>
        <v>0.10490455535191749</v>
      </c>
    </row>
    <row r="54" spans="2:9" outlineLevel="1" x14ac:dyDescent="0.15">
      <c r="C54" s="320"/>
      <c r="D54" s="320"/>
      <c r="E54" s="320"/>
      <c r="F54" s="320"/>
      <c r="G54" s="320"/>
      <c r="H54" s="320"/>
      <c r="I54" s="320"/>
    </row>
    <row r="55" spans="2:9" outlineLevel="1" x14ac:dyDescent="0.15"/>
    <row r="56" spans="2:9" outlineLevel="1" x14ac:dyDescent="0.15"/>
    <row r="57" spans="2:9" outlineLevel="1" x14ac:dyDescent="0.15"/>
    <row r="58" spans="2:9" outlineLevel="1" x14ac:dyDescent="0.15"/>
    <row r="59" spans="2:9" outlineLevel="1" x14ac:dyDescent="0.15"/>
    <row r="60" spans="2:9" outlineLevel="1" x14ac:dyDescent="0.15"/>
    <row r="61" spans="2:9" outlineLevel="1" x14ac:dyDescent="0.15"/>
    <row r="62" spans="2:9" x14ac:dyDescent="0.15">
      <c r="C62" s="328"/>
      <c r="D62" s="328"/>
      <c r="E62" s="328"/>
    </row>
  </sheetData>
  <sheetProtection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topLeftCell="A2" zoomScale="156" zoomScaleNormal="150" workbookViewId="0">
      <selection activeCell="G27" sqref="G27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12.41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13.559519376579683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11.26660465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topLeftCell="A19"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12.41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13.559519376579683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11.26660465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Diwambuena, Elie</cp:lastModifiedBy>
  <cp:revision/>
  <dcterms:created xsi:type="dcterms:W3CDTF">2011-06-03T18:31:07Z</dcterms:created>
  <dcterms:modified xsi:type="dcterms:W3CDTF">2024-06-18T13:47:50Z</dcterms:modified>
  <cp:category/>
  <cp:contentStatus/>
</cp:coreProperties>
</file>