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D9B5BEBF-01A2-924C-903A-DF2B0DE6DD91}" xr6:coauthVersionLast="47" xr6:coauthVersionMax="47" xr10:uidLastSave="{00000000-0000-0000-0000-000000000000}"/>
  <bookViews>
    <workbookView xWindow="0" yWindow="0" windowWidth="28800" windowHeight="18000" activeTab="4" xr2:uid="{D714E13E-F220-A449-A120-4F700FCC0D01}"/>
  </bookViews>
  <sheets>
    <sheet name="Assumptions" sheetId="7" r:id="rId1"/>
    <sheet name="Realisation" sheetId="12" r:id="rId2"/>
    <sheet name="Proj. Sales &amp; Prod" sheetId="8" r:id="rId3"/>
    <sheet name="Proj. RM &amp; DL &amp; FG" sheetId="9" r:id="rId4"/>
    <sheet name="Proj. SGA &amp; PL &amp; BS" sheetId="10" r:id="rId5"/>
    <sheet name="Proj. Dash" sheetId="11" r:id="rId6"/>
    <sheet name="Act. Sales &amp; Prod " sheetId="14" r:id="rId7"/>
    <sheet name="Act. RM &amp; DL &amp; FG" sheetId="15" r:id="rId8"/>
    <sheet name="Act. SGA &amp; PL &amp; BS " sheetId="16" r:id="rId9"/>
    <sheet name="Variance analysis" sheetId="13" r:id="rId10"/>
  </sheets>
  <definedNames>
    <definedName name="actual" localSheetId="6">'Act. Sales &amp; Prod '!$G$2</definedName>
    <definedName name="actual">'Proj. Sales &amp; Prod'!$G$2</definedName>
    <definedName name="name">Assumptions!$B$1</definedName>
    <definedName name="unit">Assumptions!$C$5:$C$5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9" l="1"/>
  <c r="C79" i="9"/>
  <c r="F53" i="7"/>
  <c r="H53" i="7"/>
  <c r="D62" i="9"/>
  <c r="D54" i="7"/>
  <c r="E54" i="7"/>
  <c r="F54" i="7"/>
  <c r="G54" i="7"/>
  <c r="H54" i="7"/>
  <c r="C54" i="7"/>
  <c r="D53" i="7"/>
  <c r="E53" i="7"/>
  <c r="G53" i="7"/>
  <c r="C53" i="7"/>
  <c r="C61" i="9"/>
  <c r="D73" i="9"/>
  <c r="E73" i="9"/>
  <c r="F73" i="9"/>
  <c r="G73" i="9"/>
  <c r="H73" i="9"/>
  <c r="C73" i="9"/>
  <c r="D63" i="9"/>
  <c r="E63" i="9"/>
  <c r="F63" i="9"/>
  <c r="G63" i="9"/>
  <c r="H63" i="9"/>
  <c r="C63" i="9"/>
  <c r="D54" i="9"/>
  <c r="E54" i="9"/>
  <c r="F54" i="9"/>
  <c r="G54" i="9"/>
  <c r="H54" i="9"/>
  <c r="C54" i="9"/>
  <c r="D36" i="10"/>
  <c r="E36" i="10"/>
  <c r="F36" i="10"/>
  <c r="G36" i="10"/>
  <c r="H36" i="10"/>
  <c r="C36" i="10"/>
  <c r="D47" i="9" a="1"/>
  <c r="D47" i="9"/>
  <c r="E47" i="9" a="1"/>
  <c r="E47" i="9" s="1"/>
  <c r="F47" i="9" a="1"/>
  <c r="F47" i="9"/>
  <c r="G47" i="9" a="1"/>
  <c r="G47" i="9" s="1"/>
  <c r="H47" i="9" a="1"/>
  <c r="H47" i="9" s="1"/>
  <c r="C47" i="9" a="1"/>
  <c r="C47" i="9" s="1"/>
  <c r="D48" i="7" a="1"/>
  <c r="D48" i="7"/>
  <c r="E48" i="7" a="1"/>
  <c r="E48" i="7" s="1"/>
  <c r="F48" i="7" a="1"/>
  <c r="F48" i="7"/>
  <c r="G48" i="7" a="1"/>
  <c r="G48" i="7" s="1"/>
  <c r="H48" i="7" a="1"/>
  <c r="H48" i="7"/>
  <c r="C48" i="7" a="1"/>
  <c r="C48" i="7" s="1"/>
  <c r="D47" i="7" a="1"/>
  <c r="D47" i="7" s="1"/>
  <c r="E47" i="7" a="1"/>
  <c r="E47" i="7"/>
  <c r="F47" i="7" a="1"/>
  <c r="F47" i="7" s="1"/>
  <c r="G47" i="7" a="1"/>
  <c r="G47" i="7"/>
  <c r="H47" i="7" a="1"/>
  <c r="H47" i="7" s="1"/>
  <c r="C47" i="7" a="1"/>
  <c r="C47" i="7" s="1"/>
  <c r="J44" i="9"/>
  <c r="D42" i="9"/>
  <c r="E42" i="9"/>
  <c r="F42" i="9"/>
  <c r="G42" i="9"/>
  <c r="H42" i="9"/>
  <c r="C42" i="9"/>
  <c r="C7" i="9"/>
  <c r="C35" i="8"/>
  <c r="D8" i="13" l="1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H10" i="13"/>
  <c r="D12" i="13"/>
  <c r="E12" i="13"/>
  <c r="F12" i="13"/>
  <c r="G12" i="13"/>
  <c r="H12" i="13"/>
  <c r="D13" i="13"/>
  <c r="E13" i="13"/>
  <c r="F13" i="13"/>
  <c r="G13" i="13"/>
  <c r="H13" i="13"/>
  <c r="D23" i="13"/>
  <c r="E23" i="13"/>
  <c r="F23" i="13"/>
  <c r="G23" i="13"/>
  <c r="H23" i="13"/>
  <c r="D25" i="13"/>
  <c r="E25" i="13"/>
  <c r="F25" i="13"/>
  <c r="G25" i="13"/>
  <c r="H25" i="13"/>
  <c r="C23" i="13"/>
  <c r="C25" i="13"/>
  <c r="C9" i="13"/>
  <c r="C10" i="13"/>
  <c r="C12" i="13"/>
  <c r="C13" i="13"/>
  <c r="C8" i="13"/>
  <c r="C84" i="16"/>
  <c r="B3" i="13"/>
  <c r="D12" i="16"/>
  <c r="E12" i="16"/>
  <c r="E63" i="16" s="1"/>
  <c r="F12" i="16"/>
  <c r="F63" i="16" s="1"/>
  <c r="G12" i="16"/>
  <c r="H12" i="16"/>
  <c r="H63" i="16" s="1"/>
  <c r="C12" i="16"/>
  <c r="D11" i="16"/>
  <c r="E11" i="16"/>
  <c r="E62" i="16" s="1"/>
  <c r="F11" i="16"/>
  <c r="G11" i="16"/>
  <c r="G62" i="16" s="1"/>
  <c r="H11" i="16"/>
  <c r="C11" i="16"/>
  <c r="C62" i="16" s="1"/>
  <c r="D24" i="15"/>
  <c r="E24" i="15"/>
  <c r="F24" i="15"/>
  <c r="G24" i="15"/>
  <c r="H24" i="15"/>
  <c r="C24" i="15"/>
  <c r="D13" i="15"/>
  <c r="E13" i="15"/>
  <c r="F13" i="15"/>
  <c r="G13" i="15"/>
  <c r="H13" i="15"/>
  <c r="C13" i="15"/>
  <c r="C36" i="8"/>
  <c r="H101" i="16"/>
  <c r="G101" i="16"/>
  <c r="F101" i="16"/>
  <c r="E101" i="16"/>
  <c r="D101" i="16"/>
  <c r="C101" i="16"/>
  <c r="F91" i="16"/>
  <c r="E91" i="16"/>
  <c r="H90" i="16"/>
  <c r="H91" i="16" s="1"/>
  <c r="G90" i="16"/>
  <c r="G91" i="16" s="1"/>
  <c r="F90" i="16"/>
  <c r="E90" i="16"/>
  <c r="D90" i="16"/>
  <c r="D91" i="16" s="1"/>
  <c r="C90" i="16"/>
  <c r="C91" i="16" s="1"/>
  <c r="H26" i="16"/>
  <c r="H57" i="16" s="1"/>
  <c r="H81" i="16" s="1"/>
  <c r="G26" i="16"/>
  <c r="G57" i="16" s="1"/>
  <c r="G81" i="16" s="1"/>
  <c r="D26" i="16"/>
  <c r="D57" i="16" s="1"/>
  <c r="D81" i="16" s="1"/>
  <c r="C26" i="16"/>
  <c r="C57" i="16" s="1"/>
  <c r="C81" i="16" s="1"/>
  <c r="H13" i="16"/>
  <c r="G13" i="16"/>
  <c r="F13" i="16"/>
  <c r="E13" i="16"/>
  <c r="D13" i="16"/>
  <c r="C13" i="16"/>
  <c r="G63" i="16"/>
  <c r="D63" i="16"/>
  <c r="C63" i="16"/>
  <c r="H62" i="16"/>
  <c r="F62" i="16"/>
  <c r="D62" i="16"/>
  <c r="H4" i="16"/>
  <c r="G4" i="16"/>
  <c r="F4" i="16"/>
  <c r="F26" i="16" s="1"/>
  <c r="F57" i="16" s="1"/>
  <c r="F81" i="16" s="1"/>
  <c r="E4" i="16"/>
  <c r="E26" i="16" s="1"/>
  <c r="E57" i="16" s="1"/>
  <c r="E81" i="16" s="1"/>
  <c r="D4" i="16"/>
  <c r="C4" i="16"/>
  <c r="G1" i="16"/>
  <c r="D1" i="16"/>
  <c r="B1" i="16"/>
  <c r="H72" i="15"/>
  <c r="G72" i="15"/>
  <c r="F72" i="15"/>
  <c r="E72" i="15"/>
  <c r="D72" i="15"/>
  <c r="C72" i="15"/>
  <c r="H62" i="15"/>
  <c r="G62" i="15"/>
  <c r="F62" i="15"/>
  <c r="E62" i="15"/>
  <c r="D62" i="15"/>
  <c r="C62" i="15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H42" i="15"/>
  <c r="H43" i="15" s="1" a="1"/>
  <c r="H43" i="15" s="1"/>
  <c r="H35" i="16" s="1"/>
  <c r="G42" i="15"/>
  <c r="G43" i="15" s="1" a="1"/>
  <c r="G43" i="15" s="1"/>
  <c r="G35" i="16" s="1"/>
  <c r="F42" i="15"/>
  <c r="F43" i="15" s="1" a="1"/>
  <c r="F43" i="15" s="1"/>
  <c r="F35" i="16" s="1"/>
  <c r="E42" i="15"/>
  <c r="E43" i="15" s="1" a="1"/>
  <c r="E43" i="15" s="1"/>
  <c r="E35" i="16" s="1"/>
  <c r="D42" i="15"/>
  <c r="D43" i="15" s="1" a="1"/>
  <c r="D43" i="15" s="1"/>
  <c r="D35" i="16" s="1"/>
  <c r="C42" i="15"/>
  <c r="C43" i="15" s="1" a="1"/>
  <c r="C43" i="15" s="1"/>
  <c r="C35" i="16" s="1"/>
  <c r="H32" i="15"/>
  <c r="H41" i="15" s="1"/>
  <c r="H46" i="15" s="1"/>
  <c r="H59" i="15" s="1"/>
  <c r="D32" i="15"/>
  <c r="D41" i="15" s="1"/>
  <c r="D46" i="15" s="1"/>
  <c r="D59" i="15" s="1"/>
  <c r="H5" i="15"/>
  <c r="G5" i="15"/>
  <c r="G32" i="15" s="1"/>
  <c r="G41" i="15" s="1"/>
  <c r="G46" i="15" s="1"/>
  <c r="G59" i="15" s="1"/>
  <c r="F5" i="15"/>
  <c r="F32" i="15" s="1"/>
  <c r="F41" i="15" s="1"/>
  <c r="F46" i="15" s="1"/>
  <c r="F59" i="15" s="1"/>
  <c r="E5" i="15"/>
  <c r="E32" i="15" s="1"/>
  <c r="E41" i="15" s="1"/>
  <c r="E46" i="15" s="1"/>
  <c r="E59" i="15" s="1"/>
  <c r="D5" i="15"/>
  <c r="C5" i="15"/>
  <c r="C32" i="15" s="1"/>
  <c r="C41" i="15" s="1"/>
  <c r="C46" i="15" s="1"/>
  <c r="C59" i="15" s="1"/>
  <c r="B2" i="15"/>
  <c r="B28" i="14"/>
  <c r="F16" i="14"/>
  <c r="F27" i="14" s="1"/>
  <c r="H5" i="14"/>
  <c r="H16" i="14" s="1"/>
  <c r="H27" i="14" s="1"/>
  <c r="G5" i="14"/>
  <c r="G16" i="14" s="1"/>
  <c r="G27" i="14" s="1"/>
  <c r="F5" i="14"/>
  <c r="E5" i="14"/>
  <c r="E16" i="14" s="1"/>
  <c r="E27" i="14" s="1"/>
  <c r="D5" i="14"/>
  <c r="D16" i="14" s="1"/>
  <c r="D27" i="14" s="1"/>
  <c r="C5" i="14"/>
  <c r="C16" i="14" s="1"/>
  <c r="C27" i="14" s="1"/>
  <c r="B5" i="14"/>
  <c r="C4" i="14"/>
  <c r="B2" i="14"/>
  <c r="D11" i="10"/>
  <c r="E11" i="10"/>
  <c r="F11" i="10"/>
  <c r="G11" i="10"/>
  <c r="H11" i="10"/>
  <c r="D12" i="10"/>
  <c r="E12" i="10"/>
  <c r="F12" i="10"/>
  <c r="G12" i="10"/>
  <c r="H12" i="10"/>
  <c r="C12" i="10"/>
  <c r="C11" i="10"/>
  <c r="D24" i="9"/>
  <c r="E24" i="9"/>
  <c r="F24" i="9"/>
  <c r="G24" i="9"/>
  <c r="H24" i="9"/>
  <c r="C24" i="9"/>
  <c r="D13" i="9"/>
  <c r="E13" i="9"/>
  <c r="F13" i="9"/>
  <c r="G13" i="9"/>
  <c r="H13" i="9"/>
  <c r="C13" i="9"/>
  <c r="B1" i="10"/>
  <c r="B2" i="9"/>
  <c r="B2" i="8"/>
  <c r="B2" i="12"/>
  <c r="C9" i="7" a="1"/>
  <c r="C9" i="7" s="1"/>
  <c r="C10" i="7" a="1"/>
  <c r="C10" i="7" s="1"/>
  <c r="C7" i="8" s="1"/>
  <c r="D7" i="8" s="1"/>
  <c r="E7" i="8" s="1"/>
  <c r="F7" i="8" s="1"/>
  <c r="G7" i="8" s="1"/>
  <c r="H7" i="8" s="1"/>
  <c r="C6" i="13"/>
  <c r="G1" i="10"/>
  <c r="D1" i="10"/>
  <c r="C8" i="12" a="1"/>
  <c r="C8" i="12" s="1"/>
  <c r="C6" i="14" s="1"/>
  <c r="D6" i="14" s="1"/>
  <c r="E6" i="14" s="1"/>
  <c r="F6" i="14" s="1"/>
  <c r="G6" i="14" s="1"/>
  <c r="H6" i="14" s="1"/>
  <c r="C9" i="12" a="1"/>
  <c r="C9" i="12" s="1"/>
  <c r="D25" i="12"/>
  <c r="E25" i="12" s="1"/>
  <c r="F25" i="12" s="1"/>
  <c r="G25" i="12" s="1"/>
  <c r="H25" i="12" s="1"/>
  <c r="D60" i="7"/>
  <c r="E60" i="7" s="1"/>
  <c r="F60" i="7" s="1"/>
  <c r="G60" i="7" s="1"/>
  <c r="H60" i="7" s="1"/>
  <c r="C10" i="14" l="1"/>
  <c r="C8" i="14"/>
  <c r="C6" i="8"/>
  <c r="D6" i="8" s="1"/>
  <c r="E6" i="8" s="1"/>
  <c r="F6" i="8" s="1"/>
  <c r="G6" i="8" s="1"/>
  <c r="H6" i="8" s="1"/>
  <c r="C7" i="14"/>
  <c r="D63" i="10"/>
  <c r="C28" i="14" l="1"/>
  <c r="C29" i="14" s="1"/>
  <c r="D32" i="14" s="1"/>
  <c r="C6" i="16"/>
  <c r="D10" i="14"/>
  <c r="C36" i="14"/>
  <c r="C11" i="14"/>
  <c r="C12" i="14" s="1"/>
  <c r="C58" i="16" s="1"/>
  <c r="D7" i="14"/>
  <c r="C35" i="14"/>
  <c r="H3" i="11"/>
  <c r="H23" i="11" s="1"/>
  <c r="D3" i="11"/>
  <c r="D23" i="11" s="1"/>
  <c r="E3" i="11"/>
  <c r="E23" i="11" s="1"/>
  <c r="F3" i="11"/>
  <c r="F23" i="11" s="1"/>
  <c r="G3" i="11"/>
  <c r="G23" i="11" s="1"/>
  <c r="C3" i="11"/>
  <c r="C23" i="11" s="1"/>
  <c r="F13" i="10"/>
  <c r="G13" i="10"/>
  <c r="H13" i="10"/>
  <c r="H63" i="10"/>
  <c r="D90" i="10"/>
  <c r="E90" i="10"/>
  <c r="F90" i="10"/>
  <c r="G90" i="10"/>
  <c r="H90" i="10"/>
  <c r="C90" i="10"/>
  <c r="D62" i="10"/>
  <c r="E62" i="10"/>
  <c r="F62" i="10"/>
  <c r="G62" i="10"/>
  <c r="H62" i="10"/>
  <c r="E63" i="10"/>
  <c r="D13" i="10"/>
  <c r="E13" i="10"/>
  <c r="C63" i="10"/>
  <c r="C13" i="10"/>
  <c r="C62" i="10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D72" i="9"/>
  <c r="E72" i="9"/>
  <c r="F72" i="9"/>
  <c r="G72" i="9"/>
  <c r="H72" i="9"/>
  <c r="C72" i="9"/>
  <c r="E62" i="9"/>
  <c r="F62" i="9"/>
  <c r="G62" i="9"/>
  <c r="H62" i="9"/>
  <c r="E15" i="16"/>
  <c r="C62" i="9"/>
  <c r="D15" i="16"/>
  <c r="F15" i="16"/>
  <c r="G15" i="16"/>
  <c r="H15" i="16"/>
  <c r="C15" i="16"/>
  <c r="C43" i="9" a="1"/>
  <c r="C43" i="9" s="1"/>
  <c r="E43" i="9" a="1"/>
  <c r="E43" i="9" s="1"/>
  <c r="F43" i="9" a="1"/>
  <c r="F43" i="9" s="1"/>
  <c r="G43" i="9" a="1"/>
  <c r="G43" i="9" s="1"/>
  <c r="H43" i="9" a="1"/>
  <c r="H43" i="9" s="1"/>
  <c r="D43" i="9" a="1"/>
  <c r="D43" i="9" s="1"/>
  <c r="D35" i="7"/>
  <c r="D52" i="7" s="1"/>
  <c r="D57" i="7" s="1"/>
  <c r="E35" i="7"/>
  <c r="E52" i="7" s="1"/>
  <c r="E57" i="7" s="1"/>
  <c r="F35" i="7"/>
  <c r="F52" i="7" s="1"/>
  <c r="F57" i="7" s="1"/>
  <c r="G35" i="7"/>
  <c r="G52" i="7" s="1"/>
  <c r="G57" i="7" s="1"/>
  <c r="H35" i="7"/>
  <c r="H52" i="7" s="1"/>
  <c r="H57" i="7" s="1"/>
  <c r="C35" i="7"/>
  <c r="C52" i="7" s="1"/>
  <c r="C57" i="7" s="1"/>
  <c r="D5" i="9"/>
  <c r="D32" i="9" s="1"/>
  <c r="D41" i="9" s="1"/>
  <c r="D46" i="9" s="1"/>
  <c r="D59" i="9" s="1"/>
  <c r="E5" i="9"/>
  <c r="E32" i="9" s="1"/>
  <c r="E41" i="9" s="1"/>
  <c r="E46" i="9" s="1"/>
  <c r="E59" i="9" s="1"/>
  <c r="F5" i="9"/>
  <c r="F32" i="9" s="1"/>
  <c r="F41" i="9" s="1"/>
  <c r="F46" i="9" s="1"/>
  <c r="F59" i="9" s="1"/>
  <c r="G5" i="9"/>
  <c r="G32" i="9" s="1"/>
  <c r="G41" i="9" s="1"/>
  <c r="G46" i="9" s="1"/>
  <c r="G59" i="9" s="1"/>
  <c r="H5" i="9"/>
  <c r="H32" i="9" s="1"/>
  <c r="H41" i="9" s="1"/>
  <c r="H46" i="9" s="1"/>
  <c r="H59" i="9" s="1"/>
  <c r="C5" i="9"/>
  <c r="C32" i="9" s="1"/>
  <c r="C41" i="9" s="1"/>
  <c r="C46" i="9" s="1"/>
  <c r="C59" i="9" s="1"/>
  <c r="B28" i="8"/>
  <c r="B5" i="8"/>
  <c r="C4" i="8"/>
  <c r="G5" i="8"/>
  <c r="G16" i="8" s="1"/>
  <c r="G27" i="8" s="1"/>
  <c r="H5" i="8"/>
  <c r="H16" i="8" s="1"/>
  <c r="H27" i="8" s="1"/>
  <c r="D5" i="8"/>
  <c r="D16" i="8" s="1"/>
  <c r="D27" i="8" s="1"/>
  <c r="E5" i="8"/>
  <c r="E16" i="8" s="1"/>
  <c r="E27" i="8" s="1"/>
  <c r="F5" i="8"/>
  <c r="F16" i="8" s="1"/>
  <c r="F27" i="8" s="1"/>
  <c r="C5" i="8"/>
  <c r="C16" i="8" s="1"/>
  <c r="C27" i="8" s="1"/>
  <c r="C30" i="14" l="1"/>
  <c r="C33" i="14" s="1"/>
  <c r="C17" i="15" s="1"/>
  <c r="H66" i="16"/>
  <c r="H19" i="16"/>
  <c r="C14" i="10"/>
  <c r="C67" i="10" s="1"/>
  <c r="C14" i="16"/>
  <c r="E14" i="10"/>
  <c r="E14" i="16"/>
  <c r="G35" i="10"/>
  <c r="G66" i="16"/>
  <c r="G19" i="16"/>
  <c r="E66" i="16"/>
  <c r="E19" i="16"/>
  <c r="H14" i="10"/>
  <c r="H14" i="16"/>
  <c r="D14" i="10"/>
  <c r="D67" i="10" s="1"/>
  <c r="D14" i="16"/>
  <c r="C35" i="10"/>
  <c r="F35" i="10"/>
  <c r="G14" i="10"/>
  <c r="G67" i="10" s="1"/>
  <c r="G14" i="16"/>
  <c r="H35" i="10"/>
  <c r="F66" i="16"/>
  <c r="F19" i="16"/>
  <c r="D35" i="10"/>
  <c r="E35" i="10"/>
  <c r="C66" i="16"/>
  <c r="C19" i="16"/>
  <c r="D66" i="16"/>
  <c r="D19" i="16"/>
  <c r="F14" i="10"/>
  <c r="F67" i="10" s="1"/>
  <c r="F14" i="16"/>
  <c r="H51" i="15"/>
  <c r="H48" i="15"/>
  <c r="H49" i="15" s="1"/>
  <c r="G51" i="15"/>
  <c r="G48" i="15"/>
  <c r="G49" i="15" s="1"/>
  <c r="E15" i="10"/>
  <c r="E19" i="10" s="1"/>
  <c r="E51" i="15"/>
  <c r="E48" i="15"/>
  <c r="E49" i="15" s="1"/>
  <c r="F51" i="15"/>
  <c r="F48" i="15"/>
  <c r="F49" i="15" s="1"/>
  <c r="C51" i="15"/>
  <c r="C48" i="15"/>
  <c r="C49" i="15" s="1"/>
  <c r="D51" i="15"/>
  <c r="D48" i="15"/>
  <c r="D49" i="15" s="1"/>
  <c r="E20" i="14"/>
  <c r="C18" i="14"/>
  <c r="C21" i="14" s="1"/>
  <c r="C30" i="16" s="1"/>
  <c r="D19" i="14"/>
  <c r="D84" i="16" s="1"/>
  <c r="D11" i="14"/>
  <c r="D12" i="14" s="1"/>
  <c r="D58" i="16" s="1"/>
  <c r="E7" i="14"/>
  <c r="E8" i="14" s="1"/>
  <c r="D8" i="14"/>
  <c r="E10" i="14"/>
  <c r="B1" i="11"/>
  <c r="H67" i="10"/>
  <c r="G63" i="10"/>
  <c r="E67" i="10"/>
  <c r="F63" i="10"/>
  <c r="H15" i="10"/>
  <c r="H19" i="10" s="1"/>
  <c r="H48" i="9"/>
  <c r="H49" i="9" s="1"/>
  <c r="H52" i="9" s="1"/>
  <c r="H51" i="9"/>
  <c r="G15" i="10"/>
  <c r="G19" i="10" s="1"/>
  <c r="G48" i="9"/>
  <c r="G49" i="9" s="1"/>
  <c r="G52" i="9" s="1"/>
  <c r="G51" i="9"/>
  <c r="F15" i="10"/>
  <c r="F19" i="10" s="1"/>
  <c r="F51" i="9"/>
  <c r="F48" i="9"/>
  <c r="F49" i="9" s="1"/>
  <c r="F52" i="9" s="1"/>
  <c r="C15" i="10"/>
  <c r="C66" i="10" s="1"/>
  <c r="C16" i="13" s="1"/>
  <c r="C51" i="9"/>
  <c r="C48" i="9"/>
  <c r="C49" i="9" s="1"/>
  <c r="C52" i="9" s="1"/>
  <c r="D15" i="10"/>
  <c r="D19" i="10" s="1"/>
  <c r="D48" i="9"/>
  <c r="D49" i="9" s="1"/>
  <c r="D52" i="9" s="1"/>
  <c r="D51" i="9"/>
  <c r="C11" i="8"/>
  <c r="E48" i="9"/>
  <c r="E49" i="9" s="1"/>
  <c r="E52" i="9" s="1"/>
  <c r="E51" i="9"/>
  <c r="E66" i="10"/>
  <c r="E16" i="13" s="1"/>
  <c r="H66" i="10"/>
  <c r="H16" i="13" s="1"/>
  <c r="C91" i="10"/>
  <c r="C101" i="10"/>
  <c r="E16" i="10"/>
  <c r="E70" i="10" s="1"/>
  <c r="C10" i="8"/>
  <c r="C8" i="8"/>
  <c r="C7" i="16" s="1"/>
  <c r="D10" i="8"/>
  <c r="D54" i="15" l="1" a="1"/>
  <c r="D54" i="15" s="1"/>
  <c r="D36" i="16"/>
  <c r="F54" i="15" a="1"/>
  <c r="F54" i="15" s="1"/>
  <c r="F63" i="15" s="1"/>
  <c r="F36" i="16"/>
  <c r="G54" i="15" a="1"/>
  <c r="G54" i="15" s="1"/>
  <c r="G36" i="16"/>
  <c r="E54" i="15" a="1"/>
  <c r="E54" i="15" s="1"/>
  <c r="E73" i="15" s="1"/>
  <c r="E36" i="16"/>
  <c r="H54" i="15" a="1"/>
  <c r="H54" i="15" s="1"/>
  <c r="H36" i="16"/>
  <c r="C54" i="15" a="1"/>
  <c r="C54" i="15" s="1"/>
  <c r="C36" i="16"/>
  <c r="D28" i="14"/>
  <c r="D29" i="14" s="1"/>
  <c r="E32" i="14" s="1"/>
  <c r="D6" i="16"/>
  <c r="E28" i="14"/>
  <c r="E6" i="16"/>
  <c r="C6" i="15"/>
  <c r="C7" i="15" s="1"/>
  <c r="F16" i="16"/>
  <c r="F67" i="16"/>
  <c r="F17" i="13" s="1"/>
  <c r="D16" i="16"/>
  <c r="D67" i="16"/>
  <c r="D17" i="13" s="1"/>
  <c r="C67" i="16"/>
  <c r="C17" i="13" s="1"/>
  <c r="C16" i="16"/>
  <c r="G16" i="16"/>
  <c r="G67" i="16"/>
  <c r="G17" i="13" s="1"/>
  <c r="H67" i="16"/>
  <c r="H17" i="13" s="1"/>
  <c r="H16" i="16"/>
  <c r="E67" i="16"/>
  <c r="E17" i="13" s="1"/>
  <c r="E16" i="16"/>
  <c r="C59" i="16"/>
  <c r="C8" i="16"/>
  <c r="E19" i="14"/>
  <c r="E84" i="16" s="1"/>
  <c r="F20" i="14"/>
  <c r="D18" i="14"/>
  <c r="D21" i="14" s="1"/>
  <c r="D30" i="16" s="1"/>
  <c r="E29" i="14"/>
  <c r="F32" i="14" s="1"/>
  <c r="F10" i="14"/>
  <c r="E11" i="14"/>
  <c r="E12" i="14" s="1"/>
  <c r="E58" i="16" s="1"/>
  <c r="F7" i="14"/>
  <c r="F8" i="14" s="1"/>
  <c r="F66" i="10"/>
  <c r="F16" i="13" s="1"/>
  <c r="C6" i="10"/>
  <c r="C7" i="10" s="1"/>
  <c r="C8" i="10" s="1"/>
  <c r="C19" i="10"/>
  <c r="H18" i="11"/>
  <c r="C16" i="10"/>
  <c r="C70" i="10" s="1"/>
  <c r="E18" i="11"/>
  <c r="H16" i="10"/>
  <c r="H70" i="10" s="1"/>
  <c r="D16" i="10"/>
  <c r="D70" i="10" s="1"/>
  <c r="D66" i="10"/>
  <c r="D16" i="13" s="1"/>
  <c r="C18" i="11"/>
  <c r="D11" i="8"/>
  <c r="D12" i="8" s="1"/>
  <c r="F16" i="10"/>
  <c r="F70" i="10" s="1"/>
  <c r="C12" i="8"/>
  <c r="G16" i="10"/>
  <c r="G70" i="10" s="1"/>
  <c r="G66" i="10"/>
  <c r="G16" i="13" s="1"/>
  <c r="D101" i="10"/>
  <c r="D91" i="10"/>
  <c r="C28" i="8"/>
  <c r="E11" i="8"/>
  <c r="D8" i="8"/>
  <c r="D7" i="16" s="1"/>
  <c r="E10" i="8"/>
  <c r="F28" i="14" l="1"/>
  <c r="F6" i="16"/>
  <c r="E30" i="14"/>
  <c r="E33" i="14" s="1"/>
  <c r="G63" i="15"/>
  <c r="H70" i="16"/>
  <c r="H20" i="13" s="1"/>
  <c r="E63" i="15"/>
  <c r="D70" i="16"/>
  <c r="D20" i="13" s="1"/>
  <c r="D18" i="16"/>
  <c r="D20" i="16" s="1"/>
  <c r="D59" i="16"/>
  <c r="D60" i="16" s="1"/>
  <c r="D8" i="16"/>
  <c r="D19" i="8"/>
  <c r="C60" i="16"/>
  <c r="E70" i="16"/>
  <c r="E20" i="13" s="1"/>
  <c r="C70" i="16"/>
  <c r="C20" i="13" s="1"/>
  <c r="C18" i="16"/>
  <c r="C20" i="16" s="1"/>
  <c r="G70" i="16"/>
  <c r="G20" i="13" s="1"/>
  <c r="F70" i="16"/>
  <c r="F20" i="13" s="1"/>
  <c r="F18" i="11"/>
  <c r="F19" i="11" s="1"/>
  <c r="F20" i="11" s="1"/>
  <c r="F73" i="15"/>
  <c r="G73" i="15"/>
  <c r="D63" i="15"/>
  <c r="H63" i="15"/>
  <c r="C63" i="15"/>
  <c r="D73" i="15"/>
  <c r="H73" i="15"/>
  <c r="C73" i="15"/>
  <c r="F19" i="14"/>
  <c r="F84" i="16" s="1"/>
  <c r="G20" i="14"/>
  <c r="E18" i="14"/>
  <c r="E21" i="14" s="1"/>
  <c r="E30" i="16" s="1"/>
  <c r="D30" i="14"/>
  <c r="D33" i="14" s="1"/>
  <c r="F29" i="14"/>
  <c r="G32" i="14" s="1"/>
  <c r="G10" i="14"/>
  <c r="G7" i="14"/>
  <c r="G8" i="14" s="1"/>
  <c r="F11" i="14"/>
  <c r="F12" i="14" s="1"/>
  <c r="F58" i="16" s="1"/>
  <c r="G18" i="11"/>
  <c r="G19" i="11" s="1"/>
  <c r="G20" i="11" s="1"/>
  <c r="D18" i="11"/>
  <c r="D19" i="11" s="1"/>
  <c r="D20" i="11" s="1"/>
  <c r="C59" i="10"/>
  <c r="C10" i="11"/>
  <c r="C4" i="11"/>
  <c r="C18" i="10"/>
  <c r="C20" i="10" s="1"/>
  <c r="C37" i="10" s="1"/>
  <c r="D58" i="10"/>
  <c r="D18" i="8"/>
  <c r="E20" i="8"/>
  <c r="E12" i="8"/>
  <c r="H19" i="11"/>
  <c r="H20" i="11" s="1"/>
  <c r="E19" i="8"/>
  <c r="F6" i="11"/>
  <c r="C6" i="11"/>
  <c r="H6" i="11"/>
  <c r="G6" i="11"/>
  <c r="E6" i="11"/>
  <c r="D6" i="11"/>
  <c r="C58" i="10"/>
  <c r="C18" i="8"/>
  <c r="C21" i="8" s="1"/>
  <c r="E19" i="11"/>
  <c r="E20" i="11" s="1"/>
  <c r="F20" i="8"/>
  <c r="G12" i="11"/>
  <c r="C12" i="11"/>
  <c r="H12" i="11"/>
  <c r="F12" i="11"/>
  <c r="E12" i="11"/>
  <c r="D12" i="11"/>
  <c r="C19" i="11"/>
  <c r="C20" i="11" s="1"/>
  <c r="E101" i="10"/>
  <c r="E91" i="10"/>
  <c r="D28" i="8"/>
  <c r="D29" i="8" s="1"/>
  <c r="D6" i="10"/>
  <c r="D7" i="10" s="1"/>
  <c r="C29" i="8"/>
  <c r="F11" i="8"/>
  <c r="E8" i="8"/>
  <c r="E7" i="16" s="1"/>
  <c r="F10" i="8"/>
  <c r="C37" i="16" l="1"/>
  <c r="D37" i="16"/>
  <c r="G28" i="14"/>
  <c r="G6" i="16"/>
  <c r="D17" i="15"/>
  <c r="D6" i="15"/>
  <c r="E17" i="15"/>
  <c r="E6" i="15"/>
  <c r="E58" i="10"/>
  <c r="C30" i="10"/>
  <c r="C31" i="10" s="1"/>
  <c r="C31" i="16"/>
  <c r="E8" i="16"/>
  <c r="E18" i="16" s="1"/>
  <c r="E20" i="16" s="1"/>
  <c r="E59" i="16"/>
  <c r="E60" i="16" s="1"/>
  <c r="C60" i="10"/>
  <c r="C84" i="10"/>
  <c r="D21" i="8"/>
  <c r="C30" i="8"/>
  <c r="C33" i="8" s="1"/>
  <c r="C6" i="9" s="1"/>
  <c r="C9" i="9" s="1"/>
  <c r="C76" i="15"/>
  <c r="C66" i="15"/>
  <c r="D76" i="15"/>
  <c r="D66" i="15"/>
  <c r="H20" i="14"/>
  <c r="F18" i="14"/>
  <c r="F21" i="14" s="1"/>
  <c r="F30" i="16" s="1"/>
  <c r="G19" i="14"/>
  <c r="G84" i="16" s="1"/>
  <c r="G11" i="14"/>
  <c r="G12" i="14" s="1"/>
  <c r="G58" i="16" s="1"/>
  <c r="H7" i="14"/>
  <c r="H11" i="14" s="1"/>
  <c r="F30" i="14"/>
  <c r="F33" i="14" s="1"/>
  <c r="G29" i="14"/>
  <c r="H32" i="14" s="1"/>
  <c r="H10" i="14"/>
  <c r="H12" i="14" s="1"/>
  <c r="H58" i="16" s="1"/>
  <c r="E18" i="8"/>
  <c r="F19" i="8"/>
  <c r="D84" i="10"/>
  <c r="G20" i="8"/>
  <c r="E21" i="8"/>
  <c r="D30" i="8"/>
  <c r="F12" i="8"/>
  <c r="D4" i="11"/>
  <c r="D10" i="11"/>
  <c r="D8" i="10"/>
  <c r="D18" i="10" s="1"/>
  <c r="D20" i="10" s="1"/>
  <c r="D37" i="10" s="1"/>
  <c r="D59" i="10"/>
  <c r="D60" i="10" s="1"/>
  <c r="F101" i="10"/>
  <c r="F91" i="10"/>
  <c r="E28" i="8"/>
  <c r="E29" i="8" s="1"/>
  <c r="E6" i="10"/>
  <c r="E7" i="10" s="1"/>
  <c r="D32" i="8"/>
  <c r="C76" i="9"/>
  <c r="C66" i="9"/>
  <c r="E32" i="8"/>
  <c r="D76" i="9"/>
  <c r="D66" i="9"/>
  <c r="C17" i="9"/>
  <c r="C18" i="9" s="1"/>
  <c r="H11" i="8"/>
  <c r="G11" i="8"/>
  <c r="F8" i="8"/>
  <c r="F7" i="16" s="1"/>
  <c r="G10" i="8"/>
  <c r="E37" i="16" l="1"/>
  <c r="F17" i="15"/>
  <c r="F6" i="15"/>
  <c r="F58" i="10"/>
  <c r="E84" i="10"/>
  <c r="D30" i="10"/>
  <c r="D31" i="10" s="1"/>
  <c r="D31" i="16"/>
  <c r="F8" i="16"/>
  <c r="F18" i="16" s="1"/>
  <c r="F20" i="16" s="1"/>
  <c r="F59" i="16"/>
  <c r="E30" i="10"/>
  <c r="E31" i="10" s="1"/>
  <c r="E31" i="16"/>
  <c r="E76" i="15"/>
  <c r="E66" i="15"/>
  <c r="C18" i="15"/>
  <c r="I20" i="14"/>
  <c r="G18" i="14"/>
  <c r="G21" i="14" s="1"/>
  <c r="G30" i="16" s="1"/>
  <c r="H19" i="14"/>
  <c r="H84" i="16" s="1"/>
  <c r="I19" i="14"/>
  <c r="H18" i="14"/>
  <c r="H8" i="14"/>
  <c r="G30" i="14"/>
  <c r="G33" i="14" s="1"/>
  <c r="F18" i="8"/>
  <c r="F21" i="8" s="1"/>
  <c r="G19" i="8"/>
  <c r="H20" i="8"/>
  <c r="E30" i="8"/>
  <c r="E33" i="8" s="1"/>
  <c r="D33" i="8"/>
  <c r="G12" i="8"/>
  <c r="E10" i="11"/>
  <c r="E4" i="11"/>
  <c r="E8" i="10"/>
  <c r="E18" i="10" s="1"/>
  <c r="E20" i="10" s="1"/>
  <c r="E37" i="10" s="1"/>
  <c r="E59" i="10"/>
  <c r="E60" i="10" s="1"/>
  <c r="H101" i="10"/>
  <c r="G101" i="10"/>
  <c r="H91" i="10"/>
  <c r="G91" i="10"/>
  <c r="F28" i="8"/>
  <c r="F29" i="8" s="1"/>
  <c r="F6" i="10"/>
  <c r="F7" i="10" s="1"/>
  <c r="F32" i="8"/>
  <c r="E76" i="9"/>
  <c r="E66" i="9"/>
  <c r="C20" i="9"/>
  <c r="D10" i="9"/>
  <c r="C11" i="9"/>
  <c r="C14" i="9" s="1"/>
  <c r="C5" i="11" s="1"/>
  <c r="C7" i="11" s="1"/>
  <c r="G8" i="8"/>
  <c r="G7" i="16" s="1"/>
  <c r="H28" i="14" l="1"/>
  <c r="H6" i="16"/>
  <c r="F37" i="16"/>
  <c r="G17" i="15"/>
  <c r="G6" i="15"/>
  <c r="C22" i="9"/>
  <c r="C25" i="9" s="1"/>
  <c r="C28" i="9" s="1"/>
  <c r="F60" i="16"/>
  <c r="G59" i="16"/>
  <c r="G8" i="16"/>
  <c r="G18" i="16" s="1"/>
  <c r="G20" i="16" s="1"/>
  <c r="F84" i="10"/>
  <c r="G58" i="10"/>
  <c r="F30" i="10"/>
  <c r="F31" i="10" s="1"/>
  <c r="F31" i="16"/>
  <c r="D6" i="9"/>
  <c r="D18" i="15"/>
  <c r="D7" i="15"/>
  <c r="C9" i="15"/>
  <c r="D10" i="15" s="1"/>
  <c r="C20" i="15"/>
  <c r="F76" i="15"/>
  <c r="F66" i="15"/>
  <c r="E17" i="9"/>
  <c r="E18" i="9" s="1"/>
  <c r="E7" i="15"/>
  <c r="E18" i="15"/>
  <c r="H29" i="14"/>
  <c r="H30" i="14" s="1"/>
  <c r="H33" i="14" s="1"/>
  <c r="H21" i="14"/>
  <c r="H30" i="16" s="1"/>
  <c r="D17" i="9"/>
  <c r="D18" i="9" s="1"/>
  <c r="D20" i="9" s="1"/>
  <c r="H19" i="8"/>
  <c r="E6" i="9"/>
  <c r="E7" i="9" s="1"/>
  <c r="C71" i="9"/>
  <c r="C74" i="9" s="1"/>
  <c r="C77" i="9" s="1"/>
  <c r="C11" i="11"/>
  <c r="C14" i="11" s="1"/>
  <c r="C8" i="11"/>
  <c r="C24" i="11" s="1"/>
  <c r="C9" i="11"/>
  <c r="C25" i="11" s="1"/>
  <c r="C26" i="11" s="1"/>
  <c r="G18" i="8"/>
  <c r="G21" i="8" s="1"/>
  <c r="F30" i="8"/>
  <c r="F33" i="8" s="1"/>
  <c r="I20" i="8"/>
  <c r="F4" i="11"/>
  <c r="F10" i="11"/>
  <c r="F8" i="10"/>
  <c r="F18" i="10" s="1"/>
  <c r="F20" i="10" s="1"/>
  <c r="F37" i="10" s="1"/>
  <c r="F59" i="10"/>
  <c r="F60" i="10" s="1"/>
  <c r="D21" i="9"/>
  <c r="C85" i="10"/>
  <c r="G28" i="8"/>
  <c r="G29" i="8" s="1"/>
  <c r="G6" i="10"/>
  <c r="G7" i="10" s="1"/>
  <c r="G32" i="8"/>
  <c r="F76" i="9"/>
  <c r="F66" i="9"/>
  <c r="C64" i="9"/>
  <c r="D7" i="9"/>
  <c r="E20" i="9"/>
  <c r="H8" i="8"/>
  <c r="H7" i="16" s="1"/>
  <c r="H10" i="8"/>
  <c r="D21" i="15" l="1"/>
  <c r="C85" i="16"/>
  <c r="G37" i="16"/>
  <c r="H6" i="15"/>
  <c r="H17" i="15"/>
  <c r="C22" i="15"/>
  <c r="C25" i="15" s="1"/>
  <c r="C34" i="10"/>
  <c r="C61" i="10" s="1"/>
  <c r="G84" i="10"/>
  <c r="G30" i="10"/>
  <c r="G31" i="10" s="1"/>
  <c r="G31" i="16"/>
  <c r="E21" i="9"/>
  <c r="H59" i="16"/>
  <c r="H8" i="16"/>
  <c r="H18" i="16" s="1"/>
  <c r="H20" i="16" s="1"/>
  <c r="C11" i="15"/>
  <c r="G60" i="16"/>
  <c r="D9" i="15"/>
  <c r="E10" i="15" s="1"/>
  <c r="F6" i="9"/>
  <c r="F18" i="15"/>
  <c r="F7" i="15"/>
  <c r="E20" i="15"/>
  <c r="C71" i="15"/>
  <c r="C74" i="15" s="1"/>
  <c r="C77" i="15" s="1"/>
  <c r="D20" i="15"/>
  <c r="G76" i="15"/>
  <c r="G66" i="15"/>
  <c r="E9" i="15"/>
  <c r="F10" i="15" s="1"/>
  <c r="D85" i="10"/>
  <c r="D22" i="9"/>
  <c r="D25" i="9" s="1"/>
  <c r="D71" i="9" s="1"/>
  <c r="D74" i="9" s="1"/>
  <c r="D77" i="9" s="1"/>
  <c r="C34" i="9"/>
  <c r="C37" i="9" s="1"/>
  <c r="D35" i="9"/>
  <c r="F17" i="9"/>
  <c r="F18" i="9" s="1"/>
  <c r="F20" i="9" s="1"/>
  <c r="E22" i="9"/>
  <c r="E25" i="9" s="1"/>
  <c r="E71" i="9" s="1"/>
  <c r="E74" i="9" s="1"/>
  <c r="E77" i="9" s="1"/>
  <c r="G30" i="8"/>
  <c r="G33" i="8" s="1"/>
  <c r="H12" i="8"/>
  <c r="C16" i="11"/>
  <c r="C29" i="11" s="1"/>
  <c r="C30" i="11" s="1"/>
  <c r="C15" i="11"/>
  <c r="C28" i="11" s="1"/>
  <c r="E36" i="9"/>
  <c r="G4" i="11"/>
  <c r="G10" i="11"/>
  <c r="G8" i="10"/>
  <c r="G18" i="10" s="1"/>
  <c r="G20" i="10" s="1"/>
  <c r="G37" i="10" s="1"/>
  <c r="G59" i="10"/>
  <c r="G60" i="10" s="1"/>
  <c r="F21" i="9"/>
  <c r="E85" i="10"/>
  <c r="H28" i="8"/>
  <c r="H29" i="8" s="1"/>
  <c r="H6" i="10"/>
  <c r="H7" i="10" s="1"/>
  <c r="H10" i="11" s="1"/>
  <c r="H32" i="8"/>
  <c r="G76" i="9"/>
  <c r="G66" i="9"/>
  <c r="F7" i="9"/>
  <c r="D9" i="9"/>
  <c r="E10" i="9" s="1"/>
  <c r="E9" i="9"/>
  <c r="F10" i="9" s="1"/>
  <c r="C38" i="10" l="1"/>
  <c r="C44" i="10" s="1"/>
  <c r="C46" i="10" s="1"/>
  <c r="C54" i="10" s="1"/>
  <c r="C83" i="10" s="1"/>
  <c r="C65" i="10"/>
  <c r="C71" i="10" s="1"/>
  <c r="F21" i="15"/>
  <c r="E85" i="16"/>
  <c r="E21" i="15"/>
  <c r="D85" i="16"/>
  <c r="H37" i="16"/>
  <c r="H60" i="16"/>
  <c r="C14" i="15"/>
  <c r="C61" i="15" s="1"/>
  <c r="C64" i="15" s="1"/>
  <c r="C67" i="15" s="1"/>
  <c r="C79" i="15" s="1"/>
  <c r="C86" i="16" s="1"/>
  <c r="C86" i="10"/>
  <c r="E22" i="15"/>
  <c r="E25" i="15" s="1"/>
  <c r="E71" i="15" s="1"/>
  <c r="E74" i="15" s="1"/>
  <c r="E77" i="15" s="1"/>
  <c r="D11" i="15"/>
  <c r="D14" i="15" s="1"/>
  <c r="D61" i="15" s="1"/>
  <c r="D64" i="15" s="1"/>
  <c r="D67" i="15" s="1"/>
  <c r="C96" i="10"/>
  <c r="C98" i="10" s="1"/>
  <c r="H76" i="15"/>
  <c r="H66" i="15"/>
  <c r="G6" i="9"/>
  <c r="G7" i="15"/>
  <c r="G18" i="15"/>
  <c r="E11" i="15"/>
  <c r="E14" i="15" s="1"/>
  <c r="E61" i="15" s="1"/>
  <c r="E64" i="15" s="1"/>
  <c r="E67" i="15" s="1"/>
  <c r="D22" i="15"/>
  <c r="D25" i="15" s="1"/>
  <c r="F20" i="15"/>
  <c r="F9" i="15"/>
  <c r="G10" i="15" s="1"/>
  <c r="H58" i="10"/>
  <c r="I19" i="8"/>
  <c r="D11" i="11"/>
  <c r="D14" i="11" s="1"/>
  <c r="D15" i="11" s="1"/>
  <c r="D28" i="11" s="1"/>
  <c r="G17" i="9"/>
  <c r="G18" i="9" s="1"/>
  <c r="G20" i="9" s="1"/>
  <c r="H18" i="8"/>
  <c r="H21" i="8" s="1"/>
  <c r="E11" i="11"/>
  <c r="E14" i="11" s="1"/>
  <c r="E16" i="11" s="1"/>
  <c r="E29" i="11" s="1"/>
  <c r="E30" i="11" s="1"/>
  <c r="F22" i="9"/>
  <c r="F25" i="9" s="1"/>
  <c r="F71" i="9" s="1"/>
  <c r="F74" i="9" s="1"/>
  <c r="F77" i="9" s="1"/>
  <c r="E11" i="9"/>
  <c r="E14" i="9" s="1"/>
  <c r="E61" i="9" s="1"/>
  <c r="E64" i="9" s="1"/>
  <c r="E67" i="9" s="1"/>
  <c r="E79" i="9" s="1"/>
  <c r="H30" i="8"/>
  <c r="H33" i="8" s="1"/>
  <c r="D11" i="9"/>
  <c r="D14" i="9" s="1"/>
  <c r="D28" i="9" s="1"/>
  <c r="H4" i="11"/>
  <c r="C64" i="10"/>
  <c r="H8" i="10"/>
  <c r="H18" i="10" s="1"/>
  <c r="H20" i="10" s="1"/>
  <c r="H37" i="10" s="1"/>
  <c r="H59" i="10"/>
  <c r="G21" i="9"/>
  <c r="F85" i="10"/>
  <c r="H76" i="9"/>
  <c r="H66" i="9"/>
  <c r="G7" i="9"/>
  <c r="F9" i="9"/>
  <c r="G10" i="9" s="1"/>
  <c r="C87" i="10" l="1"/>
  <c r="C93" i="10" s="1"/>
  <c r="G21" i="15"/>
  <c r="F85" i="16"/>
  <c r="C28" i="15"/>
  <c r="C34" i="15"/>
  <c r="C37" i="15" s="1"/>
  <c r="H84" i="10"/>
  <c r="D34" i="10"/>
  <c r="D38" i="10" s="1"/>
  <c r="D44" i="10" s="1"/>
  <c r="D46" i="10" s="1"/>
  <c r="D54" i="10" s="1"/>
  <c r="D83" i="10" s="1"/>
  <c r="H30" i="10"/>
  <c r="H31" i="10" s="1"/>
  <c r="H31" i="16"/>
  <c r="E79" i="15"/>
  <c r="E86" i="16" s="1"/>
  <c r="E86" i="10"/>
  <c r="F22" i="15"/>
  <c r="F25" i="15" s="1"/>
  <c r="F71" i="15" s="1"/>
  <c r="F74" i="15" s="1"/>
  <c r="F77" i="15" s="1"/>
  <c r="G20" i="15"/>
  <c r="F11" i="15"/>
  <c r="F14" i="15" s="1"/>
  <c r="F61" i="15" s="1"/>
  <c r="F64" i="15" s="1"/>
  <c r="F67" i="15" s="1"/>
  <c r="G9" i="15"/>
  <c r="H10" i="15" s="1"/>
  <c r="H6" i="9"/>
  <c r="H7" i="9" s="1"/>
  <c r="H7" i="15"/>
  <c r="H18" i="15"/>
  <c r="D71" i="15"/>
  <c r="D74" i="15" s="1"/>
  <c r="D77" i="15" s="1"/>
  <c r="D79" i="15" s="1"/>
  <c r="D86" i="16" s="1"/>
  <c r="D28" i="15"/>
  <c r="D34" i="16" s="1"/>
  <c r="E28" i="15"/>
  <c r="E34" i="16" s="1"/>
  <c r="H60" i="10"/>
  <c r="C74" i="10"/>
  <c r="D16" i="11"/>
  <c r="D29" i="11" s="1"/>
  <c r="D30" i="11" s="1"/>
  <c r="E15" i="11"/>
  <c r="E28" i="11" s="1"/>
  <c r="F11" i="11"/>
  <c r="F14" i="11" s="1"/>
  <c r="F15" i="11" s="1"/>
  <c r="F28" i="11" s="1"/>
  <c r="H17" i="9"/>
  <c r="H18" i="9" s="1"/>
  <c r="H20" i="9" s="1"/>
  <c r="G22" i="9"/>
  <c r="G25" i="9" s="1"/>
  <c r="G71" i="9" s="1"/>
  <c r="G74" i="9" s="1"/>
  <c r="G77" i="9" s="1"/>
  <c r="E5" i="11"/>
  <c r="E7" i="11" s="1"/>
  <c r="E9" i="11" s="1"/>
  <c r="E25" i="11" s="1"/>
  <c r="E26" i="11" s="1"/>
  <c r="E28" i="9"/>
  <c r="C68" i="10"/>
  <c r="C35" i="11"/>
  <c r="D61" i="9"/>
  <c r="D64" i="9" s="1"/>
  <c r="D67" i="9" s="1"/>
  <c r="D79" i="9" s="1"/>
  <c r="D5" i="11"/>
  <c r="D7" i="11" s="1"/>
  <c r="F11" i="9"/>
  <c r="F14" i="9" s="1"/>
  <c r="H21" i="9"/>
  <c r="G85" i="10"/>
  <c r="D61" i="10"/>
  <c r="F36" i="9"/>
  <c r="E35" i="9"/>
  <c r="D34" i="9"/>
  <c r="D37" i="9" s="1"/>
  <c r="G9" i="9"/>
  <c r="H10" i="9" s="1"/>
  <c r="H21" i="15" l="1"/>
  <c r="G85" i="16"/>
  <c r="D35" i="15"/>
  <c r="C96" i="16" s="1"/>
  <c r="C98" i="16" s="1"/>
  <c r="C34" i="16"/>
  <c r="E36" i="15"/>
  <c r="G11" i="15"/>
  <c r="G14" i="15" s="1"/>
  <c r="G61" i="15" s="1"/>
  <c r="G64" i="15" s="1"/>
  <c r="G67" i="15" s="1"/>
  <c r="D96" i="10"/>
  <c r="D98" i="10" s="1"/>
  <c r="D86" i="10"/>
  <c r="D87" i="10" s="1"/>
  <c r="D93" i="10" s="1"/>
  <c r="D61" i="16"/>
  <c r="D11" i="13" s="1"/>
  <c r="D38" i="16"/>
  <c r="H85" i="10"/>
  <c r="E34" i="10"/>
  <c r="E38" i="10" s="1"/>
  <c r="E44" i="10" s="1"/>
  <c r="E46" i="10" s="1"/>
  <c r="E54" i="10" s="1"/>
  <c r="E83" i="10" s="1"/>
  <c r="E87" i="10" s="1"/>
  <c r="E93" i="10" s="1"/>
  <c r="F28" i="15"/>
  <c r="G36" i="15"/>
  <c r="E34" i="15"/>
  <c r="F35" i="15"/>
  <c r="E96" i="16" s="1"/>
  <c r="E35" i="15"/>
  <c r="F36" i="15"/>
  <c r="D34" i="15"/>
  <c r="D37" i="15" s="1"/>
  <c r="H20" i="15"/>
  <c r="G22" i="15"/>
  <c r="G25" i="15" s="1"/>
  <c r="H9" i="15"/>
  <c r="H11" i="15" s="1"/>
  <c r="H14" i="15" s="1"/>
  <c r="H61" i="15" s="1"/>
  <c r="H64" i="15" s="1"/>
  <c r="H67" i="15" s="1"/>
  <c r="F79" i="15"/>
  <c r="F86" i="16" s="1"/>
  <c r="D65" i="10"/>
  <c r="C76" i="10"/>
  <c r="E8" i="11"/>
  <c r="E24" i="11" s="1"/>
  <c r="F16" i="11"/>
  <c r="F29" i="11" s="1"/>
  <c r="F30" i="11" s="1"/>
  <c r="E34" i="9"/>
  <c r="E37" i="9" s="1"/>
  <c r="F35" i="9"/>
  <c r="G36" i="9"/>
  <c r="E61" i="10"/>
  <c r="G11" i="9"/>
  <c r="G14" i="9" s="1"/>
  <c r="G5" i="11" s="1"/>
  <c r="G7" i="11" s="1"/>
  <c r="G11" i="11"/>
  <c r="G14" i="11" s="1"/>
  <c r="G15" i="11" s="1"/>
  <c r="G28" i="11" s="1"/>
  <c r="F61" i="9"/>
  <c r="F64" i="9" s="1"/>
  <c r="F67" i="9" s="1"/>
  <c r="F79" i="9" s="1"/>
  <c r="F5" i="11"/>
  <c r="F7" i="11" s="1"/>
  <c r="F28" i="9"/>
  <c r="H22" i="9"/>
  <c r="H25" i="9" s="1"/>
  <c r="D9" i="11"/>
  <c r="D25" i="11" s="1"/>
  <c r="D26" i="11" s="1"/>
  <c r="D8" i="11"/>
  <c r="D24" i="11" s="1"/>
  <c r="D64" i="10"/>
  <c r="H9" i="9"/>
  <c r="H11" i="9" s="1"/>
  <c r="H14" i="9" s="1"/>
  <c r="D71" i="10" l="1"/>
  <c r="H22" i="15"/>
  <c r="H25" i="15" s="1"/>
  <c r="H85" i="16"/>
  <c r="G35" i="15"/>
  <c r="F96" i="16" s="1"/>
  <c r="F34" i="16"/>
  <c r="C61" i="16"/>
  <c r="C11" i="13" s="1"/>
  <c r="C38" i="16"/>
  <c r="D96" i="16"/>
  <c r="D98" i="16" s="1"/>
  <c r="D44" i="16"/>
  <c r="H36" i="15"/>
  <c r="F86" i="10"/>
  <c r="E96" i="10"/>
  <c r="E98" i="10" s="1"/>
  <c r="E98" i="16"/>
  <c r="F34" i="15"/>
  <c r="F37" i="15" s="1"/>
  <c r="E61" i="16"/>
  <c r="E11" i="13" s="1"/>
  <c r="E38" i="16"/>
  <c r="F34" i="10"/>
  <c r="F38" i="10" s="1"/>
  <c r="F44" i="10" s="1"/>
  <c r="F46" i="10" s="1"/>
  <c r="F54" i="10" s="1"/>
  <c r="F83" i="10" s="1"/>
  <c r="D65" i="16"/>
  <c r="D71" i="16" s="1"/>
  <c r="D74" i="16" s="1"/>
  <c r="D64" i="16"/>
  <c r="D68" i="16" s="1"/>
  <c r="H71" i="15"/>
  <c r="H74" i="15" s="1"/>
  <c r="H77" i="15" s="1"/>
  <c r="H79" i="15" s="1"/>
  <c r="H86" i="16" s="1"/>
  <c r="H28" i="15"/>
  <c r="H34" i="16" s="1"/>
  <c r="E37" i="15"/>
  <c r="G71" i="15"/>
  <c r="G74" i="15" s="1"/>
  <c r="G77" i="15" s="1"/>
  <c r="G79" i="15" s="1"/>
  <c r="G86" i="16" s="1"/>
  <c r="G28" i="15"/>
  <c r="G34" i="16" s="1"/>
  <c r="C77" i="10"/>
  <c r="E65" i="10"/>
  <c r="D74" i="10"/>
  <c r="D24" i="13" s="1"/>
  <c r="G61" i="9"/>
  <c r="G64" i="9" s="1"/>
  <c r="G67" i="9" s="1"/>
  <c r="G79" i="9" s="1"/>
  <c r="F61" i="10"/>
  <c r="E64" i="10"/>
  <c r="F34" i="9"/>
  <c r="F37" i="9" s="1"/>
  <c r="G16" i="11"/>
  <c r="G29" i="11" s="1"/>
  <c r="G30" i="11" s="1"/>
  <c r="G28" i="9"/>
  <c r="G35" i="9"/>
  <c r="H36" i="9"/>
  <c r="H61" i="9"/>
  <c r="H64" i="9" s="1"/>
  <c r="H67" i="9" s="1"/>
  <c r="H5" i="11"/>
  <c r="H7" i="11" s="1"/>
  <c r="D68" i="10"/>
  <c r="D35" i="11"/>
  <c r="H71" i="9"/>
  <c r="H74" i="9" s="1"/>
  <c r="H77" i="9" s="1"/>
  <c r="H11" i="11"/>
  <c r="H14" i="11" s="1"/>
  <c r="G8" i="11"/>
  <c r="G24" i="11" s="1"/>
  <c r="G9" i="11"/>
  <c r="G25" i="11" s="1"/>
  <c r="G26" i="11" s="1"/>
  <c r="F9" i="11"/>
  <c r="F25" i="11" s="1"/>
  <c r="F26" i="11" s="1"/>
  <c r="F8" i="11"/>
  <c r="F24" i="11" s="1"/>
  <c r="H28" i="9"/>
  <c r="D18" i="13" l="1"/>
  <c r="F87" i="10"/>
  <c r="F93" i="10" s="1"/>
  <c r="D21" i="13"/>
  <c r="D15" i="13"/>
  <c r="D14" i="13"/>
  <c r="C44" i="16"/>
  <c r="C65" i="16"/>
  <c r="C64" i="16"/>
  <c r="E44" i="16"/>
  <c r="D46" i="16"/>
  <c r="F96" i="10"/>
  <c r="F98" i="10" s="1"/>
  <c r="F98" i="16"/>
  <c r="D76" i="16"/>
  <c r="D77" i="16" s="1"/>
  <c r="D104" i="16" s="1"/>
  <c r="F61" i="16"/>
  <c r="F11" i="13" s="1"/>
  <c r="F38" i="16"/>
  <c r="E64" i="16"/>
  <c r="E68" i="16" s="1"/>
  <c r="E65" i="16"/>
  <c r="E71" i="16" s="1"/>
  <c r="E74" i="16" s="1"/>
  <c r="I35" i="9"/>
  <c r="G34" i="10"/>
  <c r="G38" i="10" s="1"/>
  <c r="G44" i="10" s="1"/>
  <c r="G46" i="10" s="1"/>
  <c r="G54" i="10" s="1"/>
  <c r="G83" i="10" s="1"/>
  <c r="G86" i="10"/>
  <c r="H34" i="15"/>
  <c r="I35" i="15"/>
  <c r="H96" i="16" s="1"/>
  <c r="H35" i="15"/>
  <c r="G96" i="16" s="1"/>
  <c r="I36" i="15"/>
  <c r="G34" i="15"/>
  <c r="G37" i="15" s="1"/>
  <c r="F65" i="10"/>
  <c r="E71" i="10"/>
  <c r="E68" i="10"/>
  <c r="D76" i="10"/>
  <c r="D26" i="13" s="1"/>
  <c r="C104" i="10"/>
  <c r="C103" i="10" s="1"/>
  <c r="C105" i="10" s="1"/>
  <c r="C107" i="10" s="1"/>
  <c r="F64" i="10"/>
  <c r="G34" i="9"/>
  <c r="G37" i="9" s="1"/>
  <c r="I36" i="9"/>
  <c r="H96" i="10" s="1"/>
  <c r="H98" i="10" s="1"/>
  <c r="H35" i="9"/>
  <c r="H79" i="9"/>
  <c r="H15" i="11"/>
  <c r="H28" i="11" s="1"/>
  <c r="H16" i="11"/>
  <c r="H29" i="11" s="1"/>
  <c r="H30" i="11" s="1"/>
  <c r="H8" i="11"/>
  <c r="H24" i="11" s="1"/>
  <c r="H9" i="11"/>
  <c r="H25" i="11" s="1"/>
  <c r="H26" i="11" s="1"/>
  <c r="H34" i="9"/>
  <c r="H34" i="10"/>
  <c r="G87" i="10" l="1"/>
  <c r="G93" i="10" s="1"/>
  <c r="E18" i="13"/>
  <c r="E21" i="13"/>
  <c r="E15" i="13"/>
  <c r="E14" i="13"/>
  <c r="C68" i="16"/>
  <c r="C18" i="13" s="1"/>
  <c r="C14" i="13"/>
  <c r="C71" i="16"/>
  <c r="C15" i="13"/>
  <c r="C46" i="16"/>
  <c r="F44" i="16"/>
  <c r="D54" i="16"/>
  <c r="E46" i="16"/>
  <c r="G61" i="16"/>
  <c r="G38" i="16"/>
  <c r="E76" i="16"/>
  <c r="E77" i="16" s="1"/>
  <c r="E104" i="16" s="1"/>
  <c r="G96" i="10"/>
  <c r="G98" i="10" s="1"/>
  <c r="G98" i="16"/>
  <c r="H61" i="16"/>
  <c r="H38" i="16"/>
  <c r="H86" i="10"/>
  <c r="G61" i="10"/>
  <c r="G11" i="13" s="1"/>
  <c r="H98" i="16"/>
  <c r="F64" i="16"/>
  <c r="F68" i="16" s="1"/>
  <c r="F65" i="16"/>
  <c r="F71" i="16" s="1"/>
  <c r="F74" i="16" s="1"/>
  <c r="H37" i="15"/>
  <c r="E74" i="10"/>
  <c r="E24" i="13" s="1"/>
  <c r="D77" i="10"/>
  <c r="D27" i="13" s="1"/>
  <c r="E35" i="11"/>
  <c r="F71" i="10"/>
  <c r="F68" i="10"/>
  <c r="H37" i="9"/>
  <c r="H38" i="10"/>
  <c r="H44" i="10" s="1"/>
  <c r="H46" i="10" s="1"/>
  <c r="H54" i="10" s="1"/>
  <c r="H83" i="10" s="1"/>
  <c r="H61" i="10"/>
  <c r="H87" i="10" l="1"/>
  <c r="H93" i="10" s="1"/>
  <c r="F18" i="13"/>
  <c r="H11" i="13"/>
  <c r="G65" i="10"/>
  <c r="G71" i="10" s="1"/>
  <c r="F15" i="13"/>
  <c r="F35" i="11"/>
  <c r="F21" i="13"/>
  <c r="F14" i="13"/>
  <c r="C74" i="16"/>
  <c r="C21" i="13"/>
  <c r="C54" i="16"/>
  <c r="F46" i="16"/>
  <c r="G44" i="16"/>
  <c r="D83" i="16"/>
  <c r="D87" i="16" s="1"/>
  <c r="D93" i="16" s="1"/>
  <c r="D103" i="16" s="1"/>
  <c r="D105" i="16" s="1"/>
  <c r="D107" i="16" s="1"/>
  <c r="E54" i="16"/>
  <c r="H44" i="16"/>
  <c r="F76" i="16"/>
  <c r="F77" i="16" s="1"/>
  <c r="F104" i="16" s="1"/>
  <c r="H65" i="16"/>
  <c r="H71" i="16" s="1"/>
  <c r="H74" i="16" s="1"/>
  <c r="H64" i="16"/>
  <c r="H68" i="16" s="1"/>
  <c r="G64" i="10"/>
  <c r="G68" i="10" s="1"/>
  <c r="G65" i="16"/>
  <c r="G71" i="16" s="1"/>
  <c r="G74" i="16" s="1"/>
  <c r="G64" i="16"/>
  <c r="G68" i="16" s="1"/>
  <c r="D104" i="10"/>
  <c r="D103" i="10" s="1"/>
  <c r="D105" i="10" s="1"/>
  <c r="D107" i="10" s="1"/>
  <c r="E76" i="10"/>
  <c r="E26" i="13" s="1"/>
  <c r="H65" i="10"/>
  <c r="F74" i="10"/>
  <c r="F24" i="13" s="1"/>
  <c r="H64" i="10"/>
  <c r="G21" i="13" l="1"/>
  <c r="H14" i="13"/>
  <c r="G35" i="11"/>
  <c r="G18" i="13"/>
  <c r="G15" i="13"/>
  <c r="H15" i="13"/>
  <c r="G14" i="13"/>
  <c r="C76" i="16"/>
  <c r="C24" i="13"/>
  <c r="C83" i="16"/>
  <c r="C87" i="16" s="1"/>
  <c r="C93" i="16" s="1"/>
  <c r="E83" i="16"/>
  <c r="E87" i="16" s="1"/>
  <c r="E93" i="16" s="1"/>
  <c r="E103" i="16" s="1"/>
  <c r="E105" i="16" s="1"/>
  <c r="E107" i="16" s="1"/>
  <c r="G46" i="16"/>
  <c r="H46" i="16"/>
  <c r="F54" i="16"/>
  <c r="G76" i="16"/>
  <c r="G77" i="16" s="1"/>
  <c r="G104" i="16" s="1"/>
  <c r="H76" i="16"/>
  <c r="H77" i="16" s="1"/>
  <c r="H104" i="16" s="1"/>
  <c r="H71" i="10"/>
  <c r="F76" i="10"/>
  <c r="F26" i="13" s="1"/>
  <c r="G74" i="10"/>
  <c r="G24" i="13" s="1"/>
  <c r="E77" i="10"/>
  <c r="E27" i="13" s="1"/>
  <c r="H68" i="10"/>
  <c r="H18" i="13" s="1"/>
  <c r="C57" i="10"/>
  <c r="C81" i="10" s="1"/>
  <c r="H74" i="10" l="1"/>
  <c r="H24" i="13" s="1"/>
  <c r="H21" i="13"/>
  <c r="C77" i="16"/>
  <c r="C26" i="13"/>
  <c r="H54" i="16"/>
  <c r="F83" i="16"/>
  <c r="F87" i="16" s="1"/>
  <c r="F93" i="16" s="1"/>
  <c r="F103" i="16" s="1"/>
  <c r="F105" i="16" s="1"/>
  <c r="F107" i="16" s="1"/>
  <c r="G54" i="16"/>
  <c r="H35" i="11"/>
  <c r="H76" i="10"/>
  <c r="H26" i="13" s="1"/>
  <c r="G76" i="10"/>
  <c r="G26" i="13" s="1"/>
  <c r="E104" i="10"/>
  <c r="E103" i="10" s="1"/>
  <c r="E105" i="10" s="1"/>
  <c r="E107" i="10" s="1"/>
  <c r="F77" i="10"/>
  <c r="F27" i="13" s="1"/>
  <c r="C104" i="16" l="1"/>
  <c r="C103" i="16" s="1"/>
  <c r="C105" i="16" s="1"/>
  <c r="C107" i="16" s="1"/>
  <c r="C27" i="13"/>
  <c r="H83" i="16"/>
  <c r="H87" i="16" s="1"/>
  <c r="H93" i="16" s="1"/>
  <c r="H103" i="16" s="1"/>
  <c r="H105" i="16" s="1"/>
  <c r="H107" i="16" s="1"/>
  <c r="G83" i="16"/>
  <c r="G87" i="16" s="1"/>
  <c r="G93" i="16" s="1"/>
  <c r="G103" i="16" s="1"/>
  <c r="G105" i="16" s="1"/>
  <c r="G107" i="16" s="1"/>
  <c r="F104" i="10"/>
  <c r="F103" i="10" s="1"/>
  <c r="F105" i="10" s="1"/>
  <c r="F107" i="10" s="1"/>
  <c r="G77" i="10"/>
  <c r="G27" i="13" s="1"/>
  <c r="H77" i="10"/>
  <c r="H27" i="13" s="1"/>
  <c r="G104" i="10" l="1"/>
  <c r="G103" i="10" s="1"/>
  <c r="G105" i="10" s="1"/>
  <c r="G107" i="10" s="1"/>
  <c r="H104" i="10"/>
  <c r="H103" i="10" s="1"/>
  <c r="H105" i="10" s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<sst xmlns="http://schemas.openxmlformats.org/spreadsheetml/2006/main" count="402" uniqueCount="215">
  <si>
    <t>Unit settings</t>
  </si>
  <si>
    <t>6-MONTHS PLAN</t>
  </si>
  <si>
    <t>Sales assumptions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</si>
  <si>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</si>
  <si>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</si>
  <si>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</si>
  <si>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</si>
  <si>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</si>
  <si>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</si>
  <si>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</si>
  <si>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</si>
  <si>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</si>
  <si>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</si>
  <si>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</si>
  <si>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</si>
  <si>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</si>
  <si>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</si>
  <si>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</si>
  <si>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</si>
  <si>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</si>
  <si>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</si>
  <si>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</si>
  <si>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</si>
  <si>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</si>
  <si>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</si>
  <si>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</si>
  <si>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</si>
  <si>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</si>
  <si>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</si>
  <si>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</si>
  <si>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</si>
  <si>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</si>
  <si>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</si>
  <si>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</si>
  <si>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</si>
  <si>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</si>
  <si>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</si>
  <si>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</si>
  <si>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</si>
  <si>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</si>
  <si>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</si>
  <si>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</si>
  <si>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</si>
  <si>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</si>
  <si>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</si>
  <si>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</si>
  <si>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</si>
  <si>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</si>
  <si>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</si>
  <si>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</si>
  <si>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</si>
  <si>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</si>
  <si>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</si>
  <si>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</si>
  <si>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</si>
  <si>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</si>
  <si>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</si>
  <si>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</si>
  <si>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</si>
  <si>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</si>
  <si>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</si>
  <si>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</si>
  <si>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</si>
  <si>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</si>
  <si>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</si>
  <si>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</si>
  <si>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</si>
  <si>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</si>
  <si>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</si>
  <si>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</si>
  <si>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</si>
  <si>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</si>
  <si>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</si>
  <si>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</si>
  <si>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</si>
  <si>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</si>
  <si>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</si>
  <si>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</si>
  <si>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</si>
  <si>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</si>
  <si>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</si>
  <si>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</si>
  <si>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</si>
  <si>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</si>
  <si>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</si>
  <si>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</si>
  <si>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</si>
  <si>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</si>
  <si>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</si>
  <si>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</si>
  <si>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</si>
  <si>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</si>
  <si>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</si>
  <si>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</si>
  <si>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</si>
  <si>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</si>
  <si>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</si>
  <si>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</si>
  <si>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</si>
  <si>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</si>
  <si>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</si>
  <si>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</si>
  <si>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</si>
  <si>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</si>
  <si>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</si>
  <si>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</si>
  <si>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</si>
  <si>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</si>
  <si>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</si>
  <si>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</si>
  <si>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</si>
  <si>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</si>
  <si>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</si>
  <si>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</si>
  <si>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</si>
  <si>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</si>
  <si>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</si>
  <si>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</si>
  <si>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</si>
  <si>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</si>
  <si>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</si>
  <si>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</si>
  <si>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</si>
  <si>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</si>
  <si>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</si>
  <si>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</si>
  <si>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</si>
  <si>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</si>
  <si>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</si>
  <si>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</si>
  <si>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</si>
  <si>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</si>
  <si>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</si>
  <si>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</si>
  <si>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</si>
  <si>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</si>
  <si>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</si>
  <si>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</si>
  <si>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</si>
  <si>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</si>
  <si>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</si>
  <si>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</si>
  <si>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</si>
  <si>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</si>
  <si>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</si>
  <si>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</si>
  <si>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</si>
  <si>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</si>
  <si>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</si>
  <si>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</si>
  <si>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</si>
  <si>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</si>
  <si>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</si>
  <si>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</si>
  <si>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</si>
  <si>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</si>
  <si>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</si>
  <si>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</si>
  <si>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</si>
  <si>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</si>
  <si>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</si>
  <si>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</si>
  <si>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</si>
  <si>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</si>
  <si>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</si>
  <si>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</si>
  <si>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</si>
  <si>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</si>
  <si>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</si>
  <si>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</si>
  <si>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</si>
  <si>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</si>
  <si>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</si>
  <si>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</si>
  <si>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</si>
  <si>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</si>
  <si>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</si>
  <si>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</si>
  <si>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</si>
  <si>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</si>
  <si>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</si>
  <si>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</si>
  <si>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</si>
  <si>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</si>
  <si>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</si>
  <si>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</si>
  <si>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</si>
  <si>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</si>
  <si>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Contribution ratio A @ sales</t>
  </si>
  <si>
    <t>Contribution ratio B @ sales</t>
  </si>
  <si>
    <t xml:space="preserve"> S&amp;A assumptions </t>
  </si>
  <si>
    <t xml:space="preserve">Sales </t>
  </si>
  <si>
    <t xml:space="preserve"> Production &amp; Raw </t>
  </si>
  <si>
    <t>! Suppliers increased their price due to disruption of the supply chain that made RM scare</t>
  </si>
  <si>
    <t xml:space="preserve"> Cost of RM for A per kg actual</t>
  </si>
  <si>
    <t xml:space="preserve"> Cost of RM for B per kg actual</t>
  </si>
  <si>
    <t xml:space="preserve">  Advertising  actual</t>
  </si>
  <si>
    <t xml:space="preserve">  Executive salaries actual</t>
  </si>
  <si>
    <t>! All other items remained constant</t>
  </si>
  <si>
    <t xml:space="preserve"> Actual Sales growth per month </t>
  </si>
  <si>
    <t xml:space="preserve"> Budgeted sales growth</t>
  </si>
  <si>
    <t xml:space="preserve"> Cost of RM for A per kg budgeted</t>
  </si>
  <si>
    <t xml:space="preserve"> Cost of RM for B per kg budgeted</t>
  </si>
  <si>
    <t xml:space="preserve">  Advertising  budgeted</t>
  </si>
  <si>
    <t xml:space="preserve">  Executive salaries budgeted</t>
  </si>
  <si>
    <t>Variance analysis</t>
  </si>
  <si>
    <t>! Sales growth of A gradually decreased from 5% to 3%  instead</t>
  </si>
  <si>
    <t xml:space="preserve"> Expected Sales of prod. A growth per month</t>
  </si>
  <si>
    <t xml:space="preserve"> Expected Sales of prod. B growth per month</t>
  </si>
  <si>
    <t>Company Incognito projects the following figures for the next 6 months. You are tasked to make projection analysis based on these assumptions and establish the projected financial statements.</t>
  </si>
  <si>
    <t>Compagny Incognito, by eliediwambuena</t>
  </si>
  <si>
    <t>Costs of RM A</t>
  </si>
  <si>
    <t xml:space="preserve">After the six months periods, Company Incognito has realized the following figures. You are tasked to do a budget analysis and explain all the changes that happened. </t>
  </si>
  <si>
    <t xml:space="preserve">
Assume that the actual budget is equal to the flexible budget.</t>
  </si>
  <si>
    <t>Profit &amp; Loss budgeting
Contribution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</si>
</sst>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 * #,##0.00_ ;_ * \-#,##0.00_ ;_ * &quot;-&quot;??_ ;_ @_ "/>
    <numFmt numFmtId="166" formatCode="_(* #,##0_);_(* \(#,##0\);_(* &quot;-&quot;??_);_(@_)"/>
    <numFmt numFmtId="167" formatCode="0.000"/>
    <numFmt numFmtId="168" formatCode="0.0%"/>
    <numFmt numFmtId="169" formatCode="#,##0.0"/>
    <numFmt numFmtId="170" formatCode="&quot;€&quot;\ #,##0.00;[Red]&quot;€&quot;\ #,##0.00"/>
    <numFmt numFmtId="171" formatCode="0.00_);\(0.00\)"/>
    <numFmt numFmtId="173" formatCode="0.0000_);\(0.00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166" fontId="3" fillId="2" borderId="0" xfId="0" applyNumberFormat="1" applyFont="1" applyFill="1"/>
    <xf numFmtId="164" fontId="3" fillId="2" borderId="0" xfId="0" applyNumberFormat="1" applyFont="1" applyFill="1"/>
    <xf numFmtId="166" fontId="4" fillId="2" borderId="0" xfId="0" applyNumberFormat="1" applyFont="1" applyFill="1"/>
    <xf numFmtId="166" fontId="3" fillId="2" borderId="0" xfId="0" quotePrefix="1" applyNumberFormat="1" applyFont="1" applyFill="1"/>
    <xf numFmtId="0" fontId="5" fillId="2" borderId="0" xfId="0" applyFont="1" applyFill="1"/>
    <xf numFmtId="166" fontId="8" fillId="2" borderId="0" xfId="0" applyNumberFormat="1" applyFont="1" applyFill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/>
    <xf numFmtId="10" fontId="8" fillId="2" borderId="0" xfId="0" applyNumberFormat="1" applyFont="1" applyFill="1" applyAlignment="1">
      <alignment horizontal="center"/>
    </xf>
    <xf numFmtId="166" fontId="3" fillId="2" borderId="1" xfId="0" applyNumberFormat="1" applyFont="1" applyFill="1" applyBorder="1"/>
    <xf numFmtId="166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8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10" fontId="5" fillId="2" borderId="0" xfId="0" applyNumberFormat="1" applyFont="1" applyFill="1"/>
    <xf numFmtId="10" fontId="8" fillId="2" borderId="0" xfId="0" applyNumberFormat="1" applyFont="1" applyFill="1" applyAlignment="1">
      <alignment horizontal="center" wrapText="1"/>
    </xf>
    <xf numFmtId="165" fontId="5" fillId="2" borderId="1" xfId="0" applyNumberFormat="1" applyFont="1" applyFill="1" applyBorder="1"/>
    <xf numFmtId="2" fontId="5" fillId="2" borderId="0" xfId="0" applyNumberFormat="1" applyFont="1" applyFill="1"/>
    <xf numFmtId="166" fontId="8" fillId="2" borderId="1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7" fontId="5" fillId="2" borderId="0" xfId="0" applyNumberFormat="1" applyFont="1" applyFill="1"/>
    <xf numFmtId="0" fontId="5" fillId="2" borderId="1" xfId="0" quotePrefix="1" applyFont="1" applyFill="1" applyBorder="1"/>
    <xf numFmtId="2" fontId="5" fillId="2" borderId="1" xfId="0" applyNumberFormat="1" applyFont="1" applyFill="1" applyBorder="1"/>
    <xf numFmtId="164" fontId="5" fillId="2" borderId="0" xfId="0" applyNumberFormat="1" applyFont="1" applyFill="1"/>
    <xf numFmtId="168" fontId="5" fillId="2" borderId="0" xfId="0" applyNumberFormat="1" applyFont="1" applyFill="1"/>
    <xf numFmtId="166" fontId="3" fillId="2" borderId="1" xfId="0" quotePrefix="1" applyNumberFormat="1" applyFont="1" applyFill="1" applyBorder="1"/>
    <xf numFmtId="0" fontId="11" fillId="2" borderId="1" xfId="0" applyFont="1" applyFill="1" applyBorder="1"/>
    <xf numFmtId="0" fontId="11" fillId="2" borderId="0" xfId="0" applyFont="1" applyFill="1"/>
    <xf numFmtId="169" fontId="12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/>
    <xf numFmtId="170" fontId="3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166" fontId="13" fillId="2" borderId="0" xfId="0" applyNumberFormat="1" applyFont="1" applyFill="1" applyAlignment="1">
      <alignment horizontal="center"/>
    </xf>
    <xf numFmtId="166" fontId="14" fillId="2" borderId="0" xfId="0" quotePrefix="1" applyNumberFormat="1" applyFont="1" applyFill="1"/>
    <xf numFmtId="4" fontId="12" fillId="2" borderId="0" xfId="0" applyNumberFormat="1" applyFont="1" applyFill="1" applyAlignment="1">
      <alignment horizontal="right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2" xfId="0" quotePrefix="1" applyFont="1" applyFill="1" applyBorder="1"/>
    <xf numFmtId="0" fontId="16" fillId="2" borderId="0" xfId="0" applyFont="1" applyFill="1"/>
    <xf numFmtId="0" fontId="16" fillId="2" borderId="2" xfId="0" applyFont="1" applyFill="1" applyBorder="1"/>
    <xf numFmtId="2" fontId="16" fillId="2" borderId="0" xfId="0" applyNumberFormat="1" applyFont="1" applyFill="1"/>
    <xf numFmtId="2" fontId="16" fillId="2" borderId="2" xfId="0" applyNumberFormat="1" applyFont="1" applyFill="1" applyBorder="1"/>
    <xf numFmtId="167" fontId="16" fillId="2" borderId="0" xfId="0" applyNumberFormat="1" applyFont="1" applyFill="1"/>
    <xf numFmtId="0" fontId="11" fillId="2" borderId="1" xfId="0" applyFont="1" applyFill="1" applyBorder="1" applyAlignment="1">
      <alignment wrapText="1"/>
    </xf>
    <xf numFmtId="0" fontId="18" fillId="2" borderId="0" xfId="0" applyFont="1" applyFill="1"/>
    <xf numFmtId="0" fontId="11" fillId="2" borderId="2" xfId="0" applyFont="1" applyFill="1" applyBorder="1"/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quotePrefix="1" applyFont="1" applyFill="1"/>
    <xf numFmtId="2" fontId="15" fillId="2" borderId="0" xfId="0" applyNumberFormat="1" applyFont="1" applyFill="1"/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>
      <alignment vertical="center"/>
    </xf>
    <xf numFmtId="9" fontId="15" fillId="2" borderId="0" xfId="2" applyFont="1" applyFill="1"/>
    <xf numFmtId="168" fontId="15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9" fillId="2" borderId="2" xfId="0" applyFont="1" applyFill="1" applyBorder="1"/>
    <xf numFmtId="164" fontId="5" fillId="2" borderId="2" xfId="0" applyNumberFormat="1" applyFont="1" applyFill="1" applyBorder="1"/>
    <xf numFmtId="0" fontId="19" fillId="3" borderId="1" xfId="0" applyFont="1" applyFill="1" applyBorder="1"/>
    <xf numFmtId="0" fontId="8" fillId="3" borderId="1" xfId="0" applyFont="1" applyFill="1" applyBorder="1"/>
    <xf numFmtId="166" fontId="8" fillId="3" borderId="0" xfId="0" applyNumberFormat="1" applyFont="1" applyFill="1"/>
    <xf numFmtId="0" fontId="8" fillId="3" borderId="0" xfId="0" applyFont="1" applyFill="1" applyAlignment="1">
      <alignment horizontal="right"/>
    </xf>
    <xf numFmtId="10" fontId="8" fillId="3" borderId="0" xfId="0" applyNumberFormat="1" applyFont="1" applyFill="1" applyAlignment="1">
      <alignment horizontal="right"/>
    </xf>
    <xf numFmtId="0" fontId="8" fillId="3" borderId="0" xfId="0" applyFont="1" applyFill="1"/>
    <xf numFmtId="10" fontId="8" fillId="3" borderId="0" xfId="0" applyNumberFormat="1" applyFont="1" applyFill="1" applyAlignment="1">
      <alignment horizontal="center"/>
    </xf>
    <xf numFmtId="166" fontId="8" fillId="3" borderId="1" xfId="0" applyNumberFormat="1" applyFont="1" applyFill="1" applyBorder="1"/>
    <xf numFmtId="166" fontId="3" fillId="3" borderId="0" xfId="0" applyNumberFormat="1" applyFont="1" applyFill="1"/>
    <xf numFmtId="4" fontId="7" fillId="3" borderId="0" xfId="0" applyNumberFormat="1" applyFont="1" applyFill="1" applyAlignment="1">
      <alignment horizontal="right"/>
    </xf>
    <xf numFmtId="0" fontId="20" fillId="2" borderId="0" xfId="0" applyFont="1" applyFill="1"/>
    <xf numFmtId="171" fontId="5" fillId="2" borderId="1" xfId="0" applyNumberFormat="1" applyFont="1" applyFill="1" applyBorder="1"/>
    <xf numFmtId="171" fontId="5" fillId="2" borderId="0" xfId="0" applyNumberFormat="1" applyFont="1" applyFill="1"/>
    <xf numFmtId="171" fontId="3" fillId="2" borderId="0" xfId="0" applyNumberFormat="1" applyFont="1" applyFill="1"/>
    <xf numFmtId="171" fontId="3" fillId="2" borderId="1" xfId="0" applyNumberFormat="1" applyFont="1" applyFill="1" applyBorder="1"/>
    <xf numFmtId="171" fontId="5" fillId="2" borderId="2" xfId="0" applyNumberFormat="1" applyFont="1" applyFill="1" applyBorder="1"/>
    <xf numFmtId="1" fontId="5" fillId="2" borderId="1" xfId="0" applyNumberFormat="1" applyFont="1" applyFill="1" applyBorder="1"/>
    <xf numFmtId="171" fontId="3" fillId="2" borderId="0" xfId="1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21" fillId="2" borderId="0" xfId="0" applyFont="1" applyFill="1"/>
    <xf numFmtId="0" fontId="5" fillId="4" borderId="0" xfId="0" applyFont="1" applyFill="1"/>
    <xf numFmtId="0" fontId="9" fillId="4" borderId="0" xfId="0" applyFont="1" applyFill="1"/>
    <xf numFmtId="10" fontId="8" fillId="5" borderId="0" xfId="0" applyNumberFormat="1" applyFont="1" applyFill="1" applyAlignment="1" applyProtection="1">
      <alignment horizontal="right"/>
      <protection locked="0"/>
    </xf>
    <xf numFmtId="166" fontId="8" fillId="5" borderId="0" xfId="0" applyNumberFormat="1" applyFont="1" applyFill="1"/>
    <xf numFmtId="2" fontId="5" fillId="5" borderId="0" xfId="0" applyNumberFormat="1" applyFont="1" applyFill="1" applyAlignment="1">
      <alignment horizontal="right"/>
    </xf>
    <xf numFmtId="0" fontId="22" fillId="2" borderId="0" xfId="0" applyFont="1" applyFill="1"/>
    <xf numFmtId="0" fontId="9" fillId="2" borderId="0" xfId="0" applyFont="1" applyFill="1" applyProtection="1">
      <protection locked="0"/>
    </xf>
    <xf numFmtId="1" fontId="5" fillId="2" borderId="2" xfId="0" applyNumberFormat="1" applyFont="1" applyFill="1" applyBorder="1"/>
    <xf numFmtId="0" fontId="9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173" fontId="5" fillId="2" borderId="0" xfId="0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3"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Dash'!$B$4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Dash'!$C$4:$H$4</c:f>
              <c:numCache>
                <c:formatCode>_(* #,##0.00_);_(* \(#,##0.00\);_(* "-"??_);_(@_)</c:formatCode>
                <c:ptCount val="6"/>
                <c:pt idx="0">
                  <c:v>23.999700000000001</c:v>
                </c:pt>
                <c:pt idx="1">
                  <c:v>25.199685000000002</c:v>
                </c:pt>
                <c:pt idx="2">
                  <c:v>26.459669250000005</c:v>
                </c:pt>
                <c:pt idx="3">
                  <c:v>27.782652712500006</c:v>
                </c:pt>
                <c:pt idx="4">
                  <c:v>29.171785348125006</c:v>
                </c:pt>
                <c:pt idx="5">
                  <c:v>30.63037461553126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'Proj. Dash'!$B$5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Dash'!$C$5:$H$5</c:f>
              <c:numCache>
                <c:formatCode>_(* #,##0.00_);_(* \(#,##0.00\);_(* "-"??_);_(@_)</c:formatCode>
                <c:ptCount val="6"/>
                <c:pt idx="0">
                  <c:v>10.867290731707318</c:v>
                </c:pt>
                <c:pt idx="1">
                  <c:v>10.359240731707317</c:v>
                </c:pt>
                <c:pt idx="2">
                  <c:v>10.842788231707322</c:v>
                </c:pt>
                <c:pt idx="3">
                  <c:v>11.446240911585368</c:v>
                </c:pt>
                <c:pt idx="4">
                  <c:v>11.969902030335373</c:v>
                </c:pt>
                <c:pt idx="5">
                  <c:v>12.519746205022871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'Proj. Dash'!$B$6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Dash'!$C$6:$H$6</c:f>
              <c:numCache>
                <c:formatCode>0.00</c:formatCode>
                <c:ptCount val="6"/>
                <c:pt idx="0">
                  <c:v>6.5853658536585371</c:v>
                </c:pt>
                <c:pt idx="1">
                  <c:v>7.1341463414634152</c:v>
                </c:pt>
                <c:pt idx="2">
                  <c:v>7.6920731707317076</c:v>
                </c:pt>
                <c:pt idx="3">
                  <c:v>8.2596036585365873</c:v>
                </c:pt>
                <c:pt idx="4">
                  <c:v>8.8372179878048787</c:v>
                </c:pt>
                <c:pt idx="5">
                  <c:v>9.4254203506097571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'Proj. Dash'!$B$7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Dash'!$C$7:$H$7</c:f>
              <c:numCache>
                <c:formatCode>0.00</c:formatCode>
                <c:ptCount val="6"/>
                <c:pt idx="0">
                  <c:v>6.5470434146341461</c:v>
                </c:pt>
                <c:pt idx="1">
                  <c:v>7.7062979268292722</c:v>
                </c:pt>
                <c:pt idx="2">
                  <c:v>7.9248078475609738</c:v>
                </c:pt>
                <c:pt idx="3">
                  <c:v>8.0768081423780522</c:v>
                </c:pt>
                <c:pt idx="4">
                  <c:v>8.3646653299847529</c:v>
                </c:pt>
                <c:pt idx="5">
                  <c:v>8.6852080598986312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'Proj. Dash'!$B$10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Dash'!$C$10:$H$10</c:f>
              <c:numCache>
                <c:formatCode>0.00</c:formatCode>
                <c:ptCount val="6"/>
                <c:pt idx="0">
                  <c:v>4.3998900000000001</c:v>
                </c:pt>
                <c:pt idx="1">
                  <c:v>4.6198845000000013</c:v>
                </c:pt>
                <c:pt idx="2">
                  <c:v>4.8508787250000012</c:v>
                </c:pt>
                <c:pt idx="3">
                  <c:v>5.0934226612500018</c:v>
                </c:pt>
                <c:pt idx="4">
                  <c:v>5.3480937943125015</c:v>
                </c:pt>
                <c:pt idx="5">
                  <c:v>5.6154984840281266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'Proj. Dash'!$B$11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Dash'!$C$11:$H$11</c:f>
              <c:numCache>
                <c:formatCode>0.00</c:formatCode>
                <c:ptCount val="6"/>
                <c:pt idx="0">
                  <c:v>0.74610826829268306</c:v>
                </c:pt>
                <c:pt idx="1">
                  <c:v>0.72437501829268314</c:v>
                </c:pt>
                <c:pt idx="2">
                  <c:v>0.74506010579268322</c:v>
                </c:pt>
                <c:pt idx="3">
                  <c:v>0.80479464278963442</c:v>
                </c:pt>
                <c:pt idx="4">
                  <c:v>0.82719570175838453</c:v>
                </c:pt>
                <c:pt idx="5">
                  <c:v>0.85071681367557206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'Proj. Dash'!$B$12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Dash'!$C$12:$H$12</c:f>
              <c:numCache>
                <c:formatCode>0.00</c:formatCode>
                <c:ptCount val="6"/>
                <c:pt idx="0">
                  <c:v>2.4146341463414642</c:v>
                </c:pt>
                <c:pt idx="1">
                  <c:v>2.6158536585365861</c:v>
                </c:pt>
                <c:pt idx="2">
                  <c:v>2.8204268292682935</c:v>
                </c:pt>
                <c:pt idx="3">
                  <c:v>3.0285213414634158</c:v>
                </c:pt>
                <c:pt idx="4">
                  <c:v>3.2403132621951229</c:v>
                </c:pt>
                <c:pt idx="5">
                  <c:v>3.4559874618902451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'Proj. Dash'!$B$13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Dash'!$C$13:$H$13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'Proj. Dash'!$B$14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Dash'!$C$14:$H$14</c:f>
              <c:numCache>
                <c:formatCode>0.00</c:formatCode>
                <c:ptCount val="6"/>
                <c:pt idx="0">
                  <c:v>1.2391475853658527</c:v>
                </c:pt>
                <c:pt idx="1">
                  <c:v>1.279655823170732</c:v>
                </c:pt>
                <c:pt idx="2">
                  <c:v>1.2853917899390246</c:v>
                </c:pt>
                <c:pt idx="3">
                  <c:v>1.2601066769969513</c:v>
                </c:pt>
                <c:pt idx="4">
                  <c:v>1.2805848303589942</c:v>
                </c:pt>
                <c:pt idx="5">
                  <c:v>1.3087942084623094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'Proj. Dash'!$B$9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Dash'!$C$9:$H$9</c:f>
              <c:numCache>
                <c:formatCode>0.0%</c:formatCode>
                <c:ptCount val="6"/>
                <c:pt idx="0">
                  <c:v>0.27279688557082571</c:v>
                </c:pt>
                <c:pt idx="1">
                  <c:v>0.30580929590307465</c:v>
                </c:pt>
                <c:pt idx="2">
                  <c:v>0.2995051741835727</c:v>
                </c:pt>
                <c:pt idx="3">
                  <c:v>0.29071407348889061</c:v>
                </c:pt>
                <c:pt idx="4">
                  <c:v>0.28673820371855935</c:v>
                </c:pt>
                <c:pt idx="5">
                  <c:v>0.28354886836724352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'Proj. Dash'!$B$16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Dash'!$C$16:$H$16</c:f>
              <c:numCache>
                <c:formatCode>0.0%</c:formatCode>
                <c:ptCount val="6"/>
                <c:pt idx="0">
                  <c:v>0.28163149200681215</c:v>
                </c:pt>
                <c:pt idx="1">
                  <c:v>0.27698870462470038</c:v>
                </c:pt>
                <c:pt idx="2">
                  <c:v>0.2649812256312436</c:v>
                </c:pt>
                <c:pt idx="3">
                  <c:v>0.24739880445886703</c:v>
                </c:pt>
                <c:pt idx="4">
                  <c:v>0.23944696551897582</c:v>
                </c:pt>
                <c:pt idx="5">
                  <c:v>0.23306821508096662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Dash'!$B$24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Dash'!$C$24:$H$24</c:f>
              <c:numCache>
                <c:formatCode>_(* #,##0.00_);_(* \(#,##0.00\);_(* "-"??_);_(@_)</c:formatCode>
                <c:ptCount val="6"/>
                <c:pt idx="0">
                  <c:v>0.35707795564991207</c:v>
                </c:pt>
                <c:pt idx="1">
                  <c:v>0.43532575976858184</c:v>
                </c:pt>
                <c:pt idx="2">
                  <c:v>0.44448869521601331</c:v>
                </c:pt>
                <c:pt idx="3">
                  <c:v>0.45792989133836465</c:v>
                </c:pt>
                <c:pt idx="4">
                  <c:v>0.46427947987694085</c:v>
                </c:pt>
                <c:pt idx="5">
                  <c:v>0.46950165891996987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'Proj. Dash'!$B$25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Dash'!$C$25:$H$25</c:f>
              <c:numCache>
                <c:formatCode>_(* #,##0.00_);_(* \(#,##0.00\);_(* "-"??_);_(@_)</c:formatCode>
                <c:ptCount val="6"/>
                <c:pt idx="0">
                  <c:v>2.8565879374037317</c:v>
                </c:pt>
                <c:pt idx="1">
                  <c:v>2.5482164967604963</c:v>
                </c:pt>
                <c:pt idx="2">
                  <c:v>2.6018525216038428</c:v>
                </c:pt>
                <c:pt idx="3">
                  <c:v>2.6805317105252078</c:v>
                </c:pt>
                <c:pt idx="4">
                  <c:v>2.7176995690738091</c:v>
                </c:pt>
                <c:pt idx="5">
                  <c:v>2.7482680398979524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'Proj. Dash'!$B$28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Dash'!$C$28:$H$28</c:f>
              <c:numCache>
                <c:formatCode>_(* #,##0.00_);_(* \(#,##0.00\);_(* "-"??_);_(@_)</c:formatCode>
                <c:ptCount val="6"/>
                <c:pt idx="0">
                  <c:v>0.18559466344130673</c:v>
                </c:pt>
                <c:pt idx="1">
                  <c:v>0.96125456370926332</c:v>
                </c:pt>
                <c:pt idx="2">
                  <c:v>1.0048132873645235</c:v>
                </c:pt>
                <c:pt idx="3">
                  <c:v>1.076224507223432</c:v>
                </c:pt>
                <c:pt idx="4">
                  <c:v>1.1119650476226643</c:v>
                </c:pt>
                <c:pt idx="5">
                  <c:v>1.1423979727304914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'Proj. Dash'!$B$29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Dash'!$C$29:$H$29</c:f>
              <c:numCache>
                <c:formatCode>_(* #,##0.00_);_(* \(#,##0.00\);_(* "-"??_);_(@_)</c:formatCode>
                <c:ptCount val="6"/>
                <c:pt idx="0">
                  <c:v>0.74236009429888283</c:v>
                </c:pt>
                <c:pt idx="1">
                  <c:v>0.75480327346557152</c:v>
                </c:pt>
                <c:pt idx="2">
                  <c:v>0.78900677006703646</c:v>
                </c:pt>
                <c:pt idx="3">
                  <c:v>0.84508080554800258</c:v>
                </c:pt>
                <c:pt idx="4">
                  <c:v>0.87314525164505996</c:v>
                </c:pt>
                <c:pt idx="5">
                  <c:v>0.89704201360568048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299086</xdr:colOff>
      <xdr:row>24</xdr:row>
      <xdr:rowOff>290177</xdr:rowOff>
    </xdr:from>
    <xdr:to>
      <xdr:col>16</xdr:col>
      <xdr:colOff>355600</xdr:colOff>
      <xdr:row>36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379667</xdr:colOff>
      <xdr:row>2</xdr:row>
      <xdr:rowOff>38101</xdr:rowOff>
    </xdr:from>
    <xdr:to>
      <xdr:col>17</xdr:col>
      <xdr:colOff>609600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O63"/>
  <sheetViews>
    <sheetView topLeftCell="A15" workbookViewId="0">
      <selection activeCell="F54" sqref="F54"/>
    </sheetView>
  </sheetViews>
  <sheetFormatPr baseColWidth="10" defaultColWidth="9" defaultRowHeight="16" x14ac:dyDescent="0.2"/>
  <cols>
    <col min="1" max="1" width="9" style="5"/>
    <col min="2" max="2" width="41.1640625" style="5" customWidth="1"/>
    <col min="3" max="3" width="9.1640625" style="5" bestFit="1" customWidth="1"/>
    <col min="4" max="4" width="12" style="5" customWidth="1"/>
    <col min="5" max="5" width="9" style="5"/>
    <col min="6" max="6" width="9.1640625" style="5" bestFit="1" customWidth="1"/>
    <col min="7" max="16384" width="9" style="5"/>
  </cols>
  <sheetData>
    <row r="1" spans="2:14" ht="20" x14ac:dyDescent="0.2">
      <c r="B1" s="31" t="s">
        <v>210</v>
      </c>
    </row>
    <row r="2" spans="2:14" ht="20" x14ac:dyDescent="0.2">
      <c r="B2" s="31"/>
    </row>
    <row r="3" spans="2:14" x14ac:dyDescent="0.2">
      <c r="B3" s="87" t="s">
        <v>209</v>
      </c>
    </row>
    <row r="5" spans="2:14" x14ac:dyDescent="0.2">
      <c r="B5" s="5" t="s">
        <v>0</v>
      </c>
      <c r="C5" s="5">
        <v>1000000</v>
      </c>
    </row>
    <row r="7" spans="2:14" x14ac:dyDescent="0.2">
      <c r="C7" s="90" t="s">
        <v>1</v>
      </c>
      <c r="D7" s="90"/>
      <c r="E7" s="90"/>
      <c r="F7" s="90"/>
      <c r="G7" s="90"/>
      <c r="H7" s="90"/>
    </row>
    <row r="8" spans="2:14" ht="18" x14ac:dyDescent="0.2">
      <c r="B8" s="7" t="s">
        <v>2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</row>
    <row r="9" spans="2:14" x14ac:dyDescent="0.2">
      <c r="B9" s="85" t="s">
        <v>207</v>
      </c>
      <c r="C9" s="86" cm="1">
        <f t="array" ref="C9">3000000/unit</f>
        <v>3</v>
      </c>
      <c r="D9" s="84">
        <v>0.05</v>
      </c>
      <c r="E9" s="84">
        <v>0.05</v>
      </c>
      <c r="F9" s="84">
        <v>0.05</v>
      </c>
      <c r="G9" s="84">
        <v>0.05</v>
      </c>
      <c r="H9" s="84">
        <v>0.05</v>
      </c>
      <c r="J9" s="15"/>
      <c r="K9" s="15"/>
      <c r="L9" s="15"/>
      <c r="M9" s="15"/>
      <c r="N9" s="15"/>
    </row>
    <row r="10" spans="2:14" x14ac:dyDescent="0.2">
      <c r="B10" s="85" t="s">
        <v>208</v>
      </c>
      <c r="C10" s="86" cm="1">
        <f t="array" ref="C10">1100000/unit</f>
        <v>1.1000000000000001</v>
      </c>
      <c r="D10" s="84">
        <v>0.05</v>
      </c>
      <c r="E10" s="84">
        <v>0.05</v>
      </c>
      <c r="F10" s="84">
        <v>0.05</v>
      </c>
      <c r="G10" s="84">
        <v>0.05</v>
      </c>
      <c r="H10" s="84">
        <v>0.05</v>
      </c>
    </row>
    <row r="11" spans="2:14" x14ac:dyDescent="0.2">
      <c r="B11" s="6"/>
      <c r="C11" s="14"/>
      <c r="D11" s="15"/>
      <c r="E11" s="15"/>
      <c r="F11" s="15"/>
      <c r="G11" s="15"/>
      <c r="H11" s="15"/>
    </row>
    <row r="12" spans="2:14" x14ac:dyDescent="0.2">
      <c r="B12" s="6" t="s">
        <v>3</v>
      </c>
      <c r="C12" s="34">
        <v>8</v>
      </c>
      <c r="D12" s="34">
        <v>8</v>
      </c>
      <c r="E12" s="34">
        <v>8</v>
      </c>
      <c r="F12" s="34">
        <v>8</v>
      </c>
      <c r="G12" s="34">
        <v>8</v>
      </c>
      <c r="H12" s="34">
        <v>8</v>
      </c>
    </row>
    <row r="13" spans="2:14" x14ac:dyDescent="0.2">
      <c r="B13" s="6" t="s">
        <v>4</v>
      </c>
      <c r="C13" s="35">
        <v>4</v>
      </c>
      <c r="D13" s="35">
        <v>4</v>
      </c>
      <c r="E13" s="35">
        <v>4</v>
      </c>
      <c r="F13" s="35">
        <v>4</v>
      </c>
      <c r="G13" s="35">
        <v>4</v>
      </c>
      <c r="H13" s="35">
        <v>4</v>
      </c>
    </row>
    <row r="14" spans="2:14" x14ac:dyDescent="0.2">
      <c r="B14" s="6"/>
      <c r="D14" s="11"/>
      <c r="E14" s="11"/>
      <c r="F14" s="11"/>
      <c r="G14" s="11"/>
      <c r="H14" s="11"/>
    </row>
    <row r="15" spans="2:14" x14ac:dyDescent="0.2">
      <c r="B15" s="6" t="s">
        <v>5</v>
      </c>
      <c r="C15" s="16">
        <v>0.9</v>
      </c>
      <c r="D15" s="91" t="s">
        <v>6</v>
      </c>
      <c r="E15" s="11"/>
      <c r="F15" s="11"/>
      <c r="G15" s="11"/>
      <c r="H15" s="11"/>
    </row>
    <row r="16" spans="2:14" x14ac:dyDescent="0.2">
      <c r="B16" s="6" t="s">
        <v>7</v>
      </c>
      <c r="C16" s="17">
        <v>0.05</v>
      </c>
      <c r="D16" s="91"/>
      <c r="E16" s="11"/>
      <c r="F16" s="11"/>
      <c r="G16" s="11"/>
      <c r="H16" s="11"/>
    </row>
    <row r="17" spans="2:9" x14ac:dyDescent="0.2">
      <c r="B17" s="6" t="s">
        <v>8</v>
      </c>
      <c r="C17" s="17">
        <v>0.05</v>
      </c>
      <c r="D17" s="91"/>
      <c r="E17" s="11"/>
      <c r="F17" s="11"/>
      <c r="G17" s="11"/>
      <c r="H17" s="11"/>
    </row>
    <row r="18" spans="2:9" x14ac:dyDescent="0.2">
      <c r="B18" s="6"/>
      <c r="C18" s="17"/>
      <c r="D18" s="18"/>
      <c r="E18" s="11"/>
      <c r="F18" s="11"/>
      <c r="G18" s="11"/>
      <c r="H18" s="11"/>
    </row>
    <row r="19" spans="2:9" x14ac:dyDescent="0.2">
      <c r="B19" s="6" t="s">
        <v>9</v>
      </c>
      <c r="C19" s="17">
        <v>1E-4</v>
      </c>
      <c r="D19" s="17">
        <v>1E-4</v>
      </c>
      <c r="E19" s="17">
        <v>1E-4</v>
      </c>
      <c r="F19" s="17">
        <v>1E-4</v>
      </c>
      <c r="G19" s="17">
        <v>1E-4</v>
      </c>
      <c r="H19" s="17">
        <v>1E-4</v>
      </c>
    </row>
    <row r="20" spans="2:9" x14ac:dyDescent="0.2">
      <c r="B20" s="6"/>
      <c r="D20" s="11"/>
      <c r="E20" s="11"/>
      <c r="F20" s="11"/>
      <c r="G20" s="11"/>
      <c r="H20" s="11"/>
    </row>
    <row r="21" spans="2:9" x14ac:dyDescent="0.2">
      <c r="B21" s="21" t="s">
        <v>10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</row>
    <row r="22" spans="2:9" x14ac:dyDescent="0.2">
      <c r="B22" s="6" t="s">
        <v>11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/>
    </row>
    <row r="23" spans="2:9" x14ac:dyDescent="0.2">
      <c r="B23" s="6" t="s">
        <v>12</v>
      </c>
      <c r="C23" s="5">
        <v>1.5</v>
      </c>
      <c r="D23" s="5">
        <v>1.5</v>
      </c>
      <c r="E23" s="5">
        <v>1.5</v>
      </c>
      <c r="F23" s="5">
        <v>1.5</v>
      </c>
      <c r="G23" s="5">
        <v>1.5</v>
      </c>
      <c r="H23" s="5">
        <v>1.5</v>
      </c>
    </row>
    <row r="24" spans="2:9" x14ac:dyDescent="0.2">
      <c r="B24" s="6" t="s">
        <v>13</v>
      </c>
      <c r="C24" s="5">
        <v>0.5</v>
      </c>
      <c r="D24" s="5">
        <v>0.5</v>
      </c>
      <c r="E24" s="5">
        <v>0.5</v>
      </c>
      <c r="F24" s="5">
        <v>0.5</v>
      </c>
      <c r="G24" s="5">
        <v>0.5</v>
      </c>
      <c r="H24" s="5">
        <v>0.5</v>
      </c>
    </row>
    <row r="25" spans="2:9" x14ac:dyDescent="0.2">
      <c r="B25" s="6" t="s">
        <v>14</v>
      </c>
      <c r="C25" s="22">
        <v>0.1</v>
      </c>
      <c r="D25" s="22">
        <v>0.1</v>
      </c>
      <c r="E25" s="22">
        <v>0.1</v>
      </c>
      <c r="F25" s="22">
        <v>0.1</v>
      </c>
      <c r="G25" s="22">
        <v>0.1</v>
      </c>
      <c r="H25" s="22">
        <v>0.1</v>
      </c>
    </row>
    <row r="26" spans="2:9" x14ac:dyDescent="0.2">
      <c r="B26" s="6" t="s">
        <v>15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</row>
    <row r="27" spans="2:9" x14ac:dyDescent="0.2">
      <c r="B27" s="6" t="s">
        <v>16</v>
      </c>
      <c r="C27" s="5">
        <v>0.7</v>
      </c>
      <c r="D27" s="5">
        <v>0.7</v>
      </c>
      <c r="E27" s="5">
        <v>0.7</v>
      </c>
      <c r="F27" s="5">
        <v>0.7</v>
      </c>
      <c r="G27" s="5">
        <v>0.7</v>
      </c>
      <c r="H27" s="5">
        <v>0.7</v>
      </c>
    </row>
    <row r="28" spans="2:9" x14ac:dyDescent="0.2">
      <c r="B28" s="6"/>
      <c r="D28" s="11"/>
      <c r="E28" s="11"/>
      <c r="F28" s="11"/>
      <c r="G28" s="11"/>
      <c r="H28" s="11"/>
    </row>
    <row r="29" spans="2:9" x14ac:dyDescent="0.2">
      <c r="B29" s="6" t="s">
        <v>17</v>
      </c>
      <c r="C29" s="22">
        <v>0.8</v>
      </c>
      <c r="D29" s="11"/>
      <c r="E29" s="11"/>
      <c r="F29" s="11"/>
      <c r="G29" s="11"/>
      <c r="H29" s="11"/>
    </row>
    <row r="30" spans="2:9" x14ac:dyDescent="0.2">
      <c r="B30" s="6" t="s">
        <v>18</v>
      </c>
      <c r="C30" s="22">
        <v>0.1</v>
      </c>
      <c r="D30" s="11"/>
      <c r="E30" s="11"/>
      <c r="F30" s="11"/>
      <c r="G30" s="11"/>
      <c r="H30" s="11"/>
    </row>
    <row r="31" spans="2:9" x14ac:dyDescent="0.2">
      <c r="B31" s="6" t="s">
        <v>19</v>
      </c>
      <c r="C31" s="22">
        <v>0.1</v>
      </c>
      <c r="D31" s="11"/>
      <c r="E31" s="11"/>
      <c r="F31" s="11"/>
      <c r="G31" s="11"/>
      <c r="H31" s="11"/>
    </row>
    <row r="32" spans="2:9" x14ac:dyDescent="0.2">
      <c r="B32" s="6"/>
      <c r="D32" s="11"/>
      <c r="E32" s="11"/>
      <c r="F32" s="11"/>
      <c r="G32" s="11"/>
      <c r="H32" s="11"/>
    </row>
    <row r="33" spans="2:8" x14ac:dyDescent="0.2">
      <c r="B33" s="6"/>
      <c r="D33" s="11"/>
      <c r="E33" s="11"/>
      <c r="F33" s="11"/>
      <c r="G33" s="11"/>
      <c r="H33" s="11"/>
    </row>
    <row r="34" spans="2:8" x14ac:dyDescent="0.2">
      <c r="B34" s="6"/>
      <c r="D34" s="11"/>
      <c r="E34" s="11"/>
      <c r="F34" s="11"/>
      <c r="G34" s="11"/>
      <c r="H34" s="11"/>
    </row>
    <row r="35" spans="2:8" x14ac:dyDescent="0.2">
      <c r="B35" s="21" t="s">
        <v>20</v>
      </c>
      <c r="C35" s="8">
        <f>C21</f>
        <v>1</v>
      </c>
      <c r="D35" s="8">
        <f t="shared" ref="D35:H35" si="0">D21</f>
        <v>2</v>
      </c>
      <c r="E35" s="8">
        <f t="shared" si="0"/>
        <v>3</v>
      </c>
      <c r="F35" s="8">
        <f t="shared" si="0"/>
        <v>4</v>
      </c>
      <c r="G35" s="8">
        <f t="shared" si="0"/>
        <v>5</v>
      </c>
      <c r="H35" s="8">
        <f t="shared" si="0"/>
        <v>6</v>
      </c>
    </row>
    <row r="36" spans="2:8" x14ac:dyDescent="0.2">
      <c r="B36" s="6" t="s">
        <v>21</v>
      </c>
      <c r="C36" s="5">
        <v>144</v>
      </c>
      <c r="D36" s="5">
        <v>144</v>
      </c>
      <c r="E36" s="5">
        <v>144</v>
      </c>
      <c r="F36" s="5">
        <v>150</v>
      </c>
      <c r="G36" s="5">
        <v>150</v>
      </c>
      <c r="H36" s="5">
        <v>150</v>
      </c>
    </row>
    <row r="37" spans="2:8" x14ac:dyDescent="0.2">
      <c r="B37" s="6" t="s">
        <v>22</v>
      </c>
      <c r="C37" s="5">
        <v>14</v>
      </c>
      <c r="D37" s="5">
        <v>14</v>
      </c>
      <c r="E37" s="5">
        <v>14</v>
      </c>
      <c r="F37" s="5">
        <v>14</v>
      </c>
      <c r="G37" s="5">
        <v>14</v>
      </c>
      <c r="H37" s="5">
        <v>14</v>
      </c>
    </row>
    <row r="38" spans="2:8" x14ac:dyDescent="0.2">
      <c r="B38" s="6" t="s">
        <v>23</v>
      </c>
      <c r="C38" s="5">
        <v>20</v>
      </c>
      <c r="D38" s="5">
        <v>20</v>
      </c>
      <c r="E38" s="5">
        <v>20</v>
      </c>
      <c r="F38" s="5">
        <v>21</v>
      </c>
      <c r="G38" s="5">
        <v>21</v>
      </c>
      <c r="H38" s="5">
        <v>21</v>
      </c>
    </row>
    <row r="40" spans="2:8" x14ac:dyDescent="0.2">
      <c r="B40" s="6" t="s">
        <v>24</v>
      </c>
      <c r="C40" s="5">
        <v>64</v>
      </c>
      <c r="D40" s="5">
        <v>64</v>
      </c>
      <c r="E40" s="5">
        <v>64</v>
      </c>
      <c r="F40" s="5">
        <v>64</v>
      </c>
      <c r="G40" s="5">
        <v>64</v>
      </c>
      <c r="H40" s="5">
        <v>64</v>
      </c>
    </row>
    <row r="41" spans="2:8" x14ac:dyDescent="0.2">
      <c r="B41" s="6" t="s">
        <v>25</v>
      </c>
      <c r="C41" s="5">
        <v>14</v>
      </c>
      <c r="D41" s="5">
        <v>14</v>
      </c>
      <c r="E41" s="5">
        <v>14</v>
      </c>
      <c r="F41" s="5">
        <v>14</v>
      </c>
      <c r="G41" s="5">
        <v>14</v>
      </c>
      <c r="H41" s="5">
        <v>14</v>
      </c>
    </row>
    <row r="42" spans="2:8" x14ac:dyDescent="0.2">
      <c r="B42" s="6" t="s">
        <v>23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</row>
    <row r="43" spans="2:8" x14ac:dyDescent="0.2">
      <c r="B43" s="6"/>
      <c r="D43" s="11"/>
      <c r="E43" s="11"/>
      <c r="F43" s="11"/>
      <c r="G43" s="11"/>
      <c r="H43" s="11"/>
    </row>
    <row r="44" spans="2:8" x14ac:dyDescent="0.2">
      <c r="B44" s="6"/>
      <c r="D44" s="11"/>
      <c r="E44" s="11"/>
      <c r="F44" s="11"/>
      <c r="G44" s="11"/>
      <c r="H44" s="11"/>
    </row>
    <row r="45" spans="2:8" x14ac:dyDescent="0.2">
      <c r="B45" s="6" t="s">
        <v>26</v>
      </c>
      <c r="C45" s="5">
        <v>8</v>
      </c>
      <c r="D45" s="5">
        <v>8</v>
      </c>
      <c r="E45" s="5">
        <v>8</v>
      </c>
      <c r="F45" s="5">
        <v>8</v>
      </c>
      <c r="G45" s="5">
        <v>8</v>
      </c>
      <c r="H45" s="5">
        <v>8</v>
      </c>
    </row>
    <row r="46" spans="2:8" x14ac:dyDescent="0.2">
      <c r="B46" s="6"/>
    </row>
    <row r="47" spans="2:8" x14ac:dyDescent="0.2">
      <c r="B47" s="6" t="s">
        <v>27</v>
      </c>
      <c r="C47" s="5" cm="1">
        <f t="array" ref="C47">40000/unit</f>
        <v>0.04</v>
      </c>
      <c r="D47" s="5" cm="1">
        <f t="array" ref="D47">40000/unit</f>
        <v>0.04</v>
      </c>
      <c r="E47" s="5" cm="1">
        <f t="array" ref="E47">40000/unit</f>
        <v>0.04</v>
      </c>
      <c r="F47" s="5" cm="1">
        <f t="array" ref="F47">40000/unit</f>
        <v>0.04</v>
      </c>
      <c r="G47" s="5" cm="1">
        <f t="array" ref="G47">40000/unit</f>
        <v>0.04</v>
      </c>
      <c r="H47" s="5" cm="1">
        <f t="array" ref="H47">40000/unit</f>
        <v>0.04</v>
      </c>
    </row>
    <row r="48" spans="2:8" x14ac:dyDescent="0.2">
      <c r="B48" s="6" t="s">
        <v>28</v>
      </c>
      <c r="C48" s="5" cm="1">
        <f t="array" ref="C48">25000/unit</f>
        <v>2.5000000000000001E-2</v>
      </c>
      <c r="D48" s="5" cm="1">
        <f t="array" ref="D48">25000/unit</f>
        <v>2.5000000000000001E-2</v>
      </c>
      <c r="E48" s="5" cm="1">
        <f t="array" ref="E48">25000/unit</f>
        <v>2.5000000000000001E-2</v>
      </c>
      <c r="F48" s="5" cm="1">
        <f t="array" ref="F48">25000/unit</f>
        <v>2.5000000000000001E-2</v>
      </c>
      <c r="G48" s="5" cm="1">
        <f t="array" ref="G48">25000/unit</f>
        <v>2.5000000000000001E-2</v>
      </c>
      <c r="H48" s="5" cm="1">
        <f t="array" ref="H48">25000/unit</f>
        <v>2.5000000000000001E-2</v>
      </c>
    </row>
    <row r="49" spans="2:15" x14ac:dyDescent="0.2">
      <c r="B49" s="37" t="s">
        <v>29</v>
      </c>
    </row>
    <row r="50" spans="2:15" x14ac:dyDescent="0.2">
      <c r="B50" s="6"/>
      <c r="D50" s="11"/>
      <c r="E50" s="11"/>
      <c r="F50" s="11"/>
      <c r="G50" s="11"/>
      <c r="H50" s="11"/>
    </row>
    <row r="51" spans="2:15" x14ac:dyDescent="0.2">
      <c r="B51" s="6"/>
      <c r="D51" s="11"/>
      <c r="E51" s="11"/>
      <c r="F51" s="11"/>
      <c r="G51" s="11"/>
      <c r="H51" s="11"/>
    </row>
    <row r="52" spans="2:15" x14ac:dyDescent="0.2">
      <c r="B52" s="21" t="s">
        <v>30</v>
      </c>
      <c r="C52" s="8">
        <f>C35</f>
        <v>1</v>
      </c>
      <c r="D52" s="8">
        <f t="shared" ref="D52:H52" si="1">D35</f>
        <v>2</v>
      </c>
      <c r="E52" s="8">
        <f t="shared" si="1"/>
        <v>3</v>
      </c>
      <c r="F52" s="8">
        <f t="shared" si="1"/>
        <v>4</v>
      </c>
      <c r="G52" s="8">
        <f t="shared" si="1"/>
        <v>5</v>
      </c>
      <c r="H52" s="8">
        <f t="shared" si="1"/>
        <v>6</v>
      </c>
    </row>
    <row r="53" spans="2:15" x14ac:dyDescent="0.2">
      <c r="B53" s="6" t="s">
        <v>31</v>
      </c>
      <c r="C53" s="20">
        <f>'Proj. Sales &amp; Prod'!C6/Assumptions!C36</f>
        <v>2.0833333333333332E-2</v>
      </c>
      <c r="D53" s="20">
        <f>'Proj. Sales &amp; Prod'!D6/Assumptions!D36</f>
        <v>2.1875000000000002E-2</v>
      </c>
      <c r="E53" s="20">
        <f>'Proj. Sales &amp; Prod'!E6/Assumptions!E36</f>
        <v>2.2968750000000003E-2</v>
      </c>
      <c r="F53" s="20">
        <f>'Proj. Sales &amp; Prod'!F6/Assumptions!F36</f>
        <v>2.3152500000000003E-2</v>
      </c>
      <c r="G53" s="20">
        <f>'Proj. Sales &amp; Prod'!G6/Assumptions!G36</f>
        <v>2.4310125000000005E-2</v>
      </c>
      <c r="H53" s="20">
        <f>'Proj. Sales &amp; Prod'!H6/Assumptions!H36</f>
        <v>2.5525631250000007E-2</v>
      </c>
    </row>
    <row r="54" spans="2:15" x14ac:dyDescent="0.2">
      <c r="B54" s="6" t="s">
        <v>32</v>
      </c>
      <c r="C54" s="20">
        <f>'Proj. Sales &amp; Prod'!C7/Assumptions!C40</f>
        <v>1.7187500000000001E-2</v>
      </c>
      <c r="D54" s="20">
        <f>'Proj. Sales &amp; Prod'!D7/Assumptions!D40</f>
        <v>1.8046875000000004E-2</v>
      </c>
      <c r="E54" s="20">
        <f>'Proj. Sales &amp; Prod'!E7/Assumptions!E40</f>
        <v>1.8949218750000003E-2</v>
      </c>
      <c r="F54" s="20">
        <f>'Proj. Sales &amp; Prod'!F7/Assumptions!F40</f>
        <v>1.9896679687500005E-2</v>
      </c>
      <c r="G54" s="20">
        <f>'Proj. Sales &amp; Prod'!G7/Assumptions!G40</f>
        <v>2.0891513671875007E-2</v>
      </c>
      <c r="H54" s="20">
        <f>'Proj. Sales &amp; Prod'!H7/Assumptions!H40</f>
        <v>2.1936089355468757E-2</v>
      </c>
    </row>
    <row r="55" spans="2:15" x14ac:dyDescent="0.2">
      <c r="B55" s="6"/>
      <c r="D55" s="11"/>
      <c r="E55" s="11"/>
      <c r="F55" s="11"/>
      <c r="G55" s="11"/>
      <c r="H55" s="11"/>
    </row>
    <row r="56" spans="2:15" x14ac:dyDescent="0.2">
      <c r="B56" s="6"/>
      <c r="D56" s="11"/>
      <c r="E56" s="11"/>
      <c r="F56" s="11"/>
      <c r="G56" s="11"/>
      <c r="H56" s="11"/>
    </row>
    <row r="57" spans="2:15" x14ac:dyDescent="0.2">
      <c r="B57" s="21" t="s">
        <v>33</v>
      </c>
      <c r="C57" s="8">
        <f>C52</f>
        <v>1</v>
      </c>
      <c r="D57" s="8">
        <f t="shared" ref="D57:H57" si="2">D52</f>
        <v>2</v>
      </c>
      <c r="E57" s="8">
        <f t="shared" si="2"/>
        <v>3</v>
      </c>
      <c r="F57" s="8">
        <f t="shared" si="2"/>
        <v>4</v>
      </c>
      <c r="G57" s="8">
        <f t="shared" si="2"/>
        <v>5</v>
      </c>
      <c r="H57" s="8">
        <f t="shared" si="2"/>
        <v>6</v>
      </c>
    </row>
    <row r="59" spans="2:15" x14ac:dyDescent="0.2">
      <c r="B59" s="1" t="s">
        <v>34</v>
      </c>
      <c r="C59" s="38">
        <v>4</v>
      </c>
      <c r="D59" s="38">
        <v>4.5</v>
      </c>
      <c r="E59" s="38">
        <v>5</v>
      </c>
      <c r="F59" s="38">
        <v>5.5</v>
      </c>
      <c r="G59" s="38">
        <v>6</v>
      </c>
      <c r="H59" s="38">
        <v>6.5</v>
      </c>
      <c r="J59" s="38"/>
      <c r="K59" s="38"/>
      <c r="L59" s="38"/>
      <c r="M59" s="38"/>
      <c r="N59" s="38"/>
      <c r="O59" s="38"/>
    </row>
    <row r="60" spans="2:15" x14ac:dyDescent="0.2">
      <c r="B60" s="1" t="s">
        <v>35</v>
      </c>
      <c r="C60" s="38">
        <v>5</v>
      </c>
      <c r="D60" s="38">
        <f>C60*1.05</f>
        <v>5.25</v>
      </c>
      <c r="E60" s="38">
        <f t="shared" ref="E60" si="3">D60*1.05</f>
        <v>5.5125000000000002</v>
      </c>
      <c r="F60" s="38">
        <f t="shared" ref="F60" si="4">E60*1.05</f>
        <v>5.7881250000000009</v>
      </c>
      <c r="G60" s="38">
        <f t="shared" ref="G60" si="5">F60*1.05</f>
        <v>6.0775312500000007</v>
      </c>
      <c r="H60" s="38">
        <f t="shared" ref="H60" si="6">G60*1.05</f>
        <v>6.3814078125000009</v>
      </c>
      <c r="J60" s="38"/>
      <c r="K60" s="38"/>
      <c r="L60" s="38"/>
      <c r="M60" s="38"/>
      <c r="N60" s="38"/>
      <c r="O60" s="38"/>
    </row>
    <row r="61" spans="2:15" x14ac:dyDescent="0.2">
      <c r="B61" s="1" t="s">
        <v>36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</row>
    <row r="62" spans="2:15" x14ac:dyDescent="0.2">
      <c r="B62" s="1"/>
      <c r="C62" s="32"/>
    </row>
    <row r="63" spans="2:15" x14ac:dyDescent="0.2">
      <c r="B63" s="1"/>
      <c r="C63" s="32"/>
    </row>
  </sheetData>
  <sheetProtection selectLockedCells="1"/>
  <mergeCells count="2">
    <mergeCell ref="C7:H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9EE-C691-C34F-A84B-77D6838FD9BD}">
  <sheetPr>
    <tabColor rgb="FFC00000"/>
  </sheetPr>
  <dimension ref="B2:J27"/>
  <sheetViews>
    <sheetView zoomScaleNormal="100" workbookViewId="0">
      <selection activeCell="E5" sqref="E5"/>
    </sheetView>
  </sheetViews>
  <sheetFormatPr baseColWidth="10" defaultRowHeight="16" outlineLevelCol="1" x14ac:dyDescent="0.2"/>
  <cols>
    <col min="1" max="1" width="10.83203125" style="5"/>
    <col min="2" max="2" width="40" style="5" customWidth="1"/>
    <col min="3" max="8" width="10.83203125" style="5"/>
    <col min="9" max="9" width="17.5" style="5" hidden="1" customWidth="1" outlineLevel="1"/>
    <col min="10" max="10" width="10.83203125" style="5" collapsed="1"/>
    <col min="11" max="16384" width="10.83203125" style="5"/>
  </cols>
  <sheetData>
    <row r="2" spans="2:9" ht="20" x14ac:dyDescent="0.2">
      <c r="B2" s="31" t="str">
        <f>name</f>
        <v>Compagny Incognito, by eliediwambuena</v>
      </c>
    </row>
    <row r="3" spans="2:9" ht="13" customHeight="1" x14ac:dyDescent="0.2"/>
    <row r="4" spans="2:9" ht="29" customHeight="1" x14ac:dyDescent="0.2">
      <c r="B4" s="87" t="s">
        <v>212</v>
      </c>
    </row>
    <row r="5" spans="2:9" ht="20" customHeight="1" x14ac:dyDescent="0.2">
      <c r="B5" s="87" t="s">
        <v>213</v>
      </c>
    </row>
    <row r="7" spans="2:9" ht="18" x14ac:dyDescent="0.2">
      <c r="B7" s="61" t="s">
        <v>191</v>
      </c>
      <c r="C7" s="62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39" t="s">
        <v>205</v>
      </c>
    </row>
    <row r="8" spans="2:9" x14ac:dyDescent="0.2">
      <c r="B8" s="63" t="s">
        <v>199</v>
      </c>
      <c r="C8" s="64" cm="1">
        <f t="array" ref="C8">3000000/unit</f>
        <v>3</v>
      </c>
      <c r="D8" s="65">
        <v>0.05</v>
      </c>
      <c r="E8" s="65">
        <v>0.04</v>
      </c>
      <c r="F8" s="65">
        <v>0.03</v>
      </c>
      <c r="G8" s="65">
        <v>0.03</v>
      </c>
      <c r="H8" s="65">
        <v>0.03</v>
      </c>
      <c r="I8" s="5" t="b">
        <v>1</v>
      </c>
    </row>
    <row r="9" spans="2:9" x14ac:dyDescent="0.2">
      <c r="B9" s="63" t="s">
        <v>200</v>
      </c>
      <c r="C9" s="14" cm="1">
        <f t="array" ref="C9">3000000/unit</f>
        <v>3</v>
      </c>
      <c r="D9" s="15">
        <v>0.05</v>
      </c>
      <c r="E9" s="15">
        <v>0.05</v>
      </c>
      <c r="F9" s="15">
        <v>0.05</v>
      </c>
      <c r="G9" s="15">
        <v>0.05</v>
      </c>
      <c r="H9" s="15">
        <v>0.05</v>
      </c>
      <c r="I9" s="5" t="b">
        <v>0</v>
      </c>
    </row>
    <row r="10" spans="2:9" x14ac:dyDescent="0.2">
      <c r="B10" s="63"/>
      <c r="C10" s="64"/>
      <c r="D10" s="65"/>
      <c r="E10" s="65"/>
      <c r="F10" s="65"/>
      <c r="G10" s="65"/>
      <c r="H10" s="65"/>
    </row>
    <row r="11" spans="2:9" x14ac:dyDescent="0.2">
      <c r="B11" s="63" t="s">
        <v>206</v>
      </c>
      <c r="C11" s="64"/>
      <c r="D11" s="65"/>
      <c r="E11" s="65"/>
      <c r="F11" s="65"/>
      <c r="G11" s="65"/>
      <c r="H11" s="65"/>
    </row>
    <row r="12" spans="2:9" x14ac:dyDescent="0.2">
      <c r="B12" s="63"/>
      <c r="C12" s="66"/>
      <c r="D12" s="67"/>
      <c r="E12" s="67"/>
      <c r="F12" s="67"/>
      <c r="G12" s="67"/>
      <c r="H12" s="67"/>
    </row>
    <row r="13" spans="2:9" x14ac:dyDescent="0.2">
      <c r="B13" s="68" t="s">
        <v>192</v>
      </c>
      <c r="C13" s="62">
        <v>1</v>
      </c>
      <c r="D13" s="62">
        <v>2</v>
      </c>
      <c r="E13" s="62">
        <v>3</v>
      </c>
      <c r="F13" s="62">
        <v>4</v>
      </c>
      <c r="G13" s="62">
        <v>5</v>
      </c>
      <c r="H13" s="62">
        <v>6</v>
      </c>
      <c r="I13" s="39" t="s">
        <v>205</v>
      </c>
    </row>
    <row r="14" spans="2:9" x14ac:dyDescent="0.2">
      <c r="B14" s="63" t="s">
        <v>194</v>
      </c>
      <c r="C14" s="66">
        <v>2</v>
      </c>
      <c r="D14" s="66">
        <v>2.5</v>
      </c>
      <c r="E14" s="66">
        <v>2.5</v>
      </c>
      <c r="F14" s="66">
        <v>2.5</v>
      </c>
      <c r="G14" s="66">
        <v>2.5</v>
      </c>
      <c r="H14" s="66">
        <v>2.5</v>
      </c>
      <c r="I14" s="5" t="b">
        <v>1</v>
      </c>
    </row>
    <row r="15" spans="2:9" x14ac:dyDescent="0.2">
      <c r="B15" s="63" t="s">
        <v>201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 t="b">
        <v>0</v>
      </c>
    </row>
    <row r="16" spans="2:9" x14ac:dyDescent="0.2">
      <c r="B16" s="63" t="s">
        <v>195</v>
      </c>
      <c r="C16" s="66">
        <v>0.7</v>
      </c>
      <c r="D16" s="66">
        <v>0.88</v>
      </c>
      <c r="E16" s="66">
        <v>0.88</v>
      </c>
      <c r="F16" s="66">
        <v>0.88</v>
      </c>
      <c r="G16" s="66">
        <v>0.88</v>
      </c>
      <c r="H16" s="66">
        <v>0.88</v>
      </c>
      <c r="I16" s="5" t="b">
        <v>1</v>
      </c>
    </row>
    <row r="17" spans="2:9" x14ac:dyDescent="0.2">
      <c r="B17" s="63" t="s">
        <v>202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 t="b">
        <v>0</v>
      </c>
    </row>
    <row r="18" spans="2:9" x14ac:dyDescent="0.2">
      <c r="B18" s="63"/>
      <c r="C18" s="66"/>
      <c r="D18" s="66"/>
      <c r="E18" s="66"/>
      <c r="F18" s="66"/>
      <c r="G18" s="66"/>
      <c r="H18" s="66"/>
    </row>
    <row r="19" spans="2:9" x14ac:dyDescent="0.2">
      <c r="B19" s="63" t="s">
        <v>193</v>
      </c>
      <c r="C19" s="66"/>
      <c r="D19" s="66"/>
      <c r="E19" s="66"/>
      <c r="F19" s="66"/>
      <c r="G19" s="66"/>
      <c r="H19" s="66"/>
    </row>
    <row r="20" spans="2:9" x14ac:dyDescent="0.2">
      <c r="B20" s="63"/>
      <c r="C20" s="66"/>
      <c r="D20" s="67"/>
      <c r="E20" s="67"/>
      <c r="F20" s="67"/>
      <c r="G20" s="67"/>
      <c r="H20" s="67"/>
    </row>
    <row r="21" spans="2:9" x14ac:dyDescent="0.2">
      <c r="B21" s="68" t="s">
        <v>190</v>
      </c>
      <c r="C21" s="62">
        <v>1</v>
      </c>
      <c r="D21" s="62">
        <v>2</v>
      </c>
      <c r="E21" s="62">
        <v>3</v>
      </c>
      <c r="F21" s="62">
        <v>4</v>
      </c>
      <c r="G21" s="62">
        <v>5</v>
      </c>
      <c r="H21" s="62">
        <v>6</v>
      </c>
      <c r="I21" s="39" t="s">
        <v>205</v>
      </c>
    </row>
    <row r="22" spans="2:9" x14ac:dyDescent="0.2">
      <c r="B22" s="69" t="s">
        <v>196</v>
      </c>
      <c r="C22" s="70">
        <v>4</v>
      </c>
      <c r="D22" s="70">
        <v>4.2</v>
      </c>
      <c r="E22" s="70">
        <v>4.4000000000000004</v>
      </c>
      <c r="F22" s="70">
        <v>4.5999999999999996</v>
      </c>
      <c r="G22" s="70">
        <v>4.8</v>
      </c>
      <c r="H22" s="70">
        <v>5</v>
      </c>
      <c r="I22" s="5" t="b">
        <v>1</v>
      </c>
    </row>
    <row r="23" spans="2:9" x14ac:dyDescent="0.2">
      <c r="B23" s="69" t="s">
        <v>203</v>
      </c>
      <c r="C23" s="38">
        <v>4</v>
      </c>
      <c r="D23" s="38">
        <v>4.5</v>
      </c>
      <c r="E23" s="38">
        <v>5</v>
      </c>
      <c r="F23" s="38">
        <v>5.5</v>
      </c>
      <c r="G23" s="38">
        <v>6</v>
      </c>
      <c r="H23" s="38">
        <v>6.5</v>
      </c>
      <c r="I23" s="5" t="b">
        <v>0</v>
      </c>
    </row>
    <row r="24" spans="2:9" x14ac:dyDescent="0.2">
      <c r="B24" s="69" t="s">
        <v>197</v>
      </c>
      <c r="C24" s="70">
        <v>5</v>
      </c>
      <c r="D24" s="70">
        <v>5.0999999999999996</v>
      </c>
      <c r="E24" s="70">
        <v>5.25</v>
      </c>
      <c r="F24" s="70">
        <v>5.3</v>
      </c>
      <c r="G24" s="70">
        <v>5.4</v>
      </c>
      <c r="H24" s="70">
        <v>5.5</v>
      </c>
      <c r="I24" s="5" t="b">
        <v>1</v>
      </c>
    </row>
    <row r="25" spans="2:9" x14ac:dyDescent="0.2">
      <c r="B25" s="69" t="s">
        <v>204</v>
      </c>
      <c r="C25" s="38">
        <v>5</v>
      </c>
      <c r="D25" s="38">
        <f>C25*1.05</f>
        <v>5.25</v>
      </c>
      <c r="E25" s="38">
        <f t="shared" ref="E25:H25" si="0">D25*1.05</f>
        <v>5.5125000000000002</v>
      </c>
      <c r="F25" s="38">
        <f t="shared" si="0"/>
        <v>5.7881250000000009</v>
      </c>
      <c r="G25" s="38">
        <f t="shared" si="0"/>
        <v>6.0775312500000007</v>
      </c>
      <c r="H25" s="38">
        <f t="shared" si="0"/>
        <v>6.3814078125000009</v>
      </c>
      <c r="I25" s="5" t="b">
        <v>0</v>
      </c>
    </row>
    <row r="26" spans="2:9" x14ac:dyDescent="0.2">
      <c r="B26" s="69"/>
      <c r="C26" s="70"/>
      <c r="D26" s="70"/>
      <c r="E26" s="70"/>
      <c r="F26" s="70"/>
      <c r="G26" s="70"/>
      <c r="H26" s="70"/>
    </row>
    <row r="27" spans="2:9" x14ac:dyDescent="0.2">
      <c r="B27" s="71" t="s">
        <v>198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2:I36"/>
  <sheetViews>
    <sheetView topLeftCell="A2" zoomScaleNormal="100" workbookViewId="0">
      <selection activeCell="C29" sqref="C29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Assumptions!C9</f>
        <v>3</v>
      </c>
      <c r="D6" s="74">
        <f>C6*(1+Assumptions!D9)</f>
        <v>3.1500000000000004</v>
      </c>
      <c r="E6" s="74">
        <f>D6*(1+Assumptions!E9)</f>
        <v>3.3075000000000006</v>
      </c>
      <c r="F6" s="74">
        <f>E6*(1+Assumptions!F9)</f>
        <v>3.4728750000000006</v>
      </c>
      <c r="G6" s="74">
        <f>F6*(1+Assumptions!G9)</f>
        <v>3.6465187500000007</v>
      </c>
      <c r="H6" s="74">
        <f>G6*(1+Assumptions!H9)</f>
        <v>3.8288446875000011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4.5202500000000008</v>
      </c>
      <c r="F8" s="73">
        <f t="shared" si="0"/>
        <v>4.7462625000000012</v>
      </c>
      <c r="G8" s="73">
        <f t="shared" si="0"/>
        <v>4.9835756250000012</v>
      </c>
      <c r="H8" s="73">
        <f t="shared" si="0"/>
        <v>5.2327544062500015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26.460000000000004</v>
      </c>
      <c r="F10" s="73">
        <f>F6*Assumptions!F12</f>
        <v>27.783000000000005</v>
      </c>
      <c r="G10" s="73">
        <f>G6*Assumptions!G12</f>
        <v>29.172150000000006</v>
      </c>
      <c r="H10" s="73">
        <f>H6*Assumptions!H12</f>
        <v>30.630757500000009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31.311000000000007</v>
      </c>
      <c r="F12" s="73">
        <f t="shared" si="1"/>
        <v>32.876550000000009</v>
      </c>
      <c r="G12" s="73">
        <f t="shared" si="1"/>
        <v>34.520377500000009</v>
      </c>
      <c r="H12" s="73">
        <f t="shared" si="1"/>
        <v>36.24639637500001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28.179900000000007</v>
      </c>
      <c r="F18" s="73">
        <f>F12*Assumptions!$C$15</f>
        <v>29.588895000000008</v>
      </c>
      <c r="G18" s="73">
        <f>G12*Assumptions!$C$15</f>
        <v>31.06833975000001</v>
      </c>
      <c r="H18" s="73">
        <f>H12*Assumptions!$C$15</f>
        <v>32.621756737500007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1.5655500000000004</v>
      </c>
      <c r="G19" s="74">
        <f>F12*Assumptions!$C$16</f>
        <v>1.6438275000000004</v>
      </c>
      <c r="H19" s="74">
        <f>G12*Assumptions!$C$16</f>
        <v>1.7260188750000005</v>
      </c>
      <c r="I19" s="2">
        <f>H12*Assumptions!$C$16</f>
        <v>1.8123198187500007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1.5655500000000004</v>
      </c>
      <c r="H20" s="72">
        <f>F12*Assumptions!$C$17</f>
        <v>1.6438275000000004</v>
      </c>
      <c r="I20" s="19">
        <f>G12*Assumptions!$C$17</f>
        <v>1.7260188750000005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31.090900000000005</v>
      </c>
      <c r="F21" s="73">
        <f t="shared" si="3"/>
        <v>32.645445000000009</v>
      </c>
      <c r="G21" s="73">
        <f t="shared" si="3"/>
        <v>34.277717250000009</v>
      </c>
      <c r="H21" s="73">
        <f t="shared" si="3"/>
        <v>35.991603112500009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 t="shared" ref="C28:H28" si="5">C8</f>
        <v>4.0999999999999996</v>
      </c>
      <c r="D28" s="73">
        <f t="shared" si="5"/>
        <v>4.3050000000000006</v>
      </c>
      <c r="E28" s="73">
        <f t="shared" si="5"/>
        <v>4.5202500000000008</v>
      </c>
      <c r="F28" s="73">
        <f t="shared" si="5"/>
        <v>4.7462625000000012</v>
      </c>
      <c r="G28" s="73">
        <f t="shared" si="5"/>
        <v>4.9835756250000012</v>
      </c>
      <c r="H28" s="73">
        <f t="shared" si="5"/>
        <v>5.2327544062500015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4.5202500000000007E-2</v>
      </c>
      <c r="F29" s="72">
        <f>F28*Assumptions!F22</f>
        <v>4.7462625000000015E-2</v>
      </c>
      <c r="G29" s="72">
        <f>G28*Assumptions!G22</f>
        <v>4.9835756250000016E-2</v>
      </c>
      <c r="H29" s="72">
        <f>H28*Assumptions!H22</f>
        <v>5.2327544062500016E-2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4.565452500000001</v>
      </c>
      <c r="F30" s="73">
        <f t="shared" si="6"/>
        <v>4.7937251250000008</v>
      </c>
      <c r="G30" s="73">
        <f t="shared" si="6"/>
        <v>5.0334113812500014</v>
      </c>
      <c r="H30" s="73">
        <f t="shared" si="6"/>
        <v>5.2850819503125015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-4.5202500000000007E-2</v>
      </c>
      <c r="G32" s="72">
        <f t="shared" si="7"/>
        <v>-4.7462625000000015E-2</v>
      </c>
      <c r="H32" s="72">
        <f t="shared" si="7"/>
        <v>-4.9835756250000016E-2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4.522402500000001</v>
      </c>
      <c r="F33" s="73">
        <f t="shared" si="8"/>
        <v>4.7485226250000006</v>
      </c>
      <c r="G33" s="73">
        <f t="shared" si="8"/>
        <v>4.9859487562500018</v>
      </c>
      <c r="H33" s="73">
        <f t="shared" si="8"/>
        <v>5.2352461940625012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26:H26"/>
    <mergeCell ref="C4:H4"/>
    <mergeCell ref="C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2:J79"/>
  <sheetViews>
    <sheetView topLeftCell="A7" workbookViewId="0">
      <selection activeCell="C68" sqref="C6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8" width="12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'Proj. Sales &amp; Prod'!$C$35*'Proj. Sales &amp; Prod'!C33</f>
        <v>3.0300000000000002</v>
      </c>
      <c r="D6" s="74">
        <f>'Proj. Sales &amp; Prod'!$C$35*'Proj. Sales &amp; Prod'!D33</f>
        <v>3.1515000000000004</v>
      </c>
      <c r="E6" s="74">
        <f>'Proj. Sales &amp; Prod'!$C$35*'Proj. Sales &amp; Prod'!E33</f>
        <v>3.3090750000000013</v>
      </c>
      <c r="F6" s="74">
        <f>'Proj. Sales &amp; Prod'!$C$35*'Proj. Sales &amp; Prod'!F33</f>
        <v>3.4745287500000011</v>
      </c>
      <c r="G6" s="74">
        <f>'Proj. Sales &amp; Prod'!$C$35*'Proj. Sales &amp; Prod'!G33</f>
        <v>3.648255187500002</v>
      </c>
      <c r="H6" s="74">
        <f>'Proj. Sales &amp; Prod'!$C$35*'Proj. Sales &amp; Prod'!H33</f>
        <v>3.8306679468750016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4.9636125000000018</v>
      </c>
      <c r="F7" s="74">
        <f>F6*Assumptions!F23</f>
        <v>5.2117931250000016</v>
      </c>
      <c r="G7" s="74">
        <f>G6*Assumptions!G23</f>
        <v>5.472382781250003</v>
      </c>
      <c r="H7" s="74">
        <f>H6*Assumptions!H23</f>
        <v>5.7460019203125023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0.4963612500000002</v>
      </c>
      <c r="F9" s="74">
        <f>F7*Assumptions!F25</f>
        <v>0.52117931250000016</v>
      </c>
      <c r="G9" s="74">
        <f>G7*Assumptions!G25</f>
        <v>0.54723827812500037</v>
      </c>
      <c r="H9" s="74">
        <f>H7*Assumptions!H25</f>
        <v>0.57460019203125023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-0.4963612500000002</v>
      </c>
      <c r="G10" s="75">
        <f t="shared" si="0"/>
        <v>-0.52117931250000016</v>
      </c>
      <c r="H10" s="75">
        <f t="shared" si="0"/>
        <v>-0.54723827812500037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4.9872487500000027</v>
      </c>
      <c r="F11" s="74">
        <f t="shared" si="1"/>
        <v>5.2366111875000012</v>
      </c>
      <c r="G11" s="74">
        <f t="shared" si="1"/>
        <v>5.4984417468750033</v>
      </c>
      <c r="H11" s="74">
        <f t="shared" si="1"/>
        <v>5.7733638342187525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Assumptions!C26</f>
        <v>2</v>
      </c>
      <c r="D13" s="75">
        <f>Assumptions!D26</f>
        <v>2</v>
      </c>
      <c r="E13" s="75">
        <f>Assumptions!E26</f>
        <v>2</v>
      </c>
      <c r="F13" s="75">
        <f>Assumptions!F26</f>
        <v>2</v>
      </c>
      <c r="G13" s="75">
        <f>Assumptions!G26</f>
        <v>2</v>
      </c>
      <c r="H13" s="75">
        <f>Assumptions!H26</f>
        <v>2</v>
      </c>
    </row>
    <row r="14" spans="2:8" x14ac:dyDescent="0.2">
      <c r="B14" s="1" t="s">
        <v>62</v>
      </c>
      <c r="C14" s="74">
        <f>C13*C11</f>
        <v>9.9990000000000006</v>
      </c>
      <c r="D14" s="74">
        <f t="shared" ref="D14:H14" si="2">D13*D11</f>
        <v>9.4909499999999998</v>
      </c>
      <c r="E14" s="74">
        <f t="shared" si="2"/>
        <v>9.9744975000000053</v>
      </c>
      <c r="F14" s="74">
        <f t="shared" si="2"/>
        <v>10.473222375000002</v>
      </c>
      <c r="G14" s="74">
        <f t="shared" si="2"/>
        <v>10.996883493750007</v>
      </c>
      <c r="H14" s="74">
        <f t="shared" si="2"/>
        <v>11.546727668437505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'Proj. Sales &amp; Prod'!$C$36*'Proj. Sales &amp; Prod'!C33</f>
        <v>1.1110000000000002</v>
      </c>
      <c r="D17" s="74">
        <f>'Proj. Sales &amp; Prod'!$C$36*'Proj. Sales &amp; Prod'!D33</f>
        <v>1.1555500000000003</v>
      </c>
      <c r="E17" s="74">
        <f>'Proj. Sales &amp; Prod'!$C$36*'Proj. Sales &amp; Prod'!E33</f>
        <v>1.2133275000000006</v>
      </c>
      <c r="F17" s="74">
        <f>'Proj. Sales &amp; Prod'!$C$36*'Proj. Sales &amp; Prod'!F33</f>
        <v>1.2739938750000004</v>
      </c>
      <c r="G17" s="74">
        <f>'Proj. Sales &amp; Prod'!$C$36*'Proj. Sales &amp; Prod'!G33</f>
        <v>1.3376935687500009</v>
      </c>
      <c r="H17" s="74">
        <f>'Proj. Sales &amp; Prod'!$C$36*'Proj. Sales &amp; Prod'!H33</f>
        <v>1.4045782471875008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0.60666375000000028</v>
      </c>
      <c r="F18" s="74">
        <f>Assumptions!F24*F17</f>
        <v>0.63699693750000019</v>
      </c>
      <c r="G18" s="74">
        <f>Assumptions!G24*G17</f>
        <v>0.66884678437500045</v>
      </c>
      <c r="H18" s="74">
        <f>Assumptions!H24*H17</f>
        <v>0.7022891235937504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6.0666375000000029E-2</v>
      </c>
      <c r="F20" s="74">
        <f>F18*Assumptions!F25</f>
        <v>6.3699693750000022E-2</v>
      </c>
      <c r="G20" s="74">
        <f>G18*Assumptions!G25</f>
        <v>6.6884678437500053E-2</v>
      </c>
      <c r="H20" s="74">
        <f>H18*Assumptions!H25</f>
        <v>7.0228912359375048E-2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-6.0666375000000029E-2</v>
      </c>
      <c r="G21" s="75">
        <f t="shared" si="3"/>
        <v>-6.3699693750000022E-2</v>
      </c>
      <c r="H21" s="75">
        <f t="shared" si="3"/>
        <v>-6.6884678437500053E-2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0.60955262500000029</v>
      </c>
      <c r="F22" s="74">
        <f t="shared" si="4"/>
        <v>0.64003025625000021</v>
      </c>
      <c r="G22" s="74">
        <f t="shared" si="4"/>
        <v>0.67203176906250039</v>
      </c>
      <c r="H22" s="74">
        <f t="shared" si="4"/>
        <v>0.70563335751562539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Assumptions!C27</f>
        <v>0.7</v>
      </c>
      <c r="D24" s="75">
        <f>Assumptions!D27</f>
        <v>0.7</v>
      </c>
      <c r="E24" s="75">
        <f>Assumptions!E27</f>
        <v>0.7</v>
      </c>
      <c r="F24" s="75">
        <f>Assumptions!F27</f>
        <v>0.7</v>
      </c>
      <c r="G24" s="75">
        <f>Assumptions!G27</f>
        <v>0.7</v>
      </c>
      <c r="H24" s="75">
        <f>Assumptions!H27</f>
        <v>0.7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0.40600175000000011</v>
      </c>
      <c r="E25" s="74">
        <f t="shared" si="5"/>
        <v>0.42668683750000019</v>
      </c>
      <c r="F25" s="74">
        <f t="shared" si="5"/>
        <v>0.44802117937500013</v>
      </c>
      <c r="G25" s="74">
        <f t="shared" si="5"/>
        <v>0.47042223834375024</v>
      </c>
      <c r="H25" s="74">
        <f t="shared" si="5"/>
        <v>0.49394335026093772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9.8969517499999995</v>
      </c>
      <c r="E28" s="74">
        <f t="shared" si="6"/>
        <v>10.401184337500005</v>
      </c>
      <c r="F28" s="74">
        <f t="shared" si="6"/>
        <v>10.921243554375003</v>
      </c>
      <c r="G28" s="74">
        <f t="shared" si="6"/>
        <v>11.467305732093758</v>
      </c>
      <c r="H28" s="74">
        <f t="shared" si="6"/>
        <v>12.040671018698443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10" x14ac:dyDescent="0.2">
      <c r="B33" s="1" t="s">
        <v>68</v>
      </c>
      <c r="C33" s="1"/>
      <c r="D33" s="1"/>
      <c r="E33" s="1"/>
      <c r="F33" s="1"/>
      <c r="G33" s="1"/>
      <c r="H33" s="1"/>
    </row>
    <row r="34" spans="2:10" x14ac:dyDescent="0.2">
      <c r="B34" s="1" t="s">
        <v>69</v>
      </c>
      <c r="C34" s="74">
        <f>C28*Assumptions!$C$29</f>
        <v>8.3413880000000002</v>
      </c>
      <c r="D34" s="74">
        <f>D28*Assumptions!$C$29</f>
        <v>7.9175614000000003</v>
      </c>
      <c r="E34" s="74">
        <f>E28*Assumptions!$C$29</f>
        <v>8.3209474700000055</v>
      </c>
      <c r="F34" s="74">
        <f>F28*Assumptions!$C$29</f>
        <v>8.7369948435000033</v>
      </c>
      <c r="G34" s="74">
        <f>G28*Assumptions!$C$29</f>
        <v>9.1738445856750062</v>
      </c>
      <c r="H34" s="74">
        <f>H28*Assumptions!$C$29</f>
        <v>9.6325368149587547</v>
      </c>
      <c r="I34" s="73"/>
    </row>
    <row r="35" spans="2:10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0.98969517500000004</v>
      </c>
      <c r="F35" s="74">
        <f>E28*Assumptions!$C$30</f>
        <v>1.0401184337500007</v>
      </c>
      <c r="G35" s="74">
        <f>F28*Assumptions!$C$30</f>
        <v>1.0921243554375004</v>
      </c>
      <c r="H35" s="74">
        <f>G28*Assumptions!$C$30</f>
        <v>1.1467305732093758</v>
      </c>
      <c r="I35" s="74">
        <f>H28*Assumptions!$C$30</f>
        <v>1.2040671018698443</v>
      </c>
    </row>
    <row r="36" spans="2:10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0.98969517500000004</v>
      </c>
      <c r="G36" s="75">
        <f>E28*Assumptions!$C$31</f>
        <v>1.0401184337500007</v>
      </c>
      <c r="H36" s="75">
        <f>F28*Assumptions!$C$31</f>
        <v>1.0921243554375004</v>
      </c>
      <c r="I36" s="75">
        <f>G28*Assumptions!$C$31</f>
        <v>1.1467305732093758</v>
      </c>
    </row>
    <row r="37" spans="2:10" x14ac:dyDescent="0.2">
      <c r="B37" s="1" t="s">
        <v>70</v>
      </c>
      <c r="C37" s="74">
        <f>SUM(C33:C36)</f>
        <v>8.3413880000000002</v>
      </c>
      <c r="D37" s="74">
        <f t="shared" ref="D37:H37" si="8">SUM(D33:D36)</f>
        <v>8.9602348999999997</v>
      </c>
      <c r="E37" s="74">
        <f t="shared" si="8"/>
        <v>10.353316145000004</v>
      </c>
      <c r="F37" s="74">
        <f t="shared" si="8"/>
        <v>10.766808452250004</v>
      </c>
      <c r="G37" s="74">
        <f t="shared" si="8"/>
        <v>11.306087374862507</v>
      </c>
      <c r="H37" s="74">
        <f t="shared" si="8"/>
        <v>11.87139174360563</v>
      </c>
      <c r="I37" s="73"/>
    </row>
    <row r="38" spans="2:10" x14ac:dyDescent="0.2">
      <c r="B38" s="1"/>
      <c r="C38" s="1"/>
      <c r="D38" s="1"/>
      <c r="E38" s="1"/>
      <c r="F38" s="1"/>
      <c r="G38" s="1"/>
      <c r="H38" s="1"/>
    </row>
    <row r="39" spans="2:10" x14ac:dyDescent="0.2">
      <c r="B39" s="1"/>
      <c r="C39" s="1"/>
      <c r="D39" s="1"/>
      <c r="E39" s="1"/>
      <c r="F39" s="1"/>
      <c r="G39" s="1"/>
      <c r="H39" s="1"/>
    </row>
    <row r="40" spans="2:10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10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10" x14ac:dyDescent="0.2">
      <c r="B42" s="5" t="s">
        <v>72</v>
      </c>
      <c r="C42" s="73">
        <f>Assumptions!C36*Assumptions!C37*Assumptions!C38+Assumptions!C40*Assumptions!C41*Assumptions!C42</f>
        <v>44800</v>
      </c>
      <c r="D42" s="73">
        <f>Assumptions!D36*Assumptions!D37*Assumptions!D38+Assumptions!D40*Assumptions!D41*Assumptions!D42</f>
        <v>44800</v>
      </c>
      <c r="E42" s="73">
        <f>Assumptions!E36*Assumptions!E37*Assumptions!E38+Assumptions!E40*Assumptions!E41*Assumptions!E42</f>
        <v>44800</v>
      </c>
      <c r="F42" s="73">
        <f>Assumptions!F36*Assumptions!F37*Assumptions!F38+Assumptions!F40*Assumptions!F41*Assumptions!F42</f>
        <v>48580</v>
      </c>
      <c r="G42" s="73">
        <f>Assumptions!G36*Assumptions!G37*Assumptions!G38+Assumptions!G40*Assumptions!G41*Assumptions!G42</f>
        <v>48580</v>
      </c>
      <c r="H42" s="73">
        <f>Assumptions!H36*Assumptions!H37*Assumptions!H38+Assumptions!H40*Assumptions!H41*Assumptions!H42</f>
        <v>48580</v>
      </c>
    </row>
    <row r="43" spans="2:10" x14ac:dyDescent="0.2">
      <c r="B43" s="5" t="s">
        <v>73</v>
      </c>
      <c r="C43" s="73" cm="1">
        <f t="array" ref="C43">C42*(Assumptions!C38+Assumptions!C42)/unit</f>
        <v>1.1200000000000001</v>
      </c>
      <c r="D43" s="73" cm="1">
        <f t="array" ref="D43">D42*(Assumptions!D38+Assumptions!D42)/unit</f>
        <v>1.1200000000000001</v>
      </c>
      <c r="E43" s="73" cm="1">
        <f t="array" ref="E43">E42*(Assumptions!E38+Assumptions!E42)/unit</f>
        <v>1.1200000000000001</v>
      </c>
      <c r="F43" s="73" cm="1">
        <f t="array" ref="F43">F42*(Assumptions!F38+Assumptions!F42)/unit</f>
        <v>1.26308</v>
      </c>
      <c r="G43" s="73" cm="1">
        <f t="array" ref="G43">G42*(Assumptions!G38+Assumptions!G42)/unit</f>
        <v>1.26308</v>
      </c>
      <c r="H43" s="73" cm="1">
        <f t="array" ref="H43">H42*(Assumptions!H38+Assumptions!H42)/unit</f>
        <v>1.26308</v>
      </c>
    </row>
    <row r="44" spans="2:10" x14ac:dyDescent="0.2">
      <c r="J44" s="5">
        <f>14*144</f>
        <v>2016</v>
      </c>
    </row>
    <row r="46" spans="2:10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10" x14ac:dyDescent="0.2">
      <c r="B47" s="5" t="s">
        <v>75</v>
      </c>
      <c r="C47" s="73" cm="1">
        <f t="array" ref="C47">(Assumptions!C36+Assumptions!C40)*Assumptions!C45/unit</f>
        <v>1.6639999999999999E-3</v>
      </c>
      <c r="D47" s="73" cm="1">
        <f t="array" ref="D47">(Assumptions!D36+Assumptions!D40)*Assumptions!D45/unit</f>
        <v>1.6639999999999999E-3</v>
      </c>
      <c r="E47" s="73" cm="1">
        <f t="array" ref="E47">(Assumptions!E36+Assumptions!E40)*Assumptions!E45/unit</f>
        <v>1.6639999999999999E-3</v>
      </c>
      <c r="F47" s="73" cm="1">
        <f t="array" ref="F47">(Assumptions!F36+Assumptions!F40)*Assumptions!F45/unit</f>
        <v>1.712E-3</v>
      </c>
      <c r="G47" s="73" cm="1">
        <f t="array" ref="G47">(Assumptions!G36+Assumptions!G40)*Assumptions!G45/unit</f>
        <v>1.712E-3</v>
      </c>
      <c r="H47" s="73" cm="1">
        <f t="array" ref="H47">(Assumptions!H36+Assumptions!H40)*Assumptions!H45/unit</f>
        <v>1.712E-3</v>
      </c>
    </row>
    <row r="48" spans="2:10" x14ac:dyDescent="0.2">
      <c r="B48" s="8" t="s">
        <v>76</v>
      </c>
      <c r="C48" s="72">
        <f>Assumptions!C47+Assumptions!C48</f>
        <v>6.5000000000000002E-2</v>
      </c>
      <c r="D48" s="72">
        <f>Assumptions!D47+Assumptions!D48</f>
        <v>6.5000000000000002E-2</v>
      </c>
      <c r="E48" s="72">
        <f>Assumptions!E47+Assumptions!E48</f>
        <v>6.5000000000000002E-2</v>
      </c>
      <c r="F48" s="72">
        <f>Assumptions!F47+Assumptions!F48</f>
        <v>6.5000000000000002E-2</v>
      </c>
      <c r="G48" s="72">
        <f>Assumptions!G47+Assumptions!G48</f>
        <v>6.5000000000000002E-2</v>
      </c>
      <c r="H48" s="72">
        <f>Assumptions!H47+Assumptions!H48</f>
        <v>6.5000000000000002E-2</v>
      </c>
    </row>
    <row r="49" spans="2:8" x14ac:dyDescent="0.2">
      <c r="B49" s="5" t="s">
        <v>77</v>
      </c>
      <c r="C49" s="73">
        <f>SUM(C47:C48)</f>
        <v>6.6664000000000001E-2</v>
      </c>
      <c r="D49" s="73">
        <f t="shared" ref="D49:H49" si="11">SUM(D47:D48)</f>
        <v>6.6664000000000001E-2</v>
      </c>
      <c r="E49" s="73">
        <f t="shared" si="11"/>
        <v>6.6664000000000001E-2</v>
      </c>
      <c r="F49" s="73">
        <f t="shared" si="11"/>
        <v>6.6712000000000007E-2</v>
      </c>
      <c r="G49" s="73">
        <f t="shared" si="11"/>
        <v>6.6712000000000007E-2</v>
      </c>
      <c r="H49" s="73">
        <f t="shared" si="11"/>
        <v>6.6712000000000007E-2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-0.04</v>
      </c>
      <c r="D51" s="72">
        <f>-Assumptions!D47</f>
        <v>-0.04</v>
      </c>
      <c r="E51" s="72">
        <f>-Assumptions!E47</f>
        <v>-0.04</v>
      </c>
      <c r="F51" s="72">
        <f>-Assumptions!F47</f>
        <v>-0.04</v>
      </c>
      <c r="G51" s="72">
        <f>-Assumptions!G47</f>
        <v>-0.04</v>
      </c>
      <c r="H51" s="72">
        <f>-Assumptions!H47</f>
        <v>-0.04</v>
      </c>
    </row>
    <row r="52" spans="2:8" x14ac:dyDescent="0.2">
      <c r="B52" s="5" t="s">
        <v>79</v>
      </c>
      <c r="C52" s="73">
        <f>SUM(C49:C51)</f>
        <v>2.6664E-2</v>
      </c>
      <c r="D52" s="73">
        <f t="shared" ref="D52:H52" si="12">SUM(D49:D51)</f>
        <v>2.6664E-2</v>
      </c>
      <c r="E52" s="73">
        <f t="shared" si="12"/>
        <v>2.6664E-2</v>
      </c>
      <c r="F52" s="73">
        <f t="shared" si="12"/>
        <v>2.6712000000000007E-2</v>
      </c>
      <c r="G52" s="73">
        <f t="shared" si="12"/>
        <v>2.6712000000000007E-2</v>
      </c>
      <c r="H52" s="73">
        <f t="shared" si="12"/>
        <v>2.6712000000000007E-2</v>
      </c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93">
        <f>C49/(Assumptions!C36+Assumptions!C40)</f>
        <v>3.2049999999999998E-4</v>
      </c>
      <c r="D54" s="93">
        <f>D49/(Assumptions!D36+Assumptions!D40)</f>
        <v>3.2049999999999998E-4</v>
      </c>
      <c r="E54" s="93">
        <f>E49/(Assumptions!E36+Assumptions!E40)</f>
        <v>3.2049999999999998E-4</v>
      </c>
      <c r="F54" s="93">
        <f>F49/(Assumptions!F36+Assumptions!F40)</f>
        <v>3.1173831775700939E-4</v>
      </c>
      <c r="G54" s="93">
        <f>G49/(Assumptions!G36+Assumptions!G40)</f>
        <v>3.1173831775700939E-4</v>
      </c>
      <c r="H54" s="93">
        <f>H49/(Assumptions!H36+Assumptions!H40)</f>
        <v>3.1173831775700939E-4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3">D46</f>
        <v>2</v>
      </c>
      <c r="E59" s="8">
        <f t="shared" si="13"/>
        <v>3</v>
      </c>
      <c r="F59" s="8">
        <f t="shared" si="13"/>
        <v>4</v>
      </c>
      <c r="G59" s="8">
        <f t="shared" si="13"/>
        <v>5</v>
      </c>
      <c r="H59" s="8">
        <f t="shared" si="13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4">D14/D11</f>
        <v>2</v>
      </c>
      <c r="E61" s="73">
        <f t="shared" si="14"/>
        <v>2</v>
      </c>
      <c r="F61" s="73">
        <f t="shared" si="14"/>
        <v>2</v>
      </c>
      <c r="G61" s="73">
        <f t="shared" si="14"/>
        <v>2</v>
      </c>
      <c r="H61" s="73">
        <f t="shared" si="14"/>
        <v>2</v>
      </c>
    </row>
    <row r="62" spans="2:8" x14ac:dyDescent="0.2">
      <c r="B62" s="5" t="s">
        <v>84</v>
      </c>
      <c r="C62" s="73">
        <f>Assumptions!C37*Assumptions!C53</f>
        <v>0.29166666666666663</v>
      </c>
      <c r="D62" s="73">
        <f>Assumptions!D37*Assumptions!D53</f>
        <v>0.30625000000000002</v>
      </c>
      <c r="E62" s="73">
        <f>Assumptions!E37*Assumptions!E53</f>
        <v>0.32156250000000003</v>
      </c>
      <c r="F62" s="73">
        <f>Assumptions!F37*Assumptions!F53</f>
        <v>0.32413500000000006</v>
      </c>
      <c r="G62" s="73">
        <f>Assumptions!G37*Assumptions!G53</f>
        <v>0.34034175000000005</v>
      </c>
      <c r="H62" s="73">
        <f>Assumptions!H37*Assumptions!H53</f>
        <v>0.35735883750000008</v>
      </c>
    </row>
    <row r="63" spans="2:8" x14ac:dyDescent="0.2">
      <c r="B63" s="8" t="s">
        <v>85</v>
      </c>
      <c r="C63" s="72">
        <f>C54*'Proj. Sales &amp; Prod'!$C$35</f>
        <v>2.3451219512195124E-4</v>
      </c>
      <c r="D63" s="72">
        <f>D54*'Proj. Sales &amp; Prod'!$C$35</f>
        <v>2.3451219512195124E-4</v>
      </c>
      <c r="E63" s="72">
        <f>E54*'Proj. Sales &amp; Prod'!$C$35</f>
        <v>2.3451219512195124E-4</v>
      </c>
      <c r="F63" s="72">
        <f>F54*'Proj. Sales &amp; Prod'!$C$35</f>
        <v>2.2810120811488495E-4</v>
      </c>
      <c r="G63" s="72">
        <f>G54*'Proj. Sales &amp; Prod'!$C$35</f>
        <v>2.2810120811488495E-4</v>
      </c>
      <c r="H63" s="72">
        <f>H54*'Proj. Sales &amp; Prod'!$C$35</f>
        <v>2.2810120811488495E-4</v>
      </c>
    </row>
    <row r="64" spans="2:8" x14ac:dyDescent="0.2">
      <c r="B64" s="5" t="s">
        <v>86</v>
      </c>
      <c r="C64" s="73">
        <f>SUM(C61:C63)</f>
        <v>2.2919011788617887</v>
      </c>
      <c r="D64" s="73">
        <f t="shared" ref="D64:H64" si="15">SUM(D61:D63)</f>
        <v>2.3064845121951221</v>
      </c>
      <c r="E64" s="73">
        <f t="shared" si="15"/>
        <v>2.3217970121951224</v>
      </c>
      <c r="F64" s="73">
        <f t="shared" si="15"/>
        <v>2.3243631012081147</v>
      </c>
      <c r="G64" s="73">
        <f t="shared" si="15"/>
        <v>2.3405698512081146</v>
      </c>
      <c r="H64" s="73">
        <f t="shared" si="15"/>
        <v>2.3575869387081148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6.8757035365853661E-2</v>
      </c>
      <c r="D67" s="73">
        <f t="shared" ref="D67:H67" si="16">D66*D64</f>
        <v>7.2654262134146358E-2</v>
      </c>
      <c r="E67" s="73">
        <f t="shared" si="16"/>
        <v>7.6793436178353686E-2</v>
      </c>
      <c r="F67" s="73">
        <f t="shared" si="16"/>
        <v>8.0722225051081356E-2</v>
      </c>
      <c r="G67" s="73">
        <f t="shared" si="16"/>
        <v>8.5349318481151043E-2</v>
      </c>
      <c r="H67" s="73">
        <f t="shared" si="16"/>
        <v>9.0268342255919565E-2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7">D25/D22</f>
        <v>0.7</v>
      </c>
      <c r="E71" s="73">
        <f t="shared" si="17"/>
        <v>0.7</v>
      </c>
      <c r="F71" s="73">
        <f t="shared" si="17"/>
        <v>0.7</v>
      </c>
      <c r="G71" s="73">
        <f t="shared" si="17"/>
        <v>0.7</v>
      </c>
      <c r="H71" s="73">
        <f t="shared" si="17"/>
        <v>0.7</v>
      </c>
    </row>
    <row r="72" spans="2:8" x14ac:dyDescent="0.2">
      <c r="B72" s="5" t="s">
        <v>84</v>
      </c>
      <c r="C72" s="73">
        <f>Assumptions!C41*Assumptions!C54</f>
        <v>0.24062500000000003</v>
      </c>
      <c r="D72" s="73">
        <f>Assumptions!D41*Assumptions!D54</f>
        <v>0.25265625000000003</v>
      </c>
      <c r="E72" s="73">
        <f>Assumptions!E41*Assumptions!E54</f>
        <v>0.26528906250000006</v>
      </c>
      <c r="F72" s="73">
        <f>Assumptions!F41*Assumptions!F54</f>
        <v>0.27855351562500008</v>
      </c>
      <c r="G72" s="73">
        <f>Assumptions!G41*Assumptions!G54</f>
        <v>0.29248119140625012</v>
      </c>
      <c r="H72" s="73">
        <f>Assumptions!H41*Assumptions!H54</f>
        <v>0.3071052509765626</v>
      </c>
    </row>
    <row r="73" spans="2:8" x14ac:dyDescent="0.2">
      <c r="B73" s="8" t="s">
        <v>85</v>
      </c>
      <c r="C73" s="72">
        <f>C54*'Proj. Sales &amp; Prod'!$C$36</f>
        <v>8.5987804878048801E-5</v>
      </c>
      <c r="D73" s="72">
        <f>D54*'Proj. Sales &amp; Prod'!$C$36</f>
        <v>8.5987804878048801E-5</v>
      </c>
      <c r="E73" s="72">
        <f>E54*'Proj. Sales &amp; Prod'!$C$36</f>
        <v>8.5987804878048801E-5</v>
      </c>
      <c r="F73" s="72">
        <f>F54*'Proj. Sales &amp; Prod'!$C$36</f>
        <v>8.3637109642124494E-5</v>
      </c>
      <c r="G73" s="72">
        <f>G54*'Proj. Sales &amp; Prod'!$C$36</f>
        <v>8.3637109642124494E-5</v>
      </c>
      <c r="H73" s="72">
        <f>H54*'Proj. Sales &amp; Prod'!$C$36</f>
        <v>8.3637109642124494E-5</v>
      </c>
    </row>
    <row r="74" spans="2:8" x14ac:dyDescent="0.2">
      <c r="B74" s="5" t="s">
        <v>90</v>
      </c>
      <c r="C74" s="73">
        <f>SUM(C71:C73)</f>
        <v>0.94071098780487805</v>
      </c>
      <c r="D74" s="73">
        <f t="shared" ref="D74:H74" si="18">SUM(D71:D73)</f>
        <v>0.95274223780487799</v>
      </c>
      <c r="E74" s="73">
        <f t="shared" si="18"/>
        <v>0.96537505030487802</v>
      </c>
      <c r="F74" s="73">
        <f t="shared" si="18"/>
        <v>0.97863715273464214</v>
      </c>
      <c r="G74" s="73">
        <f t="shared" si="18"/>
        <v>0.99256482851589223</v>
      </c>
      <c r="H74" s="73">
        <f t="shared" si="18"/>
        <v>1.0071888880862048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1.034782086585366E-2</v>
      </c>
      <c r="D77" s="73">
        <f t="shared" ref="D77:H77" si="19">D76*D74</f>
        <v>1.1004172846646345E-2</v>
      </c>
      <c r="E77" s="73">
        <f t="shared" si="19"/>
        <v>1.1707585922572412E-2</v>
      </c>
      <c r="F77" s="73">
        <f t="shared" si="19"/>
        <v>1.2461843173278848E-2</v>
      </c>
      <c r="G77" s="73">
        <f t="shared" si="19"/>
        <v>1.3271156278503705E-2</v>
      </c>
      <c r="H77" s="73">
        <f t="shared" si="19"/>
        <v>1.4140022686012298E-2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7.9104856231707321E-2</v>
      </c>
      <c r="D79" s="73">
        <f t="shared" ref="D79:H79" si="20">D67+D77</f>
        <v>8.3658434980792701E-2</v>
      </c>
      <c r="E79" s="73">
        <f t="shared" si="20"/>
        <v>8.8501022100926099E-2</v>
      </c>
      <c r="F79" s="73">
        <f t="shared" si="20"/>
        <v>9.3184068224360206E-2</v>
      </c>
      <c r="G79" s="73">
        <f t="shared" si="20"/>
        <v>9.8620474759654742E-2</v>
      </c>
      <c r="H79" s="73">
        <f t="shared" si="20"/>
        <v>0.10440836494193187</v>
      </c>
    </row>
  </sheetData>
  <sheetProtection selectLockedCells="1"/>
  <mergeCells count="3">
    <mergeCell ref="C40:H40"/>
    <mergeCell ref="C4:H4"/>
    <mergeCell ref="C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tabSelected="1" workbookViewId="0">
      <selection activeCell="K42" sqref="K42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11.1640625" style="5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'Proj. Sales &amp; Prod'!C8</f>
        <v>4.0999999999999996</v>
      </c>
      <c r="D6" s="73">
        <f>'Proj. Sales &amp; Prod'!D8</f>
        <v>4.3050000000000006</v>
      </c>
      <c r="E6" s="73">
        <f>'Proj. Sales &amp; Prod'!E8</f>
        <v>4.5202500000000008</v>
      </c>
      <c r="F6" s="73">
        <f>'Proj. Sales &amp; Prod'!F8</f>
        <v>4.7462625000000012</v>
      </c>
      <c r="G6" s="73">
        <f>'Proj. Sales &amp; Prod'!G8</f>
        <v>4.9835756250000012</v>
      </c>
      <c r="H6" s="73">
        <f>'Proj. Sales &amp; Prod'!H8</f>
        <v>5.2327544062500015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4.520250000000001E-4</v>
      </c>
      <c r="F7" s="76">
        <f>F6*Assumptions!F19</f>
        <v>4.7462625000000016E-4</v>
      </c>
      <c r="G7" s="76">
        <f>G6*Assumptions!G19</f>
        <v>4.9835756250000019E-4</v>
      </c>
      <c r="H7" s="76">
        <f>H6*Assumptions!H19</f>
        <v>5.2327544062500016E-4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4.520250000000001E-4</v>
      </c>
      <c r="F8" s="73">
        <f t="shared" si="0"/>
        <v>4.7462625000000016E-4</v>
      </c>
      <c r="G8" s="73">
        <f t="shared" si="0"/>
        <v>4.9835756250000019E-4</v>
      </c>
      <c r="H8" s="73">
        <f t="shared" si="0"/>
        <v>5.2327544062500016E-4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Assumptions!C59</f>
        <v>4</v>
      </c>
      <c r="D11" s="73">
        <f>Assumptions!D59</f>
        <v>4.5</v>
      </c>
      <c r="E11" s="73">
        <f>Assumptions!E59</f>
        <v>5</v>
      </c>
      <c r="F11" s="73">
        <f>Assumptions!F59</f>
        <v>5.5</v>
      </c>
      <c r="G11" s="73">
        <f>Assumptions!G59</f>
        <v>6</v>
      </c>
      <c r="H11" s="73">
        <f>Assumptions!H59</f>
        <v>6.5</v>
      </c>
    </row>
    <row r="12" spans="2:8" x14ac:dyDescent="0.2">
      <c r="B12" s="1" t="s">
        <v>98</v>
      </c>
      <c r="C12" s="73">
        <f>Assumptions!C60</f>
        <v>5</v>
      </c>
      <c r="D12" s="73">
        <f>Assumptions!D60</f>
        <v>5.25</v>
      </c>
      <c r="E12" s="73">
        <f>Assumptions!E60</f>
        <v>5.5125000000000002</v>
      </c>
      <c r="F12" s="73">
        <f>Assumptions!F60</f>
        <v>5.7881250000000009</v>
      </c>
      <c r="G12" s="73">
        <f>Assumptions!G60</f>
        <v>6.0775312500000007</v>
      </c>
      <c r="H12" s="73">
        <f>Assumptions!H60</f>
        <v>6.3814078125000009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2.5000000000000001E-2</v>
      </c>
      <c r="D14" s="73">
        <f>Assumptions!D48</f>
        <v>2.5000000000000001E-2</v>
      </c>
      <c r="E14" s="73">
        <f>Assumptions!E48</f>
        <v>2.5000000000000001E-2</v>
      </c>
      <c r="F14" s="73">
        <f>Assumptions!F48</f>
        <v>2.5000000000000001E-2</v>
      </c>
      <c r="G14" s="73">
        <f>Assumptions!G48</f>
        <v>2.5000000000000001E-2</v>
      </c>
      <c r="H14" s="73">
        <f>Assumptions!H48</f>
        <v>2.5000000000000001E-2</v>
      </c>
    </row>
    <row r="15" spans="2:8" x14ac:dyDescent="0.2">
      <c r="B15" s="12" t="s">
        <v>100</v>
      </c>
      <c r="C15" s="76">
        <f>Assumptions!C47</f>
        <v>0.04</v>
      </c>
      <c r="D15" s="76">
        <f>Assumptions!D47</f>
        <v>0.04</v>
      </c>
      <c r="E15" s="76">
        <f>Assumptions!E47</f>
        <v>0.04</v>
      </c>
      <c r="F15" s="76">
        <f>Assumptions!F47</f>
        <v>0.04</v>
      </c>
      <c r="G15" s="76">
        <f>Assumptions!G47</f>
        <v>0.04</v>
      </c>
      <c r="H15" s="76">
        <f>Assumptions!H47</f>
        <v>0.04</v>
      </c>
    </row>
    <row r="16" spans="2:8" x14ac:dyDescent="0.2">
      <c r="B16" s="1" t="s">
        <v>101</v>
      </c>
      <c r="C16" s="73">
        <f>SUM(C11:C15)</f>
        <v>10.065</v>
      </c>
      <c r="D16" s="73">
        <f t="shared" ref="D16:H16" si="1">SUM(D11:D15)</f>
        <v>10.815</v>
      </c>
      <c r="E16" s="73">
        <f t="shared" si="1"/>
        <v>11.577499999999999</v>
      </c>
      <c r="F16" s="73">
        <f t="shared" si="1"/>
        <v>12.353125</v>
      </c>
      <c r="G16" s="73">
        <f t="shared" si="1"/>
        <v>13.142531249999999</v>
      </c>
      <c r="H16" s="73">
        <f t="shared" si="1"/>
        <v>13.9464078125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10.06541</v>
      </c>
      <c r="D18" s="73">
        <f t="shared" ref="D18:H18" si="2">D16+D8</f>
        <v>10.8154305</v>
      </c>
      <c r="E18" s="73">
        <f t="shared" si="2"/>
        <v>11.577952024999998</v>
      </c>
      <c r="F18" s="73">
        <f t="shared" si="2"/>
        <v>12.35359962625</v>
      </c>
      <c r="G18" s="73">
        <f t="shared" si="2"/>
        <v>13.1430296075625</v>
      </c>
      <c r="H18" s="73">
        <f t="shared" si="2"/>
        <v>13.946931087940625</v>
      </c>
    </row>
    <row r="19" spans="2:8" x14ac:dyDescent="0.2">
      <c r="B19" s="12" t="s">
        <v>103</v>
      </c>
      <c r="C19" s="76">
        <f>-C15</f>
        <v>-0.04</v>
      </c>
      <c r="D19" s="76">
        <f t="shared" ref="D19:H19" si="3">-D15</f>
        <v>-0.04</v>
      </c>
      <c r="E19" s="76">
        <f t="shared" si="3"/>
        <v>-0.04</v>
      </c>
      <c r="F19" s="76">
        <f t="shared" si="3"/>
        <v>-0.04</v>
      </c>
      <c r="G19" s="76">
        <f t="shared" si="3"/>
        <v>-0.04</v>
      </c>
      <c r="H19" s="76">
        <f t="shared" si="3"/>
        <v>-0.04</v>
      </c>
    </row>
    <row r="20" spans="2:8" x14ac:dyDescent="0.2">
      <c r="B20" s="1" t="s">
        <v>104</v>
      </c>
      <c r="C20" s="73">
        <f>SUM(C18:C19)</f>
        <v>10.025410000000001</v>
      </c>
      <c r="D20" s="73">
        <f t="shared" ref="D20:H20" si="4">SUM(D18:D19)</f>
        <v>10.775430500000001</v>
      </c>
      <c r="E20" s="73">
        <f t="shared" si="4"/>
        <v>11.537952024999999</v>
      </c>
      <c r="F20" s="73">
        <f t="shared" si="4"/>
        <v>12.313599626250001</v>
      </c>
      <c r="G20" s="73">
        <f t="shared" si="4"/>
        <v>13.103029607562501</v>
      </c>
      <c r="H20" s="73">
        <f t="shared" si="4"/>
        <v>13.906931087940626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'Proj. Sales &amp; Prod'!C21</f>
        <v>25.56</v>
      </c>
      <c r="D30" s="73">
        <f>'Proj. Sales &amp; Prod'!D21</f>
        <v>28.258000000000003</v>
      </c>
      <c r="E30" s="73">
        <f>'Proj. Sales &amp; Prod'!E21</f>
        <v>31.090900000000005</v>
      </c>
      <c r="F30" s="73">
        <f>'Proj. Sales &amp; Prod'!F21</f>
        <v>32.645445000000009</v>
      </c>
      <c r="G30" s="73">
        <f>'Proj. Sales &amp; Prod'!G21</f>
        <v>34.277717250000009</v>
      </c>
      <c r="H30" s="73">
        <f>'Proj. Sales &amp; Prod'!H21</f>
        <v>35.991603112500009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31.090900000000005</v>
      </c>
      <c r="F31" s="73">
        <f t="shared" si="6"/>
        <v>32.645445000000009</v>
      </c>
      <c r="G31" s="73">
        <f t="shared" si="6"/>
        <v>34.277717250000009</v>
      </c>
      <c r="H31" s="73">
        <f t="shared" si="6"/>
        <v>35.991603112500009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'Proj. RM &amp; DL &amp; FG'!C28</f>
        <v>10.426735000000001</v>
      </c>
      <c r="D34" s="73">
        <f>'Proj. RM &amp; DL &amp; FG'!D28</f>
        <v>9.8969517499999995</v>
      </c>
      <c r="E34" s="73">
        <f>'Proj. RM &amp; DL &amp; FG'!E28</f>
        <v>10.401184337500005</v>
      </c>
      <c r="F34" s="73">
        <f>'Proj. RM &amp; DL &amp; FG'!F28</f>
        <v>10.921243554375003</v>
      </c>
      <c r="G34" s="73">
        <f>'Proj. RM &amp; DL &amp; FG'!G28</f>
        <v>11.467305732093758</v>
      </c>
      <c r="H34" s="73">
        <f>'Proj. RM &amp; DL &amp; FG'!H28</f>
        <v>12.040671018698443</v>
      </c>
    </row>
    <row r="35" spans="2:8" x14ac:dyDescent="0.2">
      <c r="B35" s="1" t="s">
        <v>112</v>
      </c>
      <c r="C35" s="73">
        <f>'Proj. RM &amp; DL &amp; FG'!C43</f>
        <v>1.1200000000000001</v>
      </c>
      <c r="D35" s="73">
        <f>'Proj. RM &amp; DL &amp; FG'!D43</f>
        <v>1.1200000000000001</v>
      </c>
      <c r="E35" s="73">
        <f>'Proj. RM &amp; DL &amp; FG'!E43</f>
        <v>1.1200000000000001</v>
      </c>
      <c r="F35" s="73">
        <f>'Proj. RM &amp; DL &amp; FG'!F43</f>
        <v>1.26308</v>
      </c>
      <c r="G35" s="73">
        <f>'Proj. RM &amp; DL &amp; FG'!G43</f>
        <v>1.26308</v>
      </c>
      <c r="H35" s="73">
        <f>'Proj. RM &amp; DL &amp; FG'!H43</f>
        <v>1.26308</v>
      </c>
    </row>
    <row r="36" spans="2:8" x14ac:dyDescent="0.2">
      <c r="B36" s="1" t="s">
        <v>113</v>
      </c>
      <c r="C36" s="73">
        <f>'Proj. RM &amp; DL &amp; FG'!C52</f>
        <v>2.6664E-2</v>
      </c>
      <c r="D36" s="73">
        <f>'Proj. RM &amp; DL &amp; FG'!D52</f>
        <v>2.6664E-2</v>
      </c>
      <c r="E36" s="73">
        <f>'Proj. RM &amp; DL &amp; FG'!E52</f>
        <v>2.6664E-2</v>
      </c>
      <c r="F36" s="73">
        <f>'Proj. RM &amp; DL &amp; FG'!F52</f>
        <v>2.6712000000000007E-2</v>
      </c>
      <c r="G36" s="73">
        <f>'Proj. RM &amp; DL &amp; FG'!G52</f>
        <v>2.6712000000000007E-2</v>
      </c>
      <c r="H36" s="73">
        <f>'Proj. RM &amp; DL &amp; FG'!H52</f>
        <v>2.6712000000000007E-2</v>
      </c>
    </row>
    <row r="37" spans="2:8" x14ac:dyDescent="0.2">
      <c r="B37" s="12" t="s">
        <v>114</v>
      </c>
      <c r="C37" s="72">
        <f>C20</f>
        <v>10.025410000000001</v>
      </c>
      <c r="D37" s="72">
        <f t="shared" ref="D37:H37" si="7">D20</f>
        <v>10.775430500000001</v>
      </c>
      <c r="E37" s="72">
        <f t="shared" si="7"/>
        <v>11.537952024999999</v>
      </c>
      <c r="F37" s="72">
        <f t="shared" si="7"/>
        <v>12.313599626250001</v>
      </c>
      <c r="G37" s="72">
        <f t="shared" si="7"/>
        <v>13.103029607562501</v>
      </c>
      <c r="H37" s="72">
        <f t="shared" si="7"/>
        <v>13.906931087940626</v>
      </c>
    </row>
    <row r="38" spans="2:8" x14ac:dyDescent="0.2">
      <c r="B38" s="1" t="s">
        <v>115</v>
      </c>
      <c r="C38" s="73">
        <f>SUM(C34:C37)</f>
        <v>21.598809000000003</v>
      </c>
      <c r="D38" s="73">
        <f t="shared" ref="D38:H38" si="8">SUM(D34:D37)</f>
        <v>21.81904625</v>
      </c>
      <c r="E38" s="73">
        <f t="shared" si="8"/>
        <v>23.085800362500006</v>
      </c>
      <c r="F38" s="73">
        <f t="shared" si="8"/>
        <v>24.524635180625005</v>
      </c>
      <c r="G38" s="73">
        <f t="shared" si="8"/>
        <v>25.860127339656259</v>
      </c>
      <c r="H38" s="73">
        <f t="shared" si="8"/>
        <v>27.237394106639069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21.598809000000003</v>
      </c>
      <c r="D44" s="73">
        <f t="shared" ref="D44:H44" si="9">D38+D40+D43</f>
        <v>21.81904625</v>
      </c>
      <c r="E44" s="73">
        <f t="shared" si="9"/>
        <v>23.085800362500006</v>
      </c>
      <c r="F44" s="73">
        <f t="shared" si="9"/>
        <v>24.524635180625005</v>
      </c>
      <c r="G44" s="73">
        <f t="shared" si="9"/>
        <v>25.860127339656259</v>
      </c>
      <c r="H44" s="73">
        <f t="shared" si="9"/>
        <v>27.237394106639069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3.9611909999999959</v>
      </c>
      <c r="D46" s="73">
        <f t="shared" ref="D46:H46" si="10">D31-D44</f>
        <v>6.4389537500000031</v>
      </c>
      <c r="E46" s="73">
        <f t="shared" si="10"/>
        <v>8.005099637499999</v>
      </c>
      <c r="F46" s="73">
        <f t="shared" si="10"/>
        <v>8.1208098193750047</v>
      </c>
      <c r="G46" s="73">
        <f t="shared" si="10"/>
        <v>8.4175899103437501</v>
      </c>
      <c r="H46" s="73">
        <f t="shared" si="10"/>
        <v>8.7542090058609396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3.9611909999999959</v>
      </c>
      <c r="D54" s="73">
        <f t="shared" ref="D54:H54" si="11">D46+D52</f>
        <v>6.4389537500000031</v>
      </c>
      <c r="E54" s="73">
        <f t="shared" si="11"/>
        <v>8.005099637499999</v>
      </c>
      <c r="F54" s="73">
        <f t="shared" si="11"/>
        <v>8.1208098193750047</v>
      </c>
      <c r="G54" s="73">
        <f t="shared" si="11"/>
        <v>8.4175899103437501</v>
      </c>
      <c r="H54" s="73">
        <f t="shared" si="11"/>
        <v>8.7542090058609396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'Proj. Sales &amp; Prod'!C12</f>
        <v>28.4</v>
      </c>
      <c r="D58" s="5">
        <f>'Proj. Sales &amp; Prod'!D12</f>
        <v>29.820000000000004</v>
      </c>
      <c r="E58" s="5">
        <f>'Proj. Sales &amp; Prod'!E12</f>
        <v>31.311000000000007</v>
      </c>
      <c r="F58" s="5">
        <f>'Proj. Sales &amp; Prod'!F12</f>
        <v>32.876550000000009</v>
      </c>
      <c r="G58" s="5">
        <f>'Proj. Sales &amp; Prod'!G12</f>
        <v>34.520377500000009</v>
      </c>
      <c r="H58" s="5">
        <f>'Proj. Sales &amp; Prod'!H12</f>
        <v>36.24639637500001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-4.520250000000001E-4</v>
      </c>
      <c r="F59" s="40">
        <f t="shared" si="13"/>
        <v>-4.7462625000000016E-4</v>
      </c>
      <c r="G59" s="40">
        <f t="shared" si="13"/>
        <v>-4.9835756250000019E-4</v>
      </c>
      <c r="H59" s="40">
        <f t="shared" si="13"/>
        <v>-5.2327544062500016E-4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31.311452025000008</v>
      </c>
      <c r="F60" s="20">
        <f t="shared" si="14"/>
        <v>32.877024626250012</v>
      </c>
      <c r="G60" s="20">
        <f t="shared" si="14"/>
        <v>34.520875857562508</v>
      </c>
      <c r="H60" s="20">
        <f t="shared" si="14"/>
        <v>36.246919650440638</v>
      </c>
    </row>
    <row r="61" spans="2:8" x14ac:dyDescent="0.2">
      <c r="B61" s="5" t="s">
        <v>128</v>
      </c>
      <c r="C61" s="20">
        <f>C34+C35+C36</f>
        <v>11.573399000000002</v>
      </c>
      <c r="D61" s="20">
        <f t="shared" ref="D61:H61" si="15">D34+D35+D36</f>
        <v>11.043615750000001</v>
      </c>
      <c r="E61" s="20">
        <f t="shared" si="15"/>
        <v>11.547848337500007</v>
      </c>
      <c r="F61" s="20">
        <f t="shared" si="15"/>
        <v>12.211035554375004</v>
      </c>
      <c r="G61" s="20">
        <f t="shared" si="15"/>
        <v>12.757097732093758</v>
      </c>
      <c r="H61" s="20">
        <f t="shared" si="15"/>
        <v>13.330463018698444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2" si="16">D11</f>
        <v>4.5</v>
      </c>
      <c r="E62" s="44">
        <f t="shared" si="16"/>
        <v>5</v>
      </c>
      <c r="F62" s="44">
        <f t="shared" si="16"/>
        <v>5.5</v>
      </c>
      <c r="G62" s="44">
        <f t="shared" si="16"/>
        <v>6</v>
      </c>
      <c r="H62" s="44">
        <f t="shared" si="16"/>
        <v>6.5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5.25</v>
      </c>
      <c r="E63" s="44">
        <f t="shared" ref="E63:H63" si="17">E12</f>
        <v>5.5125000000000002</v>
      </c>
      <c r="F63" s="44">
        <f t="shared" si="17"/>
        <v>5.7881250000000009</v>
      </c>
      <c r="G63" s="44">
        <f t="shared" si="17"/>
        <v>6.0775312500000007</v>
      </c>
      <c r="H63" s="44">
        <f t="shared" si="17"/>
        <v>6.3814078125000009</v>
      </c>
    </row>
    <row r="64" spans="2:8" outlineLevel="1" x14ac:dyDescent="0.2">
      <c r="B64" s="43" t="s">
        <v>161</v>
      </c>
      <c r="C64" s="45">
        <f>C60-SUM(C61:C63)</f>
        <v>7.8270109999999953</v>
      </c>
      <c r="D64" s="45">
        <f t="shared" ref="D64:H64" si="18">D60-SUM(D61:D63)</f>
        <v>9.0268147500000033</v>
      </c>
      <c r="E64" s="45">
        <f t="shared" si="18"/>
        <v>9.2511036875000023</v>
      </c>
      <c r="F64" s="45">
        <f t="shared" si="18"/>
        <v>9.3778640718750097</v>
      </c>
      <c r="G64" s="45">
        <f t="shared" si="18"/>
        <v>9.6862468754687505</v>
      </c>
      <c r="H64" s="45">
        <f t="shared" si="18"/>
        <v>10.035048819242192</v>
      </c>
    </row>
    <row r="65" spans="2:8" x14ac:dyDescent="0.2">
      <c r="B65" s="5" t="s">
        <v>129</v>
      </c>
      <c r="C65" s="20">
        <f>C60-C61</f>
        <v>16.827010999999995</v>
      </c>
      <c r="D65" s="20">
        <f t="shared" ref="D65:H65" si="19">D60-D61</f>
        <v>18.776814750000003</v>
      </c>
      <c r="E65" s="20">
        <f t="shared" si="19"/>
        <v>19.763603687500002</v>
      </c>
      <c r="F65" s="20">
        <f t="shared" si="19"/>
        <v>20.665989071875011</v>
      </c>
      <c r="G65" s="20">
        <f t="shared" si="19"/>
        <v>21.76377812546875</v>
      </c>
      <c r="H65" s="20">
        <f t="shared" si="19"/>
        <v>22.916456631742193</v>
      </c>
    </row>
    <row r="66" spans="2:8" outlineLevel="1" x14ac:dyDescent="0.2">
      <c r="B66" s="42" t="s">
        <v>162</v>
      </c>
      <c r="C66" s="46">
        <f>C15</f>
        <v>0.04</v>
      </c>
      <c r="D66" s="46">
        <f t="shared" ref="D66:H66" si="20">D15</f>
        <v>0.04</v>
      </c>
      <c r="E66" s="46">
        <f t="shared" si="20"/>
        <v>0.04</v>
      </c>
      <c r="F66" s="46">
        <f t="shared" si="20"/>
        <v>0.04</v>
      </c>
      <c r="G66" s="46">
        <f t="shared" si="20"/>
        <v>0.04</v>
      </c>
      <c r="H66" s="46">
        <f t="shared" si="20"/>
        <v>0.04</v>
      </c>
    </row>
    <row r="67" spans="2:8" outlineLevel="1" x14ac:dyDescent="0.2">
      <c r="B67" s="42" t="s">
        <v>163</v>
      </c>
      <c r="C67" s="44">
        <f>C13+C14</f>
        <v>1.0249999999999999</v>
      </c>
      <c r="D67" s="44">
        <f t="shared" ref="D67:H67" si="21">D13+D14</f>
        <v>1.0249999999999999</v>
      </c>
      <c r="E67" s="44">
        <f t="shared" si="21"/>
        <v>1.0249999999999999</v>
      </c>
      <c r="F67" s="44">
        <f t="shared" si="21"/>
        <v>1.0249999999999999</v>
      </c>
      <c r="G67" s="44">
        <f t="shared" si="21"/>
        <v>1.0249999999999999</v>
      </c>
      <c r="H67" s="44">
        <f t="shared" si="21"/>
        <v>1.0249999999999999</v>
      </c>
    </row>
    <row r="68" spans="2:8" outlineLevel="1" x14ac:dyDescent="0.2">
      <c r="B68" s="42" t="s">
        <v>164</v>
      </c>
      <c r="C68" s="44">
        <f>C64-SUM(C66:C67)</f>
        <v>6.7620109999999958</v>
      </c>
      <c r="D68" s="44">
        <f t="shared" ref="D68:H68" si="22">D64-SUM(D66:D67)</f>
        <v>7.9618147500000038</v>
      </c>
      <c r="E68" s="44">
        <f t="shared" si="22"/>
        <v>8.1861036875000028</v>
      </c>
      <c r="F68" s="44">
        <f t="shared" si="22"/>
        <v>8.3128640718750102</v>
      </c>
      <c r="G68" s="44">
        <f t="shared" si="22"/>
        <v>8.621246875468751</v>
      </c>
      <c r="H68" s="44">
        <f t="shared" si="22"/>
        <v>8.9700488192421926</v>
      </c>
    </row>
    <row r="70" spans="2:8" x14ac:dyDescent="0.2">
      <c r="B70" s="25" t="s">
        <v>130</v>
      </c>
      <c r="C70" s="33">
        <f t="shared" ref="C70:H70" si="23">C16</f>
        <v>10.065</v>
      </c>
      <c r="D70" s="33">
        <f t="shared" si="23"/>
        <v>10.815</v>
      </c>
      <c r="E70" s="33">
        <f t="shared" si="23"/>
        <v>11.577499999999999</v>
      </c>
      <c r="F70" s="33">
        <f t="shared" si="23"/>
        <v>12.353125</v>
      </c>
      <c r="G70" s="33">
        <f t="shared" si="23"/>
        <v>13.142531249999999</v>
      </c>
      <c r="H70" s="33">
        <f t="shared" si="23"/>
        <v>13.9464078125</v>
      </c>
    </row>
    <row r="71" spans="2:8" x14ac:dyDescent="0.2">
      <c r="B71" s="23" t="s">
        <v>131</v>
      </c>
      <c r="C71" s="20">
        <f t="shared" ref="C71:H71" si="24">C65-C70</f>
        <v>6.7620109999999958</v>
      </c>
      <c r="D71" s="20">
        <f t="shared" si="24"/>
        <v>7.9618147500000038</v>
      </c>
      <c r="E71" s="20">
        <f t="shared" si="24"/>
        <v>8.1861036875000028</v>
      </c>
      <c r="F71" s="20">
        <f t="shared" si="24"/>
        <v>8.3128640718750102</v>
      </c>
      <c r="G71" s="20">
        <f t="shared" si="24"/>
        <v>8.621246875468751</v>
      </c>
      <c r="H71" s="20">
        <f t="shared" si="24"/>
        <v>8.9700488192421926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6.7620109999999958</v>
      </c>
      <c r="D74" s="20">
        <f t="shared" ref="D74:H74" si="25">D71-D73</f>
        <v>7.9618147500000038</v>
      </c>
      <c r="E74" s="20">
        <f t="shared" si="25"/>
        <v>8.1861036875000028</v>
      </c>
      <c r="F74" s="20">
        <f t="shared" si="25"/>
        <v>8.3128640718750102</v>
      </c>
      <c r="G74" s="20">
        <f t="shared" si="25"/>
        <v>8.621246875468751</v>
      </c>
      <c r="H74" s="20">
        <f t="shared" si="25"/>
        <v>8.9700488192421926</v>
      </c>
    </row>
    <row r="76" spans="2:8" x14ac:dyDescent="0.2">
      <c r="B76" s="25" t="s">
        <v>134</v>
      </c>
      <c r="C76" s="26">
        <f>-C74*0.25</f>
        <v>-1.6905027499999989</v>
      </c>
      <c r="D76" s="26">
        <f t="shared" ref="D76:H76" si="26">-D74*0.25</f>
        <v>-1.990453687500001</v>
      </c>
      <c r="E76" s="26">
        <f t="shared" si="26"/>
        <v>-2.0465259218750007</v>
      </c>
      <c r="F76" s="26">
        <f t="shared" si="26"/>
        <v>-2.0782160179687525</v>
      </c>
      <c r="G76" s="26">
        <f t="shared" si="26"/>
        <v>-2.1553117188671878</v>
      </c>
      <c r="H76" s="26">
        <f t="shared" si="26"/>
        <v>-2.2425122048105481</v>
      </c>
    </row>
    <row r="77" spans="2:8" x14ac:dyDescent="0.2">
      <c r="B77" s="5" t="s">
        <v>135</v>
      </c>
      <c r="C77" s="20">
        <f>SUM(C74:C76)</f>
        <v>5.0715082499999973</v>
      </c>
      <c r="D77" s="20">
        <f t="shared" ref="D77:H77" si="27">SUM(D74:D76)</f>
        <v>5.9713610625000033</v>
      </c>
      <c r="E77" s="20">
        <f t="shared" si="27"/>
        <v>6.1395777656250026</v>
      </c>
      <c r="F77" s="20">
        <f t="shared" si="27"/>
        <v>6.2346480539062572</v>
      </c>
      <c r="G77" s="20">
        <f t="shared" si="27"/>
        <v>6.4659351566015637</v>
      </c>
      <c r="H77" s="20">
        <f t="shared" si="27"/>
        <v>6.727536614431644</v>
      </c>
    </row>
    <row r="81" spans="2:8" ht="20" x14ac:dyDescent="0.2">
      <c r="B81" s="30" t="s">
        <v>136</v>
      </c>
      <c r="C81" s="77">
        <f t="shared" ref="C81:H81" si="28">C57</f>
        <v>1</v>
      </c>
      <c r="D81" s="77">
        <f t="shared" si="28"/>
        <v>2</v>
      </c>
      <c r="E81" s="77">
        <f t="shared" si="28"/>
        <v>3</v>
      </c>
      <c r="F81" s="77">
        <f t="shared" si="28"/>
        <v>4</v>
      </c>
      <c r="G81" s="77">
        <f t="shared" si="28"/>
        <v>5</v>
      </c>
      <c r="H81" s="77">
        <f t="shared" si="28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9">C54</f>
        <v>3.9611909999999959</v>
      </c>
      <c r="D83" s="73">
        <f t="shared" si="29"/>
        <v>6.4389537500000031</v>
      </c>
      <c r="E83" s="73">
        <f t="shared" si="29"/>
        <v>8.005099637499999</v>
      </c>
      <c r="F83" s="73">
        <f t="shared" si="29"/>
        <v>8.1208098193750047</v>
      </c>
      <c r="G83" s="73">
        <f t="shared" si="29"/>
        <v>8.4175899103437501</v>
      </c>
      <c r="H83" s="73">
        <f t="shared" si="29"/>
        <v>8.7542090058609396</v>
      </c>
    </row>
    <row r="84" spans="2:8" x14ac:dyDescent="0.2">
      <c r="B84" s="6" t="s">
        <v>139</v>
      </c>
      <c r="C84" s="73">
        <f>'Proj. Sales &amp; Prod'!D19+'Proj. Sales &amp; Prod'!D20</f>
        <v>1.42</v>
      </c>
      <c r="D84" s="73">
        <f>'Proj. Sales &amp; Prod'!E19+'Proj. Sales &amp; Prod'!E20</f>
        <v>2.9110000000000005</v>
      </c>
      <c r="E84" s="73">
        <f>'Proj. Sales &amp; Prod'!F19+'Proj. Sales &amp; Prod'!F20</f>
        <v>3.0565500000000005</v>
      </c>
      <c r="F84" s="73">
        <f>'Proj. Sales &amp; Prod'!G19+'Proj. Sales &amp; Prod'!G20</f>
        <v>3.2093775000000009</v>
      </c>
      <c r="G84" s="73">
        <f>'Proj. Sales &amp; Prod'!H19+'Proj. Sales &amp; Prod'!H20</f>
        <v>3.3698463750000007</v>
      </c>
      <c r="H84" s="73">
        <f>'Proj. Sales &amp; Prod'!I19+'Proj. Sales &amp; Prod'!I20</f>
        <v>3.538338693750001</v>
      </c>
    </row>
    <row r="85" spans="2:8" x14ac:dyDescent="0.2">
      <c r="B85" s="6" t="s">
        <v>140</v>
      </c>
      <c r="C85" s="73">
        <f>'Proj. RM &amp; DL &amp; FG'!C20</f>
        <v>5.5550000000000016E-2</v>
      </c>
      <c r="D85" s="73">
        <f>'Proj. RM &amp; DL &amp; FG'!D20</f>
        <v>5.7777500000000016E-2</v>
      </c>
      <c r="E85" s="73">
        <f>'Proj. RM &amp; DL &amp; FG'!E20</f>
        <v>6.0666375000000029E-2</v>
      </c>
      <c r="F85" s="73">
        <f>'Proj. RM &amp; DL &amp; FG'!F20</f>
        <v>6.3699693750000022E-2</v>
      </c>
      <c r="G85" s="73">
        <f>'Proj. RM &amp; DL &amp; FG'!G20</f>
        <v>6.6884678437500053E-2</v>
      </c>
      <c r="H85" s="73">
        <f>'Proj. RM &amp; DL &amp; FG'!H20</f>
        <v>7.0228912359375048E-2</v>
      </c>
    </row>
    <row r="86" spans="2:8" x14ac:dyDescent="0.2">
      <c r="B86" s="21" t="s">
        <v>141</v>
      </c>
      <c r="C86" s="72">
        <f>'Proj. RM &amp; DL &amp; FG'!C79</f>
        <v>7.9104856231707321E-2</v>
      </c>
      <c r="D86" s="72">
        <f>'Proj. RM &amp; DL &amp; FG'!D79</f>
        <v>8.3658434980792701E-2</v>
      </c>
      <c r="E86" s="72">
        <f>'Proj. RM &amp; DL &amp; FG'!E79</f>
        <v>8.8501022100926099E-2</v>
      </c>
      <c r="F86" s="72">
        <f>'Proj. RM &amp; DL &amp; FG'!F79</f>
        <v>9.3184068224360206E-2</v>
      </c>
      <c r="G86" s="72">
        <f>'Proj. RM &amp; DL &amp; FG'!G79</f>
        <v>9.8620474759654742E-2</v>
      </c>
      <c r="H86" s="72">
        <f>'Proj. RM &amp; DL &amp; FG'!H79</f>
        <v>0.10440836494193187</v>
      </c>
    </row>
    <row r="87" spans="2:8" x14ac:dyDescent="0.2">
      <c r="B87" s="6" t="s">
        <v>142</v>
      </c>
      <c r="C87" s="73">
        <f>SUM(C83:C86)</f>
        <v>5.515845856231703</v>
      </c>
      <c r="D87" s="73">
        <f t="shared" ref="D87:H87" si="30">SUM(D83:D86)</f>
        <v>9.4913896849807973</v>
      </c>
      <c r="E87" s="73">
        <f t="shared" si="30"/>
        <v>11.210817034600927</v>
      </c>
      <c r="F87" s="73">
        <f t="shared" si="30"/>
        <v>11.487071081349365</v>
      </c>
      <c r="G87" s="73">
        <f t="shared" si="30"/>
        <v>11.952941438540906</v>
      </c>
      <c r="H87" s="73">
        <f t="shared" si="30"/>
        <v>12.467184976912248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1">SUM(C89:C90)</f>
        <v>1</v>
      </c>
      <c r="D91" s="73">
        <f t="shared" si="31"/>
        <v>1</v>
      </c>
      <c r="E91" s="73">
        <f t="shared" si="31"/>
        <v>1</v>
      </c>
      <c r="F91" s="73">
        <f t="shared" si="31"/>
        <v>1</v>
      </c>
      <c r="G91" s="73">
        <f t="shared" si="31"/>
        <v>1</v>
      </c>
      <c r="H91" s="73">
        <f t="shared" si="31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6.515845856231703</v>
      </c>
      <c r="D93" s="74">
        <f t="shared" ref="D93:H93" si="32">D87+D91</f>
        <v>10.491389684980797</v>
      </c>
      <c r="E93" s="74">
        <f t="shared" si="32"/>
        <v>12.210817034600927</v>
      </c>
      <c r="F93" s="74">
        <f t="shared" si="32"/>
        <v>12.487071081349365</v>
      </c>
      <c r="G93" s="74">
        <f t="shared" si="32"/>
        <v>12.952941438540906</v>
      </c>
      <c r="H93" s="74">
        <f t="shared" si="32"/>
        <v>13.467184976912248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'Proj. RM &amp; DL &amp; FG'!D35+'Proj. RM &amp; DL &amp; FG'!D36</f>
        <v>1.0426735</v>
      </c>
      <c r="D96" s="74">
        <f>'Proj. RM &amp; DL &amp; FG'!E35+'Proj. RM &amp; DL &amp; FG'!E36</f>
        <v>2.0323686749999998</v>
      </c>
      <c r="E96" s="74">
        <f>'Proj. RM &amp; DL &amp; FG'!F35+'Proj. RM &amp; DL &amp; FG'!F36</f>
        <v>2.0298136087500005</v>
      </c>
      <c r="F96" s="74">
        <f>'Proj. RM &amp; DL &amp; FG'!G35+'Proj. RM &amp; DL &amp; FG'!G36</f>
        <v>2.1322427891875009</v>
      </c>
      <c r="G96" s="74">
        <f>'Proj. RM &amp; DL &amp; FG'!H35+'Proj. RM &amp; DL &amp; FG'!H36</f>
        <v>2.2388549286468762</v>
      </c>
      <c r="H96" s="74">
        <f>'Proj. RM &amp; DL &amp; FG'!I35+'Proj. RM &amp; DL &amp; FG'!I36</f>
        <v>2.3507976750792201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3">SUM(D96:D97)</f>
        <v>2.0323686749999998</v>
      </c>
      <c r="E98" s="74">
        <f t="shared" si="33"/>
        <v>2.0298136087500005</v>
      </c>
      <c r="F98" s="74">
        <f t="shared" si="33"/>
        <v>2.1322427891875009</v>
      </c>
      <c r="G98" s="74">
        <f t="shared" si="33"/>
        <v>2.2388549286468762</v>
      </c>
      <c r="H98" s="74">
        <f t="shared" si="33"/>
        <v>2.3507976750792201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4">D100</f>
        <v>0</v>
      </c>
      <c r="E101" s="74">
        <f t="shared" si="34"/>
        <v>0</v>
      </c>
      <c r="F101" s="74">
        <f t="shared" si="34"/>
        <v>0</v>
      </c>
      <c r="G101" s="74">
        <f t="shared" si="34"/>
        <v>0</v>
      </c>
      <c r="H101" s="74">
        <f t="shared" si="34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0.40166410623170545</v>
      </c>
      <c r="D103" s="74">
        <f>D93-D98-D104</f>
        <v>2.487659947480795</v>
      </c>
      <c r="E103" s="74">
        <f t="shared" ref="E103:H103" si="35">E93-E98-E104</f>
        <v>4.041425660225924</v>
      </c>
      <c r="F103" s="74">
        <f t="shared" si="35"/>
        <v>4.1201802382556068</v>
      </c>
      <c r="G103" s="74">
        <f t="shared" si="35"/>
        <v>4.2481513532924655</v>
      </c>
      <c r="H103" s="74">
        <f t="shared" si="35"/>
        <v>4.3888506874013853</v>
      </c>
    </row>
    <row r="104" spans="2:8" x14ac:dyDescent="0.2">
      <c r="B104" s="21" t="s">
        <v>154</v>
      </c>
      <c r="C104" s="75">
        <f>C77</f>
        <v>5.0715082499999973</v>
      </c>
      <c r="D104" s="75">
        <f t="shared" ref="D104:H104" si="36">D77</f>
        <v>5.9713610625000033</v>
      </c>
      <c r="E104" s="75">
        <f t="shared" si="36"/>
        <v>6.1395777656250026</v>
      </c>
      <c r="F104" s="75">
        <f t="shared" si="36"/>
        <v>6.2346480539062572</v>
      </c>
      <c r="G104" s="75">
        <f t="shared" si="36"/>
        <v>6.4659351566015637</v>
      </c>
      <c r="H104" s="75">
        <f t="shared" si="36"/>
        <v>6.727536614431644</v>
      </c>
    </row>
    <row r="105" spans="2:8" x14ac:dyDescent="0.2">
      <c r="B105" s="6" t="s">
        <v>155</v>
      </c>
      <c r="C105" s="74">
        <f>SUM(C103:C104)</f>
        <v>5.4731723562317027</v>
      </c>
      <c r="D105" s="74">
        <f t="shared" ref="D105:H105" si="37">SUM(D103:D104)</f>
        <v>8.4590210099807983</v>
      </c>
      <c r="E105" s="74">
        <f t="shared" si="37"/>
        <v>10.181003425850927</v>
      </c>
      <c r="F105" s="74">
        <f t="shared" si="37"/>
        <v>10.354828292161864</v>
      </c>
      <c r="G105" s="74">
        <f t="shared" si="37"/>
        <v>10.714086509894029</v>
      </c>
      <c r="H105" s="74">
        <f t="shared" si="37"/>
        <v>11.116387301833029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6.515845856231703</v>
      </c>
      <c r="D107" s="74">
        <f t="shared" ref="D107:H107" si="38">D105+D101+D98</f>
        <v>10.491389684980799</v>
      </c>
      <c r="E107" s="74">
        <f t="shared" si="38"/>
        <v>12.210817034600927</v>
      </c>
      <c r="F107" s="74">
        <f t="shared" si="38"/>
        <v>12.487071081349365</v>
      </c>
      <c r="G107" s="74">
        <f t="shared" si="38"/>
        <v>12.952941438540906</v>
      </c>
      <c r="H107" s="74">
        <f t="shared" si="38"/>
        <v>13.46718497691225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sheetPr>
    <tabColor theme="4" tint="-0.499984740745262"/>
  </sheetPr>
  <dimension ref="B1:H37"/>
  <sheetViews>
    <sheetView zoomScaleNormal="100" workbookViewId="0">
      <selection activeCell="C40" sqref="C40"/>
    </sheetView>
  </sheetViews>
  <sheetFormatPr baseColWidth="10" defaultRowHeight="16" outlineLevelRow="1" x14ac:dyDescent="0.2"/>
  <cols>
    <col min="1" max="1" width="6.33203125" style="5" customWidth="1"/>
    <col min="2" max="2" width="37.5" style="5" customWidth="1"/>
    <col min="3" max="3" width="13.33203125" style="5" customWidth="1"/>
    <col min="4" max="16384" width="10.83203125" style="5"/>
  </cols>
  <sheetData>
    <row r="1" spans="2:8" x14ac:dyDescent="0.2">
      <c r="B1" s="5" t="str">
        <f>Assumptions!B1</f>
        <v>Compagny Incognito, by eliediwambuena</v>
      </c>
    </row>
    <row r="3" spans="2:8" ht="20" x14ac:dyDescent="0.2">
      <c r="B3" s="49" t="s">
        <v>166</v>
      </c>
      <c r="C3" s="39">
        <f>Assumptions!C8</f>
        <v>1</v>
      </c>
      <c r="D3" s="39">
        <f>Assumptions!D8</f>
        <v>2</v>
      </c>
      <c r="E3" s="39">
        <f>Assumptions!E8</f>
        <v>3</v>
      </c>
      <c r="F3" s="39">
        <f>Assumptions!F8</f>
        <v>4</v>
      </c>
      <c r="G3" s="39">
        <f>Assumptions!G8</f>
        <v>5</v>
      </c>
      <c r="H3" s="39">
        <f>Assumptions!H8</f>
        <v>6</v>
      </c>
    </row>
    <row r="4" spans="2:8" s="50" customFormat="1" outlineLevel="1" x14ac:dyDescent="0.2">
      <c r="B4" s="50" t="s">
        <v>172</v>
      </c>
      <c r="C4" s="51">
        <f>'Proj. Sales &amp; Prod'!C10-'Proj. SGA &amp; PL &amp; BS'!C7*'Proj. Sales &amp; Prod'!$C$35</f>
        <v>23.999700000000001</v>
      </c>
      <c r="D4" s="51">
        <f>'Proj. Sales &amp; Prod'!D10-'Proj. SGA &amp; PL &amp; BS'!D7*'Proj. Sales &amp; Prod'!$C$35</f>
        <v>25.199685000000002</v>
      </c>
      <c r="E4" s="51">
        <f>'Proj. Sales &amp; Prod'!E10-'Proj. SGA &amp; PL &amp; BS'!E7*'Proj. Sales &amp; Prod'!$C$35</f>
        <v>26.459669250000005</v>
      </c>
      <c r="F4" s="51">
        <f>'Proj. Sales &amp; Prod'!F10-'Proj. SGA &amp; PL &amp; BS'!F7*'Proj. Sales &amp; Prod'!$C$35</f>
        <v>27.782652712500006</v>
      </c>
      <c r="G4" s="51">
        <f>'Proj. Sales &amp; Prod'!G10-'Proj. SGA &amp; PL &amp; BS'!G7*'Proj. Sales &amp; Prod'!$C$35</f>
        <v>29.171785348125006</v>
      </c>
      <c r="H4" s="51">
        <f>'Proj. Sales &amp; Prod'!H10-'Proj. SGA &amp; PL &amp; BS'!H7*'Proj. Sales &amp; Prod'!$C$35</f>
        <v>30.63037461553126</v>
      </c>
    </row>
    <row r="5" spans="2:8" s="50" customFormat="1" outlineLevel="1" x14ac:dyDescent="0.2">
      <c r="B5" s="52" t="s">
        <v>169</v>
      </c>
      <c r="C5" s="51">
        <f>'Proj. RM &amp; DL &amp; FG'!C14+('Proj. RM &amp; DL &amp; FG'!C43+'Proj. RM &amp; DL &amp; FG'!C49)*'Proj. Sales &amp; Prod'!$C$35</f>
        <v>10.867290731707318</v>
      </c>
      <c r="D5" s="51">
        <f>'Proj. RM &amp; DL &amp; FG'!D14+('Proj. RM &amp; DL &amp; FG'!D43+'Proj. RM &amp; DL &amp; FG'!D49)*'Proj. Sales &amp; Prod'!$C$35</f>
        <v>10.359240731707317</v>
      </c>
      <c r="E5" s="51">
        <f>'Proj. RM &amp; DL &amp; FG'!E14+('Proj. RM &amp; DL &amp; FG'!E43+'Proj. RM &amp; DL &amp; FG'!E49)*'Proj. Sales &amp; Prod'!$C$35</f>
        <v>10.842788231707322</v>
      </c>
      <c r="F5" s="51">
        <f>'Proj. RM &amp; DL &amp; FG'!F14+('Proj. RM &amp; DL &amp; FG'!F43+'Proj. RM &amp; DL &amp; FG'!F49)*'Proj. Sales &amp; Prod'!$C$35</f>
        <v>11.446240911585368</v>
      </c>
      <c r="G5" s="51">
        <f>'Proj. RM &amp; DL &amp; FG'!G14+('Proj. RM &amp; DL &amp; FG'!G43+'Proj. RM &amp; DL &amp; FG'!G49)*'Proj. Sales &amp; Prod'!$C$35</f>
        <v>11.969902030335373</v>
      </c>
      <c r="H5" s="51">
        <f>'Proj. RM &amp; DL &amp; FG'!H14+('Proj. RM &amp; DL &amp; FG'!H43+'Proj. RM &amp; DL &amp; FG'!H49)*'Proj. Sales &amp; Prod'!$C$35</f>
        <v>12.519746205022871</v>
      </c>
    </row>
    <row r="6" spans="2:8" s="50" customFormat="1" outlineLevel="1" x14ac:dyDescent="0.2">
      <c r="B6" s="52" t="s">
        <v>170</v>
      </c>
      <c r="C6" s="53">
        <f>('Proj. SGA &amp; PL &amp; BS'!C11+'Proj. SGA &amp; PL &amp; BS'!C12)*'Proj. Sales &amp; Prod'!$C$35</f>
        <v>6.5853658536585371</v>
      </c>
      <c r="D6" s="53">
        <f>('Proj. SGA &amp; PL &amp; BS'!D11+'Proj. SGA &amp; PL &amp; BS'!D12)*'Proj. Sales &amp; Prod'!$C$35</f>
        <v>7.1341463414634152</v>
      </c>
      <c r="E6" s="53">
        <f>('Proj. SGA &amp; PL &amp; BS'!E11+'Proj. SGA &amp; PL &amp; BS'!E12)*'Proj. Sales &amp; Prod'!$C$35</f>
        <v>7.6920731707317076</v>
      </c>
      <c r="F6" s="53">
        <f>('Proj. SGA &amp; PL &amp; BS'!F11+'Proj. SGA &amp; PL &amp; BS'!F12)*'Proj. Sales &amp; Prod'!$C$35</f>
        <v>8.2596036585365873</v>
      </c>
      <c r="G6" s="53">
        <f>('Proj. SGA &amp; PL &amp; BS'!G11+'Proj. SGA &amp; PL &amp; BS'!G12)*'Proj. Sales &amp; Prod'!$C$35</f>
        <v>8.8372179878048787</v>
      </c>
      <c r="H6" s="53">
        <f>('Proj. SGA &amp; PL &amp; BS'!H11+'Proj. SGA &amp; PL &amp; BS'!H12)*'Proj. Sales &amp; Prod'!$C$35</f>
        <v>9.4254203506097571</v>
      </c>
    </row>
    <row r="7" spans="2:8" x14ac:dyDescent="0.2">
      <c r="B7" s="5" t="s">
        <v>168</v>
      </c>
      <c r="C7" s="20">
        <f t="shared" ref="C7:H7" si="0">C4-SUM(C5:C6)</f>
        <v>6.5470434146341461</v>
      </c>
      <c r="D7" s="20">
        <f t="shared" si="0"/>
        <v>7.7062979268292722</v>
      </c>
      <c r="E7" s="20">
        <f t="shared" si="0"/>
        <v>7.9248078475609738</v>
      </c>
      <c r="F7" s="20">
        <f t="shared" si="0"/>
        <v>8.0768081423780522</v>
      </c>
      <c r="G7" s="20">
        <f t="shared" si="0"/>
        <v>8.3646653299847529</v>
      </c>
      <c r="H7" s="20">
        <f t="shared" si="0"/>
        <v>8.6852080598986312</v>
      </c>
    </row>
    <row r="8" spans="2:8" x14ac:dyDescent="0.2">
      <c r="B8" s="5" t="s">
        <v>167</v>
      </c>
      <c r="C8" s="20">
        <f>C7/'Proj. Sales &amp; Prod'!C6</f>
        <v>2.1823478048780487</v>
      </c>
      <c r="D8" s="20">
        <f>D7/'Proj. Sales &amp; Prod'!D6</f>
        <v>2.4464437862950068</v>
      </c>
      <c r="E8" s="20">
        <f>E7/'Proj. Sales &amp; Prod'!E6</f>
        <v>2.3960114429511634</v>
      </c>
      <c r="F8" s="20">
        <f>F7/'Proj. Sales &amp; Prod'!F6</f>
        <v>2.3256835165037759</v>
      </c>
      <c r="G8" s="20">
        <f>G7/'Proj. Sales &amp; Prod'!G6</f>
        <v>2.2938769559281029</v>
      </c>
      <c r="H8" s="20">
        <f>H7/'Proj. Sales &amp; Prod'!H6</f>
        <v>2.2683625920511119</v>
      </c>
    </row>
    <row r="9" spans="2:8" x14ac:dyDescent="0.2">
      <c r="B9" s="56" t="s">
        <v>188</v>
      </c>
      <c r="C9" s="57">
        <f>C7/C4</f>
        <v>0.27279688557082571</v>
      </c>
      <c r="D9" s="57">
        <f t="shared" ref="D9:H9" si="1">D7/D4</f>
        <v>0.30580929590307465</v>
      </c>
      <c r="E9" s="57">
        <f t="shared" si="1"/>
        <v>0.2995051741835727</v>
      </c>
      <c r="F9" s="57">
        <f t="shared" si="1"/>
        <v>0.29071407348889061</v>
      </c>
      <c r="G9" s="57">
        <f t="shared" si="1"/>
        <v>0.28673820371855935</v>
      </c>
      <c r="H9" s="57">
        <f t="shared" si="1"/>
        <v>0.28354886836724352</v>
      </c>
    </row>
    <row r="10" spans="2:8" outlineLevel="1" x14ac:dyDescent="0.2">
      <c r="B10" s="50" t="s">
        <v>171</v>
      </c>
      <c r="C10" s="53">
        <f>'Proj. Sales &amp; Prod'!C11-'Proj. SGA &amp; PL &amp; BS'!C7*'Proj. Sales &amp; Prod'!$C$36</f>
        <v>4.3998900000000001</v>
      </c>
      <c r="D10" s="53">
        <f>'Proj. Sales &amp; Prod'!D11-'Proj. SGA &amp; PL &amp; BS'!D7*'Proj. Sales &amp; Prod'!$C$36</f>
        <v>4.6198845000000013</v>
      </c>
      <c r="E10" s="53">
        <f>'Proj. Sales &amp; Prod'!E11-'Proj. SGA &amp; PL &amp; BS'!E7*'Proj. Sales &amp; Prod'!$C$36</f>
        <v>4.8508787250000012</v>
      </c>
      <c r="F10" s="53">
        <f>'Proj. Sales &amp; Prod'!F11-'Proj. SGA &amp; PL &amp; BS'!F7*'Proj. Sales &amp; Prod'!$C$36</f>
        <v>5.0934226612500018</v>
      </c>
      <c r="G10" s="53">
        <f>'Proj. Sales &amp; Prod'!G11-'Proj. SGA &amp; PL &amp; BS'!G7*'Proj. Sales &amp; Prod'!$C$36</f>
        <v>5.3480937943125015</v>
      </c>
      <c r="H10" s="53">
        <f>'Proj. Sales &amp; Prod'!H11-'Proj. SGA &amp; PL &amp; BS'!H7*'Proj. Sales &amp; Prod'!$C$36</f>
        <v>5.6154984840281266</v>
      </c>
    </row>
    <row r="11" spans="2:8" outlineLevel="1" x14ac:dyDescent="0.2">
      <c r="B11" s="52" t="s">
        <v>169</v>
      </c>
      <c r="C11" s="53">
        <f>'Proj. RM &amp; DL &amp; FG'!C25+('Proj. RM &amp; DL &amp; FG'!C43+'Proj. RM &amp; DL &amp; FG'!C49)*'Proj. Sales &amp; Prod'!$C$36</f>
        <v>0.74610826829268306</v>
      </c>
      <c r="D11" s="53">
        <f>'Proj. RM &amp; DL &amp; FG'!D25+('Proj. RM &amp; DL &amp; FG'!D43+'Proj. RM &amp; DL &amp; FG'!D49)*'Proj. Sales &amp; Prod'!$C$36</f>
        <v>0.72437501829268314</v>
      </c>
      <c r="E11" s="53">
        <f>'Proj. RM &amp; DL &amp; FG'!E25+('Proj. RM &amp; DL &amp; FG'!E43+'Proj. RM &amp; DL &amp; FG'!E49)*'Proj. Sales &amp; Prod'!$C$36</f>
        <v>0.74506010579268322</v>
      </c>
      <c r="F11" s="53">
        <f>'Proj. RM &amp; DL &amp; FG'!F25+('Proj. RM &amp; DL &amp; FG'!F43+'Proj. RM &amp; DL &amp; FG'!F49)*'Proj. Sales &amp; Prod'!$C$36</f>
        <v>0.80479464278963442</v>
      </c>
      <c r="G11" s="53">
        <f>'Proj. RM &amp; DL &amp; FG'!G25+('Proj. RM &amp; DL &amp; FG'!G43+'Proj. RM &amp; DL &amp; FG'!G49)*'Proj. Sales &amp; Prod'!$C$36</f>
        <v>0.82719570175838453</v>
      </c>
      <c r="H11" s="53">
        <f>'Proj. RM &amp; DL &amp; FG'!H25+('Proj. RM &amp; DL &amp; FG'!H43+'Proj. RM &amp; DL &amp; FG'!H49)*'Proj. Sales &amp; Prod'!$C$36</f>
        <v>0.85071681367557206</v>
      </c>
    </row>
    <row r="12" spans="2:8" outlineLevel="1" x14ac:dyDescent="0.2">
      <c r="B12" s="52" t="s">
        <v>170</v>
      </c>
      <c r="C12" s="53">
        <f>('Proj. SGA &amp; PL &amp; BS'!C11+'Proj. SGA &amp; PL &amp; BS'!C12)*'Proj. Sales &amp; Prod'!$C$36</f>
        <v>2.4146341463414642</v>
      </c>
      <c r="D12" s="53">
        <f>('Proj. SGA &amp; PL &amp; BS'!D11+'Proj. SGA &amp; PL &amp; BS'!D12)*'Proj. Sales &amp; Prod'!$C$36</f>
        <v>2.6158536585365861</v>
      </c>
      <c r="E12" s="53">
        <f>('Proj. SGA &amp; PL &amp; BS'!E11+'Proj. SGA &amp; PL &amp; BS'!E12)*'Proj. Sales &amp; Prod'!$C$36</f>
        <v>2.8204268292682935</v>
      </c>
      <c r="F12" s="53">
        <f>('Proj. SGA &amp; PL &amp; BS'!F11+'Proj. SGA &amp; PL &amp; BS'!F12)*'Proj. Sales &amp; Prod'!$C$36</f>
        <v>3.0285213414634158</v>
      </c>
      <c r="G12" s="53">
        <f>('Proj. SGA &amp; PL &amp; BS'!G11+'Proj. SGA &amp; PL &amp; BS'!G12)*'Proj. Sales &amp; Prod'!$C$36</f>
        <v>3.2403132621951229</v>
      </c>
      <c r="H12" s="53">
        <f>('Proj. SGA &amp; PL &amp; BS'!H11+'Proj. SGA &amp; PL &amp; BS'!H12)*'Proj. Sales &amp; Prod'!$C$36</f>
        <v>3.4559874618902451</v>
      </c>
    </row>
    <row r="13" spans="2:8" outlineLevel="1" x14ac:dyDescent="0.2">
      <c r="B13" s="52"/>
      <c r="C13" s="53"/>
      <c r="D13" s="53"/>
      <c r="E13" s="53"/>
      <c r="F13" s="53"/>
      <c r="G13" s="53"/>
      <c r="H13" s="53"/>
    </row>
    <row r="14" spans="2:8" x14ac:dyDescent="0.2">
      <c r="B14" s="5" t="s">
        <v>173</v>
      </c>
      <c r="C14" s="20">
        <f t="shared" ref="C14:H14" si="2">C10-SUM(C11:C12)</f>
        <v>1.2391475853658527</v>
      </c>
      <c r="D14" s="20">
        <f t="shared" si="2"/>
        <v>1.279655823170732</v>
      </c>
      <c r="E14" s="20">
        <f t="shared" si="2"/>
        <v>1.2853917899390246</v>
      </c>
      <c r="F14" s="20">
        <f t="shared" si="2"/>
        <v>1.2601066769969513</v>
      </c>
      <c r="G14" s="20">
        <f t="shared" si="2"/>
        <v>1.2805848303589942</v>
      </c>
      <c r="H14" s="20">
        <f t="shared" si="2"/>
        <v>1.3087942084623094</v>
      </c>
    </row>
    <row r="15" spans="2:8" x14ac:dyDescent="0.2">
      <c r="B15" s="5" t="s">
        <v>167</v>
      </c>
      <c r="C15" s="27">
        <f>C14/'Proj. Sales &amp; Prod'!C7</f>
        <v>1.1264978048780478</v>
      </c>
      <c r="D15" s="27">
        <f>D14/'Proj. Sales &amp; Prod'!D7</f>
        <v>1.1079271196283391</v>
      </c>
      <c r="E15" s="27">
        <f>E14/'Proj. Sales &amp; Prod'!E7</f>
        <v>1.0598984044024113</v>
      </c>
      <c r="F15" s="27">
        <f>F14/'Proj. Sales &amp; Prod'!F7</f>
        <v>0.98957047795502229</v>
      </c>
      <c r="G15" s="27">
        <f>G14/'Proj. Sales &amp; Prod'!G7</f>
        <v>0.9577639173793514</v>
      </c>
      <c r="H15" s="27">
        <f>H14/'Proj. Sales &amp; Prod'!H7</f>
        <v>0.93224955350235839</v>
      </c>
    </row>
    <row r="16" spans="2:8" x14ac:dyDescent="0.2">
      <c r="B16" s="50" t="s">
        <v>189</v>
      </c>
      <c r="C16" s="57">
        <f>C14/C10</f>
        <v>0.28163149200681215</v>
      </c>
      <c r="D16" s="57">
        <f t="shared" ref="D16:H16" si="3">D14/D10</f>
        <v>0.27698870462470038</v>
      </c>
      <c r="E16" s="57">
        <f t="shared" si="3"/>
        <v>0.2649812256312436</v>
      </c>
      <c r="F16" s="57">
        <f t="shared" si="3"/>
        <v>0.24739880445886703</v>
      </c>
      <c r="G16" s="57">
        <f t="shared" si="3"/>
        <v>0.23944696551897582</v>
      </c>
      <c r="H16" s="57">
        <f t="shared" si="3"/>
        <v>0.23306821508096662</v>
      </c>
    </row>
    <row r="17" spans="2:8" x14ac:dyDescent="0.2">
      <c r="B17" s="50"/>
    </row>
    <row r="18" spans="2:8" x14ac:dyDescent="0.2">
      <c r="B18" s="5" t="s">
        <v>174</v>
      </c>
      <c r="C18" s="20">
        <f>'Proj. SGA &amp; PL &amp; BS'!C66+'Proj. SGA &amp; PL &amp; BS'!C67</f>
        <v>1.0649999999999999</v>
      </c>
      <c r="D18" s="20">
        <f>'Proj. SGA &amp; PL &amp; BS'!D66+'Proj. SGA &amp; PL &amp; BS'!D67</f>
        <v>1.0649999999999999</v>
      </c>
      <c r="E18" s="20">
        <f>'Proj. SGA &amp; PL &amp; BS'!E66+'Proj. SGA &amp; PL &amp; BS'!E67</f>
        <v>1.0649999999999999</v>
      </c>
      <c r="F18" s="20">
        <f>'Proj. SGA &amp; PL &amp; BS'!F66+'Proj. SGA &amp; PL &amp; BS'!F67</f>
        <v>1.0649999999999999</v>
      </c>
      <c r="G18" s="20">
        <f>'Proj. SGA &amp; PL &amp; BS'!G66+'Proj. SGA &amp; PL &amp; BS'!G67</f>
        <v>1.0649999999999999</v>
      </c>
      <c r="H18" s="20">
        <f>'Proj. SGA &amp; PL &amp; BS'!H66+'Proj. SGA &amp; PL &amp; BS'!H67</f>
        <v>1.0649999999999999</v>
      </c>
    </row>
    <row r="19" spans="2:8" x14ac:dyDescent="0.2">
      <c r="B19" s="5" t="s">
        <v>175</v>
      </c>
      <c r="C19" s="20">
        <f>C18*'Proj. Sales &amp; Prod'!$C$35</f>
        <v>0.77926829268292686</v>
      </c>
      <c r="D19" s="20">
        <f>D18*'Proj. Sales &amp; Prod'!$C$35</f>
        <v>0.77926829268292686</v>
      </c>
      <c r="E19" s="20">
        <f>E18*'Proj. Sales &amp; Prod'!$C$35</f>
        <v>0.77926829268292686</v>
      </c>
      <c r="F19" s="20">
        <f>F18*'Proj. Sales &amp; Prod'!$C$35</f>
        <v>0.77926829268292686</v>
      </c>
      <c r="G19" s="20">
        <f>G18*'Proj. Sales &amp; Prod'!$C$35</f>
        <v>0.77926829268292686</v>
      </c>
      <c r="H19" s="20">
        <f>H18*'Proj. Sales &amp; Prod'!$C$35</f>
        <v>0.77926829268292686</v>
      </c>
    </row>
    <row r="20" spans="2:8" x14ac:dyDescent="0.2">
      <c r="B20" s="5" t="s">
        <v>176</v>
      </c>
      <c r="C20" s="20">
        <f>C19*'Proj. Sales &amp; Prod'!$C$36</f>
        <v>0.20907198096371213</v>
      </c>
      <c r="D20" s="20">
        <f>D19*'Proj. Sales &amp; Prod'!$C$36</f>
        <v>0.20907198096371213</v>
      </c>
      <c r="E20" s="20">
        <f>E19*'Proj. Sales &amp; Prod'!$C$36</f>
        <v>0.20907198096371213</v>
      </c>
      <c r="F20" s="20">
        <f>F19*'Proj. Sales &amp; Prod'!$C$36</f>
        <v>0.20907198096371213</v>
      </c>
      <c r="G20" s="20">
        <f>G19*'Proj. Sales &amp; Prod'!$C$36</f>
        <v>0.20907198096371213</v>
      </c>
      <c r="H20" s="20">
        <f>H19*'Proj. Sales &amp; Prod'!$C$36</f>
        <v>0.20907198096371213</v>
      </c>
    </row>
    <row r="21" spans="2:8" x14ac:dyDescent="0.2">
      <c r="C21" s="27"/>
    </row>
    <row r="22" spans="2:8" x14ac:dyDescent="0.2">
      <c r="C22" s="27"/>
    </row>
    <row r="23" spans="2:8" x14ac:dyDescent="0.2">
      <c r="B23" s="59" t="s">
        <v>184</v>
      </c>
      <c r="C23" s="60">
        <f>C3</f>
        <v>1</v>
      </c>
      <c r="D23" s="60">
        <f t="shared" ref="D23:H23" si="4">D3</f>
        <v>2</v>
      </c>
      <c r="E23" s="60">
        <f t="shared" si="4"/>
        <v>3</v>
      </c>
      <c r="F23" s="60">
        <f t="shared" si="4"/>
        <v>4</v>
      </c>
      <c r="G23" s="60">
        <f t="shared" si="4"/>
        <v>5</v>
      </c>
      <c r="H23" s="60">
        <f t="shared" si="4"/>
        <v>6</v>
      </c>
    </row>
    <row r="24" spans="2:8" ht="34" x14ac:dyDescent="0.2">
      <c r="B24" s="54" t="s">
        <v>178</v>
      </c>
      <c r="C24" s="55">
        <f>C19/C8</f>
        <v>0.35707795564991207</v>
      </c>
      <c r="D24" s="55">
        <f>D18/D8</f>
        <v>0.43532575976858184</v>
      </c>
      <c r="E24" s="55">
        <f>E18/E8</f>
        <v>0.44448869521601331</v>
      </c>
      <c r="F24" s="55">
        <f>F18/F8</f>
        <v>0.45792989133836465</v>
      </c>
      <c r="G24" s="55">
        <f>G18/G8</f>
        <v>0.46427947987694085</v>
      </c>
      <c r="H24" s="55">
        <f>H18/H8</f>
        <v>0.46950165891996987</v>
      </c>
    </row>
    <row r="25" spans="2:8" ht="34" x14ac:dyDescent="0.2">
      <c r="B25" s="54" t="s">
        <v>179</v>
      </c>
      <c r="C25" s="55">
        <f>C19/C9</f>
        <v>2.8565879374037317</v>
      </c>
      <c r="D25" s="55">
        <f t="shared" ref="D25:H25" si="5">D19/D9</f>
        <v>2.5482164967604963</v>
      </c>
      <c r="E25" s="55">
        <f t="shared" si="5"/>
        <v>2.6018525216038428</v>
      </c>
      <c r="F25" s="55">
        <f t="shared" si="5"/>
        <v>2.6805317105252078</v>
      </c>
      <c r="G25" s="55">
        <f t="shared" si="5"/>
        <v>2.7176995690738091</v>
      </c>
      <c r="H25" s="55">
        <f t="shared" si="5"/>
        <v>2.7482680398979524</v>
      </c>
    </row>
    <row r="26" spans="2:8" ht="17" x14ac:dyDescent="0.2">
      <c r="B26" s="58" t="s">
        <v>180</v>
      </c>
      <c r="C26" s="55">
        <f>C4-C25</f>
        <v>21.14311206259627</v>
      </c>
      <c r="D26" s="55">
        <f t="shared" ref="D26:H26" si="6">D4-D25</f>
        <v>22.651468503239506</v>
      </c>
      <c r="E26" s="55">
        <f t="shared" si="6"/>
        <v>23.857816728396163</v>
      </c>
      <c r="F26" s="55">
        <f t="shared" si="6"/>
        <v>25.102121001974798</v>
      </c>
      <c r="G26" s="55">
        <f t="shared" si="6"/>
        <v>26.454085779051198</v>
      </c>
      <c r="H26" s="55">
        <f t="shared" si="6"/>
        <v>27.882106575633308</v>
      </c>
    </row>
    <row r="27" spans="2:8" x14ac:dyDescent="0.2">
      <c r="B27" s="54"/>
      <c r="C27" s="55"/>
      <c r="D27" s="55"/>
      <c r="E27" s="55"/>
      <c r="F27" s="55"/>
      <c r="G27" s="55"/>
      <c r="H27" s="55"/>
    </row>
    <row r="28" spans="2:8" ht="34" x14ac:dyDescent="0.2">
      <c r="B28" s="54" t="s">
        <v>177</v>
      </c>
      <c r="C28" s="55">
        <f>C20/C15</f>
        <v>0.18559466344130673</v>
      </c>
      <c r="D28" s="55">
        <f t="shared" ref="D28:H28" si="7">D18/D15</f>
        <v>0.96125456370926332</v>
      </c>
      <c r="E28" s="55">
        <f t="shared" si="7"/>
        <v>1.0048132873645235</v>
      </c>
      <c r="F28" s="55">
        <f t="shared" si="7"/>
        <v>1.076224507223432</v>
      </c>
      <c r="G28" s="55">
        <f t="shared" si="7"/>
        <v>1.1119650476226643</v>
      </c>
      <c r="H28" s="55">
        <f t="shared" si="7"/>
        <v>1.1423979727304914</v>
      </c>
    </row>
    <row r="29" spans="2:8" ht="34" x14ac:dyDescent="0.2">
      <c r="B29" s="54" t="s">
        <v>181</v>
      </c>
      <c r="C29" s="55">
        <f>C20/C16</f>
        <v>0.74236009429888283</v>
      </c>
      <c r="D29" s="55">
        <f t="shared" ref="D29:H29" si="8">D20/D16</f>
        <v>0.75480327346557152</v>
      </c>
      <c r="E29" s="55">
        <f t="shared" si="8"/>
        <v>0.78900677006703646</v>
      </c>
      <c r="F29" s="55">
        <f t="shared" si="8"/>
        <v>0.84508080554800258</v>
      </c>
      <c r="G29" s="55">
        <f t="shared" si="8"/>
        <v>0.87314525164505996</v>
      </c>
      <c r="H29" s="55">
        <f t="shared" si="8"/>
        <v>0.89704201360568048</v>
      </c>
    </row>
    <row r="30" spans="2:8" ht="17" x14ac:dyDescent="0.2">
      <c r="B30" s="58" t="s">
        <v>182</v>
      </c>
      <c r="C30" s="55">
        <f>C10-C29</f>
        <v>3.657529905701117</v>
      </c>
      <c r="D30" s="55">
        <f t="shared" ref="D30:H30" si="9">D10-D29</f>
        <v>3.8650812265344299</v>
      </c>
      <c r="E30" s="55">
        <f t="shared" si="9"/>
        <v>4.0618719549329647</v>
      </c>
      <c r="F30" s="55">
        <f t="shared" si="9"/>
        <v>4.248341855701999</v>
      </c>
      <c r="G30" s="55">
        <f t="shared" si="9"/>
        <v>4.4749485426674411</v>
      </c>
      <c r="H30" s="55">
        <f t="shared" si="9"/>
        <v>4.7184564704224456</v>
      </c>
    </row>
    <row r="31" spans="2:8" x14ac:dyDescent="0.2">
      <c r="B31" s="54"/>
      <c r="C31" s="55"/>
      <c r="D31" s="55"/>
      <c r="E31" s="55"/>
      <c r="F31" s="55"/>
      <c r="G31" s="55"/>
      <c r="H31" s="55"/>
    </row>
    <row r="32" spans="2:8" x14ac:dyDescent="0.2">
      <c r="B32" s="5" t="s">
        <v>187</v>
      </c>
      <c r="C32" s="55"/>
      <c r="D32" s="55"/>
      <c r="E32" s="55"/>
      <c r="F32" s="55"/>
      <c r="G32" s="55"/>
      <c r="H32" s="55"/>
    </row>
    <row r="33" spans="2:8" x14ac:dyDescent="0.2">
      <c r="C33" s="27"/>
    </row>
    <row r="34" spans="2:8" x14ac:dyDescent="0.2">
      <c r="B34" s="59" t="s">
        <v>183</v>
      </c>
      <c r="C34" s="39"/>
      <c r="D34" s="39"/>
      <c r="E34" s="39"/>
      <c r="F34" s="39"/>
      <c r="G34" s="39"/>
      <c r="H34" s="39"/>
    </row>
    <row r="35" spans="2:8" x14ac:dyDescent="0.2">
      <c r="B35" s="5" t="s">
        <v>185</v>
      </c>
      <c r="C35" s="24">
        <f>'Proj. SGA &amp; PL &amp; BS'!C64/'Proj. SGA &amp; PL &amp; BS'!C71</f>
        <v>1.1574975255142295</v>
      </c>
      <c r="D35" s="24">
        <f>'Proj. SGA &amp; PL &amp; BS'!D64/'Proj. SGA &amp; PL &amp; BS'!D71</f>
        <v>1.1337634739617621</v>
      </c>
      <c r="E35" s="24">
        <f>'Proj. SGA &amp; PL &amp; BS'!E64/'Proj. SGA &amp; PL &amp; BS'!E71</f>
        <v>1.1300985231382092</v>
      </c>
      <c r="F35" s="24">
        <f>'Proj. SGA &amp; PL &amp; BS'!F64/'Proj. SGA &amp; PL &amp; BS'!F71</f>
        <v>1.1281146895692935</v>
      </c>
      <c r="G35" s="24">
        <f>'Proj. SGA &amp; PL &amp; BS'!G64/'Proj. SGA &amp; PL &amp; BS'!G71</f>
        <v>1.1235320151926509</v>
      </c>
      <c r="H35" s="24">
        <f>'Proj. SGA &amp; PL &amp; BS'!H64/'Proj. SGA &amp; PL &amp; BS'!H71</f>
        <v>1.1187284508101454</v>
      </c>
    </row>
    <row r="36" spans="2:8" x14ac:dyDescent="0.2">
      <c r="C36" s="27"/>
    </row>
    <row r="37" spans="2:8" x14ac:dyDescent="0.2">
      <c r="B37" s="5" t="s">
        <v>186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80F-FA92-F84E-B94B-7991914C5BEF}">
  <sheetPr>
    <tabColor rgb="FFC00000"/>
  </sheetPr>
  <dimension ref="B2:I36"/>
  <sheetViews>
    <sheetView topLeftCell="A12" zoomScaleNormal="100" workbookViewId="0">
      <selection activeCell="D6" sqref="D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Realisation!C8</f>
        <v>3</v>
      </c>
      <c r="D6" s="74">
        <f>C6*(1+Realisation!D8)</f>
        <v>3.1500000000000004</v>
      </c>
      <c r="E6" s="74">
        <f>D6*(1+Realisation!E8)</f>
        <v>3.2760000000000007</v>
      </c>
      <c r="F6" s="74">
        <f>E6*(1+Realisation!F8)</f>
        <v>3.3742800000000006</v>
      </c>
      <c r="G6" s="74">
        <f>F6*(1+Realisation!G8)</f>
        <v>3.4755084000000007</v>
      </c>
      <c r="H6" s="74">
        <f>G6*(1+Realisation!H8)</f>
        <v>3.579773652000001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4.4887500000000014</v>
      </c>
      <c r="F8" s="73">
        <f t="shared" si="0"/>
        <v>4.6476675000000007</v>
      </c>
      <c r="G8" s="73">
        <f t="shared" si="0"/>
        <v>4.8125652750000008</v>
      </c>
      <c r="H8" s="73">
        <f t="shared" si="0"/>
        <v>4.9836833707500015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26.208000000000006</v>
      </c>
      <c r="F10" s="73">
        <f>F6*Assumptions!F12</f>
        <v>26.994240000000005</v>
      </c>
      <c r="G10" s="73">
        <f>G6*Assumptions!G12</f>
        <v>27.804067200000006</v>
      </c>
      <c r="H10" s="73">
        <f>H6*Assumptions!H12</f>
        <v>28.638189216000008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31.059000000000005</v>
      </c>
      <c r="F12" s="73">
        <f t="shared" si="1"/>
        <v>32.087790000000005</v>
      </c>
      <c r="G12" s="73">
        <f t="shared" si="1"/>
        <v>33.152294700000006</v>
      </c>
      <c r="H12" s="73">
        <f t="shared" si="1"/>
        <v>34.25382809100001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27.953100000000006</v>
      </c>
      <c r="F18" s="73">
        <f>F12*Assumptions!$C$15</f>
        <v>28.879011000000006</v>
      </c>
      <c r="G18" s="73">
        <f>G12*Assumptions!$C$15</f>
        <v>29.837065230000007</v>
      </c>
      <c r="H18" s="73">
        <f>H12*Assumptions!$C$15</f>
        <v>30.828445281900009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1.5529500000000003</v>
      </c>
      <c r="G19" s="74">
        <f>F12*Assumptions!$C$16</f>
        <v>1.6043895000000004</v>
      </c>
      <c r="H19" s="74">
        <f>G12*Assumptions!$C$16</f>
        <v>1.6576147350000003</v>
      </c>
      <c r="I19" s="2">
        <f>H12*Assumptions!$C$16</f>
        <v>1.7126914045500006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1.5529500000000003</v>
      </c>
      <c r="H20" s="72">
        <f>F12*Assumptions!$C$17</f>
        <v>1.6043895000000004</v>
      </c>
      <c r="I20" s="19">
        <f>G12*Assumptions!$C$17</f>
        <v>1.6576147350000003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30.864100000000008</v>
      </c>
      <c r="F21" s="73">
        <f t="shared" si="3"/>
        <v>31.922961000000004</v>
      </c>
      <c r="G21" s="73">
        <f t="shared" si="3"/>
        <v>32.994404730000007</v>
      </c>
      <c r="H21" s="73">
        <f t="shared" si="3"/>
        <v>34.090449516900016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>C8</f>
        <v>4.0999999999999996</v>
      </c>
      <c r="D28" s="73">
        <f t="shared" ref="D28:H28" si="5">D8</f>
        <v>4.3050000000000006</v>
      </c>
      <c r="E28" s="73">
        <f t="shared" si="5"/>
        <v>4.4887500000000014</v>
      </c>
      <c r="F28" s="73">
        <f t="shared" si="5"/>
        <v>4.6476675000000007</v>
      </c>
      <c r="G28" s="73">
        <f t="shared" si="5"/>
        <v>4.8125652750000008</v>
      </c>
      <c r="H28" s="73">
        <f t="shared" si="5"/>
        <v>4.9836833707500015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4.4887500000000018E-2</v>
      </c>
      <c r="F29" s="72">
        <f>F28*Assumptions!F22</f>
        <v>4.6476675000000009E-2</v>
      </c>
      <c r="G29" s="72">
        <f>G28*Assumptions!G22</f>
        <v>4.8125652750000011E-2</v>
      </c>
      <c r="H29" s="72">
        <f>H28*Assumptions!H22</f>
        <v>4.9836833707500014E-2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4.5336375000000011</v>
      </c>
      <c r="F30" s="73">
        <f t="shared" si="6"/>
        <v>4.6941441750000008</v>
      </c>
      <c r="G30" s="73">
        <f t="shared" si="6"/>
        <v>4.8606909277500003</v>
      </c>
      <c r="H30" s="73">
        <f t="shared" si="6"/>
        <v>5.0335202044575018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-4.4887500000000018E-2</v>
      </c>
      <c r="G32" s="72">
        <f t="shared" si="7"/>
        <v>-4.6476675000000009E-2</v>
      </c>
      <c r="H32" s="72">
        <f t="shared" si="7"/>
        <v>-4.8125652750000011E-2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4.4905875000000011</v>
      </c>
      <c r="F33" s="73">
        <f t="shared" si="8"/>
        <v>4.6492566750000011</v>
      </c>
      <c r="G33" s="73">
        <f t="shared" si="8"/>
        <v>4.8142142527500003</v>
      </c>
      <c r="H33" s="73">
        <f t="shared" si="8"/>
        <v>4.9853945517075022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4:H4"/>
    <mergeCell ref="C15:H15"/>
    <mergeCell ref="C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07-8099-C14A-9949-68DA272F69B5}">
  <sheetPr>
    <tabColor rgb="FFC00000"/>
  </sheetPr>
  <dimension ref="B2:I79"/>
  <sheetViews>
    <sheetView topLeftCell="A29" workbookViewId="0">
      <selection activeCell="C48" sqref="C4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'Act. Sales &amp; Prod '!$C$35*'Act. Sales &amp; Prod '!C33</f>
        <v>3.0300000000000002</v>
      </c>
      <c r="D6" s="74">
        <f>'Act. Sales &amp; Prod '!$C$35*'Act. Sales &amp; Prod '!D33</f>
        <v>3.1515000000000004</v>
      </c>
      <c r="E6" s="74">
        <f>'Act. Sales &amp; Prod '!$C$35*'Act. Sales &amp; Prod '!E33</f>
        <v>3.2857957317073181</v>
      </c>
      <c r="F6" s="74">
        <f>'Act. Sales &amp; Prod '!$C$35*'Act. Sales &amp; Prod '!F33</f>
        <v>3.4018951280487819</v>
      </c>
      <c r="G6" s="74">
        <f>'Act. Sales &amp; Prod '!$C$35*'Act. Sales &amp; Prod '!G33</f>
        <v>3.5225957946951225</v>
      </c>
      <c r="H6" s="74">
        <f>'Act. Sales &amp; Prod '!$C$35*'Act. Sales &amp; Prod '!H33</f>
        <v>3.6478496719810996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4.9286935975609776</v>
      </c>
      <c r="F7" s="74">
        <f>F6*Assumptions!F23</f>
        <v>5.1028426920731729</v>
      </c>
      <c r="G7" s="74">
        <f>G6*Assumptions!G23</f>
        <v>5.2838936920426836</v>
      </c>
      <c r="H7" s="74">
        <f>H6*Assumptions!H23</f>
        <v>5.4717745079716495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0.4928693597560978</v>
      </c>
      <c r="F9" s="74">
        <f>F7*Assumptions!F25</f>
        <v>0.51028426920731729</v>
      </c>
      <c r="G9" s="74">
        <f>G7*Assumptions!G25</f>
        <v>0.52838936920426838</v>
      </c>
      <c r="H9" s="74">
        <f>H7*Assumptions!H25</f>
        <v>0.54717745079716495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-0.4928693597560978</v>
      </c>
      <c r="G10" s="75">
        <f t="shared" si="0"/>
        <v>-0.51028426920731729</v>
      </c>
      <c r="H10" s="75">
        <f t="shared" si="0"/>
        <v>-0.52838936920426838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4.9488379573170747</v>
      </c>
      <c r="F11" s="74">
        <f t="shared" si="1"/>
        <v>5.1202576015243926</v>
      </c>
      <c r="G11" s="74">
        <f t="shared" si="1"/>
        <v>5.301998792039635</v>
      </c>
      <c r="H11" s="74">
        <f t="shared" si="1"/>
        <v>5.4905625895645462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Realisation!C14</f>
        <v>2</v>
      </c>
      <c r="D13" s="75">
        <f>Realisation!D14</f>
        <v>2.5</v>
      </c>
      <c r="E13" s="75">
        <f>Realisation!E14</f>
        <v>2.5</v>
      </c>
      <c r="F13" s="75">
        <f>Realisation!F14</f>
        <v>2.5</v>
      </c>
      <c r="G13" s="75">
        <f>Realisation!G14</f>
        <v>2.5</v>
      </c>
      <c r="H13" s="75">
        <f>Realisation!H14</f>
        <v>2.5</v>
      </c>
    </row>
    <row r="14" spans="2:8" x14ac:dyDescent="0.2">
      <c r="B14" s="1" t="s">
        <v>211</v>
      </c>
      <c r="C14" s="74">
        <f>C13*C11</f>
        <v>9.9990000000000006</v>
      </c>
      <c r="D14" s="74">
        <f t="shared" ref="D14:H14" si="2">D13*D11</f>
        <v>11.863687499999999</v>
      </c>
      <c r="E14" s="74">
        <f t="shared" si="2"/>
        <v>12.372094893292687</v>
      </c>
      <c r="F14" s="74">
        <f t="shared" si="2"/>
        <v>12.800644003810982</v>
      </c>
      <c r="G14" s="74">
        <f t="shared" si="2"/>
        <v>13.254996980099087</v>
      </c>
      <c r="H14" s="74">
        <f t="shared" si="2"/>
        <v>13.726406473911366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'Act. Sales &amp; Prod '!$C$36*'Act. Sales &amp; Prod '!C33</f>
        <v>1.1110000000000002</v>
      </c>
      <c r="D17" s="74">
        <f>'Act. Sales &amp; Prod '!$C$36*'Act. Sales &amp; Prod '!D33</f>
        <v>1.1555500000000003</v>
      </c>
      <c r="E17" s="74">
        <f>'Act. Sales &amp; Prod '!$C$36*'Act. Sales &amp; Prod '!E33</f>
        <v>1.2047917682926836</v>
      </c>
      <c r="F17" s="74">
        <f>'Act. Sales &amp; Prod '!$C$36*'Act. Sales &amp; Prod '!F33</f>
        <v>1.24736154695122</v>
      </c>
      <c r="G17" s="74">
        <f>'Act. Sales &amp; Prod '!$C$36*'Act. Sales &amp; Prod '!G33</f>
        <v>1.2916184580548784</v>
      </c>
      <c r="H17" s="74">
        <f>'Act. Sales &amp; Prod '!$C$36*'Act. Sales &amp; Prod '!H33</f>
        <v>1.3375448797264033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0.60239588414634182</v>
      </c>
      <c r="F18" s="74">
        <f>Assumptions!F24*F17</f>
        <v>0.62368077347561002</v>
      </c>
      <c r="G18" s="74">
        <f>Assumptions!G24*G17</f>
        <v>0.6458092290274392</v>
      </c>
      <c r="H18" s="74">
        <f>Assumptions!H24*H17</f>
        <v>0.66877243986320167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6.0239588414634185E-2</v>
      </c>
      <c r="F20" s="74">
        <f>F18*Assumptions!F25</f>
        <v>6.2368077347561002E-2</v>
      </c>
      <c r="G20" s="74">
        <f>G18*Assumptions!G25</f>
        <v>6.458092290274392E-2</v>
      </c>
      <c r="H20" s="74">
        <f>H18*Assumptions!H25</f>
        <v>6.6877243986320167E-2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-6.0239588414634185E-2</v>
      </c>
      <c r="G21" s="75">
        <f t="shared" si="3"/>
        <v>-6.2368077347561002E-2</v>
      </c>
      <c r="H21" s="75">
        <f t="shared" si="3"/>
        <v>-6.458092290274392E-2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0.60485797256097595</v>
      </c>
      <c r="F22" s="74">
        <f t="shared" si="4"/>
        <v>0.62580926240853685</v>
      </c>
      <c r="G22" s="74">
        <f t="shared" si="4"/>
        <v>0.64802207458262218</v>
      </c>
      <c r="H22" s="74">
        <f t="shared" si="4"/>
        <v>0.67106876094677803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Realisation!C16</f>
        <v>0.7</v>
      </c>
      <c r="D24" s="75">
        <f>Realisation!D16</f>
        <v>0.88</v>
      </c>
      <c r="E24" s="75">
        <f>Realisation!E16</f>
        <v>0.88</v>
      </c>
      <c r="F24" s="75">
        <f>Realisation!F16</f>
        <v>0.88</v>
      </c>
      <c r="G24" s="75">
        <f>Realisation!G16</f>
        <v>0.88</v>
      </c>
      <c r="H24" s="75">
        <f>Realisation!H16</f>
        <v>0.88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0.51040220000000014</v>
      </c>
      <c r="E25" s="74">
        <f t="shared" si="5"/>
        <v>0.53227501585365888</v>
      </c>
      <c r="F25" s="74">
        <f t="shared" si="5"/>
        <v>0.55071215091951242</v>
      </c>
      <c r="G25" s="74">
        <f t="shared" si="5"/>
        <v>0.57025942563270748</v>
      </c>
      <c r="H25" s="74">
        <f t="shared" si="5"/>
        <v>0.59054050963316462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12.374089699999999</v>
      </c>
      <c r="E28" s="74">
        <f t="shared" si="6"/>
        <v>12.904369909146345</v>
      </c>
      <c r="F28" s="74">
        <f t="shared" si="6"/>
        <v>13.351356154730494</v>
      </c>
      <c r="G28" s="74">
        <f t="shared" si="6"/>
        <v>13.825256405731794</v>
      </c>
      <c r="H28" s="74">
        <f t="shared" si="6"/>
        <v>14.316946983544531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9.8992717599999995</v>
      </c>
      <c r="E34" s="74">
        <f>E28*Assumptions!$C$29</f>
        <v>10.323495927317076</v>
      </c>
      <c r="F34" s="74">
        <f>F28*Assumptions!$C$29</f>
        <v>10.681084923784397</v>
      </c>
      <c r="G34" s="74">
        <f>G28*Assumptions!$C$29</f>
        <v>11.060205124585437</v>
      </c>
      <c r="H34" s="74">
        <f>H28*Assumptions!$C$29</f>
        <v>11.453557586835625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1.2374089699999999</v>
      </c>
      <c r="F35" s="74">
        <f>E28*Assumptions!$C$30</f>
        <v>1.2904369909146345</v>
      </c>
      <c r="G35" s="74">
        <f>F28*Assumptions!$C$30</f>
        <v>1.3351356154730496</v>
      </c>
      <c r="H35" s="74">
        <f>G28*Assumptions!$C$30</f>
        <v>1.3825256405731796</v>
      </c>
      <c r="I35" s="74">
        <f>H28*Assumptions!$C$30</f>
        <v>1.4316946983544532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1.2374089699999999</v>
      </c>
      <c r="G36" s="75">
        <f>E28*Assumptions!$C$31</f>
        <v>1.2904369909146345</v>
      </c>
      <c r="H36" s="75">
        <f>F28*Assumptions!$C$31</f>
        <v>1.3351356154730496</v>
      </c>
      <c r="I36" s="75">
        <f>G28*Assumptions!$C$31</f>
        <v>1.3825256405731796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10.941945259999999</v>
      </c>
      <c r="E37" s="74">
        <f t="shared" si="8"/>
        <v>12.603578397317076</v>
      </c>
      <c r="F37" s="74">
        <f t="shared" si="8"/>
        <v>13.208930884699033</v>
      </c>
      <c r="G37" s="74">
        <f t="shared" si="8"/>
        <v>13.685777730973122</v>
      </c>
      <c r="H37" s="74">
        <f t="shared" si="8"/>
        <v>14.171218842881855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2912</v>
      </c>
      <c r="D42" s="73">
        <f>Assumptions!D36*Assumptions!D37+Assumptions!D40*Assumptions!D41</f>
        <v>2912</v>
      </c>
      <c r="E42" s="73">
        <f>Assumptions!E36*Assumptions!E37+Assumptions!E40*Assumptions!E41</f>
        <v>2912</v>
      </c>
      <c r="F42" s="73">
        <f>Assumptions!F36*Assumptions!F37+Assumptions!F40*Assumptions!F41</f>
        <v>2996</v>
      </c>
      <c r="G42" s="73">
        <f>Assumptions!G36*Assumptions!G37+Assumptions!G40*Assumptions!G41</f>
        <v>2996</v>
      </c>
      <c r="H42" s="73">
        <f>Assumptions!H36*Assumptions!H37+Assumptions!H40*Assumptions!H41</f>
        <v>2996</v>
      </c>
    </row>
    <row r="43" spans="2:9" x14ac:dyDescent="0.2">
      <c r="B43" s="5" t="s">
        <v>73</v>
      </c>
      <c r="C43" s="73" cm="1">
        <f t="array" ref="C43">C42*(Assumptions!C38+Assumptions!C42)/unit</f>
        <v>7.2800000000000004E-2</v>
      </c>
      <c r="D43" s="73" cm="1">
        <f t="array" ref="D43">D42*(Assumptions!D38+Assumptions!D42)/unit</f>
        <v>7.2800000000000004E-2</v>
      </c>
      <c r="E43" s="73" cm="1">
        <f t="array" ref="E43">E42*(Assumptions!E38+Assumptions!E42)/unit</f>
        <v>7.2800000000000004E-2</v>
      </c>
      <c r="F43" s="73" cm="1">
        <f t="array" ref="F43">F42*(Assumptions!F38+Assumptions!F42)/unit</f>
        <v>7.7896000000000007E-2</v>
      </c>
      <c r="G43" s="73" cm="1">
        <f t="array" ref="G43">G42*(Assumptions!G38+Assumptions!G42)/unit</f>
        <v>7.7896000000000007E-2</v>
      </c>
      <c r="H43" s="73" cm="1">
        <f t="array" ref="H43">H42*(Assumptions!H38+Assumptions!H42)/unit</f>
        <v>7.7896000000000007E-2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1.6639999999999999E-3</v>
      </c>
      <c r="D47" s="73" cm="1">
        <f t="array" ref="D47">(Assumptions!D36+Assumptions!D40)*Assumptions!D45/unit</f>
        <v>1.6639999999999999E-3</v>
      </c>
      <c r="E47" s="73" cm="1">
        <f t="array" ref="E47">(Assumptions!E36+Assumptions!E40)*Assumptions!E45/unit</f>
        <v>1.6639999999999999E-3</v>
      </c>
      <c r="F47" s="73" cm="1">
        <f t="array" ref="F47">(Assumptions!F36+Assumptions!F40)*Assumptions!F45/unit</f>
        <v>1.712E-3</v>
      </c>
      <c r="G47" s="73" cm="1">
        <f t="array" ref="G47">(Assumptions!G36+Assumptions!G40)*Assumptions!G45/unit</f>
        <v>1.712E-3</v>
      </c>
      <c r="H47" s="73" cm="1">
        <f t="array" ref="H47">(Assumptions!H36+Assumptions!H40)*Assumptions!H45/unit</f>
        <v>1.712E-3</v>
      </c>
    </row>
    <row r="48" spans="2:9" x14ac:dyDescent="0.2">
      <c r="B48" s="8" t="s">
        <v>76</v>
      </c>
      <c r="C48" s="72">
        <f>Assumptions!C47+Assumptions!C48</f>
        <v>6.5000000000000002E-2</v>
      </c>
      <c r="D48" s="72">
        <f>Assumptions!D47+Assumptions!D48</f>
        <v>6.5000000000000002E-2</v>
      </c>
      <c r="E48" s="72">
        <f>Assumptions!E47+Assumptions!E48</f>
        <v>6.5000000000000002E-2</v>
      </c>
      <c r="F48" s="72">
        <f>Assumptions!F47+Assumptions!F48</f>
        <v>6.5000000000000002E-2</v>
      </c>
      <c r="G48" s="72">
        <f>Assumptions!G47+Assumptions!G48</f>
        <v>6.5000000000000002E-2</v>
      </c>
      <c r="H48" s="72">
        <f>Assumptions!H47+Assumptions!H48</f>
        <v>6.5000000000000002E-2</v>
      </c>
    </row>
    <row r="49" spans="2:8" x14ac:dyDescent="0.2">
      <c r="B49" s="5" t="s">
        <v>77</v>
      </c>
      <c r="C49" s="73">
        <f>SUM(C47:C48)</f>
        <v>6.6664000000000001E-2</v>
      </c>
      <c r="D49" s="73">
        <f t="shared" ref="D49:H49" si="11">SUM(D47:D48)</f>
        <v>6.6664000000000001E-2</v>
      </c>
      <c r="E49" s="73">
        <f t="shared" si="11"/>
        <v>6.6664000000000001E-2</v>
      </c>
      <c r="F49" s="73">
        <f t="shared" si="11"/>
        <v>6.6712000000000007E-2</v>
      </c>
      <c r="G49" s="73">
        <f t="shared" si="11"/>
        <v>6.6712000000000007E-2</v>
      </c>
      <c r="H49" s="73">
        <f t="shared" si="11"/>
        <v>6.6712000000000007E-2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-0.04</v>
      </c>
      <c r="D51" s="72">
        <f>-Assumptions!D47</f>
        <v>-0.04</v>
      </c>
      <c r="E51" s="72">
        <f>-Assumptions!E47</f>
        <v>-0.04</v>
      </c>
      <c r="F51" s="72">
        <f>-Assumptions!F47</f>
        <v>-0.04</v>
      </c>
      <c r="G51" s="72">
        <f>-Assumptions!G47</f>
        <v>-0.04</v>
      </c>
      <c r="H51" s="72">
        <f>-Assumptions!H47</f>
        <v>-0.04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320.5</v>
      </c>
      <c r="D54" s="73" cm="1">
        <f t="array" ref="D54">D49*unit/(Assumptions!D36+Assumptions!D40)</f>
        <v>320.5</v>
      </c>
      <c r="E54" s="73" cm="1">
        <f t="array" ref="E54">E49*unit/(Assumptions!E36+Assumptions!E40)</f>
        <v>320.5</v>
      </c>
      <c r="F54" s="73" cm="1">
        <f t="array" ref="F54">F49*unit/(Assumptions!F36+Assumptions!F40)</f>
        <v>311.73831775700944</v>
      </c>
      <c r="G54" s="73" cm="1">
        <f t="array" ref="G54">G49*unit/(Assumptions!G36+Assumptions!G40)</f>
        <v>311.73831775700944</v>
      </c>
      <c r="H54" s="73" cm="1">
        <f t="array" ref="H54">H49*unit/(Assumptions!H36+Assumptions!H40)</f>
        <v>311.73831775700944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2.5</v>
      </c>
      <c r="E61" s="73">
        <f t="shared" si="13"/>
        <v>2.5</v>
      </c>
      <c r="F61" s="73">
        <f t="shared" si="13"/>
        <v>2.5</v>
      </c>
      <c r="G61" s="73">
        <f t="shared" si="13"/>
        <v>2.5</v>
      </c>
      <c r="H61" s="73">
        <f t="shared" si="13"/>
        <v>2.5</v>
      </c>
    </row>
    <row r="62" spans="2:8" x14ac:dyDescent="0.2">
      <c r="B62" s="5" t="s">
        <v>84</v>
      </c>
      <c r="C62" s="73">
        <f>Assumptions!C37*Assumptions!C53</f>
        <v>0.29166666666666663</v>
      </c>
      <c r="D62" s="73">
        <f>Assumptions!D37*Assumptions!D53</f>
        <v>0.30625000000000002</v>
      </c>
      <c r="E62" s="73">
        <f>Assumptions!E37*Assumptions!E53</f>
        <v>0.32156250000000003</v>
      </c>
      <c r="F62" s="73">
        <f>Assumptions!F37*Assumptions!F53</f>
        <v>0.32413500000000006</v>
      </c>
      <c r="G62" s="73">
        <f>Assumptions!G37*Assumptions!G53</f>
        <v>0.34034175000000005</v>
      </c>
      <c r="H62" s="73">
        <f>Assumptions!H37*Assumptions!H53</f>
        <v>0.35735883750000008</v>
      </c>
    </row>
    <row r="63" spans="2:8" x14ac:dyDescent="0.2">
      <c r="B63" s="8" t="s">
        <v>85</v>
      </c>
      <c r="C63" s="72">
        <f>C54*Assumptions!C53*'Proj. Sales &amp; Prod'!$C$35</f>
        <v>4.8856707317073171</v>
      </c>
      <c r="D63" s="72">
        <f>D54*Assumptions!D53*'Proj. Sales &amp; Prod'!$C$35</f>
        <v>5.1299542682926838</v>
      </c>
      <c r="E63" s="72">
        <f>E54*Assumptions!E53*'Proj. Sales &amp; Prod'!$C$35</f>
        <v>5.3864519817073182</v>
      </c>
      <c r="F63" s="72">
        <f>F54*Assumptions!F53*'Proj. Sales &amp; Prod'!$C$35</f>
        <v>5.2811132208798748</v>
      </c>
      <c r="G63" s="72">
        <f>G54*Assumptions!G53*'Proj. Sales &amp; Prod'!$C$35</f>
        <v>5.5451688819238694</v>
      </c>
      <c r="H63" s="72">
        <f>H54*Assumptions!H53*'Proj. Sales &amp; Prod'!$C$35</f>
        <v>5.8224273260200636</v>
      </c>
    </row>
    <row r="64" spans="2:8" x14ac:dyDescent="0.2">
      <c r="B64" s="5" t="s">
        <v>86</v>
      </c>
      <c r="C64" s="73">
        <f>SUM(C61:C63)</f>
        <v>7.1773373983739841</v>
      </c>
      <c r="D64" s="73">
        <f t="shared" ref="D64:H64" si="14">SUM(D61:D63)</f>
        <v>7.9362042682926841</v>
      </c>
      <c r="E64" s="73">
        <f t="shared" si="14"/>
        <v>8.208014481707318</v>
      </c>
      <c r="F64" s="73">
        <f t="shared" si="14"/>
        <v>8.1052482208798757</v>
      </c>
      <c r="G64" s="73">
        <f t="shared" si="14"/>
        <v>8.3855106319238697</v>
      </c>
      <c r="H64" s="73">
        <f t="shared" si="14"/>
        <v>8.6797861635200633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0.21532012195121952</v>
      </c>
      <c r="D67" s="73">
        <f t="shared" ref="D67:H67" si="15">D66*D64</f>
        <v>0.2499904344512196</v>
      </c>
      <c r="E67" s="73">
        <f t="shared" si="15"/>
        <v>0.27148007898246962</v>
      </c>
      <c r="F67" s="73">
        <f t="shared" si="15"/>
        <v>0.28148513915088214</v>
      </c>
      <c r="G67" s="73">
        <f t="shared" si="15"/>
        <v>0.30577921747634751</v>
      </c>
      <c r="H67" s="73">
        <f t="shared" si="15"/>
        <v>0.33233553140829813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0.87999999999999989</v>
      </c>
      <c r="E71" s="73">
        <f t="shared" si="16"/>
        <v>0.88000000000000012</v>
      </c>
      <c r="F71" s="73">
        <f t="shared" si="16"/>
        <v>0.88</v>
      </c>
      <c r="G71" s="73">
        <f t="shared" si="16"/>
        <v>0.88</v>
      </c>
      <c r="H71" s="73">
        <f t="shared" si="16"/>
        <v>0.87999999999999989</v>
      </c>
    </row>
    <row r="72" spans="2:8" x14ac:dyDescent="0.2">
      <c r="B72" s="5" t="s">
        <v>84</v>
      </c>
      <c r="C72" s="73">
        <f>Assumptions!C41*Assumptions!C54</f>
        <v>0.24062500000000003</v>
      </c>
      <c r="D72" s="73">
        <f>Assumptions!D41*Assumptions!D54</f>
        <v>0.25265625000000003</v>
      </c>
      <c r="E72" s="73">
        <f>Assumptions!E41*Assumptions!E54</f>
        <v>0.26528906250000006</v>
      </c>
      <c r="F72" s="73">
        <f>Assumptions!F41*Assumptions!F54</f>
        <v>0.27855351562500008</v>
      </c>
      <c r="G72" s="73">
        <f>Assumptions!G41*Assumptions!G54</f>
        <v>0.29248119140625012</v>
      </c>
      <c r="H72" s="73">
        <f>Assumptions!H41*Assumptions!H54</f>
        <v>0.3071052509765626</v>
      </c>
    </row>
    <row r="73" spans="2:8" x14ac:dyDescent="0.2">
      <c r="B73" s="8" t="s">
        <v>85</v>
      </c>
      <c r="C73" s="72">
        <f>C54*Assumptions!C54*'Proj. Sales &amp; Prod'!$C$36</f>
        <v>1.477915396341464</v>
      </c>
      <c r="D73" s="72">
        <f>D54*Assumptions!D54*'Proj. Sales &amp; Prod'!$C$36</f>
        <v>1.5518111661585372</v>
      </c>
      <c r="E73" s="72">
        <f>E54*Assumptions!E54*'Proj. Sales &amp; Prod'!$C$36</f>
        <v>1.629401724466464</v>
      </c>
      <c r="F73" s="72">
        <f>F54*Assumptions!F54*'Proj. Sales &amp; Prod'!$C$36</f>
        <v>1.6641007805376695</v>
      </c>
      <c r="G73" s="72">
        <f>G54*Assumptions!G54*'Proj. Sales &amp; Prod'!$C$36</f>
        <v>1.747305819564553</v>
      </c>
      <c r="H73" s="72">
        <f>H54*Assumptions!H54*'Proj. Sales &amp; Prod'!$C$36</f>
        <v>1.8346711105427806</v>
      </c>
    </row>
    <row r="74" spans="2:8" x14ac:dyDescent="0.2">
      <c r="B74" s="5" t="s">
        <v>90</v>
      </c>
      <c r="C74" s="73">
        <f>SUM(C71:C73)</f>
        <v>2.4185403963414638</v>
      </c>
      <c r="D74" s="73">
        <f t="shared" ref="D74:H74" si="17">SUM(D71:D73)</f>
        <v>2.6844674161585371</v>
      </c>
      <c r="E74" s="73">
        <f t="shared" si="17"/>
        <v>2.7746907869664641</v>
      </c>
      <c r="F74" s="73">
        <f t="shared" si="17"/>
        <v>2.8226542961626695</v>
      </c>
      <c r="G74" s="73">
        <f t="shared" si="17"/>
        <v>2.9197870109708033</v>
      </c>
      <c r="H74" s="73">
        <f t="shared" si="17"/>
        <v>3.0217763615193434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2.6603944359756104E-2</v>
      </c>
      <c r="D77" s="73">
        <f t="shared" ref="D77:H77" si="18">D76*D74</f>
        <v>3.1005598656631116E-2</v>
      </c>
      <c r="E77" s="73">
        <f t="shared" si="18"/>
        <v>3.3650062518935805E-2</v>
      </c>
      <c r="F77" s="73">
        <f t="shared" si="18"/>
        <v>3.5943326975548431E-2</v>
      </c>
      <c r="G77" s="73">
        <f t="shared" si="18"/>
        <v>3.903921296554215E-2</v>
      </c>
      <c r="H77" s="73">
        <f t="shared" si="18"/>
        <v>4.2423012018260216E-2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0.24192406631097563</v>
      </c>
      <c r="D79" s="73">
        <f t="shared" ref="D79:H79" si="19">D67+D77</f>
        <v>0.28099603310785071</v>
      </c>
      <c r="E79" s="73">
        <f t="shared" si="19"/>
        <v>0.30513014150140544</v>
      </c>
      <c r="F79" s="73">
        <f t="shared" si="19"/>
        <v>0.31742846612643055</v>
      </c>
      <c r="G79" s="73">
        <f t="shared" si="19"/>
        <v>0.34481843044188965</v>
      </c>
      <c r="H79" s="73">
        <f t="shared" si="19"/>
        <v>0.37475854342655834</v>
      </c>
    </row>
  </sheetData>
  <sheetProtection selectLockedCells="1"/>
  <mergeCells count="3">
    <mergeCell ref="C4:H4"/>
    <mergeCell ref="C31:H31"/>
    <mergeCell ref="C40:H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AA0-3354-1647-95DA-284C6D87D74E}">
  <sheetPr>
    <tabColor rgb="FFC00000"/>
  </sheetPr>
  <dimension ref="B1:H112"/>
  <sheetViews>
    <sheetView topLeftCell="A40" workbookViewId="0">
      <selection activeCell="C10" sqref="C10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'Act. Sales &amp; Prod '!C8</f>
        <v>4.0999999999999996</v>
      </c>
      <c r="D6" s="73">
        <f>'Act. Sales &amp; Prod '!D8</f>
        <v>4.3050000000000006</v>
      </c>
      <c r="E6" s="73">
        <f>'Act. Sales &amp; Prod '!E8</f>
        <v>4.4887500000000014</v>
      </c>
      <c r="F6" s="73">
        <f>'Act. Sales &amp; Prod '!F8</f>
        <v>4.6476675000000007</v>
      </c>
      <c r="G6" s="73">
        <f>'Act. Sales &amp; Prod '!G8</f>
        <v>4.8125652750000008</v>
      </c>
      <c r="H6" s="73">
        <f>'Act. Sales &amp; Prod '!H8</f>
        <v>4.9836833707500015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4.4887500000000016E-4</v>
      </c>
      <c r="F7" s="76">
        <f>F6*Assumptions!F19</f>
        <v>4.6476675000000012E-4</v>
      </c>
      <c r="G7" s="76">
        <f>G6*Assumptions!G19</f>
        <v>4.8125652750000012E-4</v>
      </c>
      <c r="H7" s="76">
        <f>H6*Assumptions!H19</f>
        <v>4.9836833707500019E-4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4.4887500000000016E-4</v>
      </c>
      <c r="F8" s="73">
        <f t="shared" si="0"/>
        <v>4.6476675000000012E-4</v>
      </c>
      <c r="G8" s="73">
        <f t="shared" si="0"/>
        <v>4.8125652750000012E-4</v>
      </c>
      <c r="H8" s="73">
        <f t="shared" si="0"/>
        <v>4.9836833707500019E-4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Realisation!C22</f>
        <v>4</v>
      </c>
      <c r="D11" s="73">
        <f>Realisation!D22</f>
        <v>4.2</v>
      </c>
      <c r="E11" s="73">
        <f>Realisation!E22</f>
        <v>4.4000000000000004</v>
      </c>
      <c r="F11" s="73">
        <f>Realisation!F22</f>
        <v>4.5999999999999996</v>
      </c>
      <c r="G11" s="73">
        <f>Realisation!G22</f>
        <v>4.8</v>
      </c>
      <c r="H11" s="73">
        <f>Realisation!H22</f>
        <v>5</v>
      </c>
    </row>
    <row r="12" spans="2:8" x14ac:dyDescent="0.2">
      <c r="B12" s="1" t="s">
        <v>98</v>
      </c>
      <c r="C12" s="73">
        <f>Realisation!C24</f>
        <v>5</v>
      </c>
      <c r="D12" s="73">
        <f>Realisation!D24</f>
        <v>5.0999999999999996</v>
      </c>
      <c r="E12" s="73">
        <f>Realisation!E24</f>
        <v>5.25</v>
      </c>
      <c r="F12" s="73">
        <f>Realisation!F24</f>
        <v>5.3</v>
      </c>
      <c r="G12" s="73">
        <f>Realisation!G24</f>
        <v>5.4</v>
      </c>
      <c r="H12" s="73">
        <f>Realisation!H24</f>
        <v>5.5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2.5000000000000001E-2</v>
      </c>
      <c r="D14" s="73">
        <f>Assumptions!D48</f>
        <v>2.5000000000000001E-2</v>
      </c>
      <c r="E14" s="73">
        <f>Assumptions!E48</f>
        <v>2.5000000000000001E-2</v>
      </c>
      <c r="F14" s="73">
        <f>Assumptions!F48</f>
        <v>2.5000000000000001E-2</v>
      </c>
      <c r="G14" s="73">
        <f>Assumptions!G48</f>
        <v>2.5000000000000001E-2</v>
      </c>
      <c r="H14" s="73">
        <f>Assumptions!H48</f>
        <v>2.5000000000000001E-2</v>
      </c>
    </row>
    <row r="15" spans="2:8" x14ac:dyDescent="0.2">
      <c r="B15" s="12" t="s">
        <v>100</v>
      </c>
      <c r="C15" s="76">
        <f>Assumptions!C47</f>
        <v>0.04</v>
      </c>
      <c r="D15" s="76">
        <f>Assumptions!D47</f>
        <v>0.04</v>
      </c>
      <c r="E15" s="76">
        <f>Assumptions!E47</f>
        <v>0.04</v>
      </c>
      <c r="F15" s="76">
        <f>Assumptions!F47</f>
        <v>0.04</v>
      </c>
      <c r="G15" s="76">
        <f>Assumptions!G47</f>
        <v>0.04</v>
      </c>
      <c r="H15" s="76">
        <f>Assumptions!H47</f>
        <v>0.04</v>
      </c>
    </row>
    <row r="16" spans="2:8" x14ac:dyDescent="0.2">
      <c r="B16" s="1" t="s">
        <v>101</v>
      </c>
      <c r="C16" s="73">
        <f>SUM(C11:C15)</f>
        <v>10.065</v>
      </c>
      <c r="D16" s="73">
        <f t="shared" ref="D16:H16" si="1">SUM(D11:D15)</f>
        <v>10.365</v>
      </c>
      <c r="E16" s="73">
        <f t="shared" si="1"/>
        <v>10.715</v>
      </c>
      <c r="F16" s="73">
        <f t="shared" si="1"/>
        <v>10.964999999999998</v>
      </c>
      <c r="G16" s="73">
        <f t="shared" si="1"/>
        <v>11.264999999999999</v>
      </c>
      <c r="H16" s="73">
        <f t="shared" si="1"/>
        <v>11.565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10.06541</v>
      </c>
      <c r="D18" s="73">
        <f t="shared" ref="D18:H18" si="2">D16+D8</f>
        <v>10.3654305</v>
      </c>
      <c r="E18" s="73">
        <f t="shared" si="2"/>
        <v>10.715448875</v>
      </c>
      <c r="F18" s="73">
        <f t="shared" si="2"/>
        <v>10.965464766749998</v>
      </c>
      <c r="G18" s="73">
        <f t="shared" si="2"/>
        <v>11.265481256527499</v>
      </c>
      <c r="H18" s="73">
        <f t="shared" si="2"/>
        <v>11.565498368337074</v>
      </c>
    </row>
    <row r="19" spans="2:8" x14ac:dyDescent="0.2">
      <c r="B19" s="12" t="s">
        <v>103</v>
      </c>
      <c r="C19" s="76">
        <f>-C15</f>
        <v>-0.04</v>
      </c>
      <c r="D19" s="76">
        <f t="shared" ref="D19:H19" si="3">-D15</f>
        <v>-0.04</v>
      </c>
      <c r="E19" s="76">
        <f t="shared" si="3"/>
        <v>-0.04</v>
      </c>
      <c r="F19" s="76">
        <f t="shared" si="3"/>
        <v>-0.04</v>
      </c>
      <c r="G19" s="76">
        <f t="shared" si="3"/>
        <v>-0.04</v>
      </c>
      <c r="H19" s="76">
        <f t="shared" si="3"/>
        <v>-0.04</v>
      </c>
    </row>
    <row r="20" spans="2:8" x14ac:dyDescent="0.2">
      <c r="B20" s="1" t="s">
        <v>104</v>
      </c>
      <c r="C20" s="73">
        <f>SUM(C18:C19)</f>
        <v>10.025410000000001</v>
      </c>
      <c r="D20" s="73">
        <f t="shared" ref="D20:H20" si="4">SUM(D18:D19)</f>
        <v>10.325430500000001</v>
      </c>
      <c r="E20" s="73">
        <f t="shared" si="4"/>
        <v>10.675448875000001</v>
      </c>
      <c r="F20" s="73">
        <f t="shared" si="4"/>
        <v>10.925464766749998</v>
      </c>
      <c r="G20" s="73">
        <f t="shared" si="4"/>
        <v>11.2254812565275</v>
      </c>
      <c r="H20" s="73">
        <f t="shared" si="4"/>
        <v>11.525498368337075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'Act. Sales &amp; Prod '!C21</f>
        <v>25.56</v>
      </c>
      <c r="D30" s="73">
        <f>'Act. Sales &amp; Prod '!D21</f>
        <v>28.258000000000003</v>
      </c>
      <c r="E30" s="73">
        <f>'Act. Sales &amp; Prod '!E21</f>
        <v>30.864100000000008</v>
      </c>
      <c r="F30" s="73">
        <f>'Act. Sales &amp; Prod '!F21</f>
        <v>31.922961000000004</v>
      </c>
      <c r="G30" s="73">
        <f>'Act. Sales &amp; Prod '!G21</f>
        <v>32.994404730000007</v>
      </c>
      <c r="H30" s="73">
        <f>'Act. Sales &amp; Prod '!H21</f>
        <v>34.090449516900016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30.864100000000008</v>
      </c>
      <c r="F31" s="73">
        <f t="shared" si="6"/>
        <v>31.922961000000004</v>
      </c>
      <c r="G31" s="73">
        <f t="shared" si="6"/>
        <v>32.994404730000007</v>
      </c>
      <c r="H31" s="73">
        <f t="shared" si="6"/>
        <v>34.090449516900016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'Act. RM &amp; DL &amp; FG'!C28</f>
        <v>10.426735000000001</v>
      </c>
      <c r="D34" s="73">
        <f>'Act. RM &amp; DL &amp; FG'!D28</f>
        <v>12.374089699999999</v>
      </c>
      <c r="E34" s="73">
        <f>'Act. RM &amp; DL &amp; FG'!E28</f>
        <v>12.904369909146345</v>
      </c>
      <c r="F34" s="73">
        <f>'Act. RM &amp; DL &amp; FG'!F28</f>
        <v>13.351356154730494</v>
      </c>
      <c r="G34" s="73">
        <f>'Act. RM &amp; DL &amp; FG'!G28</f>
        <v>13.825256405731794</v>
      </c>
      <c r="H34" s="73">
        <f>'Act. RM &amp; DL &amp; FG'!H28</f>
        <v>14.316946983544531</v>
      </c>
    </row>
    <row r="35" spans="2:8" x14ac:dyDescent="0.2">
      <c r="B35" s="1" t="s">
        <v>112</v>
      </c>
      <c r="C35" s="73">
        <f>'Act. RM &amp; DL &amp; FG'!C43</f>
        <v>7.2800000000000004E-2</v>
      </c>
      <c r="D35" s="73">
        <f>'Act. RM &amp; DL &amp; FG'!D43</f>
        <v>7.2800000000000004E-2</v>
      </c>
      <c r="E35" s="73">
        <f>'Act. RM &amp; DL &amp; FG'!E43</f>
        <v>7.2800000000000004E-2</v>
      </c>
      <c r="F35" s="73">
        <f>'Act. RM &amp; DL &amp; FG'!F43</f>
        <v>7.7896000000000007E-2</v>
      </c>
      <c r="G35" s="73">
        <f>'Act. RM &amp; DL &amp; FG'!G43</f>
        <v>7.7896000000000007E-2</v>
      </c>
      <c r="H35" s="73">
        <f>'Act. RM &amp; DL &amp; FG'!H43</f>
        <v>7.7896000000000007E-2</v>
      </c>
    </row>
    <row r="36" spans="2:8" x14ac:dyDescent="0.2">
      <c r="B36" s="1" t="s">
        <v>113</v>
      </c>
      <c r="C36" s="73">
        <f>'Act. RM &amp; DL &amp; FG'!C49</f>
        <v>6.6664000000000001E-2</v>
      </c>
      <c r="D36" s="73">
        <f>'Act. RM &amp; DL &amp; FG'!D49</f>
        <v>6.6664000000000001E-2</v>
      </c>
      <c r="E36" s="73">
        <f>'Act. RM &amp; DL &amp; FG'!E49</f>
        <v>6.6664000000000001E-2</v>
      </c>
      <c r="F36" s="73">
        <f>'Act. RM &amp; DL &amp; FG'!F49</f>
        <v>6.6712000000000007E-2</v>
      </c>
      <c r="G36" s="73">
        <f>'Act. RM &amp; DL &amp; FG'!G49</f>
        <v>6.6712000000000007E-2</v>
      </c>
      <c r="H36" s="73">
        <f>'Act. RM &amp; DL &amp; FG'!H49</f>
        <v>6.6712000000000007E-2</v>
      </c>
    </row>
    <row r="37" spans="2:8" x14ac:dyDescent="0.2">
      <c r="B37" s="12" t="s">
        <v>114</v>
      </c>
      <c r="C37" s="72">
        <f>C20</f>
        <v>10.025410000000001</v>
      </c>
      <c r="D37" s="72">
        <f t="shared" ref="D37:H37" si="7">D20</f>
        <v>10.325430500000001</v>
      </c>
      <c r="E37" s="72">
        <f t="shared" si="7"/>
        <v>10.675448875000001</v>
      </c>
      <c r="F37" s="72">
        <f t="shared" si="7"/>
        <v>10.925464766749998</v>
      </c>
      <c r="G37" s="72">
        <f t="shared" si="7"/>
        <v>11.2254812565275</v>
      </c>
      <c r="H37" s="72">
        <f t="shared" si="7"/>
        <v>11.525498368337075</v>
      </c>
    </row>
    <row r="38" spans="2:8" x14ac:dyDescent="0.2">
      <c r="B38" s="1" t="s">
        <v>115</v>
      </c>
      <c r="C38" s="73">
        <f>SUM(C34:C37)</f>
        <v>20.591609000000002</v>
      </c>
      <c r="D38" s="73">
        <f t="shared" ref="D38:H38" si="8">SUM(D34:D37)</f>
        <v>22.838984199999999</v>
      </c>
      <c r="E38" s="73">
        <f t="shared" si="8"/>
        <v>23.719282784146344</v>
      </c>
      <c r="F38" s="73">
        <f t="shared" si="8"/>
        <v>24.421428921480494</v>
      </c>
      <c r="G38" s="73">
        <f t="shared" si="8"/>
        <v>25.195345662259296</v>
      </c>
      <c r="H38" s="73">
        <f t="shared" si="8"/>
        <v>25.987053351881606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20.591609000000002</v>
      </c>
      <c r="D44" s="73">
        <f t="shared" ref="D44:H44" si="9">D38+D40+D43</f>
        <v>22.838984199999999</v>
      </c>
      <c r="E44" s="73">
        <f t="shared" si="9"/>
        <v>23.719282784146344</v>
      </c>
      <c r="F44" s="73">
        <f t="shared" si="9"/>
        <v>24.421428921480494</v>
      </c>
      <c r="G44" s="73">
        <f t="shared" si="9"/>
        <v>25.195345662259296</v>
      </c>
      <c r="H44" s="73">
        <f t="shared" si="9"/>
        <v>25.987053351881606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4.9683909999999969</v>
      </c>
      <c r="D46" s="73">
        <f t="shared" ref="D46:H46" si="10">D31-D44</f>
        <v>5.4190158000000039</v>
      </c>
      <c r="E46" s="73">
        <f t="shared" si="10"/>
        <v>7.1448172158536636</v>
      </c>
      <c r="F46" s="73">
        <f t="shared" si="10"/>
        <v>7.5015320785195101</v>
      </c>
      <c r="G46" s="73">
        <f t="shared" si="10"/>
        <v>7.7990590677407106</v>
      </c>
      <c r="H46" s="73">
        <f t="shared" si="10"/>
        <v>8.1033961650184096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4.9683909999999969</v>
      </c>
      <c r="D54" s="73">
        <f t="shared" ref="D54:H54" si="11">D46+D52</f>
        <v>5.4190158000000039</v>
      </c>
      <c r="E54" s="73">
        <f t="shared" si="11"/>
        <v>7.1448172158536636</v>
      </c>
      <c r="F54" s="73">
        <f t="shared" si="11"/>
        <v>7.5015320785195101</v>
      </c>
      <c r="G54" s="73">
        <f t="shared" si="11"/>
        <v>7.7990590677407106</v>
      </c>
      <c r="H54" s="73">
        <f t="shared" si="11"/>
        <v>8.1033961650184096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'Act. Sales &amp; Prod '!C12</f>
        <v>28.4</v>
      </c>
      <c r="D58" s="5">
        <f>'Act. Sales &amp; Prod '!D12</f>
        <v>29.820000000000004</v>
      </c>
      <c r="E58" s="5">
        <f>'Act. Sales &amp; Prod '!E12</f>
        <v>31.059000000000005</v>
      </c>
      <c r="F58" s="5">
        <f>'Act. Sales &amp; Prod '!F12</f>
        <v>32.087790000000005</v>
      </c>
      <c r="G58" s="5">
        <f>'Act. Sales &amp; Prod '!G12</f>
        <v>33.152294700000006</v>
      </c>
      <c r="H58" s="5">
        <f>'Act. Sales &amp; Prod '!H12</f>
        <v>34.25382809100001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-4.4887500000000016E-4</v>
      </c>
      <c r="F59" s="40">
        <f t="shared" si="13"/>
        <v>-4.6476675000000012E-4</v>
      </c>
      <c r="G59" s="40">
        <f t="shared" si="13"/>
        <v>-4.8125652750000012E-4</v>
      </c>
      <c r="H59" s="40">
        <f t="shared" si="13"/>
        <v>-4.9836833707500019E-4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31.059448875000005</v>
      </c>
      <c r="F60" s="20">
        <f t="shared" si="14"/>
        <v>32.088254766750005</v>
      </c>
      <c r="G60" s="20">
        <f t="shared" si="14"/>
        <v>33.152775956527506</v>
      </c>
      <c r="H60" s="20">
        <f t="shared" si="14"/>
        <v>34.254326459337086</v>
      </c>
    </row>
    <row r="61" spans="2:8" x14ac:dyDescent="0.2">
      <c r="B61" s="5" t="s">
        <v>128</v>
      </c>
      <c r="C61" s="20">
        <f>C34+C35+C36</f>
        <v>10.566199000000001</v>
      </c>
      <c r="D61" s="20">
        <f t="shared" ref="D61:H61" si="15">D34+D35+D36</f>
        <v>12.513553699999999</v>
      </c>
      <c r="E61" s="20">
        <f t="shared" si="15"/>
        <v>13.043833909146345</v>
      </c>
      <c r="F61" s="20">
        <f t="shared" si="15"/>
        <v>13.495964154730496</v>
      </c>
      <c r="G61" s="20">
        <f t="shared" si="15"/>
        <v>13.969864405731796</v>
      </c>
      <c r="H61" s="20">
        <f t="shared" si="15"/>
        <v>14.461554983544533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3" si="16">D11</f>
        <v>4.2</v>
      </c>
      <c r="E62" s="44">
        <f t="shared" si="16"/>
        <v>4.4000000000000004</v>
      </c>
      <c r="F62" s="44">
        <f t="shared" si="16"/>
        <v>4.5999999999999996</v>
      </c>
      <c r="G62" s="44">
        <f t="shared" si="16"/>
        <v>4.8</v>
      </c>
      <c r="H62" s="44">
        <f t="shared" si="16"/>
        <v>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5.0999999999999996</v>
      </c>
      <c r="E63" s="44">
        <f t="shared" si="16"/>
        <v>5.25</v>
      </c>
      <c r="F63" s="44">
        <f t="shared" si="16"/>
        <v>5.3</v>
      </c>
      <c r="G63" s="44">
        <f t="shared" si="16"/>
        <v>5.4</v>
      </c>
      <c r="H63" s="44">
        <f t="shared" si="16"/>
        <v>5.5</v>
      </c>
    </row>
    <row r="64" spans="2:8" outlineLevel="1" x14ac:dyDescent="0.2">
      <c r="B64" s="43" t="s">
        <v>161</v>
      </c>
      <c r="C64" s="45">
        <f>C60-SUM(C61:C63)</f>
        <v>8.8342109999999963</v>
      </c>
      <c r="D64" s="45">
        <f t="shared" ref="D64:H64" si="17">D60-SUM(D61:D63)</f>
        <v>8.0068768000000041</v>
      </c>
      <c r="E64" s="45">
        <f t="shared" si="17"/>
        <v>8.3656149658536592</v>
      </c>
      <c r="F64" s="45">
        <f t="shared" si="17"/>
        <v>8.6922906120195087</v>
      </c>
      <c r="G64" s="45">
        <f t="shared" si="17"/>
        <v>8.9829115507957127</v>
      </c>
      <c r="H64" s="45">
        <f t="shared" si="17"/>
        <v>9.2927714757925557</v>
      </c>
    </row>
    <row r="65" spans="2:8" x14ac:dyDescent="0.2">
      <c r="B65" s="5" t="s">
        <v>129</v>
      </c>
      <c r="C65" s="20">
        <f>C60-C61</f>
        <v>17.834210999999996</v>
      </c>
      <c r="D65" s="20">
        <f t="shared" ref="D65:H65" si="18">D60-D61</f>
        <v>17.306876800000005</v>
      </c>
      <c r="E65" s="20">
        <f t="shared" si="18"/>
        <v>18.015614965853658</v>
      </c>
      <c r="F65" s="20">
        <f t="shared" si="18"/>
        <v>18.592290612019511</v>
      </c>
      <c r="G65" s="20">
        <f t="shared" si="18"/>
        <v>19.182911550795708</v>
      </c>
      <c r="H65" s="20">
        <f t="shared" si="18"/>
        <v>19.792771475792556</v>
      </c>
    </row>
    <row r="66" spans="2:8" outlineLevel="1" x14ac:dyDescent="0.2">
      <c r="B66" s="42" t="s">
        <v>162</v>
      </c>
      <c r="C66" s="46">
        <f>C15</f>
        <v>0.04</v>
      </c>
      <c r="D66" s="46">
        <f t="shared" ref="D66:H66" si="19">D15</f>
        <v>0.04</v>
      </c>
      <c r="E66" s="46">
        <f t="shared" si="19"/>
        <v>0.04</v>
      </c>
      <c r="F66" s="46">
        <f t="shared" si="19"/>
        <v>0.04</v>
      </c>
      <c r="G66" s="46">
        <f t="shared" si="19"/>
        <v>0.04</v>
      </c>
      <c r="H66" s="46">
        <f t="shared" si="19"/>
        <v>0.04</v>
      </c>
    </row>
    <row r="67" spans="2:8" outlineLevel="1" x14ac:dyDescent="0.2">
      <c r="B67" s="42" t="s">
        <v>163</v>
      </c>
      <c r="C67" s="44">
        <f>C13+C14</f>
        <v>1.0249999999999999</v>
      </c>
      <c r="D67" s="44">
        <f t="shared" ref="D67:H67" si="20">D13+D14</f>
        <v>1.0249999999999999</v>
      </c>
      <c r="E67" s="44">
        <f t="shared" si="20"/>
        <v>1.0249999999999999</v>
      </c>
      <c r="F67" s="44">
        <f t="shared" si="20"/>
        <v>1.0249999999999999</v>
      </c>
      <c r="G67" s="44">
        <f t="shared" si="20"/>
        <v>1.0249999999999999</v>
      </c>
      <c r="H67" s="44">
        <f t="shared" si="20"/>
        <v>1.0249999999999999</v>
      </c>
    </row>
    <row r="68" spans="2:8" outlineLevel="1" x14ac:dyDescent="0.2">
      <c r="B68" s="42" t="s">
        <v>164</v>
      </c>
      <c r="C68" s="44">
        <f>C64-SUM(C66:C67)</f>
        <v>7.7692109999999968</v>
      </c>
      <c r="D68" s="44">
        <f t="shared" ref="D68:H68" si="21">D64-SUM(D66:D67)</f>
        <v>6.9418768000000046</v>
      </c>
      <c r="E68" s="44">
        <f t="shared" si="21"/>
        <v>7.3006149658536597</v>
      </c>
      <c r="F68" s="44">
        <f t="shared" si="21"/>
        <v>7.6272906120195092</v>
      </c>
      <c r="G68" s="44">
        <f t="shared" si="21"/>
        <v>7.9179115507957132</v>
      </c>
      <c r="H68" s="44">
        <f t="shared" si="21"/>
        <v>8.2277714757925562</v>
      </c>
    </row>
    <row r="70" spans="2:8" x14ac:dyDescent="0.2">
      <c r="B70" s="25" t="s">
        <v>130</v>
      </c>
      <c r="C70" s="33">
        <f t="shared" ref="C70:H70" si="22">C16</f>
        <v>10.065</v>
      </c>
      <c r="D70" s="33">
        <f t="shared" si="22"/>
        <v>10.365</v>
      </c>
      <c r="E70" s="33">
        <f t="shared" si="22"/>
        <v>10.715</v>
      </c>
      <c r="F70" s="33">
        <f t="shared" si="22"/>
        <v>10.964999999999998</v>
      </c>
      <c r="G70" s="33">
        <f t="shared" si="22"/>
        <v>11.264999999999999</v>
      </c>
      <c r="H70" s="33">
        <f t="shared" si="22"/>
        <v>11.565</v>
      </c>
    </row>
    <row r="71" spans="2:8" x14ac:dyDescent="0.2">
      <c r="B71" s="23" t="s">
        <v>131</v>
      </c>
      <c r="C71" s="20">
        <f t="shared" ref="C71:H71" si="23">C65-C70</f>
        <v>7.7692109999999968</v>
      </c>
      <c r="D71" s="20">
        <f t="shared" si="23"/>
        <v>6.9418768000000046</v>
      </c>
      <c r="E71" s="20">
        <f t="shared" si="23"/>
        <v>7.3006149658536579</v>
      </c>
      <c r="F71" s="20">
        <f t="shared" si="23"/>
        <v>7.6272906120195127</v>
      </c>
      <c r="G71" s="20">
        <f t="shared" si="23"/>
        <v>7.9179115507957096</v>
      </c>
      <c r="H71" s="20">
        <f t="shared" si="23"/>
        <v>8.2277714757925562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7.7692109999999968</v>
      </c>
      <c r="D74" s="20">
        <f t="shared" ref="D74:H74" si="24">D71-D73</f>
        <v>6.9418768000000046</v>
      </c>
      <c r="E74" s="20">
        <f t="shared" si="24"/>
        <v>7.3006149658536579</v>
      </c>
      <c r="F74" s="20">
        <f t="shared" si="24"/>
        <v>7.6272906120195127</v>
      </c>
      <c r="G74" s="20">
        <f t="shared" si="24"/>
        <v>7.9179115507957096</v>
      </c>
      <c r="H74" s="20">
        <f t="shared" si="24"/>
        <v>8.2277714757925562</v>
      </c>
    </row>
    <row r="76" spans="2:8" x14ac:dyDescent="0.2">
      <c r="B76" s="25" t="s">
        <v>134</v>
      </c>
      <c r="C76" s="26">
        <f>-C74*0.25</f>
        <v>-1.9423027499999992</v>
      </c>
      <c r="D76" s="26">
        <f t="shared" ref="D76:H76" si="25">-D74*0.25</f>
        <v>-1.7354692000000012</v>
      </c>
      <c r="E76" s="26">
        <f t="shared" si="25"/>
        <v>-1.8251537414634145</v>
      </c>
      <c r="F76" s="26">
        <f t="shared" si="25"/>
        <v>-1.9068226530048782</v>
      </c>
      <c r="G76" s="26">
        <f t="shared" si="25"/>
        <v>-1.9794778876989274</v>
      </c>
      <c r="H76" s="26">
        <f t="shared" si="25"/>
        <v>-2.056942868948139</v>
      </c>
    </row>
    <row r="77" spans="2:8" x14ac:dyDescent="0.2">
      <c r="B77" s="5" t="s">
        <v>135</v>
      </c>
      <c r="C77" s="20">
        <f>SUM(C74:C76)</f>
        <v>5.8269082499999971</v>
      </c>
      <c r="D77" s="20">
        <f t="shared" ref="D77:H77" si="26">SUM(D74:D76)</f>
        <v>5.2064076000000039</v>
      </c>
      <c r="E77" s="20">
        <f t="shared" si="26"/>
        <v>5.4754612243902434</v>
      </c>
      <c r="F77" s="20">
        <f t="shared" si="26"/>
        <v>5.7204679590146341</v>
      </c>
      <c r="G77" s="20">
        <f t="shared" si="26"/>
        <v>5.9384336630967827</v>
      </c>
      <c r="H77" s="20">
        <f t="shared" si="26"/>
        <v>6.1708286068444167</v>
      </c>
    </row>
    <row r="81" spans="2:8" ht="20" x14ac:dyDescent="0.2">
      <c r="B81" s="30" t="s">
        <v>136</v>
      </c>
      <c r="C81" s="77">
        <f t="shared" ref="C81:H81" si="27">C57</f>
        <v>1</v>
      </c>
      <c r="D81" s="77">
        <f t="shared" si="27"/>
        <v>2</v>
      </c>
      <c r="E81" s="77">
        <f t="shared" si="27"/>
        <v>3</v>
      </c>
      <c r="F81" s="77">
        <f t="shared" si="27"/>
        <v>4</v>
      </c>
      <c r="G81" s="77">
        <f t="shared" si="27"/>
        <v>5</v>
      </c>
      <c r="H81" s="77">
        <f t="shared" si="27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8">C54</f>
        <v>4.9683909999999969</v>
      </c>
      <c r="D83" s="73">
        <f t="shared" si="28"/>
        <v>5.4190158000000039</v>
      </c>
      <c r="E83" s="73">
        <f t="shared" si="28"/>
        <v>7.1448172158536636</v>
      </c>
      <c r="F83" s="73">
        <f t="shared" si="28"/>
        <v>7.5015320785195101</v>
      </c>
      <c r="G83" s="73">
        <f t="shared" si="28"/>
        <v>7.7990590677407106</v>
      </c>
      <c r="H83" s="73">
        <f t="shared" si="28"/>
        <v>8.1033961650184096</v>
      </c>
    </row>
    <row r="84" spans="2:8" x14ac:dyDescent="0.2">
      <c r="B84" s="6" t="s">
        <v>139</v>
      </c>
      <c r="C84" s="73">
        <f>SUM('Act. Sales &amp; Prod '!C19:C20)</f>
        <v>0</v>
      </c>
      <c r="D84" s="73">
        <f>SUM('Act. Sales &amp; Prod '!D19:D20)</f>
        <v>1.42</v>
      </c>
      <c r="E84" s="73">
        <f>SUM('Act. Sales &amp; Prod '!E19:E20)</f>
        <v>2.9110000000000005</v>
      </c>
      <c r="F84" s="73">
        <f>SUM('Act. Sales &amp; Prod '!F19:F20)</f>
        <v>3.0439500000000006</v>
      </c>
      <c r="G84" s="73">
        <f>SUM('Act. Sales &amp; Prod '!G19:G20)</f>
        <v>3.1573395000000009</v>
      </c>
      <c r="H84" s="73">
        <f>SUM('Act. Sales &amp; Prod '!H19:H20)</f>
        <v>3.2620042350000009</v>
      </c>
    </row>
    <row r="85" spans="2:8" x14ac:dyDescent="0.2">
      <c r="B85" s="6" t="s">
        <v>140</v>
      </c>
      <c r="C85" s="73">
        <f>'Act. RM &amp; DL &amp; FG'!C20</f>
        <v>5.5550000000000016E-2</v>
      </c>
      <c r="D85" s="73">
        <f>'Act. RM &amp; DL &amp; FG'!D20</f>
        <v>5.7777500000000016E-2</v>
      </c>
      <c r="E85" s="73">
        <f>'Act. RM &amp; DL &amp; FG'!E20</f>
        <v>6.0239588414634185E-2</v>
      </c>
      <c r="F85" s="73">
        <f>'Act. RM &amp; DL &amp; FG'!F20</f>
        <v>6.2368077347561002E-2</v>
      </c>
      <c r="G85" s="73">
        <f>'Act. RM &amp; DL &amp; FG'!G20</f>
        <v>6.458092290274392E-2</v>
      </c>
      <c r="H85" s="73">
        <f>'Act. RM &amp; DL &amp; FG'!H20</f>
        <v>6.6877243986320167E-2</v>
      </c>
    </row>
    <row r="86" spans="2:8" x14ac:dyDescent="0.2">
      <c r="B86" s="21" t="s">
        <v>141</v>
      </c>
      <c r="C86" s="72">
        <f>'Act. RM &amp; DL &amp; FG'!C79</f>
        <v>0.24192406631097563</v>
      </c>
      <c r="D86" s="72">
        <f>'Act. RM &amp; DL &amp; FG'!D79</f>
        <v>0.28099603310785071</v>
      </c>
      <c r="E86" s="72">
        <f>'Act. RM &amp; DL &amp; FG'!E79</f>
        <v>0.30513014150140544</v>
      </c>
      <c r="F86" s="72">
        <f>'Act. RM &amp; DL &amp; FG'!F79</f>
        <v>0.31742846612643055</v>
      </c>
      <c r="G86" s="72">
        <f>'Act. RM &amp; DL &amp; FG'!G79</f>
        <v>0.34481843044188965</v>
      </c>
      <c r="H86" s="72">
        <f>'Act. RM &amp; DL &amp; FG'!H79</f>
        <v>0.37475854342655834</v>
      </c>
    </row>
    <row r="87" spans="2:8" x14ac:dyDescent="0.2">
      <c r="B87" s="6" t="s">
        <v>142</v>
      </c>
      <c r="C87" s="73">
        <f>SUM(C83:C86)</f>
        <v>5.2658650663109725</v>
      </c>
      <c r="D87" s="73">
        <f t="shared" ref="D87:H87" si="29">SUM(D83:D86)</f>
        <v>7.1777893331078548</v>
      </c>
      <c r="E87" s="73">
        <f t="shared" si="29"/>
        <v>10.421186945769705</v>
      </c>
      <c r="F87" s="73">
        <f t="shared" si="29"/>
        <v>10.925278621993503</v>
      </c>
      <c r="G87" s="73">
        <f t="shared" si="29"/>
        <v>11.365797921085345</v>
      </c>
      <c r="H87" s="73">
        <f t="shared" si="29"/>
        <v>11.80703618743129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0">SUM(C89:C90)</f>
        <v>1</v>
      </c>
      <c r="D91" s="73">
        <f t="shared" si="30"/>
        <v>1</v>
      </c>
      <c r="E91" s="73">
        <f t="shared" si="30"/>
        <v>1</v>
      </c>
      <c r="F91" s="73">
        <f t="shared" si="30"/>
        <v>1</v>
      </c>
      <c r="G91" s="73">
        <f t="shared" si="30"/>
        <v>1</v>
      </c>
      <c r="H91" s="73">
        <f t="shared" si="30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6.2658650663109725</v>
      </c>
      <c r="D93" s="74">
        <f t="shared" ref="D93:H93" si="31">D87+D91</f>
        <v>8.1777893331078548</v>
      </c>
      <c r="E93" s="74">
        <f t="shared" si="31"/>
        <v>11.421186945769705</v>
      </c>
      <c r="F93" s="74">
        <f t="shared" si="31"/>
        <v>11.925278621993503</v>
      </c>
      <c r="G93" s="74">
        <f t="shared" si="31"/>
        <v>12.365797921085345</v>
      </c>
      <c r="H93" s="74">
        <f t="shared" si="31"/>
        <v>12.80703618743129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SUM('Act. RM &amp; DL &amp; FG'!D35:D36)</f>
        <v>1.0426735</v>
      </c>
      <c r="D96" s="74">
        <f>SUM('Act. RM &amp; DL &amp; FG'!E35:E36)</f>
        <v>2.28008247</v>
      </c>
      <c r="E96" s="74">
        <f>SUM('Act. RM &amp; DL &amp; FG'!F35:F36)</f>
        <v>2.5278459609146342</v>
      </c>
      <c r="F96" s="74">
        <f>SUM('Act. RM &amp; DL &amp; FG'!G35:G36)</f>
        <v>2.6255726063876841</v>
      </c>
      <c r="G96" s="74">
        <f>SUM('Act. RM &amp; DL &amp; FG'!H35:H36)</f>
        <v>2.7176612560462292</v>
      </c>
      <c r="H96" s="74">
        <f>SUM('Act. RM &amp; DL &amp; FG'!I35:I36)</f>
        <v>2.8142203389276328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2">SUM(D96:D97)</f>
        <v>2.28008247</v>
      </c>
      <c r="E98" s="74">
        <f t="shared" si="32"/>
        <v>2.5278459609146342</v>
      </c>
      <c r="F98" s="74">
        <f t="shared" si="32"/>
        <v>2.6255726063876841</v>
      </c>
      <c r="G98" s="74">
        <f t="shared" si="32"/>
        <v>2.7176612560462292</v>
      </c>
      <c r="H98" s="74">
        <f t="shared" si="32"/>
        <v>2.8142203389276328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3">D100</f>
        <v>0</v>
      </c>
      <c r="E101" s="74">
        <f t="shared" si="33"/>
        <v>0</v>
      </c>
      <c r="F101" s="74">
        <f t="shared" si="33"/>
        <v>0</v>
      </c>
      <c r="G101" s="74">
        <f t="shared" si="33"/>
        <v>0</v>
      </c>
      <c r="H101" s="74">
        <f t="shared" si="33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-0.60371668368902487</v>
      </c>
      <c r="D103" s="74">
        <f>D93-D98-D104</f>
        <v>0.69129926310785095</v>
      </c>
      <c r="E103" s="74">
        <f t="shared" ref="E103:H103" si="34">E93-E98-E104</f>
        <v>3.4178797604648272</v>
      </c>
      <c r="F103" s="74">
        <f t="shared" si="34"/>
        <v>3.5792380565911834</v>
      </c>
      <c r="G103" s="74">
        <f t="shared" si="34"/>
        <v>3.7097030019423336</v>
      </c>
      <c r="H103" s="74">
        <f t="shared" si="34"/>
        <v>3.8219872416592402</v>
      </c>
    </row>
    <row r="104" spans="2:8" x14ac:dyDescent="0.2">
      <c r="B104" s="21" t="s">
        <v>154</v>
      </c>
      <c r="C104" s="75">
        <f>C77</f>
        <v>5.8269082499999971</v>
      </c>
      <c r="D104" s="75">
        <f t="shared" ref="D104:H104" si="35">D77</f>
        <v>5.2064076000000039</v>
      </c>
      <c r="E104" s="75">
        <f t="shared" si="35"/>
        <v>5.4754612243902434</v>
      </c>
      <c r="F104" s="75">
        <f t="shared" si="35"/>
        <v>5.7204679590146341</v>
      </c>
      <c r="G104" s="75">
        <f t="shared" si="35"/>
        <v>5.9384336630967827</v>
      </c>
      <c r="H104" s="75">
        <f t="shared" si="35"/>
        <v>6.1708286068444167</v>
      </c>
    </row>
    <row r="105" spans="2:8" x14ac:dyDescent="0.2">
      <c r="B105" s="6" t="s">
        <v>155</v>
      </c>
      <c r="C105" s="74">
        <f>SUM(C103:C104)</f>
        <v>5.2231915663109723</v>
      </c>
      <c r="D105" s="74">
        <f t="shared" ref="D105:H105" si="36">SUM(D103:D104)</f>
        <v>5.8977068631078549</v>
      </c>
      <c r="E105" s="74">
        <f t="shared" si="36"/>
        <v>8.8933409848550706</v>
      </c>
      <c r="F105" s="74">
        <f t="shared" si="36"/>
        <v>9.2997060156058176</v>
      </c>
      <c r="G105" s="74">
        <f t="shared" si="36"/>
        <v>9.6481366650391163</v>
      </c>
      <c r="H105" s="74">
        <f t="shared" si="36"/>
        <v>9.9928158485036569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6.2658650663109725</v>
      </c>
      <c r="D107" s="74">
        <f t="shared" ref="D107:H107" si="37">D105+D101+D98</f>
        <v>8.1777893331078548</v>
      </c>
      <c r="E107" s="74">
        <f t="shared" si="37"/>
        <v>11.421186945769705</v>
      </c>
      <c r="F107" s="74">
        <f t="shared" si="37"/>
        <v>11.925278621993503</v>
      </c>
      <c r="G107" s="74">
        <f t="shared" si="37"/>
        <v>12.365797921085345</v>
      </c>
      <c r="H107" s="74">
        <f t="shared" si="37"/>
        <v>12.80703618743129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CDD8-A18C-EF4C-B7FE-D698CCBA15EA}">
  <sheetPr>
    <tabColor rgb="FF002060"/>
  </sheetPr>
  <dimension ref="B3:H35"/>
  <sheetViews>
    <sheetView zoomScaleNormal="100" workbookViewId="0">
      <selection activeCell="L27" sqref="L27"/>
    </sheetView>
  </sheetViews>
  <sheetFormatPr baseColWidth="10" defaultRowHeight="16" x14ac:dyDescent="0.2"/>
  <cols>
    <col min="1" max="1" width="7.6640625" style="5" customWidth="1"/>
    <col min="2" max="2" width="47" style="5" customWidth="1"/>
    <col min="3" max="16384" width="10.83203125" style="5"/>
  </cols>
  <sheetData>
    <row r="3" spans="2:8" ht="20" x14ac:dyDescent="0.2">
      <c r="B3" s="31" t="str">
        <f>name</f>
        <v>Compagny Incognito, by eliediwambuena</v>
      </c>
    </row>
    <row r="4" spans="2:8" x14ac:dyDescent="0.2">
      <c r="B4" s="80"/>
    </row>
    <row r="5" spans="2:8" x14ac:dyDescent="0.2">
      <c r="B5" s="81"/>
    </row>
    <row r="6" spans="2:8" ht="18" x14ac:dyDescent="0.2">
      <c r="B6" s="81"/>
      <c r="C6" s="92" t="str">
        <f>IF(actual=TRUE, "Revenues and Spending Variances", "Activty Variances")</f>
        <v>Activty Variances</v>
      </c>
      <c r="D6" s="92"/>
      <c r="E6" s="92"/>
      <c r="F6" s="92"/>
      <c r="G6" s="92"/>
      <c r="H6" s="92"/>
    </row>
    <row r="7" spans="2:8" ht="20" x14ac:dyDescent="0.2">
      <c r="B7" s="31" t="s">
        <v>214</v>
      </c>
      <c r="C7" s="89">
        <v>1</v>
      </c>
      <c r="D7" s="89">
        <v>2</v>
      </c>
      <c r="E7" s="89">
        <v>3</v>
      </c>
      <c r="F7" s="89">
        <v>4</v>
      </c>
      <c r="G7" s="89">
        <v>5</v>
      </c>
      <c r="H7" s="89">
        <v>6</v>
      </c>
    </row>
    <row r="8" spans="2:8" x14ac:dyDescent="0.2">
      <c r="B8" s="1" t="s">
        <v>127</v>
      </c>
      <c r="C8" s="73">
        <f>'Proj. SGA &amp; PL &amp; BS'!C58-'Act. SGA &amp; PL &amp; BS '!C58</f>
        <v>0</v>
      </c>
      <c r="D8" s="73">
        <f>'Proj. SGA &amp; PL &amp; BS'!D58-'Act. SGA &amp; PL &amp; BS '!D58</f>
        <v>0</v>
      </c>
      <c r="E8" s="73">
        <f>'Proj. SGA &amp; PL &amp; BS'!E58-'Act. SGA &amp; PL &amp; BS '!E58</f>
        <v>0.25200000000000244</v>
      </c>
      <c r="F8" s="73">
        <f>'Proj. SGA &amp; PL &amp; BS'!F58-'Act. SGA &amp; PL &amp; BS '!F58</f>
        <v>0.78876000000000346</v>
      </c>
      <c r="G8" s="73">
        <f>'Proj. SGA &amp; PL &amp; BS'!G58-'Act. SGA &amp; PL &amp; BS '!G58</f>
        <v>1.3680828000000034</v>
      </c>
      <c r="H8" s="73">
        <f>'Proj. SGA &amp; PL &amp; BS'!H58-'Act. SGA &amp; PL &amp; BS '!H58</f>
        <v>1.9925682840000007</v>
      </c>
    </row>
    <row r="9" spans="2:8" x14ac:dyDescent="0.2">
      <c r="B9" s="1" t="s">
        <v>159</v>
      </c>
      <c r="C9" s="73">
        <f>'Proj. SGA &amp; PL &amp; BS'!C59-'Act. SGA &amp; PL &amp; BS '!C59</f>
        <v>0</v>
      </c>
      <c r="D9" s="73">
        <f>'Proj. SGA &amp; PL &amp; BS'!D59-'Act. SGA &amp; PL &amp; BS '!D59</f>
        <v>0</v>
      </c>
      <c r="E9" s="73">
        <f>'Proj. SGA &amp; PL &amp; BS'!E59-'Act. SGA &amp; PL &amp; BS '!E59</f>
        <v>-3.149999999999941E-6</v>
      </c>
      <c r="F9" s="73">
        <f>'Proj. SGA &amp; PL &amp; BS'!F59-'Act. SGA &amp; PL &amp; BS '!F59</f>
        <v>-9.8595000000000366E-6</v>
      </c>
      <c r="G9" s="73">
        <f>'Proj. SGA &amp; PL &amp; BS'!G59-'Act. SGA &amp; PL &amp; BS '!G59</f>
        <v>-1.7101035000000075E-5</v>
      </c>
      <c r="H9" s="73">
        <f>'Proj. SGA &amp; PL &amp; BS'!H59-'Act. SGA &amp; PL &amp; BS '!H59</f>
        <v>-2.4907103549999966E-5</v>
      </c>
    </row>
    <row r="10" spans="2:8" x14ac:dyDescent="0.2">
      <c r="B10" s="3" t="s">
        <v>160</v>
      </c>
      <c r="C10" s="73">
        <f>'Proj. SGA &amp; PL &amp; BS'!C60-'Act. SGA &amp; PL &amp; BS '!C60</f>
        <v>0</v>
      </c>
      <c r="D10" s="73">
        <f>'Proj. SGA &amp; PL &amp; BS'!D60-'Act. SGA &amp; PL &amp; BS '!D60</f>
        <v>0</v>
      </c>
      <c r="E10" s="73">
        <f>'Proj. SGA &amp; PL &amp; BS'!E60-'Act. SGA &amp; PL &amp; BS '!E60</f>
        <v>0.25200315000000373</v>
      </c>
      <c r="F10" s="73">
        <f>'Proj. SGA &amp; PL &amp; BS'!F60-'Act. SGA &amp; PL &amp; BS '!F60</f>
        <v>0.78876985950000744</v>
      </c>
      <c r="G10" s="73">
        <f>'Proj. SGA &amp; PL &amp; BS'!G60-'Act. SGA &amp; PL &amp; BS '!G60</f>
        <v>1.3680999010350021</v>
      </c>
      <c r="H10" s="73">
        <f>'Proj. SGA &amp; PL &amp; BS'!H60-'Act. SGA &amp; PL &amp; BS '!H60</f>
        <v>1.9925931911035519</v>
      </c>
    </row>
    <row r="11" spans="2:8" x14ac:dyDescent="0.2">
      <c r="B11" s="1" t="s">
        <v>128</v>
      </c>
      <c r="C11" s="73">
        <f>'Proj. SGA &amp; PL &amp; BS'!C61-'Act. SGA &amp; PL &amp; BS '!C61</f>
        <v>1.007200000000001</v>
      </c>
      <c r="D11" s="73">
        <f>'Proj. SGA &amp; PL &amp; BS'!D61-'Act. SGA &amp; PL &amp; BS '!D61</f>
        <v>-1.4699379499999985</v>
      </c>
      <c r="E11" s="73">
        <f>'Proj. SGA &amp; PL &amp; BS'!E61-'Act. SGA &amp; PL &amp; BS '!E61</f>
        <v>-1.4959855716463384</v>
      </c>
      <c r="F11" s="73">
        <f>'Proj. SGA &amp; PL &amp; BS'!F61-'Act. SGA &amp; PL &amp; BS '!F61</f>
        <v>-1.2849286003554923</v>
      </c>
      <c r="G11" s="73">
        <f>'Proj. SGA &amp; PL &amp; BS'!G61-'Act. SGA &amp; PL &amp; BS '!G61</f>
        <v>-1.212766673638038</v>
      </c>
      <c r="H11" s="73">
        <f>'Proj. SGA &amp; PL &amp; BS'!H61-'Act. SGA &amp; PL &amp; BS '!H61</f>
        <v>-1.1310919648460889</v>
      </c>
    </row>
    <row r="12" spans="2:8" x14ac:dyDescent="0.2">
      <c r="B12" s="1" t="s">
        <v>157</v>
      </c>
      <c r="C12" s="73">
        <f>'Proj. SGA &amp; PL &amp; BS'!C62-'Act. SGA &amp; PL &amp; BS '!C62</f>
        <v>0</v>
      </c>
      <c r="D12" s="73">
        <f>'Proj. SGA &amp; PL &amp; BS'!D62-'Act. SGA &amp; PL &amp; BS '!D62</f>
        <v>0.29999999999999982</v>
      </c>
      <c r="E12" s="73">
        <f>'Proj. SGA &amp; PL &amp; BS'!E62-'Act. SGA &amp; PL &amp; BS '!E62</f>
        <v>0.59999999999999964</v>
      </c>
      <c r="F12" s="73">
        <f>'Proj. SGA &amp; PL &amp; BS'!F62-'Act. SGA &amp; PL &amp; BS '!F62</f>
        <v>0.90000000000000036</v>
      </c>
      <c r="G12" s="73">
        <f>'Proj. SGA &amp; PL &amp; BS'!G62-'Act. SGA &amp; PL &amp; BS '!G62</f>
        <v>1.2000000000000002</v>
      </c>
      <c r="H12" s="73">
        <f>'Proj. SGA &amp; PL &amp; BS'!H62-'Act. SGA &amp; PL &amp; BS '!H62</f>
        <v>1.5</v>
      </c>
    </row>
    <row r="13" spans="2:8" x14ac:dyDescent="0.2">
      <c r="B13" s="1" t="s">
        <v>158</v>
      </c>
      <c r="C13" s="73">
        <f>'Proj. SGA &amp; PL &amp; BS'!C63-'Act. SGA &amp; PL &amp; BS '!C63</f>
        <v>0</v>
      </c>
      <c r="D13" s="73">
        <f>'Proj. SGA &amp; PL &amp; BS'!D63-'Act. SGA &amp; PL &amp; BS '!D63</f>
        <v>0.15000000000000036</v>
      </c>
      <c r="E13" s="73">
        <f>'Proj. SGA &amp; PL &amp; BS'!E63-'Act. SGA &amp; PL &amp; BS '!E63</f>
        <v>0.26250000000000018</v>
      </c>
      <c r="F13" s="73">
        <f>'Proj. SGA &amp; PL &amp; BS'!F63-'Act. SGA &amp; PL &amp; BS '!F63</f>
        <v>0.48812500000000103</v>
      </c>
      <c r="G13" s="73">
        <f>'Proj. SGA &amp; PL &amp; BS'!G63-'Act. SGA &amp; PL &amp; BS '!G63</f>
        <v>0.67753125000000036</v>
      </c>
      <c r="H13" s="73">
        <f>'Proj. SGA &amp; PL &amp; BS'!H63-'Act. SGA &amp; PL &amp; BS '!H63</f>
        <v>0.88140781250000089</v>
      </c>
    </row>
    <row r="14" spans="2:8" x14ac:dyDescent="0.2">
      <c r="B14" s="3" t="s">
        <v>161</v>
      </c>
      <c r="C14" s="73">
        <f>'Proj. SGA &amp; PL &amp; BS'!C64-'Act. SGA &amp; PL &amp; BS '!C64</f>
        <v>-1.007200000000001</v>
      </c>
      <c r="D14" s="73">
        <f>'Proj. SGA &amp; PL &amp; BS'!D64-'Act. SGA &amp; PL &amp; BS '!D64</f>
        <v>1.0199379499999992</v>
      </c>
      <c r="E14" s="73">
        <f>'Proj. SGA &amp; PL &amp; BS'!E64-'Act. SGA &amp; PL &amp; BS '!E64</f>
        <v>0.88548872164634318</v>
      </c>
      <c r="F14" s="73">
        <f>'Proj. SGA &amp; PL &amp; BS'!F64-'Act. SGA &amp; PL &amp; BS '!F64</f>
        <v>0.685573459855501</v>
      </c>
      <c r="G14" s="73">
        <f>'Proj. SGA &amp; PL &amp; BS'!G64-'Act. SGA &amp; PL &amp; BS '!G64</f>
        <v>0.70333532467303783</v>
      </c>
      <c r="H14" s="73">
        <f>'Proj. SGA &amp; PL &amp; BS'!H64-'Act. SGA &amp; PL &amp; BS '!H64</f>
        <v>0.74227734344963636</v>
      </c>
    </row>
    <row r="15" spans="2:8" x14ac:dyDescent="0.2">
      <c r="B15" s="1" t="s">
        <v>129</v>
      </c>
      <c r="C15" s="73">
        <f>'Proj. SGA &amp; PL &amp; BS'!C65-'Act. SGA &amp; PL &amp; BS '!C65</f>
        <v>-1.007200000000001</v>
      </c>
      <c r="D15" s="73">
        <f>'Proj. SGA &amp; PL &amp; BS'!D65-'Act. SGA &amp; PL &amp; BS '!D65</f>
        <v>1.4699379499999985</v>
      </c>
      <c r="E15" s="73">
        <f>'Proj. SGA &amp; PL &amp; BS'!E65-'Act. SGA &amp; PL &amp; BS '!E65</f>
        <v>1.7479887216463439</v>
      </c>
      <c r="F15" s="73">
        <f>'Proj. SGA &amp; PL &amp; BS'!F65-'Act. SGA &amp; PL &amp; BS '!F65</f>
        <v>2.0736984598554997</v>
      </c>
      <c r="G15" s="73">
        <f>'Proj. SGA &amp; PL &amp; BS'!G65-'Act. SGA &amp; PL &amp; BS '!G65</f>
        <v>2.5808665746730419</v>
      </c>
      <c r="H15" s="73">
        <f>'Proj. SGA &amp; PL &amp; BS'!H65-'Act. SGA &amp; PL &amp; BS '!H65</f>
        <v>3.1236851559496372</v>
      </c>
    </row>
    <row r="16" spans="2:8" x14ac:dyDescent="0.2">
      <c r="B16" s="1" t="s">
        <v>162</v>
      </c>
      <c r="C16" s="73">
        <f>'Proj. SGA &amp; PL &amp; BS'!C66-'Act. SGA &amp; PL &amp; BS '!C66</f>
        <v>0</v>
      </c>
      <c r="D16" s="73">
        <f>'Proj. SGA &amp; PL &amp; BS'!D66-'Act. SGA &amp; PL &amp; BS '!D66</f>
        <v>0</v>
      </c>
      <c r="E16" s="73">
        <f>'Proj. SGA &amp; PL &amp; BS'!E66-'Act. SGA &amp; PL &amp; BS '!E66</f>
        <v>0</v>
      </c>
      <c r="F16" s="73">
        <f>'Proj. SGA &amp; PL &amp; BS'!F66-'Act. SGA &amp; PL &amp; BS '!F66</f>
        <v>0</v>
      </c>
      <c r="G16" s="73">
        <f>'Proj. SGA &amp; PL &amp; BS'!G66-'Act. SGA &amp; PL &amp; BS '!G66</f>
        <v>0</v>
      </c>
      <c r="H16" s="73">
        <f>'Proj. SGA &amp; PL &amp; BS'!H66-'Act. SGA &amp; PL &amp; BS '!H66</f>
        <v>0</v>
      </c>
    </row>
    <row r="17" spans="2:8" x14ac:dyDescent="0.2">
      <c r="B17" s="1" t="s">
        <v>163</v>
      </c>
      <c r="C17" s="73">
        <f>'Proj. SGA &amp; PL &amp; BS'!C67-'Act. SGA &amp; PL &amp; BS '!C67</f>
        <v>0</v>
      </c>
      <c r="D17" s="73">
        <f>'Proj. SGA &amp; PL &amp; BS'!D67-'Act. SGA &amp; PL &amp; BS '!D67</f>
        <v>0</v>
      </c>
      <c r="E17" s="73">
        <f>'Proj. SGA &amp; PL &amp; BS'!E67-'Act. SGA &amp; PL &amp; BS '!E67</f>
        <v>0</v>
      </c>
      <c r="F17" s="73">
        <f>'Proj. SGA &amp; PL &amp; BS'!F67-'Act. SGA &amp; PL &amp; BS '!F67</f>
        <v>0</v>
      </c>
      <c r="G17" s="73">
        <f>'Proj. SGA &amp; PL &amp; BS'!G67-'Act. SGA &amp; PL &amp; BS '!G67</f>
        <v>0</v>
      </c>
      <c r="H17" s="73">
        <f>'Proj. SGA &amp; PL &amp; BS'!H67-'Act. SGA &amp; PL &amp; BS '!H67</f>
        <v>0</v>
      </c>
    </row>
    <row r="18" spans="2:8" x14ac:dyDescent="0.2">
      <c r="B18" s="1" t="s">
        <v>164</v>
      </c>
      <c r="C18" s="73">
        <f>'Proj. SGA &amp; PL &amp; BS'!C68-'Act. SGA &amp; PL &amp; BS '!C68</f>
        <v>-1.007200000000001</v>
      </c>
      <c r="D18" s="73">
        <f>'Proj. SGA &amp; PL &amp; BS'!D68-'Act. SGA &amp; PL &amp; BS '!D68</f>
        <v>1.0199379499999992</v>
      </c>
      <c r="E18" s="73">
        <f>'Proj. SGA &amp; PL &amp; BS'!E68-'Act. SGA &amp; PL &amp; BS '!E68</f>
        <v>0.88548872164634318</v>
      </c>
      <c r="F18" s="73">
        <f>'Proj. SGA &amp; PL &amp; BS'!F68-'Act. SGA &amp; PL &amp; BS '!F68</f>
        <v>0.685573459855501</v>
      </c>
      <c r="G18" s="73">
        <f>'Proj. SGA &amp; PL &amp; BS'!G68-'Act. SGA &amp; PL &amp; BS '!G68</f>
        <v>0.70333532467303783</v>
      </c>
      <c r="H18" s="73">
        <f>'Proj. SGA &amp; PL &amp; BS'!H68-'Act. SGA &amp; PL &amp; BS '!H68</f>
        <v>0.74227734344963636</v>
      </c>
    </row>
    <row r="19" spans="2:8" x14ac:dyDescent="0.2">
      <c r="B19" s="1"/>
      <c r="C19" s="73"/>
      <c r="D19" s="73"/>
      <c r="E19" s="73"/>
      <c r="F19" s="73"/>
      <c r="G19" s="73"/>
      <c r="H19" s="73"/>
    </row>
    <row r="20" spans="2:8" x14ac:dyDescent="0.2">
      <c r="B20" s="1" t="s">
        <v>130</v>
      </c>
      <c r="C20" s="73">
        <f>'Proj. SGA &amp; PL &amp; BS'!C70-'Act. SGA &amp; PL &amp; BS '!C70</f>
        <v>0</v>
      </c>
      <c r="D20" s="73">
        <f>'Proj. SGA &amp; PL &amp; BS'!D70-'Act. SGA &amp; PL &amp; BS '!D70</f>
        <v>0.44999999999999929</v>
      </c>
      <c r="E20" s="73">
        <f>'Proj. SGA &amp; PL &amp; BS'!E70-'Act. SGA &amp; PL &amp; BS '!E70</f>
        <v>0.86249999999999893</v>
      </c>
      <c r="F20" s="73">
        <f>'Proj. SGA &amp; PL &amp; BS'!F70-'Act. SGA &amp; PL &amp; BS '!F70</f>
        <v>1.3881250000000023</v>
      </c>
      <c r="G20" s="73">
        <f>'Proj. SGA &amp; PL &amp; BS'!G70-'Act. SGA &amp; PL &amp; BS '!G70</f>
        <v>1.8775312500000005</v>
      </c>
      <c r="H20" s="73">
        <f>'Proj. SGA &amp; PL &amp; BS'!H70-'Act. SGA &amp; PL &amp; BS '!H70</f>
        <v>2.3814078125000009</v>
      </c>
    </row>
    <row r="21" spans="2:8" x14ac:dyDescent="0.2">
      <c r="B21" s="1" t="s">
        <v>131</v>
      </c>
      <c r="C21" s="73">
        <f>'Proj. SGA &amp; PL &amp; BS'!C71-'Act. SGA &amp; PL &amp; BS '!C71</f>
        <v>-1.007200000000001</v>
      </c>
      <c r="D21" s="73">
        <f>'Proj. SGA &amp; PL &amp; BS'!D71-'Act. SGA &amp; PL &amp; BS '!D71</f>
        <v>1.0199379499999992</v>
      </c>
      <c r="E21" s="73">
        <f>'Proj. SGA &amp; PL &amp; BS'!E71-'Act. SGA &amp; PL &amp; BS '!E71</f>
        <v>0.88548872164634496</v>
      </c>
      <c r="F21" s="73">
        <f>'Proj. SGA &amp; PL &amp; BS'!F71-'Act. SGA &amp; PL &amp; BS '!F71</f>
        <v>0.68557345985549745</v>
      </c>
      <c r="G21" s="73">
        <f>'Proj. SGA &amp; PL &amp; BS'!G71-'Act. SGA &amp; PL &amp; BS '!G71</f>
        <v>0.70333532467304138</v>
      </c>
      <c r="H21" s="73">
        <f>'Proj. SGA &amp; PL &amp; BS'!H71-'Act. SGA &amp; PL &amp; BS '!H71</f>
        <v>0.74227734344963636</v>
      </c>
    </row>
    <row r="22" spans="2:8" x14ac:dyDescent="0.2">
      <c r="B22" s="1"/>
      <c r="C22" s="73"/>
      <c r="D22" s="73"/>
      <c r="E22" s="73"/>
      <c r="F22" s="73"/>
      <c r="G22" s="73"/>
      <c r="H22" s="73"/>
    </row>
    <row r="23" spans="2:8" x14ac:dyDescent="0.2">
      <c r="B23" s="1" t="s">
        <v>132</v>
      </c>
      <c r="C23" s="73">
        <f>'Proj. SGA &amp; PL &amp; BS'!C73-'Act. SGA &amp; PL &amp; BS '!C73</f>
        <v>0</v>
      </c>
      <c r="D23" s="73">
        <f>'Proj. SGA &amp; PL &amp; BS'!D73-'Act. SGA &amp; PL &amp; BS '!D73</f>
        <v>0</v>
      </c>
      <c r="E23" s="73">
        <f>'Proj. SGA &amp; PL &amp; BS'!E73-'Act. SGA &amp; PL &amp; BS '!E73</f>
        <v>0</v>
      </c>
      <c r="F23" s="73">
        <f>'Proj. SGA &amp; PL &amp; BS'!F73-'Act. SGA &amp; PL &amp; BS '!F73</f>
        <v>0</v>
      </c>
      <c r="G23" s="73">
        <f>'Proj. SGA &amp; PL &amp; BS'!G73-'Act. SGA &amp; PL &amp; BS '!G73</f>
        <v>0</v>
      </c>
      <c r="H23" s="73">
        <f>'Proj. SGA &amp; PL &amp; BS'!H73-'Act. SGA &amp; PL &amp; BS '!H73</f>
        <v>0</v>
      </c>
    </row>
    <row r="24" spans="2:8" x14ac:dyDescent="0.2">
      <c r="B24" s="1" t="s">
        <v>133</v>
      </c>
      <c r="C24" s="73">
        <f>'Proj. SGA &amp; PL &amp; BS'!C74-'Act. SGA &amp; PL &amp; BS '!C74</f>
        <v>-1.007200000000001</v>
      </c>
      <c r="D24" s="73">
        <f>'Proj. SGA &amp; PL &amp; BS'!D74-'Act. SGA &amp; PL &amp; BS '!D74</f>
        <v>1.0199379499999992</v>
      </c>
      <c r="E24" s="73">
        <f>'Proj. SGA &amp; PL &amp; BS'!E74-'Act. SGA &amp; PL &amp; BS '!E74</f>
        <v>0.88548872164634496</v>
      </c>
      <c r="F24" s="73">
        <f>'Proj. SGA &amp; PL &amp; BS'!F74-'Act. SGA &amp; PL &amp; BS '!F74</f>
        <v>0.68557345985549745</v>
      </c>
      <c r="G24" s="73">
        <f>'Proj. SGA &amp; PL &amp; BS'!G74-'Act. SGA &amp; PL &amp; BS '!G74</f>
        <v>0.70333532467304138</v>
      </c>
      <c r="H24" s="73">
        <f>'Proj. SGA &amp; PL &amp; BS'!H74-'Act. SGA &amp; PL &amp; BS '!H74</f>
        <v>0.74227734344963636</v>
      </c>
    </row>
    <row r="25" spans="2:8" x14ac:dyDescent="0.2">
      <c r="B25" s="1"/>
      <c r="C25" s="73">
        <f>'Proj. SGA &amp; PL &amp; BS'!C75-'Act. SGA &amp; PL &amp; BS '!C75</f>
        <v>0</v>
      </c>
      <c r="D25" s="73">
        <f>'Proj. SGA &amp; PL &amp; BS'!D75-'Act. SGA &amp; PL &amp; BS '!D75</f>
        <v>0</v>
      </c>
      <c r="E25" s="73">
        <f>'Proj. SGA &amp; PL &amp; BS'!E75-'Act. SGA &amp; PL &amp; BS '!E75</f>
        <v>0</v>
      </c>
      <c r="F25" s="73">
        <f>'Proj. SGA &amp; PL &amp; BS'!F75-'Act. SGA &amp; PL &amp; BS '!F75</f>
        <v>0</v>
      </c>
      <c r="G25" s="73">
        <f>'Proj. SGA &amp; PL &amp; BS'!G75-'Act. SGA &amp; PL &amp; BS '!G75</f>
        <v>0</v>
      </c>
      <c r="H25" s="73">
        <f>'Proj. SGA &amp; PL &amp; BS'!H75-'Act. SGA &amp; PL &amp; BS '!H75</f>
        <v>0</v>
      </c>
    </row>
    <row r="26" spans="2:8" x14ac:dyDescent="0.2">
      <c r="B26" s="1" t="s">
        <v>134</v>
      </c>
      <c r="C26" s="73">
        <f>'Proj. SGA &amp; PL &amp; BS'!C76-'Act. SGA &amp; PL &amp; BS '!C76</f>
        <v>0.25180000000000025</v>
      </c>
      <c r="D26" s="73">
        <f>'Proj. SGA &amp; PL &amp; BS'!D76-'Act. SGA &amp; PL &amp; BS '!D76</f>
        <v>-0.2549844874999998</v>
      </c>
      <c r="E26" s="73">
        <f>'Proj. SGA &amp; PL &amp; BS'!E76-'Act. SGA &amp; PL &amp; BS '!E76</f>
        <v>-0.22137218041158624</v>
      </c>
      <c r="F26" s="73">
        <f>'Proj. SGA &amp; PL &amp; BS'!F76-'Act. SGA &amp; PL &amp; BS '!F76</f>
        <v>-0.17139336496387436</v>
      </c>
      <c r="G26" s="73">
        <f>'Proj. SGA &amp; PL &amp; BS'!G76-'Act. SGA &amp; PL &amp; BS '!G76</f>
        <v>-0.17583383116826035</v>
      </c>
      <c r="H26" s="73">
        <f>'Proj. SGA &amp; PL &amp; BS'!H76-'Act. SGA &amp; PL &amp; BS '!H76</f>
        <v>-0.18556933586240909</v>
      </c>
    </row>
    <row r="27" spans="2:8" x14ac:dyDescent="0.2">
      <c r="B27" s="1" t="s">
        <v>135</v>
      </c>
      <c r="C27" s="73">
        <f>'Proj. SGA &amp; PL &amp; BS'!C77-'Act. SGA &amp; PL &amp; BS '!C77</f>
        <v>-0.75539999999999985</v>
      </c>
      <c r="D27" s="73">
        <f>'Proj. SGA &amp; PL &amp; BS'!D77-'Act. SGA &amp; PL &amp; BS '!D77</f>
        <v>0.7649534624999994</v>
      </c>
      <c r="E27" s="73">
        <f>'Proj. SGA &amp; PL &amp; BS'!E77-'Act. SGA &amp; PL &amp; BS '!E77</f>
        <v>0.66411654123475916</v>
      </c>
      <c r="F27" s="73">
        <f>'Proj. SGA &amp; PL &amp; BS'!F77-'Act. SGA &amp; PL &amp; BS '!F77</f>
        <v>0.51418009489162309</v>
      </c>
      <c r="G27" s="73">
        <f>'Proj. SGA &amp; PL &amp; BS'!G77-'Act. SGA &amp; PL &amp; BS '!G77</f>
        <v>0.52750149350478104</v>
      </c>
      <c r="H27" s="73">
        <f>'Proj. SGA &amp; PL &amp; BS'!H77-'Act. SGA &amp; PL &amp; BS '!H77</f>
        <v>0.55670800758722727</v>
      </c>
    </row>
    <row r="28" spans="2:8" x14ac:dyDescent="0.2">
      <c r="C28" s="73"/>
      <c r="D28" s="73"/>
      <c r="E28" s="73"/>
      <c r="F28" s="73"/>
      <c r="G28" s="73"/>
      <c r="H28" s="73"/>
    </row>
    <row r="29" spans="2:8" x14ac:dyDescent="0.2">
      <c r="B29" s="1"/>
      <c r="C29" s="73"/>
      <c r="D29" s="73"/>
      <c r="E29" s="73"/>
      <c r="F29" s="73"/>
      <c r="G29" s="73"/>
      <c r="H29" s="73"/>
    </row>
    <row r="30" spans="2:8" x14ac:dyDescent="0.2">
      <c r="B30" s="1"/>
      <c r="C30" s="73"/>
      <c r="D30" s="73"/>
      <c r="E30" s="73"/>
      <c r="F30" s="73"/>
      <c r="G30" s="73"/>
      <c r="H30" s="73"/>
    </row>
    <row r="31" spans="2:8" x14ac:dyDescent="0.2">
      <c r="B31" s="1"/>
      <c r="C31" s="73"/>
      <c r="D31" s="73"/>
      <c r="E31" s="73"/>
      <c r="F31" s="73"/>
      <c r="G31" s="73"/>
      <c r="H31" s="73"/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1"/>
      <c r="C33" s="73"/>
      <c r="D33" s="73"/>
      <c r="E33" s="73"/>
      <c r="F33" s="73"/>
      <c r="G33" s="73"/>
      <c r="H33" s="73"/>
    </row>
    <row r="34" spans="2:8" x14ac:dyDescent="0.2">
      <c r="C34" s="73"/>
      <c r="D34" s="73"/>
      <c r="E34" s="73"/>
      <c r="F34" s="73"/>
      <c r="G34" s="73"/>
      <c r="H34" s="73"/>
    </row>
    <row r="35" spans="2:8" x14ac:dyDescent="0.2">
      <c r="B35" s="1"/>
      <c r="C35" s="73"/>
      <c r="D35" s="73"/>
      <c r="E35" s="73"/>
      <c r="F35" s="73"/>
      <c r="G35" s="73"/>
      <c r="H35" s="73"/>
    </row>
  </sheetData>
  <sheetProtection selectLockedCells="1"/>
  <mergeCells count="1">
    <mergeCell ref="C6:H6"/>
  </mergeCells>
  <conditionalFormatting sqref="C8:H3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Assumptions</vt:lpstr>
      <vt:lpstr>Realisation</vt:lpstr>
      <vt:lpstr>Proj. Sales &amp; Prod</vt:lpstr>
      <vt:lpstr>Proj. RM &amp; DL &amp; FG</vt:lpstr>
      <vt:lpstr>Proj. SGA &amp; PL &amp; BS</vt:lpstr>
      <vt:lpstr>Proj. Dash</vt:lpstr>
      <vt:lpstr>Act. Sales &amp; Prod </vt:lpstr>
      <vt:lpstr>Act. RM &amp; DL &amp; FG</vt:lpstr>
      <vt:lpstr>Act. SGA &amp; PL &amp; BS </vt:lpstr>
      <vt:lpstr>Variance analysis</vt:lpstr>
      <vt:lpstr>'Act. Sales &amp; Prod '!actual</vt:lpstr>
      <vt:lpstr>actual</vt:lpstr>
      <vt:lpstr>name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Diwambuena, Elie</cp:lastModifiedBy>
  <cp:revision/>
  <dcterms:created xsi:type="dcterms:W3CDTF">2019-11-02T14:11:00Z</dcterms:created>
  <dcterms:modified xsi:type="dcterms:W3CDTF">2024-06-16T22:45:19Z</dcterms:modified>
  <cp:category/>
  <cp:contentStatus/>
</cp:coreProperties>
</file>