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Monterey_Project/Monterey Writing/EPSL/EPSL Supp Tables/"/>
    </mc:Choice>
  </mc:AlternateContent>
  <xr:revisionPtr revIDLastSave="0" documentId="13_ncr:1_{C3E6AD10-F4F7-4740-8DB9-2C2A0BFB61E7}" xr6:coauthVersionLast="47" xr6:coauthVersionMax="47" xr10:uidLastSave="{00000000-0000-0000-0000-000000000000}"/>
  <bookViews>
    <workbookView xWindow="0" yWindow="500" windowWidth="28800" windowHeight="16460" activeTab="2" xr2:uid="{A706147A-B0EC-9343-807E-3184F42DE081}"/>
  </bookViews>
  <sheets>
    <sheet name="Hondo" sheetId="4" r:id="rId1"/>
    <sheet name="Tajiguas" sheetId="3" r:id="rId2"/>
    <sheet name="El Capitan" sheetId="2" r:id="rId3"/>
    <sheet name="Naples " sheetId="1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3" i="3"/>
  <c r="P3" i="4"/>
  <c r="T3" i="4"/>
  <c r="X3" i="4"/>
  <c r="G2" i="3"/>
  <c r="X2" i="4"/>
  <c r="T2" i="4"/>
  <c r="P2" i="4"/>
  <c r="X6" i="3"/>
  <c r="T6" i="3"/>
  <c r="P6" i="3"/>
  <c r="X13" i="2"/>
  <c r="X12" i="2"/>
  <c r="X11" i="2"/>
  <c r="X10" i="2"/>
  <c r="X9" i="2"/>
  <c r="X8" i="2"/>
  <c r="X7" i="2"/>
  <c r="X4" i="2"/>
  <c r="X3" i="2"/>
  <c r="X2" i="2"/>
  <c r="T13" i="2"/>
  <c r="T12" i="2"/>
  <c r="T11" i="2"/>
  <c r="T10" i="2"/>
  <c r="T9" i="2"/>
  <c r="T8" i="2"/>
  <c r="T7" i="2"/>
  <c r="T4" i="2"/>
  <c r="T3" i="2"/>
  <c r="T2" i="2"/>
  <c r="P13" i="2"/>
  <c r="P12" i="2"/>
  <c r="P11" i="2"/>
  <c r="P10" i="2"/>
  <c r="P9" i="2"/>
  <c r="P8" i="2"/>
  <c r="P7" i="2"/>
  <c r="P4" i="2"/>
  <c r="P3" i="2"/>
  <c r="P2" i="2"/>
  <c r="V5" i="1"/>
  <c r="V2" i="1"/>
  <c r="R5" i="1"/>
  <c r="R2" i="1"/>
  <c r="N5" i="1"/>
  <c r="N2" i="1"/>
  <c r="G9" i="2"/>
  <c r="G4" i="3"/>
  <c r="G6" i="3"/>
  <c r="G2" i="1"/>
</calcChain>
</file>

<file path=xl/sharedStrings.xml><?xml version="1.0" encoding="utf-8"?>
<sst xmlns="http://schemas.openxmlformats.org/spreadsheetml/2006/main" count="174" uniqueCount="66">
  <si>
    <t>Latitude</t>
  </si>
  <si>
    <t>Longitude</t>
  </si>
  <si>
    <t>EA1902-16.6</t>
  </si>
  <si>
    <t>Naples</t>
  </si>
  <si>
    <t>EA1902-12.34</t>
  </si>
  <si>
    <t>EA1902-12.0</t>
  </si>
  <si>
    <t>EA1902-11.73</t>
  </si>
  <si>
    <t>EA1902-9.2</t>
  </si>
  <si>
    <t>F1916_24.9</t>
  </si>
  <si>
    <t>M1806</t>
  </si>
  <si>
    <t>M1805</t>
  </si>
  <si>
    <t>M1808</t>
  </si>
  <si>
    <t>M1804_6.5</t>
  </si>
  <si>
    <t>Reference Section</t>
  </si>
  <si>
    <t>number of grains in weighted mean</t>
  </si>
  <si>
    <t>TIMS Bayesian model uncertainty (+), uniform distribution</t>
  </si>
  <si>
    <t xml:space="preserve">TIMS Bayesian model uncertainty (-), MELTS distribution </t>
  </si>
  <si>
    <t>TIMS Bayesian model uncertainty (+), MELTS distribution</t>
  </si>
  <si>
    <t>TIMS Bayesian model uncertainty (+), half normal distribution</t>
  </si>
  <si>
    <t>TIMS Bayesian model uncertainty (-), half normal distribution</t>
  </si>
  <si>
    <t>Sample Name</t>
  </si>
  <si>
    <t>EAGC2010</t>
  </si>
  <si>
    <t xml:space="preserve">El Capitan </t>
  </si>
  <si>
    <t>EAGC2012</t>
  </si>
  <si>
    <t>EAGC2011</t>
  </si>
  <si>
    <t>EAGC2003</t>
  </si>
  <si>
    <t>EAGC2006</t>
  </si>
  <si>
    <t>EAGC2008</t>
  </si>
  <si>
    <t>F1917-33.7</t>
  </si>
  <si>
    <t>F1917_13.4</t>
  </si>
  <si>
    <t>F1917_8.2</t>
  </si>
  <si>
    <t>F1917_0.7</t>
  </si>
  <si>
    <t>EAGC2009</t>
  </si>
  <si>
    <t>EAGC2001</t>
  </si>
  <si>
    <t>EAGC2002</t>
  </si>
  <si>
    <t xml:space="preserve"> </t>
  </si>
  <si>
    <t>-</t>
  </si>
  <si>
    <t>EAGC2103</t>
  </si>
  <si>
    <t>Tajiguas</t>
  </si>
  <si>
    <t>EAGC2107</t>
  </si>
  <si>
    <t>EAGC2014</t>
  </si>
  <si>
    <t>EAGC2013</t>
  </si>
  <si>
    <t>EAGC2016</t>
  </si>
  <si>
    <t>F1915_7.2</t>
  </si>
  <si>
    <t>Hondo</t>
  </si>
  <si>
    <t>F1914_3.6</t>
  </si>
  <si>
    <t>Sample Height (m)</t>
  </si>
  <si>
    <t>LA-ICPMS weighted mean age (Ma)</t>
  </si>
  <si>
    <t>TIMS Bayesian model uncertainty (-), uniform  distribution</t>
  </si>
  <si>
    <t>TIMS weighted mean age (Ma)</t>
  </si>
  <si>
    <t>TIMS Bayesian model age (Ma), uniform  distribution</t>
  </si>
  <si>
    <t>TIMS Bayesian model age (Ma), MELTS distribution</t>
  </si>
  <si>
    <t>LA-ICPMS weighted mean uncertainty (2sigma)</t>
  </si>
  <si>
    <t>TIMS weighted mean uncertainty (2 sigma)</t>
  </si>
  <si>
    <t>TIMS Bayesian model age (Ma), half normal distribution</t>
  </si>
  <si>
    <t>TIMS youngest grain age (Ma)</t>
  </si>
  <si>
    <t>TIMS youngest grain uncertainty (2 sigma)</t>
  </si>
  <si>
    <t>TIMS Bayesian model 2sigma uncertainty, uniform distribution</t>
  </si>
  <si>
    <t>TIMS Bayesian model 2sigma uncertainty, MELTS distribution</t>
  </si>
  <si>
    <t>TIMS Bayesian model 2sigma uncertainty, half normal distribution</t>
  </si>
  <si>
    <t>M1801-0.73</t>
  </si>
  <si>
    <t>EA1902-11.55</t>
  </si>
  <si>
    <t>11.79*</t>
  </si>
  <si>
    <t>*MDA, as likely inherited; conforms to a single population but only youngest grain within population is stratigraphically consistent, with error, with neighboring age</t>
  </si>
  <si>
    <t>12.571**</t>
  </si>
  <si>
    <t>**TIMS MDA, possibly did not capture youngest population reflected in laser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</si>
</sst>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64" fontId="4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7113-CE40-EA4F-BD1B-7ECDC07E998E}">
  <dimension ref="A1:X11"/>
  <sheetViews>
    <sheetView topLeftCell="G1" workbookViewId="0">
      <selection activeCell="A2" sqref="A2:XFD2"/>
    </sheetView>
  </sheetViews>
  <sheetFormatPr baseColWidth="10" defaultRowHeight="16" x14ac:dyDescent="0.2"/>
  <cols>
    <col min="1" max="1" width="10.83203125" style="16"/>
    <col min="2" max="3" width="10.83203125" style="4"/>
    <col min="4" max="4" width="14.83203125" style="4" customWidth="1"/>
    <col min="5" max="5" width="20" style="4" customWidth="1"/>
    <col min="6" max="6" width="21.1640625" style="4" customWidth="1"/>
    <col min="7" max="7" width="22.1640625" style="4" customWidth="1"/>
    <col min="8" max="8" width="20" style="4" customWidth="1"/>
    <col min="9" max="10" width="16.83203125" style="3" customWidth="1"/>
    <col min="11" max="11" width="18.5" style="4" customWidth="1"/>
    <col min="12" max="12" width="19.1640625" style="4" customWidth="1"/>
    <col min="13" max="13" width="19.83203125" style="4" customWidth="1"/>
    <col min="14" max="14" width="23.83203125" style="4" customWidth="1"/>
    <col min="15" max="15" width="23.5" style="4" customWidth="1"/>
    <col min="16" max="16" width="25.6640625" style="4" customWidth="1"/>
    <col min="17" max="17" width="19.5" style="4" customWidth="1"/>
    <col min="18" max="18" width="22.6640625" style="4" customWidth="1"/>
    <col min="19" max="19" width="18.83203125" style="4" customWidth="1"/>
    <col min="20" max="20" width="18.1640625" style="4" customWidth="1"/>
    <col min="21" max="21" width="19.1640625" style="4" customWidth="1"/>
    <col min="22" max="22" width="20.83203125" style="4" customWidth="1"/>
    <col min="23" max="23" width="22" style="4" customWidth="1"/>
    <col min="24" max="24" width="19.6640625" style="4" customWidth="1"/>
    <col min="25" max="16384" width="10.83203125" style="4"/>
  </cols>
  <sheetData>
    <row r="1" spans="1:24" s="12" customFormat="1" ht="96" customHeight="1" x14ac:dyDescent="0.2">
      <c r="A1" s="12" t="s">
        <v>20</v>
      </c>
      <c r="B1" s="12" t="s">
        <v>0</v>
      </c>
      <c r="C1" s="12" t="s">
        <v>1</v>
      </c>
      <c r="D1" s="12" t="s">
        <v>13</v>
      </c>
      <c r="E1" s="12" t="s">
        <v>46</v>
      </c>
      <c r="F1" s="12" t="s">
        <v>47</v>
      </c>
      <c r="G1" s="12" t="s">
        <v>52</v>
      </c>
      <c r="H1" s="12" t="s">
        <v>14</v>
      </c>
      <c r="I1" s="12" t="s">
        <v>55</v>
      </c>
      <c r="J1" s="12" t="s">
        <v>56</v>
      </c>
      <c r="K1" s="12" t="s">
        <v>49</v>
      </c>
      <c r="L1" s="12" t="s">
        <v>53</v>
      </c>
      <c r="M1" s="12" t="s">
        <v>50</v>
      </c>
      <c r="N1" s="12" t="s">
        <v>15</v>
      </c>
      <c r="O1" s="12" t="s">
        <v>48</v>
      </c>
      <c r="P1" s="12" t="s">
        <v>57</v>
      </c>
      <c r="Q1" s="12" t="s">
        <v>51</v>
      </c>
      <c r="R1" s="12" t="s">
        <v>17</v>
      </c>
      <c r="S1" s="12" t="s">
        <v>16</v>
      </c>
      <c r="T1" s="12" t="s">
        <v>58</v>
      </c>
      <c r="U1" s="14" t="s">
        <v>54</v>
      </c>
      <c r="V1" s="14" t="s">
        <v>18</v>
      </c>
      <c r="W1" s="14" t="s">
        <v>19</v>
      </c>
      <c r="X1" s="14" t="s">
        <v>59</v>
      </c>
    </row>
    <row r="2" spans="1:24" x14ac:dyDescent="0.2">
      <c r="A2" s="16" t="s">
        <v>45</v>
      </c>
      <c r="B2" s="4">
        <v>34.473640000000003</v>
      </c>
      <c r="C2" s="4">
        <v>-120.14141600000001</v>
      </c>
      <c r="D2" s="4" t="s">
        <v>44</v>
      </c>
      <c r="E2" s="21">
        <v>8</v>
      </c>
      <c r="F2" s="20">
        <v>17.21</v>
      </c>
      <c r="G2" s="20">
        <v>0.34560000000000002</v>
      </c>
      <c r="H2" s="4">
        <v>9</v>
      </c>
      <c r="I2" s="26">
        <v>17.0712722616482</v>
      </c>
      <c r="J2" s="26">
        <v>0.1014778624165</v>
      </c>
      <c r="K2" s="19">
        <v>17.18</v>
      </c>
      <c r="L2" s="4">
        <v>5.1999999999999998E-2</v>
      </c>
      <c r="M2" s="29">
        <v>17.100000000000001</v>
      </c>
      <c r="N2" s="30">
        <v>0.11799999999999999</v>
      </c>
      <c r="O2" s="30">
        <v>0.14399999999999999</v>
      </c>
      <c r="P2" s="29">
        <f>2*0.066431377</f>
        <v>0.132862754</v>
      </c>
      <c r="Q2" s="4">
        <v>17.074000000000002</v>
      </c>
      <c r="R2" s="4">
        <v>0.13100000000000001</v>
      </c>
      <c r="S2" s="4">
        <v>0.17699999999999999</v>
      </c>
      <c r="T2" s="19">
        <f>2*0.0761950753422284</f>
        <v>0.1523901506844568</v>
      </c>
      <c r="U2" s="4">
        <v>17.145</v>
      </c>
      <c r="V2" s="19">
        <v>0.09</v>
      </c>
      <c r="W2" s="4">
        <v>0.115</v>
      </c>
      <c r="X2" s="19">
        <f>2*0.0551288030583664</f>
        <v>0.1102576061167328</v>
      </c>
    </row>
    <row r="3" spans="1:24" x14ac:dyDescent="0.2">
      <c r="A3" s="16" t="s">
        <v>43</v>
      </c>
      <c r="B3" s="4">
        <v>34.473641000000001</v>
      </c>
      <c r="C3" s="4">
        <v>-120.141378</v>
      </c>
      <c r="D3" s="4" t="s">
        <v>44</v>
      </c>
      <c r="E3" s="4">
        <v>15.1</v>
      </c>
      <c r="F3" s="20">
        <v>17.077000000000002</v>
      </c>
      <c r="G3" s="20">
        <v>0.34118000000000004</v>
      </c>
      <c r="H3" s="4">
        <v>40</v>
      </c>
      <c r="I3" s="27">
        <v>17.405393651161202</v>
      </c>
      <c r="J3" s="27">
        <v>1.7368209355509999E-2</v>
      </c>
      <c r="K3" s="19" t="s">
        <v>36</v>
      </c>
      <c r="L3" s="19" t="s">
        <v>36</v>
      </c>
      <c r="M3" s="4">
        <v>17.401</v>
      </c>
      <c r="N3" s="4">
        <v>8.9999999999999993E-3</v>
      </c>
      <c r="O3" s="4">
        <v>1.9E-2</v>
      </c>
      <c r="P3" s="19">
        <f>2*0.00838403</f>
        <v>1.6768060000000001E-2</v>
      </c>
      <c r="Q3" s="4">
        <v>17.401</v>
      </c>
      <c r="R3" s="4">
        <v>8.9999999999999993E-3</v>
      </c>
      <c r="S3" s="4">
        <v>1.9E-2</v>
      </c>
      <c r="T3" s="19">
        <f>2*0.0078543121502003</f>
        <v>1.5708624300400601E-2</v>
      </c>
      <c r="U3" s="4">
        <v>17.402999999999999</v>
      </c>
      <c r="V3" s="4">
        <v>8.0000000000000002E-3</v>
      </c>
      <c r="W3" s="4">
        <v>1.2999999999999999E-2</v>
      </c>
      <c r="X3" s="19">
        <f>2*0.00533805266589298</f>
        <v>1.067610533178596E-2</v>
      </c>
    </row>
    <row r="4" spans="1:24" x14ac:dyDescent="0.2">
      <c r="I4" s="26"/>
      <c r="J4" s="26"/>
    </row>
    <row r="5" spans="1:24" x14ac:dyDescent="0.2">
      <c r="I5" s="27"/>
      <c r="J5" s="27"/>
    </row>
    <row r="6" spans="1:24" x14ac:dyDescent="0.2">
      <c r="I6" s="26"/>
      <c r="J6" s="26"/>
    </row>
    <row r="7" spans="1:24" x14ac:dyDescent="0.2">
      <c r="I7" s="26"/>
      <c r="J7" s="26"/>
    </row>
    <row r="8" spans="1:24" x14ac:dyDescent="0.2">
      <c r="I8" s="25"/>
      <c r="J8" s="25"/>
    </row>
    <row r="9" spans="1:24" x14ac:dyDescent="0.2">
      <c r="I9" s="27"/>
      <c r="J9" s="27"/>
    </row>
    <row r="10" spans="1:24" x14ac:dyDescent="0.2">
      <c r="I10" s="26"/>
      <c r="J10" s="26"/>
    </row>
    <row r="11" spans="1:24" x14ac:dyDescent="0.2">
      <c r="I11" s="25"/>
      <c r="J1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B19A-A97B-3E47-BA1F-31772A475D82}">
  <dimension ref="A1:X10"/>
  <sheetViews>
    <sheetView workbookViewId="0">
      <selection activeCell="G10" sqref="G10"/>
    </sheetView>
  </sheetViews>
  <sheetFormatPr baseColWidth="10" defaultRowHeight="16" x14ac:dyDescent="0.2"/>
  <cols>
    <col min="1" max="1" width="15.1640625" style="3" customWidth="1"/>
    <col min="2" max="2" width="14.5" style="3" customWidth="1"/>
    <col min="3" max="3" width="13.33203125" style="3" customWidth="1"/>
    <col min="4" max="4" width="16.1640625" style="3" customWidth="1"/>
    <col min="5" max="5" width="15.1640625" style="3" customWidth="1"/>
    <col min="6" max="6" width="16.33203125" style="3" customWidth="1"/>
    <col min="7" max="7" width="18.33203125" style="3" customWidth="1"/>
    <col min="8" max="10" width="19.33203125" style="3" customWidth="1"/>
    <col min="11" max="11" width="18" style="3" customWidth="1"/>
    <col min="12" max="12" width="15.5" style="3" customWidth="1"/>
    <col min="13" max="13" width="16.83203125" style="3" customWidth="1"/>
    <col min="14" max="14" width="20.33203125" style="3" customWidth="1"/>
    <col min="15" max="15" width="20.83203125" style="3" customWidth="1"/>
    <col min="16" max="16" width="18.33203125" style="3" customWidth="1"/>
    <col min="17" max="17" width="17.5" style="3" customWidth="1"/>
    <col min="18" max="18" width="17.83203125" style="3" customWidth="1"/>
    <col min="19" max="19" width="16.1640625" style="3" customWidth="1"/>
    <col min="20" max="20" width="15" style="3" customWidth="1"/>
    <col min="21" max="21" width="16.5" style="3" customWidth="1"/>
    <col min="22" max="22" width="17.83203125" style="3" customWidth="1"/>
    <col min="23" max="23" width="15.6640625" style="3" customWidth="1"/>
    <col min="24" max="24" width="18.83203125" style="3" customWidth="1"/>
    <col min="25" max="16384" width="10.83203125" style="3"/>
  </cols>
  <sheetData>
    <row r="1" spans="1:24" s="12" customFormat="1" ht="96" customHeight="1" x14ac:dyDescent="0.2">
      <c r="A1" s="12" t="s">
        <v>20</v>
      </c>
      <c r="B1" s="12" t="s">
        <v>0</v>
      </c>
      <c r="C1" s="12" t="s">
        <v>1</v>
      </c>
      <c r="D1" s="12" t="s">
        <v>13</v>
      </c>
      <c r="E1" s="12" t="s">
        <v>46</v>
      </c>
      <c r="F1" s="12" t="s">
        <v>47</v>
      </c>
      <c r="G1" s="12" t="s">
        <v>52</v>
      </c>
      <c r="H1" s="12" t="s">
        <v>14</v>
      </c>
      <c r="I1" s="12" t="s">
        <v>55</v>
      </c>
      <c r="J1" s="12" t="s">
        <v>56</v>
      </c>
      <c r="K1" s="12" t="s">
        <v>49</v>
      </c>
      <c r="L1" s="12" t="s">
        <v>53</v>
      </c>
      <c r="M1" s="12" t="s">
        <v>50</v>
      </c>
      <c r="N1" s="12" t="s">
        <v>15</v>
      </c>
      <c r="O1" s="12" t="s">
        <v>48</v>
      </c>
      <c r="P1" s="12" t="s">
        <v>57</v>
      </c>
      <c r="Q1" s="12" t="s">
        <v>51</v>
      </c>
      <c r="R1" s="12" t="s">
        <v>17</v>
      </c>
      <c r="S1" s="12" t="s">
        <v>16</v>
      </c>
      <c r="T1" s="12" t="s">
        <v>58</v>
      </c>
      <c r="U1" s="14" t="s">
        <v>54</v>
      </c>
      <c r="V1" s="14" t="s">
        <v>18</v>
      </c>
      <c r="W1" s="14" t="s">
        <v>19</v>
      </c>
      <c r="X1" s="14" t="s">
        <v>59</v>
      </c>
    </row>
    <row r="2" spans="1:24" x14ac:dyDescent="0.2">
      <c r="A2" s="2" t="s">
        <v>42</v>
      </c>
      <c r="B2" s="3">
        <v>34.464813646000003</v>
      </c>
      <c r="C2" s="3">
        <v>-120.104245135</v>
      </c>
      <c r="D2" s="3" t="s">
        <v>38</v>
      </c>
      <c r="E2" s="28">
        <v>9</v>
      </c>
      <c r="F2" s="13">
        <v>10.15</v>
      </c>
      <c r="G2" s="18">
        <f t="shared" ref="G2" si="0">F2*0.02</f>
        <v>0.20300000000000001</v>
      </c>
      <c r="H2" s="3">
        <v>25</v>
      </c>
    </row>
    <row r="3" spans="1:24" x14ac:dyDescent="0.2">
      <c r="A3" s="2" t="s">
        <v>41</v>
      </c>
      <c r="B3" s="3">
        <v>34.464594769999998</v>
      </c>
      <c r="C3" s="3">
        <v>-120.10395131999999</v>
      </c>
      <c r="D3" s="3" t="s">
        <v>38</v>
      </c>
      <c r="E3" s="15">
        <v>3.5</v>
      </c>
      <c r="F3" s="13">
        <v>13.74</v>
      </c>
      <c r="G3" s="18">
        <f>F3*0.02</f>
        <v>0.27479999999999999</v>
      </c>
      <c r="H3" s="3">
        <v>4</v>
      </c>
    </row>
    <row r="4" spans="1:24" x14ac:dyDescent="0.2">
      <c r="A4" s="2" t="s">
        <v>40</v>
      </c>
      <c r="B4" s="3">
        <v>34.464594769999998</v>
      </c>
      <c r="C4" s="3">
        <v>-120.10395131999999</v>
      </c>
      <c r="D4" s="3" t="s">
        <v>38</v>
      </c>
      <c r="E4" s="28">
        <v>3</v>
      </c>
      <c r="F4" s="13">
        <v>13.89</v>
      </c>
      <c r="G4" s="18">
        <f>F4*0.02</f>
        <v>0.27779999999999999</v>
      </c>
      <c r="H4" s="3">
        <v>52</v>
      </c>
    </row>
    <row r="5" spans="1:24" x14ac:dyDescent="0.2">
      <c r="A5" s="2" t="s">
        <v>39</v>
      </c>
      <c r="B5" s="15">
        <v>34.464197919999997</v>
      </c>
      <c r="C5" s="15">
        <v>-120.10295957</v>
      </c>
      <c r="D5" s="3" t="s">
        <v>38</v>
      </c>
      <c r="E5" s="3">
        <v>-5.0999999999999996</v>
      </c>
      <c r="F5" s="13">
        <v>14.21</v>
      </c>
      <c r="G5" s="18">
        <f>F5*0.02</f>
        <v>0.28420000000000001</v>
      </c>
      <c r="H5" s="3">
        <v>25</v>
      </c>
    </row>
    <row r="6" spans="1:24" x14ac:dyDescent="0.2">
      <c r="A6" s="2" t="s">
        <v>37</v>
      </c>
      <c r="B6" s="15">
        <v>34.464166730000002</v>
      </c>
      <c r="C6" s="15">
        <v>-120.10301541</v>
      </c>
      <c r="D6" s="3" t="s">
        <v>38</v>
      </c>
      <c r="E6" s="3">
        <v>-7.2</v>
      </c>
      <c r="F6" s="3">
        <v>14.68</v>
      </c>
      <c r="G6" s="18">
        <f>F6*0.02</f>
        <v>0.29360000000000003</v>
      </c>
      <c r="H6" s="3">
        <v>27</v>
      </c>
      <c r="I6" s="31">
        <v>14.67517464</v>
      </c>
      <c r="J6" s="31">
        <v>7.5819580999999997E-2</v>
      </c>
      <c r="K6" s="3" t="s">
        <v>36</v>
      </c>
      <c r="L6" s="3" t="s">
        <v>36</v>
      </c>
      <c r="M6" s="3">
        <v>14.685</v>
      </c>
      <c r="N6" s="3">
        <v>0.10299999999999999</v>
      </c>
      <c r="O6" s="3">
        <v>0.125</v>
      </c>
      <c r="P6" s="17">
        <f>2*0.05689955</f>
        <v>0.1137991</v>
      </c>
      <c r="Q6" s="3">
        <v>14.664999999999999</v>
      </c>
      <c r="R6" s="3">
        <v>0.109</v>
      </c>
      <c r="S6" s="3">
        <v>0.158</v>
      </c>
      <c r="T6" s="3">
        <f>2*0.0657</f>
        <v>0.13139999999999999</v>
      </c>
      <c r="U6" s="3">
        <v>14.734999999999999</v>
      </c>
      <c r="V6" s="3">
        <v>6.7000000000000004E-2</v>
      </c>
      <c r="W6" s="3">
        <v>0.10199999999999999</v>
      </c>
      <c r="X6" s="17">
        <f>2*0.04941</f>
        <v>9.8820000000000005E-2</v>
      </c>
    </row>
    <row r="7" spans="1:24" x14ac:dyDescent="0.2">
      <c r="A7" s="2"/>
      <c r="E7" s="15"/>
      <c r="F7" s="13"/>
      <c r="G7" s="18"/>
    </row>
    <row r="8" spans="1:24" x14ac:dyDescent="0.2">
      <c r="A8" s="2"/>
      <c r="E8" s="28"/>
      <c r="F8" s="13"/>
      <c r="G8" s="18"/>
    </row>
    <row r="9" spans="1:24" x14ac:dyDescent="0.2">
      <c r="A9" s="2"/>
      <c r="F9" s="37"/>
    </row>
    <row r="10" spans="1:24" x14ac:dyDescent="0.2">
      <c r="A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EF7E-3D40-3E4D-A2EF-6A108C6E1D69}">
  <dimension ref="A1:AG23"/>
  <sheetViews>
    <sheetView tabSelected="1" topLeftCell="D1" workbookViewId="0">
      <selection activeCell="A13" sqref="A13:XFD13"/>
    </sheetView>
  </sheetViews>
  <sheetFormatPr baseColWidth="10" defaultRowHeight="16" x14ac:dyDescent="0.2"/>
  <cols>
    <col min="1" max="1" width="13.5" style="2" customWidth="1"/>
    <col min="2" max="2" width="10.83203125" style="3"/>
    <col min="3" max="3" width="12.6640625" style="3" customWidth="1"/>
    <col min="4" max="4" width="14" style="3" customWidth="1"/>
    <col min="5" max="5" width="12.6640625" style="3" customWidth="1"/>
    <col min="6" max="6" width="14.83203125" style="3" customWidth="1"/>
    <col min="7" max="7" width="15.5" style="3" customWidth="1"/>
    <col min="8" max="10" width="16.83203125" style="3" customWidth="1"/>
    <col min="11" max="11" width="16.33203125" style="3" customWidth="1"/>
    <col min="12" max="12" width="16.5" style="3" customWidth="1"/>
    <col min="13" max="13" width="21" style="3" customWidth="1"/>
    <col min="14" max="14" width="17.5" style="3" customWidth="1"/>
    <col min="15" max="15" width="16.1640625" style="3" customWidth="1"/>
    <col min="16" max="16" width="20" style="3" customWidth="1"/>
    <col min="17" max="17" width="16" style="3" customWidth="1"/>
    <col min="18" max="18" width="17.5" style="3" customWidth="1"/>
    <col min="19" max="19" width="17.33203125" style="3" customWidth="1"/>
    <col min="20" max="20" width="19.33203125" style="3" customWidth="1"/>
    <col min="21" max="21" width="16.5" style="3" customWidth="1"/>
    <col min="22" max="22" width="18.83203125" style="3" customWidth="1"/>
    <col min="23" max="23" width="16.33203125" style="3" customWidth="1"/>
    <col min="24" max="24" width="18.33203125" style="3" customWidth="1"/>
    <col min="25" max="16384" width="10.83203125" style="3"/>
  </cols>
  <sheetData>
    <row r="1" spans="1:33" s="12" customFormat="1" ht="96" customHeight="1" x14ac:dyDescent="0.2">
      <c r="A1" s="12" t="s">
        <v>35</v>
      </c>
      <c r="B1" s="12" t="s">
        <v>0</v>
      </c>
      <c r="C1" s="12" t="s">
        <v>1</v>
      </c>
      <c r="D1" s="12" t="s">
        <v>13</v>
      </c>
      <c r="E1" s="12" t="s">
        <v>46</v>
      </c>
      <c r="F1" s="12" t="s">
        <v>47</v>
      </c>
      <c r="G1" s="12" t="s">
        <v>52</v>
      </c>
      <c r="H1" s="12" t="s">
        <v>14</v>
      </c>
      <c r="I1" s="12" t="s">
        <v>55</v>
      </c>
      <c r="J1" s="12" t="s">
        <v>56</v>
      </c>
      <c r="K1" s="12" t="s">
        <v>49</v>
      </c>
      <c r="L1" s="12" t="s">
        <v>53</v>
      </c>
      <c r="M1" s="12" t="s">
        <v>50</v>
      </c>
      <c r="N1" s="12" t="s">
        <v>15</v>
      </c>
      <c r="O1" s="12" t="s">
        <v>48</v>
      </c>
      <c r="P1" s="12" t="s">
        <v>57</v>
      </c>
      <c r="Q1" s="12" t="s">
        <v>51</v>
      </c>
      <c r="R1" s="12" t="s">
        <v>17</v>
      </c>
      <c r="S1" s="12" t="s">
        <v>16</v>
      </c>
      <c r="T1" s="12" t="s">
        <v>58</v>
      </c>
      <c r="U1" s="14" t="s">
        <v>54</v>
      </c>
      <c r="V1" s="14" t="s">
        <v>18</v>
      </c>
      <c r="W1" s="14" t="s">
        <v>19</v>
      </c>
      <c r="X1" s="14" t="s">
        <v>59</v>
      </c>
    </row>
    <row r="2" spans="1:33" x14ac:dyDescent="0.2">
      <c r="A2" s="2" t="s">
        <v>21</v>
      </c>
      <c r="B2" s="34">
        <v>34.461064</v>
      </c>
      <c r="C2" s="34">
        <v>-120.011419</v>
      </c>
      <c r="D2" s="3" t="s">
        <v>22</v>
      </c>
      <c r="E2" s="18">
        <v>209.5</v>
      </c>
      <c r="F2" s="3">
        <v>11.11</v>
      </c>
      <c r="G2" s="18">
        <v>0.22312000000000001</v>
      </c>
      <c r="H2" s="3">
        <v>24</v>
      </c>
      <c r="I2" s="25">
        <v>11.119204310000001</v>
      </c>
      <c r="J2" s="25">
        <v>0.86549749399999998</v>
      </c>
      <c r="K2" s="24">
        <v>11.36</v>
      </c>
      <c r="L2" s="24">
        <v>0.04</v>
      </c>
      <c r="M2" s="13">
        <v>11.316000000000001</v>
      </c>
      <c r="N2" s="13">
        <v>6.2E-2</v>
      </c>
      <c r="O2" s="13">
        <v>0.153</v>
      </c>
      <c r="P2" s="22">
        <f>2*0.0425579033753415</f>
        <v>8.5115806750683004E-2</v>
      </c>
      <c r="Q2" s="3">
        <v>11.307</v>
      </c>
      <c r="R2" s="3">
        <v>6.9000000000000006E-2</v>
      </c>
      <c r="S2" s="3">
        <v>0.186</v>
      </c>
      <c r="T2" s="17">
        <f>2*0.0724023115322956</f>
        <v>0.14480462306459119</v>
      </c>
      <c r="U2" s="3">
        <v>11.334</v>
      </c>
      <c r="V2" s="3">
        <v>4.5999999999999999E-2</v>
      </c>
      <c r="W2" s="3">
        <v>9.9000000000000005E-2</v>
      </c>
      <c r="X2" s="17">
        <f>2*0.0379256678354603</f>
        <v>7.5851335670920603E-2</v>
      </c>
      <c r="AG2" s="1"/>
    </row>
    <row r="3" spans="1:33" x14ac:dyDescent="0.2">
      <c r="A3" s="2" t="s">
        <v>24</v>
      </c>
      <c r="B3" s="34">
        <v>34.461027000000001</v>
      </c>
      <c r="C3" s="34">
        <v>-120.011402</v>
      </c>
      <c r="D3" s="3" t="s">
        <v>22</v>
      </c>
      <c r="E3" s="18">
        <v>205.35</v>
      </c>
      <c r="F3" s="23">
        <v>12.339</v>
      </c>
      <c r="G3" s="23">
        <v>0.24678000000000003</v>
      </c>
      <c r="H3" s="3">
        <v>36</v>
      </c>
      <c r="I3" s="25">
        <v>12.576830729999999</v>
      </c>
      <c r="J3" s="25">
        <v>2.7024374E-2</v>
      </c>
      <c r="K3" s="3">
        <v>12.577999999999999</v>
      </c>
      <c r="L3" s="3">
        <v>2.3E-2</v>
      </c>
      <c r="M3" s="39" t="s">
        <v>64</v>
      </c>
      <c r="N3" s="39">
        <v>3.3000000000000002E-2</v>
      </c>
      <c r="O3" s="39">
        <v>5.5E-2</v>
      </c>
      <c r="P3" s="40">
        <f>2*0.0183892569641375</f>
        <v>3.6778513928274997E-2</v>
      </c>
      <c r="Q3" s="3">
        <v>12.566000000000001</v>
      </c>
      <c r="R3" s="3">
        <v>3.5000000000000003E-2</v>
      </c>
      <c r="S3" s="17">
        <v>7.0000000000000007E-2</v>
      </c>
      <c r="T3" s="17">
        <f>2*0.027186022900913</f>
        <v>5.4372045801826002E-2</v>
      </c>
      <c r="U3" s="3">
        <v>12.581</v>
      </c>
      <c r="V3" s="3">
        <v>3.3000000000000002E-2</v>
      </c>
      <c r="W3" s="17">
        <v>0.04</v>
      </c>
      <c r="X3" s="17">
        <f>2*0.0183055757792123</f>
        <v>3.66111515584246E-2</v>
      </c>
    </row>
    <row r="4" spans="1:33" x14ac:dyDescent="0.2">
      <c r="A4" s="2" t="s">
        <v>23</v>
      </c>
      <c r="B4" s="34">
        <v>34.461027000000001</v>
      </c>
      <c r="C4" s="34">
        <v>-120.011402</v>
      </c>
      <c r="D4" s="3" t="s">
        <v>22</v>
      </c>
      <c r="E4" s="18">
        <v>205.25</v>
      </c>
      <c r="F4" s="3">
        <v>12.31</v>
      </c>
      <c r="G4" s="18">
        <v>0.2462</v>
      </c>
      <c r="H4" s="3">
        <v>50</v>
      </c>
      <c r="I4" s="26">
        <v>12.4978433697786</v>
      </c>
      <c r="J4" s="26">
        <v>2.5464773288099998E-2</v>
      </c>
      <c r="K4" s="15">
        <v>12.507</v>
      </c>
      <c r="L4" s="15">
        <v>1.2E-2</v>
      </c>
      <c r="M4" s="13">
        <v>12.488</v>
      </c>
      <c r="N4" s="13">
        <v>2.4E-2</v>
      </c>
      <c r="O4" s="13">
        <v>4.7E-2</v>
      </c>
      <c r="P4" s="22">
        <f>2*0.012044625</f>
        <v>2.408925E-2</v>
      </c>
      <c r="Q4" s="3">
        <v>12.481</v>
      </c>
      <c r="R4" s="3">
        <v>2.9000000000000001E-2</v>
      </c>
      <c r="S4" s="17">
        <v>7.0000000000000007E-2</v>
      </c>
      <c r="T4" s="17">
        <f>2*0.0262854049982947</f>
        <v>5.2570809996589397E-2</v>
      </c>
      <c r="U4" s="3">
        <v>12.494999999999999</v>
      </c>
      <c r="V4" s="3">
        <v>2.1000000000000001E-2</v>
      </c>
      <c r="W4" s="17">
        <v>0.03</v>
      </c>
      <c r="X4" s="17">
        <f>2*0.0129219241030544</f>
        <v>2.5843848206108799E-2</v>
      </c>
    </row>
    <row r="5" spans="1:33" x14ac:dyDescent="0.2">
      <c r="A5" s="2" t="s">
        <v>33</v>
      </c>
      <c r="B5" s="34">
        <v>34.460953000000003</v>
      </c>
      <c r="C5" s="34">
        <v>-120.011309</v>
      </c>
      <c r="D5" s="3" t="s">
        <v>22</v>
      </c>
      <c r="E5" s="18">
        <v>196.15</v>
      </c>
      <c r="F5" s="23">
        <v>12.938000000000001</v>
      </c>
      <c r="G5" s="23">
        <v>0.25875999999999999</v>
      </c>
      <c r="H5" s="3">
        <v>38</v>
      </c>
    </row>
    <row r="6" spans="1:33" x14ac:dyDescent="0.2">
      <c r="A6" s="2" t="s">
        <v>34</v>
      </c>
      <c r="B6" s="34">
        <v>34.460953000000003</v>
      </c>
      <c r="C6" s="34">
        <v>-120.011309</v>
      </c>
      <c r="D6" s="3" t="s">
        <v>22</v>
      </c>
      <c r="E6" s="18">
        <v>195.85</v>
      </c>
      <c r="F6" s="23">
        <v>13.042999999999999</v>
      </c>
      <c r="G6" s="23">
        <v>0.26057999999999998</v>
      </c>
      <c r="H6" s="3">
        <v>25</v>
      </c>
    </row>
    <row r="7" spans="1:33" x14ac:dyDescent="0.2">
      <c r="A7" s="2" t="s">
        <v>25</v>
      </c>
      <c r="B7" s="34">
        <v>34.460988999999998</v>
      </c>
      <c r="C7" s="34">
        <v>-120.011285</v>
      </c>
      <c r="D7" s="3" t="s">
        <v>22</v>
      </c>
      <c r="E7" s="18">
        <v>195</v>
      </c>
      <c r="F7" s="18">
        <v>13.04</v>
      </c>
      <c r="G7" s="18">
        <v>0.26378000000000001</v>
      </c>
      <c r="H7" s="3">
        <v>29</v>
      </c>
      <c r="I7" s="38">
        <v>13.2546300312606</v>
      </c>
      <c r="J7" s="38">
        <v>7.0788387321159996E-2</v>
      </c>
      <c r="K7" s="15" t="s">
        <v>36</v>
      </c>
      <c r="L7" s="15" t="s">
        <v>36</v>
      </c>
      <c r="M7" s="3">
        <v>13.238</v>
      </c>
      <c r="N7" s="3">
        <v>3.5999999999999997E-2</v>
      </c>
      <c r="O7" s="3">
        <v>7.3999999999999996E-2</v>
      </c>
      <c r="P7" s="17">
        <f>2*0.0235004205727858</f>
        <v>4.7000841145571598E-2</v>
      </c>
      <c r="Q7" s="3">
        <v>13.237</v>
      </c>
      <c r="R7" s="3">
        <v>3.6999999999999998E-2</v>
      </c>
      <c r="S7" s="17">
        <v>0.08</v>
      </c>
      <c r="T7" s="17">
        <f>2*0.0323513551635306</f>
        <v>6.4702710327061194E-2</v>
      </c>
      <c r="U7" s="3">
        <v>13.243</v>
      </c>
      <c r="V7" s="3">
        <v>3.4000000000000002E-2</v>
      </c>
      <c r="W7" s="3">
        <v>5.2999999999999999E-2</v>
      </c>
      <c r="X7" s="17">
        <f>2*0.0217159131324457</f>
        <v>4.34318262648914E-2</v>
      </c>
    </row>
    <row r="8" spans="1:33" x14ac:dyDescent="0.2">
      <c r="A8" s="2" t="s">
        <v>26</v>
      </c>
      <c r="B8" s="34">
        <v>34.461005999999998</v>
      </c>
      <c r="C8" s="34">
        <v>-120.011083</v>
      </c>
      <c r="D8" s="3" t="s">
        <v>22</v>
      </c>
      <c r="E8" s="18">
        <v>181.75</v>
      </c>
      <c r="F8" s="18">
        <v>13.75</v>
      </c>
      <c r="G8" s="18">
        <v>0.28000000000000003</v>
      </c>
      <c r="H8" s="3">
        <v>72</v>
      </c>
      <c r="I8" s="36">
        <v>13.899488585678601</v>
      </c>
      <c r="J8" s="36">
        <v>9.9735784841790007E-2</v>
      </c>
      <c r="K8" s="24">
        <v>13.93</v>
      </c>
      <c r="L8" s="15">
        <v>2.8000000000000001E-2</v>
      </c>
      <c r="M8" s="13">
        <v>13.907</v>
      </c>
      <c r="N8" s="13">
        <v>3.5999999999999997E-2</v>
      </c>
      <c r="O8" s="13">
        <v>7.2999999999999995E-2</v>
      </c>
      <c r="P8" s="22">
        <f>2*0.0221220968156106</f>
        <v>4.4244193631221201E-2</v>
      </c>
      <c r="Q8" s="3">
        <v>13.907999999999999</v>
      </c>
      <c r="R8" s="17">
        <v>0.04</v>
      </c>
      <c r="S8" s="3">
        <v>9.4E-2</v>
      </c>
      <c r="T8" s="17">
        <f>2*0.036654091660933</f>
        <v>7.3308183321866005E-2</v>
      </c>
      <c r="U8" s="3">
        <v>13.916</v>
      </c>
      <c r="V8" s="17">
        <v>0.03</v>
      </c>
      <c r="W8" s="3">
        <v>5.0999999999999997E-2</v>
      </c>
      <c r="X8" s="17">
        <f>2*0.0208596729382613</f>
        <v>4.1719345876522602E-2</v>
      </c>
    </row>
    <row r="9" spans="1:33" x14ac:dyDescent="0.2">
      <c r="A9" s="2" t="s">
        <v>27</v>
      </c>
      <c r="B9" s="34">
        <v>34.460943999999998</v>
      </c>
      <c r="C9" s="34">
        <v>-120.01079900000001</v>
      </c>
      <c r="D9" s="3" t="s">
        <v>22</v>
      </c>
      <c r="E9" s="18">
        <v>162</v>
      </c>
      <c r="F9" s="18">
        <v>14.106999999999999</v>
      </c>
      <c r="G9" s="18">
        <f>F9*0.02</f>
        <v>0.28214</v>
      </c>
      <c r="H9" s="3">
        <v>99</v>
      </c>
      <c r="I9" s="36">
        <v>14.2977704250965</v>
      </c>
      <c r="J9" s="36">
        <v>2.1247887119590001E-2</v>
      </c>
      <c r="K9" s="15">
        <v>14.308</v>
      </c>
      <c r="L9" s="24">
        <v>9.1000000000000004E-3</v>
      </c>
      <c r="M9" s="13">
        <v>14.297000000000001</v>
      </c>
      <c r="N9" s="22">
        <v>0.02</v>
      </c>
      <c r="O9" s="13">
        <v>2.7E-2</v>
      </c>
      <c r="P9" s="22">
        <f>2*0.00927066627622537</f>
        <v>1.8541332552450739E-2</v>
      </c>
      <c r="Q9" s="3">
        <v>14.292999999999999</v>
      </c>
      <c r="R9" s="3">
        <v>2.3E-2</v>
      </c>
      <c r="S9" s="3">
        <v>3.7999999999999999E-2</v>
      </c>
      <c r="T9" s="17">
        <f>2*0.0155321397149558</f>
        <v>3.10642794299116E-2</v>
      </c>
      <c r="U9" s="3">
        <v>14.303000000000001</v>
      </c>
      <c r="V9" s="3">
        <v>1.7000000000000001E-2</v>
      </c>
      <c r="W9" s="17">
        <v>0.02</v>
      </c>
      <c r="X9" s="17">
        <f>2*0.00954690486890815</f>
        <v>1.9093809737816301E-2</v>
      </c>
    </row>
    <row r="10" spans="1:33" x14ac:dyDescent="0.2">
      <c r="A10" s="2" t="s">
        <v>28</v>
      </c>
      <c r="B10" s="34">
        <v>34.460898999999998</v>
      </c>
      <c r="C10" s="34">
        <v>-120.009968089829</v>
      </c>
      <c r="D10" s="3" t="s">
        <v>22</v>
      </c>
      <c r="E10" s="18">
        <v>133.69999999999999</v>
      </c>
      <c r="F10" s="3" t="s">
        <v>36</v>
      </c>
      <c r="G10" s="3" t="s">
        <v>36</v>
      </c>
      <c r="H10" s="3" t="s">
        <v>36</v>
      </c>
      <c r="I10" s="25">
        <v>15.477599590000001</v>
      </c>
      <c r="J10" s="25">
        <v>6.3905412999999994E-2</v>
      </c>
      <c r="K10" s="3">
        <v>15.510999999999999</v>
      </c>
      <c r="L10" s="3">
        <v>1.9E-2</v>
      </c>
      <c r="M10" s="13">
        <v>15.497999999999999</v>
      </c>
      <c r="N10" s="13">
        <v>2.1999999999999999E-2</v>
      </c>
      <c r="O10" s="22">
        <v>0.04</v>
      </c>
      <c r="P10" s="22">
        <f>2*0.0128907005799768</f>
        <v>2.5781401159953601E-2</v>
      </c>
      <c r="Q10" s="3">
        <v>15.496</v>
      </c>
      <c r="R10" s="3">
        <v>2.5000000000000001E-2</v>
      </c>
      <c r="S10" s="17">
        <v>0.05</v>
      </c>
      <c r="T10" s="17">
        <f>2*0.0200954096204361</f>
        <v>4.01908192408722E-2</v>
      </c>
      <c r="U10" s="3">
        <v>15.503</v>
      </c>
      <c r="V10" s="3">
        <v>1.9E-2</v>
      </c>
      <c r="W10" s="3">
        <v>2.9000000000000001E-2</v>
      </c>
      <c r="X10" s="17">
        <f>2*0.0123704977725767</f>
        <v>2.47409955451534E-2</v>
      </c>
    </row>
    <row r="11" spans="1:33" x14ac:dyDescent="0.2">
      <c r="A11" s="2" t="s">
        <v>29</v>
      </c>
      <c r="B11" s="34">
        <v>34.460867159999999</v>
      </c>
      <c r="C11" s="34">
        <v>-120.009814186</v>
      </c>
      <c r="D11" s="3" t="s">
        <v>22</v>
      </c>
      <c r="E11" s="18">
        <v>113.4</v>
      </c>
      <c r="F11" s="3">
        <v>16.97</v>
      </c>
      <c r="G11" s="18">
        <v>0.33939999999999998</v>
      </c>
      <c r="H11" s="3">
        <v>7</v>
      </c>
      <c r="I11" s="27">
        <v>17.1725209522447</v>
      </c>
      <c r="J11" s="27">
        <v>4.0346748843760001E-2</v>
      </c>
      <c r="K11" s="3" t="s">
        <v>36</v>
      </c>
      <c r="L11" s="3" t="s">
        <v>36</v>
      </c>
      <c r="M11" s="17">
        <v>17.149999999999999</v>
      </c>
      <c r="N11" s="3">
        <v>3.6999999999999998E-2</v>
      </c>
      <c r="O11" s="3">
        <v>0.105</v>
      </c>
      <c r="P11" s="17">
        <f>2*0.02423045504228</f>
        <v>4.8460910084560001E-2</v>
      </c>
      <c r="Q11" s="3">
        <v>17.149000000000001</v>
      </c>
      <c r="R11" s="3">
        <v>3.6999999999999998E-2</v>
      </c>
      <c r="S11" s="3">
        <v>0.10299999999999999</v>
      </c>
      <c r="T11" s="17">
        <f>2*0.04641892</f>
        <v>9.2837840000000005E-2</v>
      </c>
      <c r="U11" s="17">
        <v>17.16</v>
      </c>
      <c r="V11" s="3">
        <v>2.9000000000000001E-2</v>
      </c>
      <c r="W11" s="3">
        <v>4.9000000000000002E-2</v>
      </c>
      <c r="X11" s="17">
        <f>2*0.022071892</f>
        <v>4.4143783999999998E-2</v>
      </c>
    </row>
    <row r="12" spans="1:33" x14ac:dyDescent="0.2">
      <c r="A12" s="2" t="s">
        <v>30</v>
      </c>
      <c r="B12" s="34">
        <v>34.460881314700003</v>
      </c>
      <c r="C12" s="34">
        <v>-120.00971773000001</v>
      </c>
      <c r="D12" s="3" t="s">
        <v>22</v>
      </c>
      <c r="E12" s="18">
        <v>108.2</v>
      </c>
      <c r="F12" s="3">
        <v>17.14</v>
      </c>
      <c r="G12" s="18">
        <v>0.34259999999999996</v>
      </c>
      <c r="H12" s="3">
        <v>7</v>
      </c>
      <c r="I12" s="36">
        <v>17.136031236665598</v>
      </c>
      <c r="J12" s="36">
        <v>0.14612001948072001</v>
      </c>
      <c r="K12" s="15">
        <v>17.215</v>
      </c>
      <c r="L12" s="15">
        <v>1.6E-2</v>
      </c>
      <c r="M12" s="13">
        <v>17.195</v>
      </c>
      <c r="N12" s="13">
        <v>2.7E-2</v>
      </c>
      <c r="O12" s="22">
        <v>0.06</v>
      </c>
      <c r="P12" s="22">
        <f>2*0.0177201662658277</f>
        <v>3.5440332531655398E-2</v>
      </c>
      <c r="Q12" s="3">
        <v>17.189</v>
      </c>
      <c r="R12" s="3">
        <v>3.2000000000000001E-2</v>
      </c>
      <c r="S12" s="3">
        <v>7.6999999999999999E-2</v>
      </c>
      <c r="T12" s="17">
        <f>2*0.03011976</f>
        <v>6.0239519999999998E-2</v>
      </c>
      <c r="U12" s="3">
        <v>17.202999999999999</v>
      </c>
      <c r="V12" s="3">
        <v>2.1000000000000001E-2</v>
      </c>
      <c r="W12" s="17">
        <v>0.04</v>
      </c>
      <c r="X12" s="17">
        <f>2*0.0155093477611438</f>
        <v>3.1018695522287601E-2</v>
      </c>
    </row>
    <row r="13" spans="1:33" x14ac:dyDescent="0.2">
      <c r="A13" s="2" t="s">
        <v>31</v>
      </c>
      <c r="B13" s="33">
        <v>34.460781378999997</v>
      </c>
      <c r="C13" s="33">
        <v>-120.00955168</v>
      </c>
      <c r="D13" s="3" t="s">
        <v>22</v>
      </c>
      <c r="E13" s="18">
        <v>100.7</v>
      </c>
      <c r="F13" s="18">
        <v>17.079999999999998</v>
      </c>
      <c r="G13" s="18">
        <v>0.33764000000000005</v>
      </c>
      <c r="H13" s="3">
        <v>13</v>
      </c>
      <c r="I13" s="35">
        <v>17.241977519999999</v>
      </c>
      <c r="J13" s="35">
        <v>9.1442075999999997E-2</v>
      </c>
      <c r="K13" s="15">
        <v>17.292000000000002</v>
      </c>
      <c r="L13" s="15">
        <v>1.2999999999999999E-2</v>
      </c>
      <c r="M13" s="13">
        <v>17.276</v>
      </c>
      <c r="N13" s="13">
        <v>2.1999999999999999E-2</v>
      </c>
      <c r="O13" s="13">
        <v>4.5999999999999999E-2</v>
      </c>
      <c r="P13" s="22">
        <f>2*0.0139161889509173</f>
        <v>2.7832377901834598E-2</v>
      </c>
      <c r="Q13" s="3">
        <v>17.271999999999998</v>
      </c>
      <c r="R13" s="3">
        <v>2.5000000000000001E-2</v>
      </c>
      <c r="S13" s="3">
        <v>5.7000000000000002E-2</v>
      </c>
      <c r="T13" s="17">
        <f>2*0.0219181789386915</f>
        <v>4.3836357877382999E-2</v>
      </c>
      <c r="U13" s="3">
        <v>17.280999999999999</v>
      </c>
      <c r="V13" s="3">
        <v>1.7000000000000001E-2</v>
      </c>
      <c r="W13" s="3">
        <v>3.3000000000000002E-2</v>
      </c>
      <c r="X13" s="17">
        <f>2*0.0127822915982284</f>
        <v>2.5564583196456801E-2</v>
      </c>
    </row>
    <row r="14" spans="1:33" x14ac:dyDescent="0.2">
      <c r="A14" s="2" t="s">
        <v>60</v>
      </c>
      <c r="B14" s="33">
        <v>34.460366</v>
      </c>
      <c r="C14" s="33">
        <v>-120.006477</v>
      </c>
      <c r="D14" s="3" t="s">
        <v>22</v>
      </c>
      <c r="E14" s="18">
        <v>58.4</v>
      </c>
      <c r="F14" s="23">
        <v>18.03</v>
      </c>
      <c r="G14" s="23">
        <v>0.35898000000000002</v>
      </c>
      <c r="H14" s="3">
        <v>16</v>
      </c>
    </row>
    <row r="15" spans="1:33" x14ac:dyDescent="0.2">
      <c r="A15" s="2" t="s">
        <v>32</v>
      </c>
      <c r="B15" s="34">
        <v>34.461064</v>
      </c>
      <c r="C15" s="34">
        <v>-120.011419</v>
      </c>
      <c r="D15" s="3" t="s">
        <v>22</v>
      </c>
      <c r="E15" s="18">
        <v>210</v>
      </c>
      <c r="F15" s="13" t="s">
        <v>62</v>
      </c>
      <c r="G15" s="23">
        <v>0.23580000000000001</v>
      </c>
      <c r="H15" s="3">
        <v>10</v>
      </c>
    </row>
    <row r="16" spans="1:33" x14ac:dyDescent="0.2">
      <c r="C16" s="33"/>
    </row>
    <row r="17" spans="3:6" x14ac:dyDescent="0.2">
      <c r="F17" s="32" t="s">
        <v>63</v>
      </c>
    </row>
    <row r="18" spans="3:6" x14ac:dyDescent="0.2">
      <c r="F18" s="32" t="s">
        <v>65</v>
      </c>
    </row>
    <row r="23" spans="3:6" x14ac:dyDescent="0.2">
      <c r="C23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AC2-11F0-274D-AC2B-5B0EE7921056}">
  <dimension ref="A1:X25"/>
  <sheetViews>
    <sheetView workbookViewId="0">
      <selection activeCell="F14" sqref="F14"/>
    </sheetView>
  </sheetViews>
  <sheetFormatPr baseColWidth="10" defaultRowHeight="16" x14ac:dyDescent="0.2"/>
  <cols>
    <col min="1" max="1" width="14.83203125" style="11" customWidth="1"/>
    <col min="2" max="2" width="11.83203125" style="11" customWidth="1"/>
    <col min="3" max="3" width="12.6640625" style="11" customWidth="1"/>
    <col min="4" max="4" width="16.33203125" style="11" customWidth="1"/>
    <col min="5" max="5" width="14.1640625" style="11" customWidth="1"/>
    <col min="6" max="6" width="17.1640625" style="11" customWidth="1"/>
    <col min="7" max="7" width="18.83203125" style="11" customWidth="1"/>
    <col min="8" max="8" width="14.6640625" style="11" customWidth="1"/>
    <col min="9" max="9" width="15.33203125" style="11" customWidth="1"/>
    <col min="10" max="10" width="14.1640625" style="11" customWidth="1"/>
    <col min="11" max="11" width="22.5" style="11" customWidth="1"/>
    <col min="12" max="12" width="27.1640625" style="11" customWidth="1"/>
    <col min="13" max="13" width="25.6640625" style="11" customWidth="1"/>
    <col min="14" max="14" width="22.5" style="11" customWidth="1"/>
    <col min="15" max="15" width="24" style="11" customWidth="1"/>
    <col min="16" max="16" width="25.6640625" style="11" customWidth="1"/>
    <col min="17" max="18" width="21.6640625" style="11" customWidth="1"/>
    <col min="19" max="19" width="18.1640625" style="11" customWidth="1"/>
    <col min="20" max="20" width="21.83203125" style="11" customWidth="1"/>
    <col min="21" max="21" width="19.1640625" style="11" customWidth="1"/>
    <col min="22" max="22" width="17.5" style="11" customWidth="1"/>
    <col min="23" max="16384" width="10.83203125" style="11"/>
  </cols>
  <sheetData>
    <row r="1" spans="1:24" s="12" customFormat="1" ht="96" customHeight="1" x14ac:dyDescent="0.2">
      <c r="A1" s="12" t="s">
        <v>20</v>
      </c>
      <c r="B1" s="12" t="s">
        <v>0</v>
      </c>
      <c r="C1" s="12" t="s">
        <v>1</v>
      </c>
      <c r="D1" s="12" t="s">
        <v>13</v>
      </c>
      <c r="E1" s="12" t="s">
        <v>46</v>
      </c>
      <c r="F1" s="12" t="s">
        <v>47</v>
      </c>
      <c r="G1" s="12" t="s">
        <v>52</v>
      </c>
      <c r="H1" s="12" t="s">
        <v>14</v>
      </c>
      <c r="I1" s="12" t="s">
        <v>49</v>
      </c>
      <c r="J1" s="12" t="s">
        <v>53</v>
      </c>
      <c r="K1" s="12" t="s">
        <v>50</v>
      </c>
      <c r="L1" s="12" t="s">
        <v>15</v>
      </c>
      <c r="M1" s="12" t="s">
        <v>48</v>
      </c>
      <c r="N1" s="12" t="s">
        <v>57</v>
      </c>
      <c r="O1" s="12" t="s">
        <v>51</v>
      </c>
      <c r="P1" s="12" t="s">
        <v>17</v>
      </c>
      <c r="Q1" s="12" t="s">
        <v>16</v>
      </c>
      <c r="R1" s="12" t="s">
        <v>58</v>
      </c>
      <c r="S1" s="14" t="s">
        <v>54</v>
      </c>
      <c r="T1" s="14" t="s">
        <v>18</v>
      </c>
      <c r="U1" s="14" t="s">
        <v>19</v>
      </c>
      <c r="V1" s="14" t="s">
        <v>59</v>
      </c>
    </row>
    <row r="2" spans="1:24" s="6" customFormat="1" x14ac:dyDescent="0.2">
      <c r="A2" s="2" t="s">
        <v>2</v>
      </c>
      <c r="B2" s="33">
        <v>34.438357549999999</v>
      </c>
      <c r="C2" s="33">
        <v>-119.9612212</v>
      </c>
      <c r="D2" s="3" t="s">
        <v>3</v>
      </c>
      <c r="E2" s="28">
        <v>289</v>
      </c>
      <c r="F2" s="3">
        <v>10.65</v>
      </c>
      <c r="G2" s="20">
        <f>F2*0.02</f>
        <v>0.21300000000000002</v>
      </c>
      <c r="H2" s="3">
        <v>8</v>
      </c>
      <c r="I2" s="3">
        <v>10.563000000000001</v>
      </c>
      <c r="J2" s="17">
        <v>7.0000000000000007E-2</v>
      </c>
      <c r="K2" s="13">
        <v>10.571999999999999</v>
      </c>
      <c r="L2" s="13">
        <v>9.1999999999999998E-2</v>
      </c>
      <c r="M2" s="13">
        <v>0.126</v>
      </c>
      <c r="N2" s="22">
        <f>0.055372*2</f>
        <v>0.110744</v>
      </c>
      <c r="O2" s="3">
        <v>10.565</v>
      </c>
      <c r="P2" s="3">
        <v>9.6000000000000002E-2</v>
      </c>
      <c r="Q2" s="3">
        <v>0.14599999999999999</v>
      </c>
      <c r="R2" s="17">
        <f>2*0.0619025</f>
        <v>0.123805</v>
      </c>
      <c r="S2" s="3">
        <v>10.605</v>
      </c>
      <c r="T2" s="3">
        <v>7.0999999999999994E-2</v>
      </c>
      <c r="U2" s="3">
        <v>9.9000000000000005E-2</v>
      </c>
      <c r="V2" s="17">
        <f>2*0.0476614</f>
        <v>9.5322799999999999E-2</v>
      </c>
      <c r="W2" s="5"/>
      <c r="X2" s="5"/>
    </row>
    <row r="3" spans="1:24" s="6" customFormat="1" x14ac:dyDescent="0.2">
      <c r="A3" s="2" t="s">
        <v>4</v>
      </c>
      <c r="B3" s="33">
        <v>34.438365869999998</v>
      </c>
      <c r="C3" s="33">
        <v>-119.961227378</v>
      </c>
      <c r="D3" s="3" t="s">
        <v>3</v>
      </c>
      <c r="E3" s="28">
        <v>284</v>
      </c>
      <c r="F3" s="23">
        <v>11.337999999999999</v>
      </c>
      <c r="G3" s="23">
        <v>0.22675999999999999</v>
      </c>
      <c r="H3" s="3">
        <v>21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</row>
    <row r="4" spans="1:24" s="6" customFormat="1" x14ac:dyDescent="0.2">
      <c r="A4" s="2" t="s">
        <v>5</v>
      </c>
      <c r="B4" s="33">
        <v>34.438365869999998</v>
      </c>
      <c r="C4" s="33">
        <v>-119.961227378</v>
      </c>
      <c r="D4" s="3" t="s">
        <v>3</v>
      </c>
      <c r="E4" s="28">
        <v>283.7</v>
      </c>
      <c r="F4" s="13">
        <v>11.33</v>
      </c>
      <c r="G4" s="23">
        <v>0.2266</v>
      </c>
      <c r="H4" s="3">
        <v>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</row>
    <row r="5" spans="1:24" s="6" customFormat="1" x14ac:dyDescent="0.2">
      <c r="A5" s="2" t="s">
        <v>6</v>
      </c>
      <c r="B5" s="33">
        <v>34.438365869999998</v>
      </c>
      <c r="C5" s="33">
        <v>-119.961227378</v>
      </c>
      <c r="D5" s="3" t="s">
        <v>3</v>
      </c>
      <c r="E5" s="28">
        <v>283.43</v>
      </c>
      <c r="F5" s="18">
        <v>11.712999999999999</v>
      </c>
      <c r="G5" s="18">
        <v>0.23</v>
      </c>
      <c r="H5" s="3">
        <v>13</v>
      </c>
      <c r="I5" s="3">
        <v>11.826000000000001</v>
      </c>
      <c r="J5" s="17">
        <v>0.02</v>
      </c>
      <c r="K5" s="13">
        <v>11.808</v>
      </c>
      <c r="L5" s="13">
        <v>3.1E-2</v>
      </c>
      <c r="M5" s="13">
        <v>6.8000000000000005E-2</v>
      </c>
      <c r="N5" s="22">
        <f>0.031655*2</f>
        <v>6.3310000000000005E-2</v>
      </c>
      <c r="O5" s="3">
        <v>11.803000000000001</v>
      </c>
      <c r="P5" s="3">
        <v>3.5999999999999997E-2</v>
      </c>
      <c r="Q5" s="3">
        <v>8.8999999999999996E-2</v>
      </c>
      <c r="R5" s="17">
        <f>2*0.016130436</f>
        <v>3.2260872000000003E-2</v>
      </c>
      <c r="S5" s="3">
        <v>11.818</v>
      </c>
      <c r="T5" s="3">
        <v>2.7E-2</v>
      </c>
      <c r="U5" s="3">
        <v>3.5999999999999997E-2</v>
      </c>
      <c r="V5" s="17">
        <f>2*0.01131705</f>
        <v>2.2634100000000001E-2</v>
      </c>
      <c r="W5" s="5"/>
      <c r="X5" s="5"/>
    </row>
    <row r="6" spans="1:24" s="6" customFormat="1" x14ac:dyDescent="0.2">
      <c r="A6" s="2" t="s">
        <v>61</v>
      </c>
      <c r="B6" s="33">
        <v>34.438365869999998</v>
      </c>
      <c r="C6" s="33">
        <v>-119.961227378</v>
      </c>
      <c r="D6" s="3" t="s">
        <v>3</v>
      </c>
      <c r="E6" s="28">
        <v>283.2</v>
      </c>
      <c r="F6" s="23">
        <v>11.59</v>
      </c>
      <c r="G6" s="23">
        <v>0.23182</v>
      </c>
      <c r="H6" s="3">
        <v>19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</row>
    <row r="7" spans="1:24" s="6" customFormat="1" x14ac:dyDescent="0.2">
      <c r="A7" s="2" t="s">
        <v>7</v>
      </c>
      <c r="B7" s="33">
        <v>34.438374289999999</v>
      </c>
      <c r="C7" s="33">
        <v>-119.96125152332</v>
      </c>
      <c r="D7" s="3" t="s">
        <v>3</v>
      </c>
      <c r="E7" s="28">
        <v>280.89999999999998</v>
      </c>
      <c r="F7" s="13">
        <v>13.07</v>
      </c>
      <c r="G7" s="23">
        <v>0.26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</row>
    <row r="8" spans="1:24" s="6" customFormat="1" x14ac:dyDescent="0.2">
      <c r="A8" s="2" t="s">
        <v>8</v>
      </c>
      <c r="B8" s="33">
        <v>34.440372000000004</v>
      </c>
      <c r="C8" s="33">
        <v>-119.963858</v>
      </c>
      <c r="D8" s="3" t="s">
        <v>3</v>
      </c>
      <c r="E8" s="28">
        <v>211</v>
      </c>
      <c r="F8" s="13">
        <v>14.32</v>
      </c>
      <c r="G8" s="23">
        <v>0.28839999999999999</v>
      </c>
      <c r="H8" s="3">
        <v>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</row>
    <row r="9" spans="1:24" s="6" customFormat="1" x14ac:dyDescent="0.2">
      <c r="A9" s="2" t="s">
        <v>9</v>
      </c>
      <c r="B9" s="33">
        <v>34.441473000000002</v>
      </c>
      <c r="C9" s="33">
        <v>-119.965642</v>
      </c>
      <c r="D9" s="3" t="s">
        <v>3</v>
      </c>
      <c r="E9" s="28">
        <v>139</v>
      </c>
      <c r="F9" s="23">
        <v>17.419</v>
      </c>
      <c r="G9" s="23">
        <v>0.34838000000000002</v>
      </c>
      <c r="H9" s="3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</row>
    <row r="10" spans="1:24" s="6" customFormat="1" x14ac:dyDescent="0.2">
      <c r="A10" s="2" t="s">
        <v>10</v>
      </c>
      <c r="B10" s="33">
        <v>34.441864000000002</v>
      </c>
      <c r="C10" s="33">
        <v>-119.966235</v>
      </c>
      <c r="D10" s="3" t="s">
        <v>3</v>
      </c>
      <c r="E10" s="28">
        <v>54</v>
      </c>
      <c r="F10" s="23">
        <v>17.530999999999999</v>
      </c>
      <c r="G10" s="23">
        <v>0.35061999999999999</v>
      </c>
      <c r="H10" s="3">
        <v>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</row>
    <row r="11" spans="1:24" s="6" customFormat="1" ht="17" customHeight="1" x14ac:dyDescent="0.2">
      <c r="A11" s="2" t="s">
        <v>12</v>
      </c>
      <c r="B11" s="33">
        <v>34.442163999999998</v>
      </c>
      <c r="C11" s="33">
        <v>-119.967219</v>
      </c>
      <c r="D11" s="3" t="s">
        <v>3</v>
      </c>
      <c r="E11" s="28">
        <v>10.5</v>
      </c>
      <c r="F11" s="23">
        <v>18.186</v>
      </c>
      <c r="G11" s="23">
        <v>0.36380000000000001</v>
      </c>
      <c r="H11" s="3">
        <v>12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</row>
    <row r="12" spans="1:24" s="6" customFormat="1" x14ac:dyDescent="0.2">
      <c r="A12" s="2" t="s">
        <v>11</v>
      </c>
      <c r="B12" s="33">
        <v>34.442202999999999</v>
      </c>
      <c r="C12" s="33">
        <v>-119.96727</v>
      </c>
      <c r="D12" s="3" t="s">
        <v>3</v>
      </c>
      <c r="E12" s="28">
        <v>0</v>
      </c>
      <c r="F12" s="23">
        <v>18.135000000000002</v>
      </c>
      <c r="G12" s="23">
        <v>0.36270000000000002</v>
      </c>
      <c r="H12" s="3">
        <v>11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</row>
    <row r="13" spans="1:24" s="6" customFormat="1" x14ac:dyDescent="0.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</row>
    <row r="14" spans="1:24" s="6" customForma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4" s="9" customForma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5" spans="1:22" x14ac:dyDescent="0.2">
      <c r="C2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Hondo</vt:lpstr>
      <vt:lpstr>Tajiguas</vt:lpstr>
      <vt:lpstr>El Capitan</vt:lpstr>
      <vt:lpstr>Naples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2022-06-29T02:26:10Z</dcterms:created>
  <dcterms:modified xsi:type="dcterms:W3CDTF">2023-01-25T19:46:48Z</dcterms:modified>
</cp:coreProperties>
</file>