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slicers/slicer1.xml" ContentType="application/vnd.ms-excel.slicer+xml"/>
  <Override PartName="/xl/charts/chartEx1.xml" ContentType="application/vnd.ms-office.chartex+xml"/>
  <Override PartName="/xl/charts/style1.xml" ContentType="application/vnd.ms-office.chartstyle+xml"/>
  <Override PartName="/xl/charts/colors1.xml" ContentType="application/vnd.ms-office.chartcolorstyle+xml"/>
  <Override PartName="/xl/charts/chart1.xml" ContentType="application/vnd.openxmlformats-officedocument.drawingml.chart+xml"/>
  <Override PartName="/xl/charts/style2.xml" ContentType="application/vnd.ms-office.chartstyle+xml"/>
  <Override PartName="/xl/charts/colors2.xml" ContentType="application/vnd.ms-office.chartcolorstyle+xml"/>
  <Override PartName="/xl/charts/chartEx2.xml" ContentType="application/vnd.ms-office.chartex+xml"/>
  <Override PartName="/xl/charts/style3.xml" ContentType="application/vnd.ms-office.chartstyle+xml"/>
  <Override PartName="/xl/charts/colors3.xml" ContentType="application/vnd.ms-office.chartcolorstyle+xml"/>
  <Override PartName="/xl/charts/chart2.xml" ContentType="application/vnd.openxmlformats-officedocument.drawingml.chart+xml"/>
  <Override PartName="/xl/charts/style4.xml" ContentType="application/vnd.ms-office.chartstyle+xml"/>
  <Override PartName="/xl/charts/colors4.xml" ContentType="application/vnd.ms-office.chartcolorstyle+xml"/>
  <Override PartName="/xl/charts/chart3.xml" ContentType="application/vnd.openxmlformats-officedocument.drawingml.chart+xml"/>
  <Override PartName="/xl/charts/chart4.xml" ContentType="application/vnd.openxmlformats-officedocument.drawingml.chart+xml"/>
  <Override PartName="/xl/charts/style5.xml" ContentType="application/vnd.ms-office.chartstyle+xml"/>
  <Override PartName="/xl/charts/colors5.xml" ContentType="application/vnd.ms-office.chartcolorstyle+xml"/>
  <Override PartName="/xl/theme/themeOverride1.xml" ContentType="application/vnd.openxmlformats-officedocument.themeOverride+xml"/>
  <Override PartName="/xl/charts/chart5.xml" ContentType="application/vnd.openxmlformats-officedocument.drawingml.chart+xml"/>
  <Override PartName="/xl/charts/style6.xml" ContentType="application/vnd.ms-office.chartstyle+xml"/>
  <Override PartName="/xl/charts/colors6.xml" ContentType="application/vnd.ms-office.chartcolorstyle+xml"/>
  <Override PartName="/xl/theme/themeOverride2.xml" ContentType="application/vnd.openxmlformats-officedocument.themeOverride+xml"/>
  <Override PartName="/xl/charts/chart6.xml" ContentType="application/vnd.openxmlformats-officedocument.drawingml.chart+xml"/>
  <Override PartName="/xl/charts/style7.xml" ContentType="application/vnd.ms-office.chartstyle+xml"/>
  <Override PartName="/xl/charts/colors7.xml" ContentType="application/vnd.ms-office.chartcolorstyle+xml"/>
  <Override PartName="/xl/tables/table1.xml" ContentType="application/vnd.openxmlformats-officedocument.spreadsheetml.table+xml"/>
  <Override PartName="/xl/tables/table2.xml" ContentType="application/vnd.openxmlformats-officedocument.spreadsheetml.table+xml"/>
  <Override PartName="/xl/queryTables/queryTable1.xml" ContentType="application/vnd.openxmlformats-officedocument.spreadsheetml.queryTable+xml"/>
  <Override PartName="/xl/pivotTables/pivotTable1.xml" ContentType="application/vnd.openxmlformats-officedocument.spreadsheetml.pivotTable+xml"/>
  <Override PartName="/xl/drawings/drawing2.xml" ContentType="application/vnd.openxmlformats-officedocument.drawing+xml"/>
  <Override PartName="/xl/charts/chartEx3.xml" ContentType="application/vnd.ms-office.chartex+xml"/>
  <Override PartName="/xl/charts/style8.xml" ContentType="application/vnd.ms-office.chartstyle+xml"/>
  <Override PartName="/xl/charts/colors8.xml" ContentType="application/vnd.ms-office.chartcolorstyle+xml"/>
  <Override PartName="/xl/pivotTables/pivotTable2.xml" ContentType="application/vnd.openxmlformats-officedocument.spreadsheetml.pivotTable+xml"/>
  <Override PartName="/xl/drawings/drawing3.xml" ContentType="application/vnd.openxmlformats-officedocument.drawing+xml"/>
  <Override PartName="/xl/charts/chart7.xml" ContentType="application/vnd.openxmlformats-officedocument.drawingml.chart+xml"/>
  <Override PartName="/xl/charts/style9.xml" ContentType="application/vnd.ms-office.chartstyle+xml"/>
  <Override PartName="/xl/charts/colors9.xml" ContentType="application/vnd.ms-office.chartcolorstyle+xml"/>
  <Override PartName="/xl/pivotTables/pivotTable3.xml" ContentType="application/vnd.openxmlformats-officedocument.spreadsheetml.pivotTable+xml"/>
  <Override PartName="/xl/drawings/drawing4.xml" ContentType="application/vnd.openxmlformats-officedocument.drawing+xml"/>
  <Override PartName="/xl/charts/chart8.xml" ContentType="application/vnd.openxmlformats-officedocument.drawingml.chart+xml"/>
  <Override PartName="/xl/charts/style10.xml" ContentType="application/vnd.ms-office.chartstyle+xml"/>
  <Override PartName="/xl/charts/colors10.xml" ContentType="application/vnd.ms-office.chartcolorstyle+xml"/>
  <Override PartName="/xl/theme/themeOverride3.xml" ContentType="application/vnd.openxmlformats-officedocument.themeOverride+xml"/>
  <Override PartName="/xl/pivotTables/pivotTable4.xml" ContentType="application/vnd.openxmlformats-officedocument.spreadsheetml.pivotTable+xml"/>
  <Override PartName="/xl/drawings/drawing5.xml" ContentType="application/vnd.openxmlformats-officedocument.drawing+xml"/>
  <Override PartName="/xl/charts/chart9.xml" ContentType="application/vnd.openxmlformats-officedocument.drawingml.chart+xml"/>
  <Override PartName="/xl/charts/style11.xml" ContentType="application/vnd.ms-office.chartstyle+xml"/>
  <Override PartName="/xl/charts/colors11.xml" ContentType="application/vnd.ms-office.chartcolorstyle+xml"/>
  <Override PartName="/xl/theme/themeOverride4.xml" ContentType="application/vnd.openxmlformats-officedocument.themeOverride+xml"/>
  <Override PartName="/xl/pivotTables/pivotTable5.xml" ContentType="application/vnd.openxmlformats-officedocument.spreadsheetml.pivotTable+xml"/>
  <Override PartName="/xl/drawings/drawing6.xml" ContentType="application/vnd.openxmlformats-officedocument.drawing+xml"/>
  <Override PartName="/xl/charts/chart10.xml" ContentType="application/vnd.openxmlformats-officedocument.drawingml.chart+xml"/>
  <Override PartName="/xl/charts/style12.xml" ContentType="application/vnd.ms-office.chartstyle+xml"/>
  <Override PartName="/xl/charts/colors12.xml" ContentType="application/vnd.ms-office.chartcolorstyle+xml"/>
  <Override PartName="/xl/pivotTables/pivotTable6.xml" ContentType="application/vnd.openxmlformats-officedocument.spreadsheetml.pivotTable+xml"/>
  <Override PartName="/xl/drawings/drawing7.xml" ContentType="application/vnd.openxmlformats-officedocument.drawing+xml"/>
  <Override PartName="/xl/charts/chartEx4.xml" ContentType="application/vnd.ms-office.chartex+xml"/>
  <Override PartName="/xl/charts/style13.xml" ContentType="application/vnd.ms-office.chartstyle+xml"/>
  <Override PartName="/xl/charts/colors13.xml" ContentType="application/vnd.ms-office.chartcolorstyle+xml"/>
  <Override PartName="/xl/pivotTables/pivotTable7.xml" ContentType="application/vnd.openxmlformats-officedocument.spreadsheetml.pivotTable+xml"/>
  <Override PartName="/xl/drawings/drawing8.xml" ContentType="application/vnd.openxmlformats-officedocument.drawing+xml"/>
  <Override PartName="/xl/charts/chart11.xml" ContentType="application/vnd.openxmlformats-officedocument.drawingml.chart+xml"/>
  <Override PartName="/xl/charts/style14.xml" ContentType="application/vnd.ms-office.chartstyle+xml"/>
  <Override PartName="/xl/charts/colors14.xml" ContentType="application/vnd.ms-office.chartcolorsty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drawings/drawing9.xml" ContentType="application/vnd.openxmlformats-officedocument.drawing+xml"/>
  <Override PartName="/xl/charts/chart12.xml" ContentType="application/vnd.openxmlformats-officedocument.drawingml.chart+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29" codeName="{AE6600E7-7A62-396C-DE95-9942FA9DD81E}"/>
  <workbookPr codeName="ThisWorkbook" hidePivotFieldList="1" defaultThemeVersion="166925"/>
  <mc:AlternateContent xmlns:mc="http://schemas.openxmlformats.org/markup-compatibility/2006">
    <mc:Choice Requires="x15">
      <x15ac:absPath xmlns:x15ac="http://schemas.microsoft.com/office/spreadsheetml/2010/11/ac" url="C:\Users\Eliel John J Malabar\Documents\Data Analyst Projects\Sales Dashboard\"/>
    </mc:Choice>
  </mc:AlternateContent>
  <xr:revisionPtr revIDLastSave="0" documentId="13_ncr:1_{E6301857-E19F-45A1-A0F9-0FFB111A48D0}" xr6:coauthVersionLast="47" xr6:coauthVersionMax="47" xr10:uidLastSave="{00000000-0000-0000-0000-000000000000}"/>
  <bookViews>
    <workbookView xWindow="-108" yWindow="-108" windowWidth="23256" windowHeight="13176" tabRatio="782" xr2:uid="{5AF0A3B7-21F6-4CC4-A3D9-2FB96C606431}"/>
  </bookViews>
  <sheets>
    <sheet name="Dashboard" sheetId="1" r:id="rId1"/>
    <sheet name="Original Data" sheetId="2" r:id="rId2"/>
    <sheet name="SalesData" sheetId="3" r:id="rId3"/>
    <sheet name="Revenue Map" sheetId="4" r:id="rId4"/>
    <sheet name="Sales-Revenue Chart" sheetId="5" r:id="rId5"/>
    <sheet name="Sales Chart" sheetId="21" r:id="rId6"/>
    <sheet name="Revenue Chart" sheetId="22" r:id="rId7"/>
    <sheet name="Revenue vs Cost" sheetId="9" r:id="rId8"/>
    <sheet name="Customer Acquisition Source" sheetId="10" r:id="rId9"/>
    <sheet name="Top 5" sheetId="12" r:id="rId10"/>
    <sheet name="Total Sales" sheetId="15" r:id="rId11"/>
    <sheet name="Total Revenue" sheetId="16" r:id="rId12"/>
    <sheet name="Ave Margin" sheetId="18" r:id="rId13"/>
    <sheet name="Delivery Duration (Days)" sheetId="19" r:id="rId14"/>
    <sheet name="Payment Mode" sheetId="20" r:id="rId15"/>
  </sheets>
  <definedNames>
    <definedName name="_xlchart.v1.13" hidden="1">'Customer Acquisition Source'!#REF!</definedName>
    <definedName name="_xlchart.v1.14" hidden="1">'Customer Acquisition Source'!#REF!</definedName>
    <definedName name="_xlchart.v1.15" hidden="1">'Customer Acquisition Source'!#REF!</definedName>
    <definedName name="_xlchart.v1.16" hidden="1">'Customer Acquisition Source'!$A$18:$A$23</definedName>
    <definedName name="_xlchart.v1.17" hidden="1">'Customer Acquisition Source'!$B$18:$B$23</definedName>
    <definedName name="_xlchart.v1.4" hidden="1">'Customer Acquisition Source'!#REF!</definedName>
    <definedName name="_xlchart.v1.5" hidden="1">'Customer Acquisition Source'!#REF!</definedName>
    <definedName name="_xlchart.v1.6" hidden="1">'Customer Acquisition Source'!#REF!</definedName>
    <definedName name="_xlchart.v1.7" hidden="1">'Customer Acquisition Source'!$A$18:$A$23</definedName>
    <definedName name="_xlchart.v1.8" hidden="1">'Customer Acquisition Source'!$B$18:$B$23</definedName>
    <definedName name="_xlchart.v5.0" hidden="1">'Revenue Map'!$A$7</definedName>
    <definedName name="_xlchart.v5.1" hidden="1">'Revenue Map'!$A$8</definedName>
    <definedName name="_xlchart.v5.10" hidden="1">'Revenue Map'!$A$8</definedName>
    <definedName name="_xlchart.v5.11" hidden="1">'Revenue Map'!$B$7:$AW$7</definedName>
    <definedName name="_xlchart.v5.12" hidden="1">'Revenue Map'!$B$8:$AW$8</definedName>
    <definedName name="_xlchart.v5.2" hidden="1">'Revenue Map'!$B$7:$AW$7</definedName>
    <definedName name="_xlchart.v5.3" hidden="1">'Revenue Map'!$B$8:$AW$8</definedName>
    <definedName name="_xlchart.v5.9" hidden="1">'Revenue Map'!$A$7</definedName>
    <definedName name="ExternalData_1" localSheetId="2" hidden="1">SalesData!$A$1:$N$1007</definedName>
    <definedName name="Slicer_Customer_Acquisition">#N/A</definedName>
    <definedName name="Slicer_Location">#N/A</definedName>
    <definedName name="Slicer_Payment_Mode">#N/A</definedName>
    <definedName name="Slicer_Product">#N/A</definedName>
    <definedName name="Slicer_Years">#N/A</definedName>
  </definedNames>
  <calcPr calcId="191029"/>
  <pivotCaches>
    <pivotCache cacheId="252" r:id="rId16"/>
  </pivotCaches>
  <extLst>
    <ext xmlns:x14="http://schemas.microsoft.com/office/spreadsheetml/2009/9/main" uri="{BBE1A952-AA13-448e-AADC-164F8A28A991}">
      <x14:slicerCaches>
        <x14:slicerCache r:id="rId17"/>
        <x14:slicerCache r:id="rId18"/>
        <x14:slicerCache r:id="rId19"/>
        <x14:slicerCache r:id="rId20"/>
        <x14:slicerCache r:id="rId21"/>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J3" i="3" l="1"/>
  <c r="J4" i="3"/>
  <c r="J5" i="3"/>
  <c r="J6" i="3"/>
  <c r="J7" i="3"/>
  <c r="J8" i="3"/>
  <c r="J9" i="3"/>
  <c r="J10" i="3"/>
  <c r="J11" i="3"/>
  <c r="J12" i="3"/>
  <c r="J13" i="3"/>
  <c r="J14" i="3"/>
  <c r="J15" i="3"/>
  <c r="J16" i="3"/>
  <c r="J17" i="3"/>
  <c r="J18" i="3"/>
  <c r="J19" i="3"/>
  <c r="J20" i="3"/>
  <c r="J21" i="3"/>
  <c r="J22" i="3"/>
  <c r="J23" i="3"/>
  <c r="J24" i="3"/>
  <c r="J25" i="3"/>
  <c r="J26" i="3"/>
  <c r="J27" i="3"/>
  <c r="J28" i="3"/>
  <c r="J29" i="3"/>
  <c r="J30" i="3"/>
  <c r="J31" i="3"/>
  <c r="J32" i="3"/>
  <c r="J33" i="3"/>
  <c r="J34" i="3"/>
  <c r="J35" i="3"/>
  <c r="J36" i="3"/>
  <c r="J37" i="3"/>
  <c r="J38" i="3"/>
  <c r="J39" i="3"/>
  <c r="J40" i="3"/>
  <c r="J41" i="3"/>
  <c r="J42" i="3"/>
  <c r="J43" i="3"/>
  <c r="J44" i="3"/>
  <c r="J45" i="3"/>
  <c r="J46" i="3"/>
  <c r="J47" i="3"/>
  <c r="J48" i="3"/>
  <c r="J49" i="3"/>
  <c r="J50" i="3"/>
  <c r="J51" i="3"/>
  <c r="J52" i="3"/>
  <c r="J53" i="3"/>
  <c r="J54" i="3"/>
  <c r="J55" i="3"/>
  <c r="J56" i="3"/>
  <c r="J57" i="3"/>
  <c r="J58" i="3"/>
  <c r="J59" i="3"/>
  <c r="J60" i="3"/>
  <c r="J61" i="3"/>
  <c r="J62" i="3"/>
  <c r="J63" i="3"/>
  <c r="J64" i="3"/>
  <c r="J65" i="3"/>
  <c r="J66" i="3"/>
  <c r="J67" i="3"/>
  <c r="J68" i="3"/>
  <c r="J69" i="3"/>
  <c r="J70" i="3"/>
  <c r="J71" i="3"/>
  <c r="J72" i="3"/>
  <c r="J73" i="3"/>
  <c r="J74" i="3"/>
  <c r="J75" i="3"/>
  <c r="J76" i="3"/>
  <c r="J77" i="3"/>
  <c r="J78" i="3"/>
  <c r="J79" i="3"/>
  <c r="J80" i="3"/>
  <c r="J81" i="3"/>
  <c r="J82" i="3"/>
  <c r="J83" i="3"/>
  <c r="J84" i="3"/>
  <c r="J85" i="3"/>
  <c r="J86" i="3"/>
  <c r="J87" i="3"/>
  <c r="J88" i="3"/>
  <c r="J89" i="3"/>
  <c r="J90" i="3"/>
  <c r="J91" i="3"/>
  <c r="J92" i="3"/>
  <c r="J93" i="3"/>
  <c r="J94" i="3"/>
  <c r="J95" i="3"/>
  <c r="J96" i="3"/>
  <c r="J97" i="3"/>
  <c r="J98" i="3"/>
  <c r="J99" i="3"/>
  <c r="J100" i="3"/>
  <c r="J101" i="3"/>
  <c r="J102" i="3"/>
  <c r="J103" i="3"/>
  <c r="J104" i="3"/>
  <c r="J105" i="3"/>
  <c r="J106" i="3"/>
  <c r="J107" i="3"/>
  <c r="J108" i="3"/>
  <c r="J109" i="3"/>
  <c r="J110" i="3"/>
  <c r="J111" i="3"/>
  <c r="J112" i="3"/>
  <c r="J113" i="3"/>
  <c r="J114" i="3"/>
  <c r="J115" i="3"/>
  <c r="J116" i="3"/>
  <c r="J117" i="3"/>
  <c r="J118" i="3"/>
  <c r="J119" i="3"/>
  <c r="J120" i="3"/>
  <c r="J121" i="3"/>
  <c r="J122" i="3"/>
  <c r="J123" i="3"/>
  <c r="J124" i="3"/>
  <c r="J125" i="3"/>
  <c r="J126" i="3"/>
  <c r="J127" i="3"/>
  <c r="J128" i="3"/>
  <c r="J129" i="3"/>
  <c r="J130" i="3"/>
  <c r="J131" i="3"/>
  <c r="J132" i="3"/>
  <c r="J133" i="3"/>
  <c r="J134" i="3"/>
  <c r="J135" i="3"/>
  <c r="J136" i="3"/>
  <c r="J137" i="3"/>
  <c r="J138" i="3"/>
  <c r="J139" i="3"/>
  <c r="J140" i="3"/>
  <c r="J141" i="3"/>
  <c r="J142" i="3"/>
  <c r="J143" i="3"/>
  <c r="J144" i="3"/>
  <c r="J145" i="3"/>
  <c r="J146" i="3"/>
  <c r="J147" i="3"/>
  <c r="J148" i="3"/>
  <c r="J149" i="3"/>
  <c r="J150" i="3"/>
  <c r="J151" i="3"/>
  <c r="J152" i="3"/>
  <c r="J153" i="3"/>
  <c r="J154" i="3"/>
  <c r="J155" i="3"/>
  <c r="J156" i="3"/>
  <c r="J157" i="3"/>
  <c r="J158" i="3"/>
  <c r="J159" i="3"/>
  <c r="J160" i="3"/>
  <c r="J161" i="3"/>
  <c r="J162" i="3"/>
  <c r="J163" i="3"/>
  <c r="J164" i="3"/>
  <c r="J165" i="3"/>
  <c r="J166" i="3"/>
  <c r="J167" i="3"/>
  <c r="J168" i="3"/>
  <c r="J169" i="3"/>
  <c r="J170" i="3"/>
  <c r="J171" i="3"/>
  <c r="J172" i="3"/>
  <c r="J173" i="3"/>
  <c r="J174" i="3"/>
  <c r="J175" i="3"/>
  <c r="J176" i="3"/>
  <c r="J177" i="3"/>
  <c r="J178" i="3"/>
  <c r="J179" i="3"/>
  <c r="J180" i="3"/>
  <c r="J181" i="3"/>
  <c r="J182" i="3"/>
  <c r="J183" i="3"/>
  <c r="J184" i="3"/>
  <c r="J185" i="3"/>
  <c r="J186" i="3"/>
  <c r="J187" i="3"/>
  <c r="J188" i="3"/>
  <c r="J189" i="3"/>
  <c r="J190" i="3"/>
  <c r="J191" i="3"/>
  <c r="J192" i="3"/>
  <c r="J193" i="3"/>
  <c r="J194" i="3"/>
  <c r="J195" i="3"/>
  <c r="J196" i="3"/>
  <c r="J197" i="3"/>
  <c r="J198" i="3"/>
  <c r="J199" i="3"/>
  <c r="J200" i="3"/>
  <c r="J201" i="3"/>
  <c r="J202" i="3"/>
  <c r="J203" i="3"/>
  <c r="J204" i="3"/>
  <c r="J205" i="3"/>
  <c r="J206" i="3"/>
  <c r="J207" i="3"/>
  <c r="J208" i="3"/>
  <c r="J209" i="3"/>
  <c r="J210" i="3"/>
  <c r="J211" i="3"/>
  <c r="J212" i="3"/>
  <c r="J213" i="3"/>
  <c r="J214" i="3"/>
  <c r="J215" i="3"/>
  <c r="J216" i="3"/>
  <c r="J217" i="3"/>
  <c r="J218" i="3"/>
  <c r="J219" i="3"/>
  <c r="J220" i="3"/>
  <c r="J221" i="3"/>
  <c r="J222" i="3"/>
  <c r="J223" i="3"/>
  <c r="J224" i="3"/>
  <c r="J225" i="3"/>
  <c r="J226" i="3"/>
  <c r="J227" i="3"/>
  <c r="J228" i="3"/>
  <c r="J229" i="3"/>
  <c r="J230" i="3"/>
  <c r="J231" i="3"/>
  <c r="J232" i="3"/>
  <c r="J233" i="3"/>
  <c r="J234" i="3"/>
  <c r="J235" i="3"/>
  <c r="J236" i="3"/>
  <c r="J237" i="3"/>
  <c r="J238" i="3"/>
  <c r="J239" i="3"/>
  <c r="J240" i="3"/>
  <c r="J241" i="3"/>
  <c r="J242" i="3"/>
  <c r="J243" i="3"/>
  <c r="J244" i="3"/>
  <c r="J245" i="3"/>
  <c r="J246" i="3"/>
  <c r="J247" i="3"/>
  <c r="J248" i="3"/>
  <c r="J249" i="3"/>
  <c r="J250" i="3"/>
  <c r="J251" i="3"/>
  <c r="J252" i="3"/>
  <c r="J253" i="3"/>
  <c r="J254" i="3"/>
  <c r="J255" i="3"/>
  <c r="J256" i="3"/>
  <c r="J257" i="3"/>
  <c r="J258" i="3"/>
  <c r="J259" i="3"/>
  <c r="J260" i="3"/>
  <c r="J261" i="3"/>
  <c r="J262" i="3"/>
  <c r="J263" i="3"/>
  <c r="J264" i="3"/>
  <c r="J265" i="3"/>
  <c r="J266" i="3"/>
  <c r="J267" i="3"/>
  <c r="J268" i="3"/>
  <c r="J269" i="3"/>
  <c r="J270" i="3"/>
  <c r="J271" i="3"/>
  <c r="J272" i="3"/>
  <c r="J273" i="3"/>
  <c r="J274" i="3"/>
  <c r="J275" i="3"/>
  <c r="J276" i="3"/>
  <c r="J277" i="3"/>
  <c r="J278" i="3"/>
  <c r="J279" i="3"/>
  <c r="J280" i="3"/>
  <c r="J281" i="3"/>
  <c r="J282" i="3"/>
  <c r="J283" i="3"/>
  <c r="J284" i="3"/>
  <c r="J285" i="3"/>
  <c r="J286" i="3"/>
  <c r="J287" i="3"/>
  <c r="J288" i="3"/>
  <c r="J289" i="3"/>
  <c r="J290" i="3"/>
  <c r="J291" i="3"/>
  <c r="J292" i="3"/>
  <c r="J293" i="3"/>
  <c r="J294" i="3"/>
  <c r="J295" i="3"/>
  <c r="J296" i="3"/>
  <c r="J297" i="3"/>
  <c r="J298" i="3"/>
  <c r="J299" i="3"/>
  <c r="J300" i="3"/>
  <c r="J301" i="3"/>
  <c r="J302" i="3"/>
  <c r="J303" i="3"/>
  <c r="J304" i="3"/>
  <c r="J305" i="3"/>
  <c r="J306" i="3"/>
  <c r="J307" i="3"/>
  <c r="J308" i="3"/>
  <c r="J309" i="3"/>
  <c r="J310" i="3"/>
  <c r="J311" i="3"/>
  <c r="J312" i="3"/>
  <c r="J313" i="3"/>
  <c r="J314" i="3"/>
  <c r="J315" i="3"/>
  <c r="J316" i="3"/>
  <c r="J317" i="3"/>
  <c r="J318" i="3"/>
  <c r="J319" i="3"/>
  <c r="J320" i="3"/>
  <c r="J321" i="3"/>
  <c r="J322" i="3"/>
  <c r="J323" i="3"/>
  <c r="J324" i="3"/>
  <c r="J325" i="3"/>
  <c r="J326" i="3"/>
  <c r="J327" i="3"/>
  <c r="J328" i="3"/>
  <c r="J329" i="3"/>
  <c r="J330" i="3"/>
  <c r="J331" i="3"/>
  <c r="J332" i="3"/>
  <c r="J333" i="3"/>
  <c r="J334" i="3"/>
  <c r="J335" i="3"/>
  <c r="J336" i="3"/>
  <c r="J337" i="3"/>
  <c r="J338" i="3"/>
  <c r="J339" i="3"/>
  <c r="J340" i="3"/>
  <c r="J341" i="3"/>
  <c r="J342" i="3"/>
  <c r="J343" i="3"/>
  <c r="J344" i="3"/>
  <c r="J345" i="3"/>
  <c r="J346" i="3"/>
  <c r="K346" i="3" s="1"/>
  <c r="J347" i="3"/>
  <c r="J348" i="3"/>
  <c r="J349" i="3"/>
  <c r="J350" i="3"/>
  <c r="K350" i="3" s="1"/>
  <c r="J351" i="3"/>
  <c r="J352" i="3"/>
  <c r="J353" i="3"/>
  <c r="J354" i="3"/>
  <c r="K354" i="3" s="1"/>
  <c r="J355" i="3"/>
  <c r="J356" i="3"/>
  <c r="J357" i="3"/>
  <c r="J358" i="3"/>
  <c r="K358" i="3" s="1"/>
  <c r="J359" i="3"/>
  <c r="J360" i="3"/>
  <c r="J361" i="3"/>
  <c r="J362" i="3"/>
  <c r="K362" i="3" s="1"/>
  <c r="J363" i="3"/>
  <c r="J364" i="3"/>
  <c r="J365" i="3"/>
  <c r="J366" i="3"/>
  <c r="K366" i="3" s="1"/>
  <c r="J367" i="3"/>
  <c r="J368" i="3"/>
  <c r="J369" i="3"/>
  <c r="J370" i="3"/>
  <c r="K370" i="3" s="1"/>
  <c r="J371" i="3"/>
  <c r="J372" i="3"/>
  <c r="J373" i="3"/>
  <c r="J374" i="3"/>
  <c r="K374" i="3" s="1"/>
  <c r="J375" i="3"/>
  <c r="J376" i="3"/>
  <c r="J377" i="3"/>
  <c r="J378" i="3"/>
  <c r="K378" i="3" s="1"/>
  <c r="J379" i="3"/>
  <c r="J380" i="3"/>
  <c r="J381" i="3"/>
  <c r="J382" i="3"/>
  <c r="K382" i="3" s="1"/>
  <c r="J383" i="3"/>
  <c r="J384" i="3"/>
  <c r="J385" i="3"/>
  <c r="J386" i="3"/>
  <c r="K386" i="3" s="1"/>
  <c r="J387" i="3"/>
  <c r="J388" i="3"/>
  <c r="J389" i="3"/>
  <c r="J390" i="3"/>
  <c r="K390" i="3" s="1"/>
  <c r="J391" i="3"/>
  <c r="J392" i="3"/>
  <c r="J393" i="3"/>
  <c r="J394" i="3"/>
  <c r="K394" i="3" s="1"/>
  <c r="J395" i="3"/>
  <c r="J396" i="3"/>
  <c r="J397" i="3"/>
  <c r="J398" i="3"/>
  <c r="K398" i="3" s="1"/>
  <c r="J399" i="3"/>
  <c r="J400" i="3"/>
  <c r="J401" i="3"/>
  <c r="J402" i="3"/>
  <c r="K402" i="3" s="1"/>
  <c r="J403" i="3"/>
  <c r="J404" i="3"/>
  <c r="J405" i="3"/>
  <c r="J406" i="3"/>
  <c r="K406" i="3" s="1"/>
  <c r="J407" i="3"/>
  <c r="J408" i="3"/>
  <c r="J409" i="3"/>
  <c r="J410" i="3"/>
  <c r="K410" i="3" s="1"/>
  <c r="J411" i="3"/>
  <c r="J412" i="3"/>
  <c r="J413" i="3"/>
  <c r="J414" i="3"/>
  <c r="K414" i="3" s="1"/>
  <c r="J415" i="3"/>
  <c r="J416" i="3"/>
  <c r="J417" i="3"/>
  <c r="J418" i="3"/>
  <c r="K418" i="3" s="1"/>
  <c r="J419" i="3"/>
  <c r="J420" i="3"/>
  <c r="J421" i="3"/>
  <c r="J422" i="3"/>
  <c r="K422" i="3" s="1"/>
  <c r="J423" i="3"/>
  <c r="J424" i="3"/>
  <c r="J425" i="3"/>
  <c r="J426" i="3"/>
  <c r="K426" i="3" s="1"/>
  <c r="J427" i="3"/>
  <c r="J428" i="3"/>
  <c r="J429" i="3"/>
  <c r="J430" i="3"/>
  <c r="K430" i="3" s="1"/>
  <c r="J431" i="3"/>
  <c r="J432" i="3"/>
  <c r="J433" i="3"/>
  <c r="J434" i="3"/>
  <c r="K434" i="3" s="1"/>
  <c r="J435" i="3"/>
  <c r="J436" i="3"/>
  <c r="J437" i="3"/>
  <c r="J438" i="3"/>
  <c r="K438" i="3" s="1"/>
  <c r="J439" i="3"/>
  <c r="J440" i="3"/>
  <c r="J441" i="3"/>
  <c r="J442" i="3"/>
  <c r="K442" i="3" s="1"/>
  <c r="J443" i="3"/>
  <c r="J444" i="3"/>
  <c r="J445" i="3"/>
  <c r="J446" i="3"/>
  <c r="K446" i="3" s="1"/>
  <c r="J447" i="3"/>
  <c r="J448" i="3"/>
  <c r="J449" i="3"/>
  <c r="J450" i="3"/>
  <c r="K450" i="3" s="1"/>
  <c r="J451" i="3"/>
  <c r="J452" i="3"/>
  <c r="J453" i="3"/>
  <c r="J454" i="3"/>
  <c r="K454" i="3" s="1"/>
  <c r="J455" i="3"/>
  <c r="J456" i="3"/>
  <c r="J457" i="3"/>
  <c r="J458" i="3"/>
  <c r="K458" i="3" s="1"/>
  <c r="J459" i="3"/>
  <c r="J460" i="3"/>
  <c r="J461" i="3"/>
  <c r="J462" i="3"/>
  <c r="K462" i="3" s="1"/>
  <c r="J463" i="3"/>
  <c r="J464" i="3"/>
  <c r="J465" i="3"/>
  <c r="J466" i="3"/>
  <c r="K466" i="3" s="1"/>
  <c r="J467" i="3"/>
  <c r="J468" i="3"/>
  <c r="J469" i="3"/>
  <c r="J470" i="3"/>
  <c r="K470" i="3" s="1"/>
  <c r="J471" i="3"/>
  <c r="J472" i="3"/>
  <c r="J473" i="3"/>
  <c r="J474" i="3"/>
  <c r="K474" i="3" s="1"/>
  <c r="J475" i="3"/>
  <c r="J476" i="3"/>
  <c r="J477" i="3"/>
  <c r="J478" i="3"/>
  <c r="K478" i="3" s="1"/>
  <c r="J479" i="3"/>
  <c r="J480" i="3"/>
  <c r="J481" i="3"/>
  <c r="J482" i="3"/>
  <c r="K482" i="3" s="1"/>
  <c r="J483" i="3"/>
  <c r="J484" i="3"/>
  <c r="J485" i="3"/>
  <c r="J486" i="3"/>
  <c r="K486" i="3" s="1"/>
  <c r="J487" i="3"/>
  <c r="J488" i="3"/>
  <c r="J489" i="3"/>
  <c r="J490" i="3"/>
  <c r="K490" i="3" s="1"/>
  <c r="J491" i="3"/>
  <c r="J492" i="3"/>
  <c r="J493" i="3"/>
  <c r="J494" i="3"/>
  <c r="K494" i="3" s="1"/>
  <c r="J495" i="3"/>
  <c r="J496" i="3"/>
  <c r="J497" i="3"/>
  <c r="J498" i="3"/>
  <c r="K498" i="3" s="1"/>
  <c r="J499" i="3"/>
  <c r="J500" i="3"/>
  <c r="J501" i="3"/>
  <c r="J502" i="3"/>
  <c r="K502" i="3" s="1"/>
  <c r="J503" i="3"/>
  <c r="J504" i="3"/>
  <c r="J505" i="3"/>
  <c r="J506" i="3"/>
  <c r="K506" i="3" s="1"/>
  <c r="J507" i="3"/>
  <c r="J508" i="3"/>
  <c r="J509" i="3"/>
  <c r="J510" i="3"/>
  <c r="K510" i="3" s="1"/>
  <c r="J511" i="3"/>
  <c r="J512" i="3"/>
  <c r="J513" i="3"/>
  <c r="J514" i="3"/>
  <c r="K514" i="3" s="1"/>
  <c r="J515" i="3"/>
  <c r="J516" i="3"/>
  <c r="J517" i="3"/>
  <c r="J518" i="3"/>
  <c r="K518" i="3" s="1"/>
  <c r="J519" i="3"/>
  <c r="J520" i="3"/>
  <c r="J521" i="3"/>
  <c r="J522" i="3"/>
  <c r="K522" i="3" s="1"/>
  <c r="J523" i="3"/>
  <c r="J524" i="3"/>
  <c r="J525" i="3"/>
  <c r="J526" i="3"/>
  <c r="K526" i="3" s="1"/>
  <c r="J527" i="3"/>
  <c r="J528" i="3"/>
  <c r="J529" i="3"/>
  <c r="J530" i="3"/>
  <c r="K530" i="3" s="1"/>
  <c r="J531" i="3"/>
  <c r="J532" i="3"/>
  <c r="J533" i="3"/>
  <c r="J534" i="3"/>
  <c r="K534" i="3" s="1"/>
  <c r="J535" i="3"/>
  <c r="J536" i="3"/>
  <c r="J537" i="3"/>
  <c r="J538" i="3"/>
  <c r="K538" i="3" s="1"/>
  <c r="J539" i="3"/>
  <c r="J540" i="3"/>
  <c r="J541" i="3"/>
  <c r="J542" i="3"/>
  <c r="K542" i="3" s="1"/>
  <c r="J543" i="3"/>
  <c r="J544" i="3"/>
  <c r="J545" i="3"/>
  <c r="J546" i="3"/>
  <c r="K546" i="3" s="1"/>
  <c r="J547" i="3"/>
  <c r="J548" i="3"/>
  <c r="J549" i="3"/>
  <c r="J550" i="3"/>
  <c r="K550" i="3" s="1"/>
  <c r="J551" i="3"/>
  <c r="J552" i="3"/>
  <c r="J553" i="3"/>
  <c r="J554" i="3"/>
  <c r="K554" i="3" s="1"/>
  <c r="J555" i="3"/>
  <c r="J556" i="3"/>
  <c r="J557" i="3"/>
  <c r="J558" i="3"/>
  <c r="K558" i="3" s="1"/>
  <c r="J559" i="3"/>
  <c r="J560" i="3"/>
  <c r="J561" i="3"/>
  <c r="J562" i="3"/>
  <c r="K562" i="3" s="1"/>
  <c r="J563" i="3"/>
  <c r="J564" i="3"/>
  <c r="J565" i="3"/>
  <c r="J566" i="3"/>
  <c r="K566" i="3" s="1"/>
  <c r="J567" i="3"/>
  <c r="J568" i="3"/>
  <c r="J569" i="3"/>
  <c r="J570" i="3"/>
  <c r="K570" i="3" s="1"/>
  <c r="J571" i="3"/>
  <c r="J572" i="3"/>
  <c r="J573" i="3"/>
  <c r="J574" i="3"/>
  <c r="K574" i="3" s="1"/>
  <c r="J575" i="3"/>
  <c r="J576" i="3"/>
  <c r="J577" i="3"/>
  <c r="J578" i="3"/>
  <c r="K578" i="3" s="1"/>
  <c r="J579" i="3"/>
  <c r="J580" i="3"/>
  <c r="J581" i="3"/>
  <c r="J582" i="3"/>
  <c r="K582" i="3" s="1"/>
  <c r="J583" i="3"/>
  <c r="J584" i="3"/>
  <c r="J585" i="3"/>
  <c r="J586" i="3"/>
  <c r="K586" i="3" s="1"/>
  <c r="J587" i="3"/>
  <c r="J588" i="3"/>
  <c r="J589" i="3"/>
  <c r="J590" i="3"/>
  <c r="K590" i="3" s="1"/>
  <c r="J591" i="3"/>
  <c r="J592" i="3"/>
  <c r="J593" i="3"/>
  <c r="J594" i="3"/>
  <c r="K594" i="3" s="1"/>
  <c r="J595" i="3"/>
  <c r="J596" i="3"/>
  <c r="J597" i="3"/>
  <c r="J598" i="3"/>
  <c r="K598" i="3" s="1"/>
  <c r="J599" i="3"/>
  <c r="J600" i="3"/>
  <c r="J601" i="3"/>
  <c r="J602" i="3"/>
  <c r="K602" i="3" s="1"/>
  <c r="J603" i="3"/>
  <c r="J604" i="3"/>
  <c r="J605" i="3"/>
  <c r="J606" i="3"/>
  <c r="K606" i="3" s="1"/>
  <c r="J607" i="3"/>
  <c r="J608" i="3"/>
  <c r="J609" i="3"/>
  <c r="J610" i="3"/>
  <c r="K610" i="3" s="1"/>
  <c r="J611" i="3"/>
  <c r="J612" i="3"/>
  <c r="J613" i="3"/>
  <c r="J614" i="3"/>
  <c r="K614" i="3" s="1"/>
  <c r="J615" i="3"/>
  <c r="J616" i="3"/>
  <c r="J617" i="3"/>
  <c r="J618" i="3"/>
  <c r="K618" i="3" s="1"/>
  <c r="J619" i="3"/>
  <c r="J620" i="3"/>
  <c r="J621" i="3"/>
  <c r="J622" i="3"/>
  <c r="K622" i="3" s="1"/>
  <c r="J623" i="3"/>
  <c r="J624" i="3"/>
  <c r="J625" i="3"/>
  <c r="J626" i="3"/>
  <c r="K626" i="3" s="1"/>
  <c r="J627" i="3"/>
  <c r="J628" i="3"/>
  <c r="J629" i="3"/>
  <c r="J630" i="3"/>
  <c r="K630" i="3" s="1"/>
  <c r="J631" i="3"/>
  <c r="J632" i="3"/>
  <c r="J633" i="3"/>
  <c r="J634" i="3"/>
  <c r="K634" i="3" s="1"/>
  <c r="J635" i="3"/>
  <c r="J636" i="3"/>
  <c r="J637" i="3"/>
  <c r="J638" i="3"/>
  <c r="K638" i="3" s="1"/>
  <c r="J639" i="3"/>
  <c r="J640" i="3"/>
  <c r="J641" i="3"/>
  <c r="J642" i="3"/>
  <c r="K642" i="3" s="1"/>
  <c r="J643" i="3"/>
  <c r="J644" i="3"/>
  <c r="J645" i="3"/>
  <c r="J646" i="3"/>
  <c r="K646" i="3" s="1"/>
  <c r="J647" i="3"/>
  <c r="J648" i="3"/>
  <c r="J649" i="3"/>
  <c r="J650" i="3"/>
  <c r="K650" i="3" s="1"/>
  <c r="J651" i="3"/>
  <c r="J652" i="3"/>
  <c r="J653" i="3"/>
  <c r="J654" i="3"/>
  <c r="K654" i="3" s="1"/>
  <c r="J655" i="3"/>
  <c r="J656" i="3"/>
  <c r="J657" i="3"/>
  <c r="J658" i="3"/>
  <c r="K658" i="3" s="1"/>
  <c r="J659" i="3"/>
  <c r="J660" i="3"/>
  <c r="J661" i="3"/>
  <c r="J662" i="3"/>
  <c r="K662" i="3" s="1"/>
  <c r="J663" i="3"/>
  <c r="J664" i="3"/>
  <c r="J665" i="3"/>
  <c r="J666" i="3"/>
  <c r="K666" i="3" s="1"/>
  <c r="J667" i="3"/>
  <c r="J668" i="3"/>
  <c r="J669" i="3"/>
  <c r="J670" i="3"/>
  <c r="K670" i="3" s="1"/>
  <c r="J671" i="3"/>
  <c r="J672" i="3"/>
  <c r="J673" i="3"/>
  <c r="J674" i="3"/>
  <c r="K674" i="3" s="1"/>
  <c r="J675" i="3"/>
  <c r="J676" i="3"/>
  <c r="J677" i="3"/>
  <c r="J678" i="3"/>
  <c r="K678" i="3" s="1"/>
  <c r="J679" i="3"/>
  <c r="J680" i="3"/>
  <c r="J681" i="3"/>
  <c r="J682" i="3"/>
  <c r="K682" i="3" s="1"/>
  <c r="J683" i="3"/>
  <c r="J684" i="3"/>
  <c r="J685" i="3"/>
  <c r="J686" i="3"/>
  <c r="K686" i="3" s="1"/>
  <c r="J687" i="3"/>
  <c r="J688" i="3"/>
  <c r="J689" i="3"/>
  <c r="J690" i="3"/>
  <c r="K690" i="3" s="1"/>
  <c r="J691" i="3"/>
  <c r="J692" i="3"/>
  <c r="J693" i="3"/>
  <c r="J694" i="3"/>
  <c r="K694" i="3" s="1"/>
  <c r="J695" i="3"/>
  <c r="J696" i="3"/>
  <c r="J697" i="3"/>
  <c r="J698" i="3"/>
  <c r="K698" i="3" s="1"/>
  <c r="J699" i="3"/>
  <c r="J700" i="3"/>
  <c r="J701" i="3"/>
  <c r="J702" i="3"/>
  <c r="K702" i="3" s="1"/>
  <c r="J703" i="3"/>
  <c r="J704" i="3"/>
  <c r="J705" i="3"/>
  <c r="J706" i="3"/>
  <c r="K706" i="3" s="1"/>
  <c r="J707" i="3"/>
  <c r="J708" i="3"/>
  <c r="J709" i="3"/>
  <c r="J710" i="3"/>
  <c r="K710" i="3" s="1"/>
  <c r="J711" i="3"/>
  <c r="J712" i="3"/>
  <c r="J713" i="3"/>
  <c r="J714" i="3"/>
  <c r="K714" i="3" s="1"/>
  <c r="J715" i="3"/>
  <c r="J716" i="3"/>
  <c r="J717" i="3"/>
  <c r="J718" i="3"/>
  <c r="K718" i="3" s="1"/>
  <c r="J719" i="3"/>
  <c r="J720" i="3"/>
  <c r="J721" i="3"/>
  <c r="J722" i="3"/>
  <c r="K722" i="3" s="1"/>
  <c r="J723" i="3"/>
  <c r="J724" i="3"/>
  <c r="J725" i="3"/>
  <c r="J726" i="3"/>
  <c r="K726" i="3" s="1"/>
  <c r="J727" i="3"/>
  <c r="J728" i="3"/>
  <c r="J729" i="3"/>
  <c r="J730" i="3"/>
  <c r="K730" i="3" s="1"/>
  <c r="J731" i="3"/>
  <c r="J732" i="3"/>
  <c r="J733" i="3"/>
  <c r="J734" i="3"/>
  <c r="K734" i="3" s="1"/>
  <c r="J735" i="3"/>
  <c r="J736" i="3"/>
  <c r="J737" i="3"/>
  <c r="J738" i="3"/>
  <c r="K738" i="3" s="1"/>
  <c r="J739" i="3"/>
  <c r="J740" i="3"/>
  <c r="J741" i="3"/>
  <c r="J742" i="3"/>
  <c r="K742" i="3" s="1"/>
  <c r="J743" i="3"/>
  <c r="J744" i="3"/>
  <c r="J745" i="3"/>
  <c r="J746" i="3"/>
  <c r="K746" i="3" s="1"/>
  <c r="J747" i="3"/>
  <c r="J748" i="3"/>
  <c r="J749" i="3"/>
  <c r="J750" i="3"/>
  <c r="K750" i="3" s="1"/>
  <c r="J751" i="3"/>
  <c r="J752" i="3"/>
  <c r="J753" i="3"/>
  <c r="J754" i="3"/>
  <c r="K754" i="3" s="1"/>
  <c r="J755" i="3"/>
  <c r="J756" i="3"/>
  <c r="J757" i="3"/>
  <c r="J758" i="3"/>
  <c r="K758" i="3" s="1"/>
  <c r="J759" i="3"/>
  <c r="J760" i="3"/>
  <c r="J761" i="3"/>
  <c r="J762" i="3"/>
  <c r="K762" i="3" s="1"/>
  <c r="J763" i="3"/>
  <c r="J764" i="3"/>
  <c r="J765" i="3"/>
  <c r="J766" i="3"/>
  <c r="K766" i="3" s="1"/>
  <c r="J767" i="3"/>
  <c r="J768" i="3"/>
  <c r="J769" i="3"/>
  <c r="J770" i="3"/>
  <c r="K770" i="3" s="1"/>
  <c r="J771" i="3"/>
  <c r="J772" i="3"/>
  <c r="J773" i="3"/>
  <c r="J774" i="3"/>
  <c r="K774" i="3" s="1"/>
  <c r="J775" i="3"/>
  <c r="J776" i="3"/>
  <c r="J777" i="3"/>
  <c r="J778" i="3"/>
  <c r="K778" i="3" s="1"/>
  <c r="J779" i="3"/>
  <c r="J780" i="3"/>
  <c r="J781" i="3"/>
  <c r="J782" i="3"/>
  <c r="K782" i="3" s="1"/>
  <c r="J783" i="3"/>
  <c r="J784" i="3"/>
  <c r="J785" i="3"/>
  <c r="J786" i="3"/>
  <c r="K786" i="3" s="1"/>
  <c r="J787" i="3"/>
  <c r="J788" i="3"/>
  <c r="J789" i="3"/>
  <c r="J790" i="3"/>
  <c r="K790" i="3" s="1"/>
  <c r="J791" i="3"/>
  <c r="J792" i="3"/>
  <c r="J793" i="3"/>
  <c r="J794" i="3"/>
  <c r="K794" i="3" s="1"/>
  <c r="J795" i="3"/>
  <c r="J796" i="3"/>
  <c r="J797" i="3"/>
  <c r="J798" i="3"/>
  <c r="K798" i="3" s="1"/>
  <c r="J799" i="3"/>
  <c r="J800" i="3"/>
  <c r="J801" i="3"/>
  <c r="J802" i="3"/>
  <c r="K802" i="3" s="1"/>
  <c r="J803" i="3"/>
  <c r="J804" i="3"/>
  <c r="J805" i="3"/>
  <c r="J806" i="3"/>
  <c r="K806" i="3" s="1"/>
  <c r="J807" i="3"/>
  <c r="J808" i="3"/>
  <c r="J809" i="3"/>
  <c r="J810" i="3"/>
  <c r="K810" i="3" s="1"/>
  <c r="J811" i="3"/>
  <c r="J812" i="3"/>
  <c r="J813" i="3"/>
  <c r="J814" i="3"/>
  <c r="K814" i="3" s="1"/>
  <c r="J815" i="3"/>
  <c r="J816" i="3"/>
  <c r="J817" i="3"/>
  <c r="J818" i="3"/>
  <c r="K818" i="3" s="1"/>
  <c r="J819" i="3"/>
  <c r="J820" i="3"/>
  <c r="J821" i="3"/>
  <c r="J822" i="3"/>
  <c r="K822" i="3" s="1"/>
  <c r="J823" i="3"/>
  <c r="J824" i="3"/>
  <c r="J825" i="3"/>
  <c r="J826" i="3"/>
  <c r="K826" i="3" s="1"/>
  <c r="J827" i="3"/>
  <c r="J828" i="3"/>
  <c r="J829" i="3"/>
  <c r="J830" i="3"/>
  <c r="K830" i="3" s="1"/>
  <c r="J831" i="3"/>
  <c r="J832" i="3"/>
  <c r="J833" i="3"/>
  <c r="J834" i="3"/>
  <c r="K834" i="3" s="1"/>
  <c r="J835" i="3"/>
  <c r="J836" i="3"/>
  <c r="J837" i="3"/>
  <c r="J838" i="3"/>
  <c r="K838" i="3" s="1"/>
  <c r="J839" i="3"/>
  <c r="J840" i="3"/>
  <c r="J841" i="3"/>
  <c r="J842" i="3"/>
  <c r="K842" i="3" s="1"/>
  <c r="J843" i="3"/>
  <c r="J844" i="3"/>
  <c r="J845" i="3"/>
  <c r="J846" i="3"/>
  <c r="K846" i="3" s="1"/>
  <c r="J847" i="3"/>
  <c r="J848" i="3"/>
  <c r="J849" i="3"/>
  <c r="J850" i="3"/>
  <c r="K850" i="3" s="1"/>
  <c r="J851" i="3"/>
  <c r="J852" i="3"/>
  <c r="J853" i="3"/>
  <c r="J854" i="3"/>
  <c r="K854" i="3" s="1"/>
  <c r="J855" i="3"/>
  <c r="J856" i="3"/>
  <c r="J857" i="3"/>
  <c r="J858" i="3"/>
  <c r="K858" i="3" s="1"/>
  <c r="J859" i="3"/>
  <c r="J860" i="3"/>
  <c r="J861" i="3"/>
  <c r="J862" i="3"/>
  <c r="K862" i="3" s="1"/>
  <c r="J863" i="3"/>
  <c r="J864" i="3"/>
  <c r="J865" i="3"/>
  <c r="J866" i="3"/>
  <c r="K866" i="3" s="1"/>
  <c r="J867" i="3"/>
  <c r="J868" i="3"/>
  <c r="J869" i="3"/>
  <c r="J870" i="3"/>
  <c r="K870" i="3" s="1"/>
  <c r="J871" i="3"/>
  <c r="J872" i="3"/>
  <c r="J873" i="3"/>
  <c r="J874" i="3"/>
  <c r="K874" i="3" s="1"/>
  <c r="J875" i="3"/>
  <c r="J876" i="3"/>
  <c r="J877" i="3"/>
  <c r="J878" i="3"/>
  <c r="K878" i="3" s="1"/>
  <c r="J879" i="3"/>
  <c r="J880" i="3"/>
  <c r="J881" i="3"/>
  <c r="J882" i="3"/>
  <c r="K882" i="3" s="1"/>
  <c r="J883" i="3"/>
  <c r="J884" i="3"/>
  <c r="J885" i="3"/>
  <c r="J886" i="3"/>
  <c r="K886" i="3" s="1"/>
  <c r="J887" i="3"/>
  <c r="J888" i="3"/>
  <c r="J889" i="3"/>
  <c r="J890" i="3"/>
  <c r="K890" i="3" s="1"/>
  <c r="J891" i="3"/>
  <c r="J892" i="3"/>
  <c r="J893" i="3"/>
  <c r="J894" i="3"/>
  <c r="K894" i="3" s="1"/>
  <c r="J895" i="3"/>
  <c r="J896" i="3"/>
  <c r="J897" i="3"/>
  <c r="J898" i="3"/>
  <c r="K898" i="3" s="1"/>
  <c r="J899" i="3"/>
  <c r="J900" i="3"/>
  <c r="J901" i="3"/>
  <c r="J902" i="3"/>
  <c r="K902" i="3" s="1"/>
  <c r="J903" i="3"/>
  <c r="J904" i="3"/>
  <c r="J905" i="3"/>
  <c r="J906" i="3"/>
  <c r="K906" i="3" s="1"/>
  <c r="J907" i="3"/>
  <c r="J908" i="3"/>
  <c r="J909" i="3"/>
  <c r="J910" i="3"/>
  <c r="K910" i="3" s="1"/>
  <c r="J911" i="3"/>
  <c r="J912" i="3"/>
  <c r="J913" i="3"/>
  <c r="J914" i="3"/>
  <c r="K914" i="3" s="1"/>
  <c r="J915" i="3"/>
  <c r="J916" i="3"/>
  <c r="J917" i="3"/>
  <c r="J918" i="3"/>
  <c r="K918" i="3" s="1"/>
  <c r="J919" i="3"/>
  <c r="J920" i="3"/>
  <c r="J921" i="3"/>
  <c r="J922" i="3"/>
  <c r="K922" i="3" s="1"/>
  <c r="J923" i="3"/>
  <c r="J924" i="3"/>
  <c r="J925" i="3"/>
  <c r="J926" i="3"/>
  <c r="K926" i="3" s="1"/>
  <c r="J927" i="3"/>
  <c r="J928" i="3"/>
  <c r="J929" i="3"/>
  <c r="J930" i="3"/>
  <c r="K930" i="3" s="1"/>
  <c r="J931" i="3"/>
  <c r="J932" i="3"/>
  <c r="J933" i="3"/>
  <c r="J934" i="3"/>
  <c r="K934" i="3" s="1"/>
  <c r="J935" i="3"/>
  <c r="J936" i="3"/>
  <c r="J937" i="3"/>
  <c r="J938" i="3"/>
  <c r="K938" i="3" s="1"/>
  <c r="J939" i="3"/>
  <c r="J940" i="3"/>
  <c r="J941" i="3"/>
  <c r="J942" i="3"/>
  <c r="K942" i="3" s="1"/>
  <c r="J943" i="3"/>
  <c r="J944" i="3"/>
  <c r="J945" i="3"/>
  <c r="J946" i="3"/>
  <c r="K946" i="3" s="1"/>
  <c r="J947" i="3"/>
  <c r="J948" i="3"/>
  <c r="J949" i="3"/>
  <c r="J950" i="3"/>
  <c r="K950" i="3" s="1"/>
  <c r="J951" i="3"/>
  <c r="J952" i="3"/>
  <c r="J953" i="3"/>
  <c r="J954" i="3"/>
  <c r="K954" i="3" s="1"/>
  <c r="J955" i="3"/>
  <c r="J956" i="3"/>
  <c r="J957" i="3"/>
  <c r="J958" i="3"/>
  <c r="K958" i="3" s="1"/>
  <c r="J959" i="3"/>
  <c r="J960" i="3"/>
  <c r="J961" i="3"/>
  <c r="J962" i="3"/>
  <c r="K962" i="3" s="1"/>
  <c r="J963" i="3"/>
  <c r="J964" i="3"/>
  <c r="J965" i="3"/>
  <c r="J966" i="3"/>
  <c r="K966" i="3" s="1"/>
  <c r="J967" i="3"/>
  <c r="J968" i="3"/>
  <c r="J969" i="3"/>
  <c r="J970" i="3"/>
  <c r="K970" i="3" s="1"/>
  <c r="J971" i="3"/>
  <c r="J972" i="3"/>
  <c r="J973" i="3"/>
  <c r="J974" i="3"/>
  <c r="K974" i="3" s="1"/>
  <c r="J975" i="3"/>
  <c r="J976" i="3"/>
  <c r="J977" i="3"/>
  <c r="J978" i="3"/>
  <c r="K978" i="3" s="1"/>
  <c r="J979" i="3"/>
  <c r="J980" i="3"/>
  <c r="J981" i="3"/>
  <c r="J982" i="3"/>
  <c r="K982" i="3" s="1"/>
  <c r="J983" i="3"/>
  <c r="J984" i="3"/>
  <c r="J985" i="3"/>
  <c r="J986" i="3"/>
  <c r="K986" i="3" s="1"/>
  <c r="J987" i="3"/>
  <c r="J988" i="3"/>
  <c r="J989" i="3"/>
  <c r="J990" i="3"/>
  <c r="K990" i="3" s="1"/>
  <c r="J991" i="3"/>
  <c r="J992" i="3"/>
  <c r="J993" i="3"/>
  <c r="J994" i="3"/>
  <c r="K994" i="3" s="1"/>
  <c r="J995" i="3"/>
  <c r="J996" i="3"/>
  <c r="J997" i="3"/>
  <c r="J998" i="3"/>
  <c r="K998" i="3" s="1"/>
  <c r="J999" i="3"/>
  <c r="J1000" i="3"/>
  <c r="J1001" i="3"/>
  <c r="J1002" i="3"/>
  <c r="K1002" i="3" s="1"/>
  <c r="J1003" i="3"/>
  <c r="J1004" i="3"/>
  <c r="J1005" i="3"/>
  <c r="J1006" i="3"/>
  <c r="K1006" i="3" s="1"/>
  <c r="J2" i="3"/>
  <c r="H3" i="3"/>
  <c r="H4" i="3"/>
  <c r="H5" i="3"/>
  <c r="H6" i="3"/>
  <c r="H7" i="3"/>
  <c r="H8" i="3"/>
  <c r="H9" i="3"/>
  <c r="H10" i="3"/>
  <c r="H11" i="3"/>
  <c r="H12" i="3"/>
  <c r="H13" i="3"/>
  <c r="H14" i="3"/>
  <c r="H15" i="3"/>
  <c r="H16" i="3"/>
  <c r="H17" i="3"/>
  <c r="H18" i="3"/>
  <c r="H19" i="3"/>
  <c r="H20" i="3"/>
  <c r="H21" i="3"/>
  <c r="H22" i="3"/>
  <c r="H23" i="3"/>
  <c r="H24" i="3"/>
  <c r="H25" i="3"/>
  <c r="H26" i="3"/>
  <c r="H27" i="3"/>
  <c r="H28" i="3"/>
  <c r="H29" i="3"/>
  <c r="H30" i="3"/>
  <c r="H31" i="3"/>
  <c r="H32" i="3"/>
  <c r="H33" i="3"/>
  <c r="H34" i="3"/>
  <c r="H35" i="3"/>
  <c r="H36" i="3"/>
  <c r="H37" i="3"/>
  <c r="H38" i="3"/>
  <c r="H39" i="3"/>
  <c r="H40" i="3"/>
  <c r="H41" i="3"/>
  <c r="H42" i="3"/>
  <c r="H43" i="3"/>
  <c r="H44" i="3"/>
  <c r="H45" i="3"/>
  <c r="H46" i="3"/>
  <c r="H47" i="3"/>
  <c r="H48" i="3"/>
  <c r="H49" i="3"/>
  <c r="H50" i="3"/>
  <c r="H51" i="3"/>
  <c r="H52" i="3"/>
  <c r="H53" i="3"/>
  <c r="H54" i="3"/>
  <c r="H55" i="3"/>
  <c r="H56" i="3"/>
  <c r="H57" i="3"/>
  <c r="H58" i="3"/>
  <c r="H59" i="3"/>
  <c r="H60" i="3"/>
  <c r="H61" i="3"/>
  <c r="H62" i="3"/>
  <c r="H63" i="3"/>
  <c r="H64" i="3"/>
  <c r="H65" i="3"/>
  <c r="H66" i="3"/>
  <c r="H67" i="3"/>
  <c r="H68" i="3"/>
  <c r="H69" i="3"/>
  <c r="H70" i="3"/>
  <c r="H71" i="3"/>
  <c r="H72" i="3"/>
  <c r="H73" i="3"/>
  <c r="H74" i="3"/>
  <c r="H75" i="3"/>
  <c r="H76" i="3"/>
  <c r="H77" i="3"/>
  <c r="H78" i="3"/>
  <c r="H79" i="3"/>
  <c r="H80" i="3"/>
  <c r="H81" i="3"/>
  <c r="H82" i="3"/>
  <c r="H83" i="3"/>
  <c r="H84" i="3"/>
  <c r="H85" i="3"/>
  <c r="H86" i="3"/>
  <c r="H87" i="3"/>
  <c r="H88" i="3"/>
  <c r="H89" i="3"/>
  <c r="H90" i="3"/>
  <c r="H91" i="3"/>
  <c r="H92" i="3"/>
  <c r="H93" i="3"/>
  <c r="H94" i="3"/>
  <c r="H95" i="3"/>
  <c r="H96" i="3"/>
  <c r="H97" i="3"/>
  <c r="H98" i="3"/>
  <c r="H99" i="3"/>
  <c r="H100" i="3"/>
  <c r="H101" i="3"/>
  <c r="H102" i="3"/>
  <c r="H103" i="3"/>
  <c r="H104" i="3"/>
  <c r="H105" i="3"/>
  <c r="H106" i="3"/>
  <c r="H107" i="3"/>
  <c r="H108" i="3"/>
  <c r="H109" i="3"/>
  <c r="H110" i="3"/>
  <c r="H111" i="3"/>
  <c r="H112" i="3"/>
  <c r="H113" i="3"/>
  <c r="H114" i="3"/>
  <c r="H115" i="3"/>
  <c r="H116" i="3"/>
  <c r="H117" i="3"/>
  <c r="H118" i="3"/>
  <c r="H119" i="3"/>
  <c r="H120" i="3"/>
  <c r="H121" i="3"/>
  <c r="H122" i="3"/>
  <c r="H123" i="3"/>
  <c r="H124" i="3"/>
  <c r="H125" i="3"/>
  <c r="H126" i="3"/>
  <c r="H127" i="3"/>
  <c r="H128" i="3"/>
  <c r="H129" i="3"/>
  <c r="H130" i="3"/>
  <c r="H131" i="3"/>
  <c r="H132" i="3"/>
  <c r="H133" i="3"/>
  <c r="H134" i="3"/>
  <c r="H135" i="3"/>
  <c r="H136" i="3"/>
  <c r="H137" i="3"/>
  <c r="H138" i="3"/>
  <c r="H139" i="3"/>
  <c r="H140" i="3"/>
  <c r="H141" i="3"/>
  <c r="H142" i="3"/>
  <c r="H143" i="3"/>
  <c r="H144" i="3"/>
  <c r="H145" i="3"/>
  <c r="H146" i="3"/>
  <c r="H147" i="3"/>
  <c r="H148" i="3"/>
  <c r="H149" i="3"/>
  <c r="H150" i="3"/>
  <c r="H151" i="3"/>
  <c r="H152" i="3"/>
  <c r="H153" i="3"/>
  <c r="H154" i="3"/>
  <c r="H155" i="3"/>
  <c r="H156" i="3"/>
  <c r="H157" i="3"/>
  <c r="H158" i="3"/>
  <c r="H159" i="3"/>
  <c r="H160" i="3"/>
  <c r="H161" i="3"/>
  <c r="H162" i="3"/>
  <c r="H163" i="3"/>
  <c r="H164" i="3"/>
  <c r="H165" i="3"/>
  <c r="H166" i="3"/>
  <c r="H167" i="3"/>
  <c r="H168" i="3"/>
  <c r="H169" i="3"/>
  <c r="H170" i="3"/>
  <c r="H171" i="3"/>
  <c r="H172" i="3"/>
  <c r="H173" i="3"/>
  <c r="H174" i="3"/>
  <c r="H175" i="3"/>
  <c r="H176" i="3"/>
  <c r="H177" i="3"/>
  <c r="H178" i="3"/>
  <c r="H179" i="3"/>
  <c r="H180" i="3"/>
  <c r="H181" i="3"/>
  <c r="H182" i="3"/>
  <c r="H183" i="3"/>
  <c r="H184" i="3"/>
  <c r="H185" i="3"/>
  <c r="H186" i="3"/>
  <c r="H187" i="3"/>
  <c r="H188" i="3"/>
  <c r="H189" i="3"/>
  <c r="H190" i="3"/>
  <c r="H191" i="3"/>
  <c r="H192" i="3"/>
  <c r="H193" i="3"/>
  <c r="H194" i="3"/>
  <c r="H195" i="3"/>
  <c r="H196" i="3"/>
  <c r="H197" i="3"/>
  <c r="H198" i="3"/>
  <c r="H199" i="3"/>
  <c r="H200" i="3"/>
  <c r="H201" i="3"/>
  <c r="H202" i="3"/>
  <c r="H203" i="3"/>
  <c r="H204" i="3"/>
  <c r="H205" i="3"/>
  <c r="H206" i="3"/>
  <c r="H207" i="3"/>
  <c r="H208" i="3"/>
  <c r="H209" i="3"/>
  <c r="H210" i="3"/>
  <c r="H211" i="3"/>
  <c r="H212" i="3"/>
  <c r="H213" i="3"/>
  <c r="H214" i="3"/>
  <c r="H215" i="3"/>
  <c r="H216" i="3"/>
  <c r="H217" i="3"/>
  <c r="H218" i="3"/>
  <c r="H219" i="3"/>
  <c r="H220" i="3"/>
  <c r="H221" i="3"/>
  <c r="H222" i="3"/>
  <c r="H223" i="3"/>
  <c r="H224" i="3"/>
  <c r="H225" i="3"/>
  <c r="H226" i="3"/>
  <c r="H227" i="3"/>
  <c r="H228" i="3"/>
  <c r="H229" i="3"/>
  <c r="H230" i="3"/>
  <c r="H231" i="3"/>
  <c r="H232" i="3"/>
  <c r="H233" i="3"/>
  <c r="H234" i="3"/>
  <c r="H235" i="3"/>
  <c r="H236" i="3"/>
  <c r="H237" i="3"/>
  <c r="H238" i="3"/>
  <c r="H239" i="3"/>
  <c r="H240" i="3"/>
  <c r="H241" i="3"/>
  <c r="H242" i="3"/>
  <c r="H243" i="3"/>
  <c r="H244" i="3"/>
  <c r="H245" i="3"/>
  <c r="H246" i="3"/>
  <c r="H247" i="3"/>
  <c r="H248" i="3"/>
  <c r="H249" i="3"/>
  <c r="H250" i="3"/>
  <c r="H251" i="3"/>
  <c r="H252" i="3"/>
  <c r="H253" i="3"/>
  <c r="H254" i="3"/>
  <c r="H255" i="3"/>
  <c r="H256" i="3"/>
  <c r="H257" i="3"/>
  <c r="H258" i="3"/>
  <c r="H259" i="3"/>
  <c r="H260" i="3"/>
  <c r="H261" i="3"/>
  <c r="H262" i="3"/>
  <c r="H263" i="3"/>
  <c r="H264" i="3"/>
  <c r="H265" i="3"/>
  <c r="H266" i="3"/>
  <c r="H267" i="3"/>
  <c r="H268" i="3"/>
  <c r="H269" i="3"/>
  <c r="H270" i="3"/>
  <c r="H271" i="3"/>
  <c r="H272" i="3"/>
  <c r="H273" i="3"/>
  <c r="H274" i="3"/>
  <c r="H275" i="3"/>
  <c r="H276" i="3"/>
  <c r="H277" i="3"/>
  <c r="H278" i="3"/>
  <c r="H279" i="3"/>
  <c r="H280" i="3"/>
  <c r="H281" i="3"/>
  <c r="H282" i="3"/>
  <c r="H283" i="3"/>
  <c r="H284" i="3"/>
  <c r="H285" i="3"/>
  <c r="H286" i="3"/>
  <c r="H287" i="3"/>
  <c r="H288" i="3"/>
  <c r="H289" i="3"/>
  <c r="H290" i="3"/>
  <c r="H291" i="3"/>
  <c r="H292" i="3"/>
  <c r="H293" i="3"/>
  <c r="H294" i="3"/>
  <c r="H295" i="3"/>
  <c r="H296" i="3"/>
  <c r="H297" i="3"/>
  <c r="H298" i="3"/>
  <c r="H299" i="3"/>
  <c r="H300" i="3"/>
  <c r="H301" i="3"/>
  <c r="H302" i="3"/>
  <c r="H303" i="3"/>
  <c r="H304" i="3"/>
  <c r="H305" i="3"/>
  <c r="H306" i="3"/>
  <c r="H307" i="3"/>
  <c r="H308" i="3"/>
  <c r="H309" i="3"/>
  <c r="H310" i="3"/>
  <c r="H311" i="3"/>
  <c r="H312" i="3"/>
  <c r="H313" i="3"/>
  <c r="H314" i="3"/>
  <c r="H315" i="3"/>
  <c r="H316" i="3"/>
  <c r="H317" i="3"/>
  <c r="H318" i="3"/>
  <c r="H319" i="3"/>
  <c r="H320" i="3"/>
  <c r="H321" i="3"/>
  <c r="H322" i="3"/>
  <c r="H323" i="3"/>
  <c r="H324" i="3"/>
  <c r="H325" i="3"/>
  <c r="H326" i="3"/>
  <c r="H327" i="3"/>
  <c r="H328" i="3"/>
  <c r="H329" i="3"/>
  <c r="H330" i="3"/>
  <c r="H331" i="3"/>
  <c r="H332" i="3"/>
  <c r="H333" i="3"/>
  <c r="H334" i="3"/>
  <c r="H335" i="3"/>
  <c r="H336" i="3"/>
  <c r="H337" i="3"/>
  <c r="H338" i="3"/>
  <c r="H339" i="3"/>
  <c r="H340" i="3"/>
  <c r="H341" i="3"/>
  <c r="H342" i="3"/>
  <c r="H343" i="3"/>
  <c r="H344" i="3"/>
  <c r="H345" i="3"/>
  <c r="H346" i="3"/>
  <c r="H347" i="3"/>
  <c r="H348" i="3"/>
  <c r="H349" i="3"/>
  <c r="H350" i="3"/>
  <c r="H351" i="3"/>
  <c r="H352" i="3"/>
  <c r="H353" i="3"/>
  <c r="H354" i="3"/>
  <c r="H355" i="3"/>
  <c r="H356" i="3"/>
  <c r="H357" i="3"/>
  <c r="H358" i="3"/>
  <c r="H359" i="3"/>
  <c r="H360" i="3"/>
  <c r="H361" i="3"/>
  <c r="H362" i="3"/>
  <c r="H363" i="3"/>
  <c r="H364" i="3"/>
  <c r="H365" i="3"/>
  <c r="H366" i="3"/>
  <c r="H367" i="3"/>
  <c r="H368" i="3"/>
  <c r="H369" i="3"/>
  <c r="H370" i="3"/>
  <c r="H371" i="3"/>
  <c r="H372" i="3"/>
  <c r="H373" i="3"/>
  <c r="H374" i="3"/>
  <c r="H375" i="3"/>
  <c r="H376" i="3"/>
  <c r="H377" i="3"/>
  <c r="H378" i="3"/>
  <c r="H379" i="3"/>
  <c r="H380" i="3"/>
  <c r="H381" i="3"/>
  <c r="H382" i="3"/>
  <c r="H383" i="3"/>
  <c r="H384" i="3"/>
  <c r="H385" i="3"/>
  <c r="H386" i="3"/>
  <c r="H387" i="3"/>
  <c r="H388" i="3"/>
  <c r="H389" i="3"/>
  <c r="H390" i="3"/>
  <c r="H391" i="3"/>
  <c r="H392" i="3"/>
  <c r="H393" i="3"/>
  <c r="H394" i="3"/>
  <c r="H395" i="3"/>
  <c r="H396" i="3"/>
  <c r="H397" i="3"/>
  <c r="H398" i="3"/>
  <c r="H399" i="3"/>
  <c r="H400" i="3"/>
  <c r="H401" i="3"/>
  <c r="H402" i="3"/>
  <c r="H403" i="3"/>
  <c r="H404" i="3"/>
  <c r="H405" i="3"/>
  <c r="H406" i="3"/>
  <c r="H407" i="3"/>
  <c r="H408" i="3"/>
  <c r="H409" i="3"/>
  <c r="H410" i="3"/>
  <c r="H411" i="3"/>
  <c r="H412" i="3"/>
  <c r="H413" i="3"/>
  <c r="H414" i="3"/>
  <c r="H415" i="3"/>
  <c r="H416" i="3"/>
  <c r="H417" i="3"/>
  <c r="H418" i="3"/>
  <c r="H419" i="3"/>
  <c r="H420" i="3"/>
  <c r="H421" i="3"/>
  <c r="H422" i="3"/>
  <c r="H423" i="3"/>
  <c r="H424" i="3"/>
  <c r="H425" i="3"/>
  <c r="H426" i="3"/>
  <c r="H427" i="3"/>
  <c r="H428" i="3"/>
  <c r="H429" i="3"/>
  <c r="H430" i="3"/>
  <c r="H431" i="3"/>
  <c r="H432" i="3"/>
  <c r="H433" i="3"/>
  <c r="H434" i="3"/>
  <c r="H435" i="3"/>
  <c r="H436" i="3"/>
  <c r="H437" i="3"/>
  <c r="H438" i="3"/>
  <c r="H439" i="3"/>
  <c r="H440" i="3"/>
  <c r="H441" i="3"/>
  <c r="H442" i="3"/>
  <c r="H443" i="3"/>
  <c r="H444" i="3"/>
  <c r="H445" i="3"/>
  <c r="H446" i="3"/>
  <c r="H447" i="3"/>
  <c r="H448" i="3"/>
  <c r="H449" i="3"/>
  <c r="H450" i="3"/>
  <c r="H451" i="3"/>
  <c r="H452" i="3"/>
  <c r="H453" i="3"/>
  <c r="H454" i="3"/>
  <c r="H455" i="3"/>
  <c r="H456" i="3"/>
  <c r="H457" i="3"/>
  <c r="H458" i="3"/>
  <c r="H459" i="3"/>
  <c r="H460" i="3"/>
  <c r="H461" i="3"/>
  <c r="H462" i="3"/>
  <c r="H463" i="3"/>
  <c r="H464" i="3"/>
  <c r="H465" i="3"/>
  <c r="H466" i="3"/>
  <c r="H467" i="3"/>
  <c r="H468" i="3"/>
  <c r="H469" i="3"/>
  <c r="H470" i="3"/>
  <c r="H471" i="3"/>
  <c r="H472" i="3"/>
  <c r="H473" i="3"/>
  <c r="H474" i="3"/>
  <c r="H475" i="3"/>
  <c r="H476" i="3"/>
  <c r="H477" i="3"/>
  <c r="H478" i="3"/>
  <c r="H479" i="3"/>
  <c r="H480" i="3"/>
  <c r="H481" i="3"/>
  <c r="H482" i="3"/>
  <c r="H483" i="3"/>
  <c r="H484" i="3"/>
  <c r="H485" i="3"/>
  <c r="H486" i="3"/>
  <c r="H487" i="3"/>
  <c r="H488" i="3"/>
  <c r="H489" i="3"/>
  <c r="H490" i="3"/>
  <c r="H491" i="3"/>
  <c r="H492" i="3"/>
  <c r="H493" i="3"/>
  <c r="H494" i="3"/>
  <c r="H495" i="3"/>
  <c r="H496" i="3"/>
  <c r="H497" i="3"/>
  <c r="H498" i="3"/>
  <c r="H499" i="3"/>
  <c r="H500" i="3"/>
  <c r="H501" i="3"/>
  <c r="H502" i="3"/>
  <c r="H503" i="3"/>
  <c r="H504" i="3"/>
  <c r="H505" i="3"/>
  <c r="H506" i="3"/>
  <c r="H507" i="3"/>
  <c r="H508" i="3"/>
  <c r="H509" i="3"/>
  <c r="H510" i="3"/>
  <c r="H511" i="3"/>
  <c r="H512" i="3"/>
  <c r="H513" i="3"/>
  <c r="H514" i="3"/>
  <c r="H515" i="3"/>
  <c r="H516" i="3"/>
  <c r="H517" i="3"/>
  <c r="H518" i="3"/>
  <c r="H519" i="3"/>
  <c r="H520" i="3"/>
  <c r="H521" i="3"/>
  <c r="H522" i="3"/>
  <c r="H523" i="3"/>
  <c r="H524" i="3"/>
  <c r="H525" i="3"/>
  <c r="H526" i="3"/>
  <c r="H527" i="3"/>
  <c r="H528" i="3"/>
  <c r="H529" i="3"/>
  <c r="H530" i="3"/>
  <c r="H531" i="3"/>
  <c r="H532" i="3"/>
  <c r="H533" i="3"/>
  <c r="H534" i="3"/>
  <c r="H535" i="3"/>
  <c r="H536" i="3"/>
  <c r="H537" i="3"/>
  <c r="H538" i="3"/>
  <c r="H539" i="3"/>
  <c r="H540" i="3"/>
  <c r="H541" i="3"/>
  <c r="H542" i="3"/>
  <c r="H543" i="3"/>
  <c r="H544" i="3"/>
  <c r="H545" i="3"/>
  <c r="H546" i="3"/>
  <c r="H547" i="3"/>
  <c r="H548" i="3"/>
  <c r="H549" i="3"/>
  <c r="H550" i="3"/>
  <c r="H551" i="3"/>
  <c r="H552" i="3"/>
  <c r="H553" i="3"/>
  <c r="H554" i="3"/>
  <c r="H555" i="3"/>
  <c r="H556" i="3"/>
  <c r="H557" i="3"/>
  <c r="H558" i="3"/>
  <c r="H559" i="3"/>
  <c r="H560" i="3"/>
  <c r="H561" i="3"/>
  <c r="H562" i="3"/>
  <c r="H563" i="3"/>
  <c r="H564" i="3"/>
  <c r="H565" i="3"/>
  <c r="H566" i="3"/>
  <c r="H567" i="3"/>
  <c r="H568" i="3"/>
  <c r="H569" i="3"/>
  <c r="H570" i="3"/>
  <c r="H571" i="3"/>
  <c r="H572" i="3"/>
  <c r="H573" i="3"/>
  <c r="H574" i="3"/>
  <c r="H575" i="3"/>
  <c r="H576" i="3"/>
  <c r="H577" i="3"/>
  <c r="H578" i="3"/>
  <c r="H579" i="3"/>
  <c r="H580" i="3"/>
  <c r="H581" i="3"/>
  <c r="H582" i="3"/>
  <c r="H583" i="3"/>
  <c r="H584" i="3"/>
  <c r="H585" i="3"/>
  <c r="H586" i="3"/>
  <c r="H587" i="3"/>
  <c r="H588" i="3"/>
  <c r="H589" i="3"/>
  <c r="H590" i="3"/>
  <c r="H591" i="3"/>
  <c r="H592" i="3"/>
  <c r="H593" i="3"/>
  <c r="H594" i="3"/>
  <c r="H595" i="3"/>
  <c r="H596" i="3"/>
  <c r="H597" i="3"/>
  <c r="H598" i="3"/>
  <c r="H599" i="3"/>
  <c r="H600" i="3"/>
  <c r="H601" i="3"/>
  <c r="H602" i="3"/>
  <c r="H603" i="3"/>
  <c r="H604" i="3"/>
  <c r="H605" i="3"/>
  <c r="H606" i="3"/>
  <c r="H607" i="3"/>
  <c r="H608" i="3"/>
  <c r="H609" i="3"/>
  <c r="H610" i="3"/>
  <c r="H611" i="3"/>
  <c r="H612" i="3"/>
  <c r="H613" i="3"/>
  <c r="H614" i="3"/>
  <c r="H615" i="3"/>
  <c r="H616" i="3"/>
  <c r="H617" i="3"/>
  <c r="H618" i="3"/>
  <c r="H619" i="3"/>
  <c r="H620" i="3"/>
  <c r="H621" i="3"/>
  <c r="H622" i="3"/>
  <c r="H623" i="3"/>
  <c r="H624" i="3"/>
  <c r="H625" i="3"/>
  <c r="H626" i="3"/>
  <c r="H627" i="3"/>
  <c r="H628" i="3"/>
  <c r="H629" i="3"/>
  <c r="H630" i="3"/>
  <c r="H631" i="3"/>
  <c r="H632" i="3"/>
  <c r="H633" i="3"/>
  <c r="H634" i="3"/>
  <c r="H635" i="3"/>
  <c r="H636" i="3"/>
  <c r="H637" i="3"/>
  <c r="H638" i="3"/>
  <c r="H639" i="3"/>
  <c r="H640" i="3"/>
  <c r="H641" i="3"/>
  <c r="H642" i="3"/>
  <c r="H643" i="3"/>
  <c r="H644" i="3"/>
  <c r="H645" i="3"/>
  <c r="H646" i="3"/>
  <c r="H647" i="3"/>
  <c r="H648" i="3"/>
  <c r="H649" i="3"/>
  <c r="H650" i="3"/>
  <c r="H651" i="3"/>
  <c r="H652" i="3"/>
  <c r="H653" i="3"/>
  <c r="H654" i="3"/>
  <c r="H655" i="3"/>
  <c r="H656" i="3"/>
  <c r="H657" i="3"/>
  <c r="H658" i="3"/>
  <c r="H659" i="3"/>
  <c r="H660" i="3"/>
  <c r="H661" i="3"/>
  <c r="H662" i="3"/>
  <c r="H663" i="3"/>
  <c r="H664" i="3"/>
  <c r="H665" i="3"/>
  <c r="H666" i="3"/>
  <c r="H667" i="3"/>
  <c r="H668" i="3"/>
  <c r="H669" i="3"/>
  <c r="H670" i="3"/>
  <c r="H671" i="3"/>
  <c r="H672" i="3"/>
  <c r="H673" i="3"/>
  <c r="H674" i="3"/>
  <c r="H675" i="3"/>
  <c r="H676" i="3"/>
  <c r="H677" i="3"/>
  <c r="H678" i="3"/>
  <c r="H679" i="3"/>
  <c r="H680" i="3"/>
  <c r="H681" i="3"/>
  <c r="H682" i="3"/>
  <c r="H683" i="3"/>
  <c r="H684" i="3"/>
  <c r="H685" i="3"/>
  <c r="H686" i="3"/>
  <c r="H687" i="3"/>
  <c r="H688" i="3"/>
  <c r="H689" i="3"/>
  <c r="H690" i="3"/>
  <c r="H691" i="3"/>
  <c r="H692" i="3"/>
  <c r="H693" i="3"/>
  <c r="H694" i="3"/>
  <c r="H695" i="3"/>
  <c r="H696" i="3"/>
  <c r="H697" i="3"/>
  <c r="H698" i="3"/>
  <c r="H699" i="3"/>
  <c r="H700" i="3"/>
  <c r="H701" i="3"/>
  <c r="H702" i="3"/>
  <c r="H703" i="3"/>
  <c r="H704" i="3"/>
  <c r="H705" i="3"/>
  <c r="H706" i="3"/>
  <c r="H707" i="3"/>
  <c r="H708" i="3"/>
  <c r="H709" i="3"/>
  <c r="H710" i="3"/>
  <c r="H711" i="3"/>
  <c r="H712" i="3"/>
  <c r="H713" i="3"/>
  <c r="H714" i="3"/>
  <c r="H715" i="3"/>
  <c r="H716" i="3"/>
  <c r="H717" i="3"/>
  <c r="H718" i="3"/>
  <c r="H719" i="3"/>
  <c r="H720" i="3"/>
  <c r="H721" i="3"/>
  <c r="H722" i="3"/>
  <c r="H723" i="3"/>
  <c r="H724" i="3"/>
  <c r="H725" i="3"/>
  <c r="H726" i="3"/>
  <c r="H727" i="3"/>
  <c r="H728" i="3"/>
  <c r="H729" i="3"/>
  <c r="H730" i="3"/>
  <c r="H731" i="3"/>
  <c r="H732" i="3"/>
  <c r="H733" i="3"/>
  <c r="H734" i="3"/>
  <c r="H735" i="3"/>
  <c r="H736" i="3"/>
  <c r="H737" i="3"/>
  <c r="H738" i="3"/>
  <c r="H739" i="3"/>
  <c r="H740" i="3"/>
  <c r="H741" i="3"/>
  <c r="H742" i="3"/>
  <c r="H743" i="3"/>
  <c r="H744" i="3"/>
  <c r="H745" i="3"/>
  <c r="H746" i="3"/>
  <c r="H747" i="3"/>
  <c r="H748" i="3"/>
  <c r="H749" i="3"/>
  <c r="H750" i="3"/>
  <c r="H751" i="3"/>
  <c r="H752" i="3"/>
  <c r="H753" i="3"/>
  <c r="H754" i="3"/>
  <c r="H755" i="3"/>
  <c r="H756" i="3"/>
  <c r="H757" i="3"/>
  <c r="H758" i="3"/>
  <c r="H759" i="3"/>
  <c r="H760" i="3"/>
  <c r="H761" i="3"/>
  <c r="H762" i="3"/>
  <c r="H763" i="3"/>
  <c r="H764" i="3"/>
  <c r="H765" i="3"/>
  <c r="H766" i="3"/>
  <c r="H767" i="3"/>
  <c r="H768" i="3"/>
  <c r="H769" i="3"/>
  <c r="H770" i="3"/>
  <c r="H771" i="3"/>
  <c r="H772" i="3"/>
  <c r="H773" i="3"/>
  <c r="H774" i="3"/>
  <c r="H775" i="3"/>
  <c r="H776" i="3"/>
  <c r="H777" i="3"/>
  <c r="H778" i="3"/>
  <c r="H779" i="3"/>
  <c r="H780" i="3"/>
  <c r="H781" i="3"/>
  <c r="H782" i="3"/>
  <c r="H783" i="3"/>
  <c r="H784" i="3"/>
  <c r="H785" i="3"/>
  <c r="H786" i="3"/>
  <c r="H787" i="3"/>
  <c r="H788" i="3"/>
  <c r="H789" i="3"/>
  <c r="H790" i="3"/>
  <c r="H791" i="3"/>
  <c r="H792" i="3"/>
  <c r="H793" i="3"/>
  <c r="H794" i="3"/>
  <c r="H795" i="3"/>
  <c r="H796" i="3"/>
  <c r="H797" i="3"/>
  <c r="H798" i="3"/>
  <c r="H799" i="3"/>
  <c r="H800" i="3"/>
  <c r="H801" i="3"/>
  <c r="H802" i="3"/>
  <c r="H803" i="3"/>
  <c r="H804" i="3"/>
  <c r="H805" i="3"/>
  <c r="H806" i="3"/>
  <c r="H807" i="3"/>
  <c r="H808" i="3"/>
  <c r="H809" i="3"/>
  <c r="H810" i="3"/>
  <c r="H811" i="3"/>
  <c r="H812" i="3"/>
  <c r="H813" i="3"/>
  <c r="H814" i="3"/>
  <c r="H815" i="3"/>
  <c r="H816" i="3"/>
  <c r="H817" i="3"/>
  <c r="H818" i="3"/>
  <c r="H819" i="3"/>
  <c r="H820" i="3"/>
  <c r="H821" i="3"/>
  <c r="H822" i="3"/>
  <c r="H823" i="3"/>
  <c r="H824" i="3"/>
  <c r="H825" i="3"/>
  <c r="H826" i="3"/>
  <c r="H827" i="3"/>
  <c r="H828" i="3"/>
  <c r="H829" i="3"/>
  <c r="H830" i="3"/>
  <c r="H831" i="3"/>
  <c r="H832" i="3"/>
  <c r="H833" i="3"/>
  <c r="H834" i="3"/>
  <c r="H835" i="3"/>
  <c r="H836" i="3"/>
  <c r="H837" i="3"/>
  <c r="H838" i="3"/>
  <c r="H839" i="3"/>
  <c r="H840" i="3"/>
  <c r="H841" i="3"/>
  <c r="H842" i="3"/>
  <c r="H843" i="3"/>
  <c r="H844" i="3"/>
  <c r="H845" i="3"/>
  <c r="H846" i="3"/>
  <c r="H847" i="3"/>
  <c r="H848" i="3"/>
  <c r="H849" i="3"/>
  <c r="H850" i="3"/>
  <c r="H851" i="3"/>
  <c r="H852" i="3"/>
  <c r="H853" i="3"/>
  <c r="H854" i="3"/>
  <c r="H855" i="3"/>
  <c r="H856" i="3"/>
  <c r="H857" i="3"/>
  <c r="H858" i="3"/>
  <c r="H859" i="3"/>
  <c r="H860" i="3"/>
  <c r="H861" i="3"/>
  <c r="H862" i="3"/>
  <c r="H863" i="3"/>
  <c r="H864" i="3"/>
  <c r="H865" i="3"/>
  <c r="H866" i="3"/>
  <c r="H867" i="3"/>
  <c r="H868" i="3"/>
  <c r="H869" i="3"/>
  <c r="H870" i="3"/>
  <c r="H871" i="3"/>
  <c r="H872" i="3"/>
  <c r="H873" i="3"/>
  <c r="H874" i="3"/>
  <c r="H875" i="3"/>
  <c r="H876" i="3"/>
  <c r="H877" i="3"/>
  <c r="H878" i="3"/>
  <c r="H879" i="3"/>
  <c r="H880" i="3"/>
  <c r="H881" i="3"/>
  <c r="H882" i="3"/>
  <c r="H883" i="3"/>
  <c r="H884" i="3"/>
  <c r="H885" i="3"/>
  <c r="H886" i="3"/>
  <c r="H887" i="3"/>
  <c r="H888" i="3"/>
  <c r="H889" i="3"/>
  <c r="H890" i="3"/>
  <c r="H891" i="3"/>
  <c r="H892" i="3"/>
  <c r="H893" i="3"/>
  <c r="H894" i="3"/>
  <c r="H895" i="3"/>
  <c r="H896" i="3"/>
  <c r="H897" i="3"/>
  <c r="H898" i="3"/>
  <c r="H899" i="3"/>
  <c r="H900" i="3"/>
  <c r="H901" i="3"/>
  <c r="H902" i="3"/>
  <c r="H903" i="3"/>
  <c r="H904" i="3"/>
  <c r="H905" i="3"/>
  <c r="H906" i="3"/>
  <c r="H907" i="3"/>
  <c r="H908" i="3"/>
  <c r="H909" i="3"/>
  <c r="H910" i="3"/>
  <c r="H911" i="3"/>
  <c r="H912" i="3"/>
  <c r="H913" i="3"/>
  <c r="H914" i="3"/>
  <c r="H915" i="3"/>
  <c r="H916" i="3"/>
  <c r="H917" i="3"/>
  <c r="H918" i="3"/>
  <c r="H919" i="3"/>
  <c r="H920" i="3"/>
  <c r="H921" i="3"/>
  <c r="H922" i="3"/>
  <c r="H923" i="3"/>
  <c r="H924" i="3"/>
  <c r="H925" i="3"/>
  <c r="H926" i="3"/>
  <c r="H927" i="3"/>
  <c r="H928" i="3"/>
  <c r="H929" i="3"/>
  <c r="H930" i="3"/>
  <c r="H931" i="3"/>
  <c r="H932" i="3"/>
  <c r="H933" i="3"/>
  <c r="H934" i="3"/>
  <c r="H935" i="3"/>
  <c r="H936" i="3"/>
  <c r="H937" i="3"/>
  <c r="H938" i="3"/>
  <c r="H939" i="3"/>
  <c r="H940" i="3"/>
  <c r="H941" i="3"/>
  <c r="H942" i="3"/>
  <c r="H943" i="3"/>
  <c r="H944" i="3"/>
  <c r="H945" i="3"/>
  <c r="H946" i="3"/>
  <c r="H947" i="3"/>
  <c r="H948" i="3"/>
  <c r="H949" i="3"/>
  <c r="H950" i="3"/>
  <c r="H951" i="3"/>
  <c r="H952" i="3"/>
  <c r="H953" i="3"/>
  <c r="H954" i="3"/>
  <c r="H955" i="3"/>
  <c r="H956" i="3"/>
  <c r="H957" i="3"/>
  <c r="H958" i="3"/>
  <c r="H959" i="3"/>
  <c r="H960" i="3"/>
  <c r="H961" i="3"/>
  <c r="H962" i="3"/>
  <c r="H963" i="3"/>
  <c r="H964" i="3"/>
  <c r="H965" i="3"/>
  <c r="H966" i="3"/>
  <c r="H967" i="3"/>
  <c r="H968" i="3"/>
  <c r="H969" i="3"/>
  <c r="H970" i="3"/>
  <c r="H971" i="3"/>
  <c r="H972" i="3"/>
  <c r="H973" i="3"/>
  <c r="H974" i="3"/>
  <c r="H975" i="3"/>
  <c r="H976" i="3"/>
  <c r="H977" i="3"/>
  <c r="H978" i="3"/>
  <c r="H979" i="3"/>
  <c r="H980" i="3"/>
  <c r="H981" i="3"/>
  <c r="H982" i="3"/>
  <c r="H983" i="3"/>
  <c r="H984" i="3"/>
  <c r="H985" i="3"/>
  <c r="H986" i="3"/>
  <c r="H987" i="3"/>
  <c r="H988" i="3"/>
  <c r="H989" i="3"/>
  <c r="H990" i="3"/>
  <c r="H991" i="3"/>
  <c r="H992" i="3"/>
  <c r="H993" i="3"/>
  <c r="H994" i="3"/>
  <c r="H995" i="3"/>
  <c r="H996" i="3"/>
  <c r="H997" i="3"/>
  <c r="H998" i="3"/>
  <c r="H999" i="3"/>
  <c r="H1000" i="3"/>
  <c r="H1001" i="3"/>
  <c r="H1002" i="3"/>
  <c r="H1003" i="3"/>
  <c r="H1004" i="3"/>
  <c r="H1005" i="3"/>
  <c r="H1006" i="3"/>
  <c r="H1007" i="3"/>
  <c r="H2" i="3"/>
  <c r="I2" i="3"/>
  <c r="I3" i="3"/>
  <c r="I4" i="3"/>
  <c r="I5" i="3"/>
  <c r="I6" i="3"/>
  <c r="I7" i="3"/>
  <c r="I8" i="3"/>
  <c r="I9" i="3"/>
  <c r="I10" i="3"/>
  <c r="I11" i="3"/>
  <c r="I12" i="3"/>
  <c r="I13" i="3"/>
  <c r="I14" i="3"/>
  <c r="I15" i="3"/>
  <c r="I16" i="3"/>
  <c r="I17" i="3"/>
  <c r="I18" i="3"/>
  <c r="I19" i="3"/>
  <c r="I20" i="3"/>
  <c r="I21" i="3"/>
  <c r="I22" i="3"/>
  <c r="I23" i="3"/>
  <c r="I24" i="3"/>
  <c r="I25" i="3"/>
  <c r="I26" i="3"/>
  <c r="I27" i="3"/>
  <c r="I28" i="3"/>
  <c r="I29" i="3"/>
  <c r="I30" i="3"/>
  <c r="I31" i="3"/>
  <c r="I32" i="3"/>
  <c r="I33" i="3"/>
  <c r="I34" i="3"/>
  <c r="I35" i="3"/>
  <c r="I36" i="3"/>
  <c r="I37" i="3"/>
  <c r="I38" i="3"/>
  <c r="I39" i="3"/>
  <c r="I40" i="3"/>
  <c r="I41" i="3"/>
  <c r="I42" i="3"/>
  <c r="I43" i="3"/>
  <c r="I44" i="3"/>
  <c r="I45" i="3"/>
  <c r="I46" i="3"/>
  <c r="I47" i="3"/>
  <c r="I48" i="3"/>
  <c r="I49" i="3"/>
  <c r="I50" i="3"/>
  <c r="I51" i="3"/>
  <c r="I52" i="3"/>
  <c r="I53" i="3"/>
  <c r="I54" i="3"/>
  <c r="I55" i="3"/>
  <c r="I56" i="3"/>
  <c r="I57" i="3"/>
  <c r="I58" i="3"/>
  <c r="I59" i="3"/>
  <c r="I60" i="3"/>
  <c r="I61" i="3"/>
  <c r="I62" i="3"/>
  <c r="I63" i="3"/>
  <c r="I64" i="3"/>
  <c r="I65" i="3"/>
  <c r="I66" i="3"/>
  <c r="I67" i="3"/>
  <c r="I68" i="3"/>
  <c r="I69" i="3"/>
  <c r="I70" i="3"/>
  <c r="I71" i="3"/>
  <c r="I72" i="3"/>
  <c r="I73" i="3"/>
  <c r="I74" i="3"/>
  <c r="I75" i="3"/>
  <c r="I76" i="3"/>
  <c r="I77" i="3"/>
  <c r="I78" i="3"/>
  <c r="I79" i="3"/>
  <c r="I80" i="3"/>
  <c r="I81" i="3"/>
  <c r="I82" i="3"/>
  <c r="I83" i="3"/>
  <c r="I84" i="3"/>
  <c r="I85" i="3"/>
  <c r="I86" i="3"/>
  <c r="I87" i="3"/>
  <c r="I88" i="3"/>
  <c r="I89" i="3"/>
  <c r="I90" i="3"/>
  <c r="I91" i="3"/>
  <c r="I92" i="3"/>
  <c r="I93" i="3"/>
  <c r="I94" i="3"/>
  <c r="I95" i="3"/>
  <c r="I96" i="3"/>
  <c r="I97" i="3"/>
  <c r="I98" i="3"/>
  <c r="I99" i="3"/>
  <c r="I100" i="3"/>
  <c r="I101" i="3"/>
  <c r="I102" i="3"/>
  <c r="I103" i="3"/>
  <c r="I104" i="3"/>
  <c r="I105" i="3"/>
  <c r="I106" i="3"/>
  <c r="I107" i="3"/>
  <c r="I108" i="3"/>
  <c r="I109" i="3"/>
  <c r="I110" i="3"/>
  <c r="I111" i="3"/>
  <c r="I112" i="3"/>
  <c r="I113" i="3"/>
  <c r="I114" i="3"/>
  <c r="I115" i="3"/>
  <c r="I116" i="3"/>
  <c r="I117" i="3"/>
  <c r="I118" i="3"/>
  <c r="I119" i="3"/>
  <c r="I120" i="3"/>
  <c r="I121" i="3"/>
  <c r="I122" i="3"/>
  <c r="I123" i="3"/>
  <c r="I124" i="3"/>
  <c r="I125" i="3"/>
  <c r="I126" i="3"/>
  <c r="I127" i="3"/>
  <c r="I128" i="3"/>
  <c r="I129" i="3"/>
  <c r="I130" i="3"/>
  <c r="I131" i="3"/>
  <c r="I132" i="3"/>
  <c r="I133" i="3"/>
  <c r="I134" i="3"/>
  <c r="I135" i="3"/>
  <c r="I136" i="3"/>
  <c r="I137" i="3"/>
  <c r="I138" i="3"/>
  <c r="I139" i="3"/>
  <c r="I140" i="3"/>
  <c r="I141" i="3"/>
  <c r="I142" i="3"/>
  <c r="I143" i="3"/>
  <c r="I144" i="3"/>
  <c r="I145" i="3"/>
  <c r="I146" i="3"/>
  <c r="I147" i="3"/>
  <c r="I148" i="3"/>
  <c r="I149" i="3"/>
  <c r="I150" i="3"/>
  <c r="I151" i="3"/>
  <c r="I152" i="3"/>
  <c r="I153" i="3"/>
  <c r="I154" i="3"/>
  <c r="I155" i="3"/>
  <c r="I156" i="3"/>
  <c r="I157" i="3"/>
  <c r="I158" i="3"/>
  <c r="I159" i="3"/>
  <c r="I160" i="3"/>
  <c r="I161" i="3"/>
  <c r="I162" i="3"/>
  <c r="I163" i="3"/>
  <c r="I164" i="3"/>
  <c r="I165" i="3"/>
  <c r="I166" i="3"/>
  <c r="I167" i="3"/>
  <c r="I168" i="3"/>
  <c r="I169" i="3"/>
  <c r="I170" i="3"/>
  <c r="I171" i="3"/>
  <c r="I172" i="3"/>
  <c r="I173" i="3"/>
  <c r="I174" i="3"/>
  <c r="I175" i="3"/>
  <c r="I176" i="3"/>
  <c r="I177" i="3"/>
  <c r="I178" i="3"/>
  <c r="I179" i="3"/>
  <c r="I180" i="3"/>
  <c r="I181" i="3"/>
  <c r="I182" i="3"/>
  <c r="I183" i="3"/>
  <c r="I184" i="3"/>
  <c r="I185" i="3"/>
  <c r="I186" i="3"/>
  <c r="I187" i="3"/>
  <c r="I188" i="3"/>
  <c r="I189" i="3"/>
  <c r="I190" i="3"/>
  <c r="I191" i="3"/>
  <c r="I192" i="3"/>
  <c r="I193" i="3"/>
  <c r="I194" i="3"/>
  <c r="I195" i="3"/>
  <c r="I196" i="3"/>
  <c r="I197" i="3"/>
  <c r="I198" i="3"/>
  <c r="I199" i="3"/>
  <c r="I200" i="3"/>
  <c r="I201" i="3"/>
  <c r="I202" i="3"/>
  <c r="I203" i="3"/>
  <c r="I204" i="3"/>
  <c r="I205" i="3"/>
  <c r="I206" i="3"/>
  <c r="I207" i="3"/>
  <c r="I208" i="3"/>
  <c r="I209" i="3"/>
  <c r="I210" i="3"/>
  <c r="I211" i="3"/>
  <c r="I212" i="3"/>
  <c r="I213" i="3"/>
  <c r="I214" i="3"/>
  <c r="I215" i="3"/>
  <c r="I216" i="3"/>
  <c r="I217" i="3"/>
  <c r="I218" i="3"/>
  <c r="I219" i="3"/>
  <c r="I220" i="3"/>
  <c r="I221" i="3"/>
  <c r="I222" i="3"/>
  <c r="I223" i="3"/>
  <c r="I224" i="3"/>
  <c r="I225" i="3"/>
  <c r="I226" i="3"/>
  <c r="I227" i="3"/>
  <c r="I228" i="3"/>
  <c r="I229" i="3"/>
  <c r="I230" i="3"/>
  <c r="I231" i="3"/>
  <c r="I232" i="3"/>
  <c r="I233" i="3"/>
  <c r="I234" i="3"/>
  <c r="I235" i="3"/>
  <c r="I236" i="3"/>
  <c r="I237" i="3"/>
  <c r="I238" i="3"/>
  <c r="I239" i="3"/>
  <c r="I240" i="3"/>
  <c r="I241" i="3"/>
  <c r="I242" i="3"/>
  <c r="I243" i="3"/>
  <c r="I244" i="3"/>
  <c r="I245" i="3"/>
  <c r="I246" i="3"/>
  <c r="I247" i="3"/>
  <c r="I248" i="3"/>
  <c r="I249" i="3"/>
  <c r="I250" i="3"/>
  <c r="I251" i="3"/>
  <c r="I252" i="3"/>
  <c r="I253" i="3"/>
  <c r="I254" i="3"/>
  <c r="I255" i="3"/>
  <c r="I256" i="3"/>
  <c r="I257" i="3"/>
  <c r="I258" i="3"/>
  <c r="I259" i="3"/>
  <c r="I260" i="3"/>
  <c r="I261" i="3"/>
  <c r="I262" i="3"/>
  <c r="I263" i="3"/>
  <c r="I264" i="3"/>
  <c r="I265" i="3"/>
  <c r="I266" i="3"/>
  <c r="I267" i="3"/>
  <c r="I268" i="3"/>
  <c r="I269" i="3"/>
  <c r="I270" i="3"/>
  <c r="I271" i="3"/>
  <c r="I272" i="3"/>
  <c r="I273" i="3"/>
  <c r="I274" i="3"/>
  <c r="I275" i="3"/>
  <c r="I276" i="3"/>
  <c r="I277" i="3"/>
  <c r="I278" i="3"/>
  <c r="I279" i="3"/>
  <c r="I280" i="3"/>
  <c r="I281" i="3"/>
  <c r="I282" i="3"/>
  <c r="I283" i="3"/>
  <c r="I284" i="3"/>
  <c r="I285" i="3"/>
  <c r="I286" i="3"/>
  <c r="I287" i="3"/>
  <c r="I288" i="3"/>
  <c r="I289" i="3"/>
  <c r="I290" i="3"/>
  <c r="I291" i="3"/>
  <c r="I292" i="3"/>
  <c r="I293" i="3"/>
  <c r="I294" i="3"/>
  <c r="I295" i="3"/>
  <c r="I296" i="3"/>
  <c r="I297" i="3"/>
  <c r="I298" i="3"/>
  <c r="I299" i="3"/>
  <c r="I300" i="3"/>
  <c r="I301" i="3"/>
  <c r="I302" i="3"/>
  <c r="I303" i="3"/>
  <c r="I304" i="3"/>
  <c r="I305" i="3"/>
  <c r="I306" i="3"/>
  <c r="I307" i="3"/>
  <c r="I308" i="3"/>
  <c r="I309" i="3"/>
  <c r="I310" i="3"/>
  <c r="I311" i="3"/>
  <c r="I312" i="3"/>
  <c r="I313" i="3"/>
  <c r="I314" i="3"/>
  <c r="I315" i="3"/>
  <c r="I316" i="3"/>
  <c r="I317" i="3"/>
  <c r="I318" i="3"/>
  <c r="I319" i="3"/>
  <c r="I320" i="3"/>
  <c r="I321" i="3"/>
  <c r="I322" i="3"/>
  <c r="I323" i="3"/>
  <c r="I324" i="3"/>
  <c r="I325" i="3"/>
  <c r="I326" i="3"/>
  <c r="I327" i="3"/>
  <c r="I328" i="3"/>
  <c r="I329" i="3"/>
  <c r="I330" i="3"/>
  <c r="I331" i="3"/>
  <c r="I332" i="3"/>
  <c r="I333" i="3"/>
  <c r="I334" i="3"/>
  <c r="I335" i="3"/>
  <c r="I336" i="3"/>
  <c r="I337" i="3"/>
  <c r="I338" i="3"/>
  <c r="I339" i="3"/>
  <c r="I340" i="3"/>
  <c r="I341" i="3"/>
  <c r="I342" i="3"/>
  <c r="I343" i="3"/>
  <c r="I344" i="3"/>
  <c r="I345" i="3"/>
  <c r="I346" i="3"/>
  <c r="I347" i="3"/>
  <c r="I348" i="3"/>
  <c r="I349" i="3"/>
  <c r="I350" i="3"/>
  <c r="I351" i="3"/>
  <c r="I352" i="3"/>
  <c r="I353" i="3"/>
  <c r="I354" i="3"/>
  <c r="I355" i="3"/>
  <c r="I356" i="3"/>
  <c r="I357" i="3"/>
  <c r="I358" i="3"/>
  <c r="I359" i="3"/>
  <c r="I360" i="3"/>
  <c r="I361" i="3"/>
  <c r="I362" i="3"/>
  <c r="I363" i="3"/>
  <c r="I364" i="3"/>
  <c r="I365" i="3"/>
  <c r="I366" i="3"/>
  <c r="I367" i="3"/>
  <c r="I368" i="3"/>
  <c r="I369" i="3"/>
  <c r="I370" i="3"/>
  <c r="I371" i="3"/>
  <c r="I372" i="3"/>
  <c r="I373" i="3"/>
  <c r="I374" i="3"/>
  <c r="I375" i="3"/>
  <c r="I376" i="3"/>
  <c r="I377" i="3"/>
  <c r="I378" i="3"/>
  <c r="I379" i="3"/>
  <c r="I380" i="3"/>
  <c r="I381" i="3"/>
  <c r="I382" i="3"/>
  <c r="I383" i="3"/>
  <c r="I384" i="3"/>
  <c r="I385" i="3"/>
  <c r="I386" i="3"/>
  <c r="I387" i="3"/>
  <c r="I388" i="3"/>
  <c r="I389" i="3"/>
  <c r="I390" i="3"/>
  <c r="I391" i="3"/>
  <c r="I392" i="3"/>
  <c r="I393" i="3"/>
  <c r="I394" i="3"/>
  <c r="I395" i="3"/>
  <c r="I396" i="3"/>
  <c r="I397" i="3"/>
  <c r="I398" i="3"/>
  <c r="I399" i="3"/>
  <c r="I400" i="3"/>
  <c r="I401" i="3"/>
  <c r="I402" i="3"/>
  <c r="I403" i="3"/>
  <c r="I404" i="3"/>
  <c r="I405" i="3"/>
  <c r="I406" i="3"/>
  <c r="I407" i="3"/>
  <c r="I408" i="3"/>
  <c r="I409" i="3"/>
  <c r="I410" i="3"/>
  <c r="I411" i="3"/>
  <c r="I412" i="3"/>
  <c r="I413" i="3"/>
  <c r="I414" i="3"/>
  <c r="I415" i="3"/>
  <c r="I416" i="3"/>
  <c r="I417" i="3"/>
  <c r="I418" i="3"/>
  <c r="I419" i="3"/>
  <c r="I420" i="3"/>
  <c r="I421" i="3"/>
  <c r="I422" i="3"/>
  <c r="I423" i="3"/>
  <c r="I424" i="3"/>
  <c r="I425" i="3"/>
  <c r="I426" i="3"/>
  <c r="I427" i="3"/>
  <c r="I428" i="3"/>
  <c r="I429" i="3"/>
  <c r="I430" i="3"/>
  <c r="I431" i="3"/>
  <c r="I432" i="3"/>
  <c r="I433" i="3"/>
  <c r="I434" i="3"/>
  <c r="I435" i="3"/>
  <c r="I436" i="3"/>
  <c r="I437" i="3"/>
  <c r="I438" i="3"/>
  <c r="I439" i="3"/>
  <c r="I440" i="3"/>
  <c r="I441" i="3"/>
  <c r="I442" i="3"/>
  <c r="I443" i="3"/>
  <c r="I444" i="3"/>
  <c r="I445" i="3"/>
  <c r="I446" i="3"/>
  <c r="I447" i="3"/>
  <c r="I448" i="3"/>
  <c r="I449" i="3"/>
  <c r="I450" i="3"/>
  <c r="I451" i="3"/>
  <c r="I452" i="3"/>
  <c r="I453" i="3"/>
  <c r="I454" i="3"/>
  <c r="I455" i="3"/>
  <c r="I456" i="3"/>
  <c r="I457" i="3"/>
  <c r="I458" i="3"/>
  <c r="I459" i="3"/>
  <c r="I460" i="3"/>
  <c r="I461" i="3"/>
  <c r="I462" i="3"/>
  <c r="I463" i="3"/>
  <c r="I464" i="3"/>
  <c r="I465" i="3"/>
  <c r="I466" i="3"/>
  <c r="I467" i="3"/>
  <c r="I468" i="3"/>
  <c r="I469" i="3"/>
  <c r="I470" i="3"/>
  <c r="I471" i="3"/>
  <c r="I472" i="3"/>
  <c r="I473" i="3"/>
  <c r="I474" i="3"/>
  <c r="I475" i="3"/>
  <c r="I476" i="3"/>
  <c r="I477" i="3"/>
  <c r="I478" i="3"/>
  <c r="I479" i="3"/>
  <c r="I480" i="3"/>
  <c r="I481" i="3"/>
  <c r="I482" i="3"/>
  <c r="I483" i="3"/>
  <c r="I484" i="3"/>
  <c r="I485" i="3"/>
  <c r="I486" i="3"/>
  <c r="I487" i="3"/>
  <c r="I488" i="3"/>
  <c r="I489" i="3"/>
  <c r="I490" i="3"/>
  <c r="I491" i="3"/>
  <c r="I492" i="3"/>
  <c r="I493" i="3"/>
  <c r="I494" i="3"/>
  <c r="I495" i="3"/>
  <c r="I496" i="3"/>
  <c r="I497" i="3"/>
  <c r="I498" i="3"/>
  <c r="I499" i="3"/>
  <c r="I500" i="3"/>
  <c r="I501" i="3"/>
  <c r="I502" i="3"/>
  <c r="I503" i="3"/>
  <c r="I504" i="3"/>
  <c r="I505" i="3"/>
  <c r="I506" i="3"/>
  <c r="I507" i="3"/>
  <c r="I508" i="3"/>
  <c r="I509" i="3"/>
  <c r="I510" i="3"/>
  <c r="I511" i="3"/>
  <c r="I512" i="3"/>
  <c r="I513" i="3"/>
  <c r="I514" i="3"/>
  <c r="I515" i="3"/>
  <c r="I516" i="3"/>
  <c r="I517" i="3"/>
  <c r="I518" i="3"/>
  <c r="I519" i="3"/>
  <c r="I520" i="3"/>
  <c r="I521" i="3"/>
  <c r="I522" i="3"/>
  <c r="I523" i="3"/>
  <c r="I524" i="3"/>
  <c r="I525" i="3"/>
  <c r="I526" i="3"/>
  <c r="I527" i="3"/>
  <c r="I528" i="3"/>
  <c r="I529" i="3"/>
  <c r="I530" i="3"/>
  <c r="I531" i="3"/>
  <c r="I532" i="3"/>
  <c r="I533" i="3"/>
  <c r="I534" i="3"/>
  <c r="I535" i="3"/>
  <c r="I536" i="3"/>
  <c r="I537" i="3"/>
  <c r="I538" i="3"/>
  <c r="I539" i="3"/>
  <c r="I540" i="3"/>
  <c r="I541" i="3"/>
  <c r="I542" i="3"/>
  <c r="I543" i="3"/>
  <c r="I544" i="3"/>
  <c r="I545" i="3"/>
  <c r="I546" i="3"/>
  <c r="I547" i="3"/>
  <c r="I548" i="3"/>
  <c r="I549" i="3"/>
  <c r="I550" i="3"/>
  <c r="I551" i="3"/>
  <c r="I552" i="3"/>
  <c r="I553" i="3"/>
  <c r="I554" i="3"/>
  <c r="I555" i="3"/>
  <c r="I556" i="3"/>
  <c r="I557" i="3"/>
  <c r="I558" i="3"/>
  <c r="I559" i="3"/>
  <c r="I560" i="3"/>
  <c r="I561" i="3"/>
  <c r="I562" i="3"/>
  <c r="I563" i="3"/>
  <c r="I564" i="3"/>
  <c r="I565" i="3"/>
  <c r="I566" i="3"/>
  <c r="I567" i="3"/>
  <c r="I568" i="3"/>
  <c r="I569" i="3"/>
  <c r="I570" i="3"/>
  <c r="I571" i="3"/>
  <c r="I572" i="3"/>
  <c r="I573" i="3"/>
  <c r="I574" i="3"/>
  <c r="I575" i="3"/>
  <c r="I576" i="3"/>
  <c r="I577" i="3"/>
  <c r="I578" i="3"/>
  <c r="I579" i="3"/>
  <c r="I580" i="3"/>
  <c r="I581" i="3"/>
  <c r="I582" i="3"/>
  <c r="I583" i="3"/>
  <c r="I584" i="3"/>
  <c r="I585" i="3"/>
  <c r="I586" i="3"/>
  <c r="I587" i="3"/>
  <c r="I588" i="3"/>
  <c r="I589" i="3"/>
  <c r="I590" i="3"/>
  <c r="I591" i="3"/>
  <c r="I592" i="3"/>
  <c r="I593" i="3"/>
  <c r="I594" i="3"/>
  <c r="I595" i="3"/>
  <c r="I596" i="3"/>
  <c r="I597" i="3"/>
  <c r="I598" i="3"/>
  <c r="I599" i="3"/>
  <c r="I600" i="3"/>
  <c r="I601" i="3"/>
  <c r="I602" i="3"/>
  <c r="I603" i="3"/>
  <c r="I604" i="3"/>
  <c r="I605" i="3"/>
  <c r="I606" i="3"/>
  <c r="I607" i="3"/>
  <c r="I608" i="3"/>
  <c r="I609" i="3"/>
  <c r="I610" i="3"/>
  <c r="I611" i="3"/>
  <c r="I612" i="3"/>
  <c r="I613" i="3"/>
  <c r="I614" i="3"/>
  <c r="I615" i="3"/>
  <c r="I616" i="3"/>
  <c r="I617" i="3"/>
  <c r="I618" i="3"/>
  <c r="I619" i="3"/>
  <c r="I620" i="3"/>
  <c r="I621" i="3"/>
  <c r="I622" i="3"/>
  <c r="I623" i="3"/>
  <c r="I624" i="3"/>
  <c r="I625" i="3"/>
  <c r="I626" i="3"/>
  <c r="I627" i="3"/>
  <c r="I628" i="3"/>
  <c r="I629" i="3"/>
  <c r="I630" i="3"/>
  <c r="I631" i="3"/>
  <c r="I632" i="3"/>
  <c r="I633" i="3"/>
  <c r="I634" i="3"/>
  <c r="I635" i="3"/>
  <c r="I636" i="3"/>
  <c r="I637" i="3"/>
  <c r="I638" i="3"/>
  <c r="I639" i="3"/>
  <c r="I640" i="3"/>
  <c r="I641" i="3"/>
  <c r="I642" i="3"/>
  <c r="I643" i="3"/>
  <c r="I644" i="3"/>
  <c r="I645" i="3"/>
  <c r="I646" i="3"/>
  <c r="I647" i="3"/>
  <c r="I648" i="3"/>
  <c r="I649" i="3"/>
  <c r="I650" i="3"/>
  <c r="I651" i="3"/>
  <c r="I652" i="3"/>
  <c r="I653" i="3"/>
  <c r="I654" i="3"/>
  <c r="I655" i="3"/>
  <c r="I656" i="3"/>
  <c r="I657" i="3"/>
  <c r="I658" i="3"/>
  <c r="I659" i="3"/>
  <c r="I660" i="3"/>
  <c r="I661" i="3"/>
  <c r="I662" i="3"/>
  <c r="I663" i="3"/>
  <c r="I664" i="3"/>
  <c r="I665" i="3"/>
  <c r="I666" i="3"/>
  <c r="I667" i="3"/>
  <c r="I668" i="3"/>
  <c r="I669" i="3"/>
  <c r="I670" i="3"/>
  <c r="I671" i="3"/>
  <c r="I672" i="3"/>
  <c r="I673" i="3"/>
  <c r="I674" i="3"/>
  <c r="I675" i="3"/>
  <c r="I676" i="3"/>
  <c r="I677" i="3"/>
  <c r="I678" i="3"/>
  <c r="I679" i="3"/>
  <c r="I680" i="3"/>
  <c r="I681" i="3"/>
  <c r="I682" i="3"/>
  <c r="I683" i="3"/>
  <c r="I684" i="3"/>
  <c r="I685" i="3"/>
  <c r="I686" i="3"/>
  <c r="I687" i="3"/>
  <c r="I688" i="3"/>
  <c r="I689" i="3"/>
  <c r="I690" i="3"/>
  <c r="I691" i="3"/>
  <c r="I692" i="3"/>
  <c r="I693" i="3"/>
  <c r="I694" i="3"/>
  <c r="I695" i="3"/>
  <c r="I696" i="3"/>
  <c r="I697" i="3"/>
  <c r="I698" i="3"/>
  <c r="I699" i="3"/>
  <c r="I700" i="3"/>
  <c r="I701" i="3"/>
  <c r="I702" i="3"/>
  <c r="I703" i="3"/>
  <c r="I704" i="3"/>
  <c r="I705" i="3"/>
  <c r="I706" i="3"/>
  <c r="I707" i="3"/>
  <c r="I708" i="3"/>
  <c r="I709" i="3"/>
  <c r="I710" i="3"/>
  <c r="I711" i="3"/>
  <c r="I712" i="3"/>
  <c r="I713" i="3"/>
  <c r="I714" i="3"/>
  <c r="I715" i="3"/>
  <c r="I716" i="3"/>
  <c r="I717" i="3"/>
  <c r="I718" i="3"/>
  <c r="I719" i="3"/>
  <c r="I720" i="3"/>
  <c r="I721" i="3"/>
  <c r="I722" i="3"/>
  <c r="I723" i="3"/>
  <c r="I724" i="3"/>
  <c r="I725" i="3"/>
  <c r="I726" i="3"/>
  <c r="I727" i="3"/>
  <c r="I728" i="3"/>
  <c r="I729" i="3"/>
  <c r="I730" i="3"/>
  <c r="I731" i="3"/>
  <c r="I732" i="3"/>
  <c r="I733" i="3"/>
  <c r="I734" i="3"/>
  <c r="I735" i="3"/>
  <c r="I736" i="3"/>
  <c r="I737" i="3"/>
  <c r="I738" i="3"/>
  <c r="I739" i="3"/>
  <c r="I740" i="3"/>
  <c r="I741" i="3"/>
  <c r="I742" i="3"/>
  <c r="I743" i="3"/>
  <c r="I744" i="3"/>
  <c r="I745" i="3"/>
  <c r="I746" i="3"/>
  <c r="I747" i="3"/>
  <c r="I748" i="3"/>
  <c r="I749" i="3"/>
  <c r="I750" i="3"/>
  <c r="I751" i="3"/>
  <c r="I752" i="3"/>
  <c r="I753" i="3"/>
  <c r="I754" i="3"/>
  <c r="I755" i="3"/>
  <c r="I756" i="3"/>
  <c r="I757" i="3"/>
  <c r="I758" i="3"/>
  <c r="I759" i="3"/>
  <c r="I760" i="3"/>
  <c r="I761" i="3"/>
  <c r="I762" i="3"/>
  <c r="I763" i="3"/>
  <c r="I764" i="3"/>
  <c r="I765" i="3"/>
  <c r="I766" i="3"/>
  <c r="I767" i="3"/>
  <c r="I768" i="3"/>
  <c r="I769" i="3"/>
  <c r="I770" i="3"/>
  <c r="I771" i="3"/>
  <c r="I772" i="3"/>
  <c r="I773" i="3"/>
  <c r="I774" i="3"/>
  <c r="I775" i="3"/>
  <c r="I776" i="3"/>
  <c r="I777" i="3"/>
  <c r="I778" i="3"/>
  <c r="I779" i="3"/>
  <c r="I780" i="3"/>
  <c r="I781" i="3"/>
  <c r="I782" i="3"/>
  <c r="I783" i="3"/>
  <c r="I784" i="3"/>
  <c r="I785" i="3"/>
  <c r="I786" i="3"/>
  <c r="I787" i="3"/>
  <c r="I788" i="3"/>
  <c r="I789" i="3"/>
  <c r="I790" i="3"/>
  <c r="I791" i="3"/>
  <c r="I792" i="3"/>
  <c r="I793" i="3"/>
  <c r="I794" i="3"/>
  <c r="I795" i="3"/>
  <c r="I796" i="3"/>
  <c r="I797" i="3"/>
  <c r="I798" i="3"/>
  <c r="I799" i="3"/>
  <c r="I800" i="3"/>
  <c r="I801" i="3"/>
  <c r="I802" i="3"/>
  <c r="I803" i="3"/>
  <c r="I804" i="3"/>
  <c r="I805" i="3"/>
  <c r="I806" i="3"/>
  <c r="I807" i="3"/>
  <c r="I808" i="3"/>
  <c r="I809" i="3"/>
  <c r="I810" i="3"/>
  <c r="I811" i="3"/>
  <c r="I812" i="3"/>
  <c r="I813" i="3"/>
  <c r="I814" i="3"/>
  <c r="I815" i="3"/>
  <c r="I816" i="3"/>
  <c r="I817" i="3"/>
  <c r="I818" i="3"/>
  <c r="I819" i="3"/>
  <c r="I820" i="3"/>
  <c r="I821" i="3"/>
  <c r="I822" i="3"/>
  <c r="I823" i="3"/>
  <c r="I824" i="3"/>
  <c r="I825" i="3"/>
  <c r="I826" i="3"/>
  <c r="I827" i="3"/>
  <c r="I828" i="3"/>
  <c r="I829" i="3"/>
  <c r="I830" i="3"/>
  <c r="I831" i="3"/>
  <c r="I832" i="3"/>
  <c r="I833" i="3"/>
  <c r="I834" i="3"/>
  <c r="I835" i="3"/>
  <c r="I836" i="3"/>
  <c r="I837" i="3"/>
  <c r="I838" i="3"/>
  <c r="I839" i="3"/>
  <c r="I840" i="3"/>
  <c r="I841" i="3"/>
  <c r="I842" i="3"/>
  <c r="I843" i="3"/>
  <c r="I844" i="3"/>
  <c r="I845" i="3"/>
  <c r="I846" i="3"/>
  <c r="I847" i="3"/>
  <c r="I848" i="3"/>
  <c r="I849" i="3"/>
  <c r="I850" i="3"/>
  <c r="I851" i="3"/>
  <c r="I852" i="3"/>
  <c r="I853" i="3"/>
  <c r="I854" i="3"/>
  <c r="I855" i="3"/>
  <c r="I856" i="3"/>
  <c r="I857" i="3"/>
  <c r="I858" i="3"/>
  <c r="I859" i="3"/>
  <c r="I860" i="3"/>
  <c r="I861" i="3"/>
  <c r="I862" i="3"/>
  <c r="I863" i="3"/>
  <c r="I864" i="3"/>
  <c r="I865" i="3"/>
  <c r="I866" i="3"/>
  <c r="I867" i="3"/>
  <c r="I868" i="3"/>
  <c r="I869" i="3"/>
  <c r="I870" i="3"/>
  <c r="I871" i="3"/>
  <c r="I872" i="3"/>
  <c r="I873" i="3"/>
  <c r="I874" i="3"/>
  <c r="I875" i="3"/>
  <c r="I876" i="3"/>
  <c r="I877" i="3"/>
  <c r="I878" i="3"/>
  <c r="I879" i="3"/>
  <c r="I880" i="3"/>
  <c r="I881" i="3"/>
  <c r="I882" i="3"/>
  <c r="I883" i="3"/>
  <c r="I884" i="3"/>
  <c r="I885" i="3"/>
  <c r="I886" i="3"/>
  <c r="I887" i="3"/>
  <c r="I888" i="3"/>
  <c r="I889" i="3"/>
  <c r="I890" i="3"/>
  <c r="I891" i="3"/>
  <c r="I892" i="3"/>
  <c r="I893" i="3"/>
  <c r="I894" i="3"/>
  <c r="I895" i="3"/>
  <c r="I896" i="3"/>
  <c r="I897" i="3"/>
  <c r="I898" i="3"/>
  <c r="I899" i="3"/>
  <c r="I900" i="3"/>
  <c r="I901" i="3"/>
  <c r="I902" i="3"/>
  <c r="I903" i="3"/>
  <c r="I904" i="3"/>
  <c r="I905" i="3"/>
  <c r="I906" i="3"/>
  <c r="I907" i="3"/>
  <c r="I908" i="3"/>
  <c r="I909" i="3"/>
  <c r="I910" i="3"/>
  <c r="I911" i="3"/>
  <c r="I912" i="3"/>
  <c r="I913" i="3"/>
  <c r="I914" i="3"/>
  <c r="I915" i="3"/>
  <c r="I916" i="3"/>
  <c r="I917" i="3"/>
  <c r="I918" i="3"/>
  <c r="I919" i="3"/>
  <c r="I920" i="3"/>
  <c r="I921" i="3"/>
  <c r="I922" i="3"/>
  <c r="I923" i="3"/>
  <c r="I924" i="3"/>
  <c r="I925" i="3"/>
  <c r="I926" i="3"/>
  <c r="I927" i="3"/>
  <c r="I928" i="3"/>
  <c r="I929" i="3"/>
  <c r="I930" i="3"/>
  <c r="I931" i="3"/>
  <c r="I932" i="3"/>
  <c r="I933" i="3"/>
  <c r="I934" i="3"/>
  <c r="I935" i="3"/>
  <c r="I936" i="3"/>
  <c r="I937" i="3"/>
  <c r="I938" i="3"/>
  <c r="I939" i="3"/>
  <c r="I940" i="3"/>
  <c r="I941" i="3"/>
  <c r="I942" i="3"/>
  <c r="I943" i="3"/>
  <c r="I944" i="3"/>
  <c r="I945" i="3"/>
  <c r="I946" i="3"/>
  <c r="I947" i="3"/>
  <c r="I948" i="3"/>
  <c r="I949" i="3"/>
  <c r="I950" i="3"/>
  <c r="I951" i="3"/>
  <c r="I952" i="3"/>
  <c r="I953" i="3"/>
  <c r="I954" i="3"/>
  <c r="I955" i="3"/>
  <c r="I956" i="3"/>
  <c r="I957" i="3"/>
  <c r="I958" i="3"/>
  <c r="I959" i="3"/>
  <c r="I960" i="3"/>
  <c r="I961" i="3"/>
  <c r="I962" i="3"/>
  <c r="I963" i="3"/>
  <c r="I964" i="3"/>
  <c r="I965" i="3"/>
  <c r="I966" i="3"/>
  <c r="I967" i="3"/>
  <c r="I968" i="3"/>
  <c r="I969" i="3"/>
  <c r="I970" i="3"/>
  <c r="I971" i="3"/>
  <c r="I972" i="3"/>
  <c r="I973" i="3"/>
  <c r="I974" i="3"/>
  <c r="I975" i="3"/>
  <c r="I976" i="3"/>
  <c r="I977" i="3"/>
  <c r="I978" i="3"/>
  <c r="I979" i="3"/>
  <c r="I980" i="3"/>
  <c r="I981" i="3"/>
  <c r="I982" i="3"/>
  <c r="I983" i="3"/>
  <c r="I984" i="3"/>
  <c r="I985" i="3"/>
  <c r="I986" i="3"/>
  <c r="I987" i="3"/>
  <c r="I988" i="3"/>
  <c r="I989" i="3"/>
  <c r="I990" i="3"/>
  <c r="I991" i="3"/>
  <c r="I992" i="3"/>
  <c r="I993" i="3"/>
  <c r="I994" i="3"/>
  <c r="I995" i="3"/>
  <c r="I996" i="3"/>
  <c r="I997" i="3"/>
  <c r="I998" i="3"/>
  <c r="I999" i="3"/>
  <c r="I1000" i="3"/>
  <c r="I1001" i="3"/>
  <c r="I1002" i="3"/>
  <c r="I1003" i="3"/>
  <c r="I1004" i="3"/>
  <c r="I1005" i="3"/>
  <c r="I1006" i="3"/>
  <c r="I1007" i="3"/>
  <c r="K2" i="3"/>
  <c r="K3" i="3"/>
  <c r="K4" i="3"/>
  <c r="K5" i="3"/>
  <c r="K7" i="3"/>
  <c r="K8" i="3"/>
  <c r="K9" i="3"/>
  <c r="K11" i="3"/>
  <c r="K12" i="3"/>
  <c r="K13" i="3"/>
  <c r="K15" i="3"/>
  <c r="K16" i="3"/>
  <c r="K17" i="3"/>
  <c r="K19" i="3"/>
  <c r="K20" i="3"/>
  <c r="K21" i="3"/>
  <c r="K23" i="3"/>
  <c r="K24" i="3"/>
  <c r="K25" i="3"/>
  <c r="K27" i="3"/>
  <c r="K28" i="3"/>
  <c r="K29" i="3"/>
  <c r="K31" i="3"/>
  <c r="K32" i="3"/>
  <c r="K33" i="3"/>
  <c r="K35" i="3"/>
  <c r="K36" i="3"/>
  <c r="K37" i="3"/>
  <c r="K39" i="3"/>
  <c r="K40" i="3"/>
  <c r="K41" i="3"/>
  <c r="K43" i="3"/>
  <c r="K44" i="3"/>
  <c r="K45" i="3"/>
  <c r="K47" i="3"/>
  <c r="K48" i="3"/>
  <c r="K49" i="3"/>
  <c r="K51" i="3"/>
  <c r="K52" i="3"/>
  <c r="K53" i="3"/>
  <c r="K55" i="3"/>
  <c r="K56" i="3"/>
  <c r="K57" i="3"/>
  <c r="K59" i="3"/>
  <c r="K60" i="3"/>
  <c r="K61" i="3"/>
  <c r="K63" i="3"/>
  <c r="K64" i="3"/>
  <c r="K65" i="3"/>
  <c r="K67" i="3"/>
  <c r="K68" i="3"/>
  <c r="K69" i="3"/>
  <c r="K71" i="3"/>
  <c r="K72" i="3"/>
  <c r="K73" i="3"/>
  <c r="K75" i="3"/>
  <c r="K76" i="3"/>
  <c r="K77" i="3"/>
  <c r="K79" i="3"/>
  <c r="K80" i="3"/>
  <c r="K81" i="3"/>
  <c r="K83" i="3"/>
  <c r="K84" i="3"/>
  <c r="K85" i="3"/>
  <c r="K87" i="3"/>
  <c r="K88" i="3"/>
  <c r="K89" i="3"/>
  <c r="K91" i="3"/>
  <c r="K92" i="3"/>
  <c r="K93" i="3"/>
  <c r="K95" i="3"/>
  <c r="K96" i="3"/>
  <c r="K97" i="3"/>
  <c r="K99" i="3"/>
  <c r="K100" i="3"/>
  <c r="K101" i="3"/>
  <c r="K103" i="3"/>
  <c r="K104" i="3"/>
  <c r="K105" i="3"/>
  <c r="K107" i="3"/>
  <c r="K108" i="3"/>
  <c r="K109" i="3"/>
  <c r="K111" i="3"/>
  <c r="K112" i="3"/>
  <c r="K113" i="3"/>
  <c r="K115" i="3"/>
  <c r="K116" i="3"/>
  <c r="K117" i="3"/>
  <c r="K119" i="3"/>
  <c r="K120" i="3"/>
  <c r="K121" i="3"/>
  <c r="K123" i="3"/>
  <c r="K124" i="3"/>
  <c r="K125" i="3"/>
  <c r="K127" i="3"/>
  <c r="K128" i="3"/>
  <c r="K129" i="3"/>
  <c r="K131" i="3"/>
  <c r="K132" i="3"/>
  <c r="K133" i="3"/>
  <c r="K135" i="3"/>
  <c r="K136" i="3"/>
  <c r="K137" i="3"/>
  <c r="K139" i="3"/>
  <c r="K140" i="3"/>
  <c r="K141" i="3"/>
  <c r="K143" i="3"/>
  <c r="K144" i="3"/>
  <c r="K145" i="3"/>
  <c r="K147" i="3"/>
  <c r="K148" i="3"/>
  <c r="K149" i="3"/>
  <c r="K151" i="3"/>
  <c r="K152" i="3"/>
  <c r="K153" i="3"/>
  <c r="K155" i="3"/>
  <c r="K156" i="3"/>
  <c r="K157" i="3"/>
  <c r="K159" i="3"/>
  <c r="K160" i="3"/>
  <c r="K161" i="3"/>
  <c r="K163" i="3"/>
  <c r="K164" i="3"/>
  <c r="K165" i="3"/>
  <c r="K167" i="3"/>
  <c r="K168" i="3"/>
  <c r="K169" i="3"/>
  <c r="K171" i="3"/>
  <c r="K172" i="3"/>
  <c r="K173" i="3"/>
  <c r="K175" i="3"/>
  <c r="K176" i="3"/>
  <c r="K177" i="3"/>
  <c r="K179" i="3"/>
  <c r="K180" i="3"/>
  <c r="K181" i="3"/>
  <c r="K183" i="3"/>
  <c r="K184" i="3"/>
  <c r="K185" i="3"/>
  <c r="K187" i="3"/>
  <c r="K188" i="3"/>
  <c r="K189" i="3"/>
  <c r="K191" i="3"/>
  <c r="K192" i="3"/>
  <c r="K193" i="3"/>
  <c r="K195" i="3"/>
  <c r="K196" i="3"/>
  <c r="K197" i="3"/>
  <c r="K199" i="3"/>
  <c r="K200" i="3"/>
  <c r="K201" i="3"/>
  <c r="K203" i="3"/>
  <c r="K204" i="3"/>
  <c r="K205" i="3"/>
  <c r="K207" i="3"/>
  <c r="K208" i="3"/>
  <c r="K209" i="3"/>
  <c r="K211" i="3"/>
  <c r="K212" i="3"/>
  <c r="K213" i="3"/>
  <c r="K215" i="3"/>
  <c r="K216" i="3"/>
  <c r="K217" i="3"/>
  <c r="K219" i="3"/>
  <c r="K220" i="3"/>
  <c r="K221" i="3"/>
  <c r="K223" i="3"/>
  <c r="K224" i="3"/>
  <c r="K225" i="3"/>
  <c r="K227" i="3"/>
  <c r="K228" i="3"/>
  <c r="K229" i="3"/>
  <c r="K231" i="3"/>
  <c r="K232" i="3"/>
  <c r="K233" i="3"/>
  <c r="K235" i="3"/>
  <c r="K236" i="3"/>
  <c r="K237" i="3"/>
  <c r="K239" i="3"/>
  <c r="K240" i="3"/>
  <c r="K241" i="3"/>
  <c r="K243" i="3"/>
  <c r="K244" i="3"/>
  <c r="K245" i="3"/>
  <c r="K247" i="3"/>
  <c r="K248" i="3"/>
  <c r="K249" i="3"/>
  <c r="K251" i="3"/>
  <c r="K252" i="3"/>
  <c r="K253" i="3"/>
  <c r="K255" i="3"/>
  <c r="K256" i="3"/>
  <c r="K257" i="3"/>
  <c r="K259" i="3"/>
  <c r="K260" i="3"/>
  <c r="K261" i="3"/>
  <c r="K263" i="3"/>
  <c r="K264" i="3"/>
  <c r="K265" i="3"/>
  <c r="K267" i="3"/>
  <c r="K268" i="3"/>
  <c r="K269" i="3"/>
  <c r="K271" i="3"/>
  <c r="K272" i="3"/>
  <c r="K273" i="3"/>
  <c r="K275" i="3"/>
  <c r="K276" i="3"/>
  <c r="K277" i="3"/>
  <c r="K279" i="3"/>
  <c r="K280" i="3"/>
  <c r="K281" i="3"/>
  <c r="K283" i="3"/>
  <c r="K284" i="3"/>
  <c r="K285" i="3"/>
  <c r="K287" i="3"/>
  <c r="K288" i="3"/>
  <c r="K289" i="3"/>
  <c r="K291" i="3"/>
  <c r="K292" i="3"/>
  <c r="K293" i="3"/>
  <c r="K295" i="3"/>
  <c r="K296" i="3"/>
  <c r="K297" i="3"/>
  <c r="K299" i="3"/>
  <c r="K300" i="3"/>
  <c r="K301" i="3"/>
  <c r="K303" i="3"/>
  <c r="K304" i="3"/>
  <c r="K305" i="3"/>
  <c r="K307" i="3"/>
  <c r="K308" i="3"/>
  <c r="K309" i="3"/>
  <c r="K311" i="3"/>
  <c r="K312" i="3"/>
  <c r="K313" i="3"/>
  <c r="K315" i="3"/>
  <c r="K316" i="3"/>
  <c r="K317" i="3"/>
  <c r="K319" i="3"/>
  <c r="K320" i="3"/>
  <c r="K321" i="3"/>
  <c r="K323" i="3"/>
  <c r="K324" i="3"/>
  <c r="K325" i="3"/>
  <c r="K327" i="3"/>
  <c r="K328" i="3"/>
  <c r="K329" i="3"/>
  <c r="K331" i="3"/>
  <c r="K332" i="3"/>
  <c r="K333" i="3"/>
  <c r="K335" i="3"/>
  <c r="K336" i="3"/>
  <c r="K337" i="3"/>
  <c r="K339" i="3"/>
  <c r="K340" i="3"/>
  <c r="K341" i="3"/>
  <c r="K343" i="3"/>
  <c r="K344" i="3"/>
  <c r="K345" i="3"/>
  <c r="K347" i="3"/>
  <c r="K348" i="3"/>
  <c r="K349" i="3"/>
  <c r="K351" i="3"/>
  <c r="K352" i="3"/>
  <c r="K353" i="3"/>
  <c r="K355" i="3"/>
  <c r="K356" i="3"/>
  <c r="K357" i="3"/>
  <c r="K359" i="3"/>
  <c r="K360" i="3"/>
  <c r="K361" i="3"/>
  <c r="K363" i="3"/>
  <c r="K364" i="3"/>
  <c r="K365" i="3"/>
  <c r="K367" i="3"/>
  <c r="K368" i="3"/>
  <c r="K369" i="3"/>
  <c r="K371" i="3"/>
  <c r="K372" i="3"/>
  <c r="K373" i="3"/>
  <c r="K375" i="3"/>
  <c r="K376" i="3"/>
  <c r="K377" i="3"/>
  <c r="K379" i="3"/>
  <c r="K380" i="3"/>
  <c r="K381" i="3"/>
  <c r="K383" i="3"/>
  <c r="K384" i="3"/>
  <c r="K385" i="3"/>
  <c r="K387" i="3"/>
  <c r="K388" i="3"/>
  <c r="K389" i="3"/>
  <c r="K391" i="3"/>
  <c r="K392" i="3"/>
  <c r="K393" i="3"/>
  <c r="K395" i="3"/>
  <c r="K396" i="3"/>
  <c r="K397" i="3"/>
  <c r="K399" i="3"/>
  <c r="K400" i="3"/>
  <c r="K401" i="3"/>
  <c r="K403" i="3"/>
  <c r="K404" i="3"/>
  <c r="K405" i="3"/>
  <c r="K407" i="3"/>
  <c r="K408" i="3"/>
  <c r="K409" i="3"/>
  <c r="K411" i="3"/>
  <c r="K412" i="3"/>
  <c r="K413" i="3"/>
  <c r="K415" i="3"/>
  <c r="K416" i="3"/>
  <c r="K417" i="3"/>
  <c r="K419" i="3"/>
  <c r="K420" i="3"/>
  <c r="K421" i="3"/>
  <c r="K423" i="3"/>
  <c r="K424" i="3"/>
  <c r="K425" i="3"/>
  <c r="K427" i="3"/>
  <c r="K428" i="3"/>
  <c r="K429" i="3"/>
  <c r="K431" i="3"/>
  <c r="K432" i="3"/>
  <c r="K433" i="3"/>
  <c r="K435" i="3"/>
  <c r="K436" i="3"/>
  <c r="K437" i="3"/>
  <c r="K439" i="3"/>
  <c r="K440" i="3"/>
  <c r="K441" i="3"/>
  <c r="K443" i="3"/>
  <c r="K444" i="3"/>
  <c r="K445" i="3"/>
  <c r="K447" i="3"/>
  <c r="K448" i="3"/>
  <c r="K449" i="3"/>
  <c r="K451" i="3"/>
  <c r="K452" i="3"/>
  <c r="K453" i="3"/>
  <c r="K455" i="3"/>
  <c r="K456" i="3"/>
  <c r="K457" i="3"/>
  <c r="K459" i="3"/>
  <c r="K460" i="3"/>
  <c r="K461" i="3"/>
  <c r="K463" i="3"/>
  <c r="K464" i="3"/>
  <c r="K465" i="3"/>
  <c r="K467" i="3"/>
  <c r="K468" i="3"/>
  <c r="K469" i="3"/>
  <c r="K471" i="3"/>
  <c r="K472" i="3"/>
  <c r="K473" i="3"/>
  <c r="K475" i="3"/>
  <c r="K476" i="3"/>
  <c r="K477" i="3"/>
  <c r="K479" i="3"/>
  <c r="K480" i="3"/>
  <c r="K481" i="3"/>
  <c r="K483" i="3"/>
  <c r="K484" i="3"/>
  <c r="K485" i="3"/>
  <c r="K487" i="3"/>
  <c r="K488" i="3"/>
  <c r="K489" i="3"/>
  <c r="K491" i="3"/>
  <c r="K492" i="3"/>
  <c r="K493" i="3"/>
  <c r="K495" i="3"/>
  <c r="K496" i="3"/>
  <c r="K497" i="3"/>
  <c r="K499" i="3"/>
  <c r="K500" i="3"/>
  <c r="K501" i="3"/>
  <c r="K503" i="3"/>
  <c r="K504" i="3"/>
  <c r="K505" i="3"/>
  <c r="K507" i="3"/>
  <c r="K508" i="3"/>
  <c r="K509" i="3"/>
  <c r="K511" i="3"/>
  <c r="K512" i="3"/>
  <c r="K513" i="3"/>
  <c r="K515" i="3"/>
  <c r="K516" i="3"/>
  <c r="K517" i="3"/>
  <c r="K519" i="3"/>
  <c r="K520" i="3"/>
  <c r="K521" i="3"/>
  <c r="K523" i="3"/>
  <c r="K524" i="3"/>
  <c r="K525" i="3"/>
  <c r="K527" i="3"/>
  <c r="K528" i="3"/>
  <c r="K529" i="3"/>
  <c r="K531" i="3"/>
  <c r="K532" i="3"/>
  <c r="K533" i="3"/>
  <c r="K535" i="3"/>
  <c r="K536" i="3"/>
  <c r="K537" i="3"/>
  <c r="K539" i="3"/>
  <c r="K540" i="3"/>
  <c r="K541" i="3"/>
  <c r="K543" i="3"/>
  <c r="K544" i="3"/>
  <c r="K545" i="3"/>
  <c r="K547" i="3"/>
  <c r="K548" i="3"/>
  <c r="K549" i="3"/>
  <c r="K551" i="3"/>
  <c r="K552" i="3"/>
  <c r="K553" i="3"/>
  <c r="K555" i="3"/>
  <c r="K556" i="3"/>
  <c r="K557" i="3"/>
  <c r="K559" i="3"/>
  <c r="K560" i="3"/>
  <c r="K561" i="3"/>
  <c r="K563" i="3"/>
  <c r="K564" i="3"/>
  <c r="K565" i="3"/>
  <c r="K567" i="3"/>
  <c r="K568" i="3"/>
  <c r="K569" i="3"/>
  <c r="K571" i="3"/>
  <c r="K572" i="3"/>
  <c r="K573" i="3"/>
  <c r="K575" i="3"/>
  <c r="K576" i="3"/>
  <c r="K577" i="3"/>
  <c r="K579" i="3"/>
  <c r="K580" i="3"/>
  <c r="K581" i="3"/>
  <c r="K583" i="3"/>
  <c r="K584" i="3"/>
  <c r="K585" i="3"/>
  <c r="K587" i="3"/>
  <c r="K588" i="3"/>
  <c r="K589" i="3"/>
  <c r="K591" i="3"/>
  <c r="K592" i="3"/>
  <c r="K593" i="3"/>
  <c r="K595" i="3"/>
  <c r="K596" i="3"/>
  <c r="K597" i="3"/>
  <c r="K599" i="3"/>
  <c r="K600" i="3"/>
  <c r="K601" i="3"/>
  <c r="K603" i="3"/>
  <c r="K604" i="3"/>
  <c r="K605" i="3"/>
  <c r="K607" i="3"/>
  <c r="K608" i="3"/>
  <c r="K609" i="3"/>
  <c r="K611" i="3"/>
  <c r="K612" i="3"/>
  <c r="K613" i="3"/>
  <c r="K615" i="3"/>
  <c r="K616" i="3"/>
  <c r="K617" i="3"/>
  <c r="K619" i="3"/>
  <c r="K620" i="3"/>
  <c r="K621" i="3"/>
  <c r="K623" i="3"/>
  <c r="K624" i="3"/>
  <c r="K625" i="3"/>
  <c r="K627" i="3"/>
  <c r="K628" i="3"/>
  <c r="K629" i="3"/>
  <c r="K631" i="3"/>
  <c r="K632" i="3"/>
  <c r="K633" i="3"/>
  <c r="K635" i="3"/>
  <c r="K636" i="3"/>
  <c r="K637" i="3"/>
  <c r="K639" i="3"/>
  <c r="K640" i="3"/>
  <c r="K641" i="3"/>
  <c r="K643" i="3"/>
  <c r="K644" i="3"/>
  <c r="K645" i="3"/>
  <c r="K647" i="3"/>
  <c r="K648" i="3"/>
  <c r="K649" i="3"/>
  <c r="K651" i="3"/>
  <c r="K652" i="3"/>
  <c r="K653" i="3"/>
  <c r="K655" i="3"/>
  <c r="K656" i="3"/>
  <c r="K657" i="3"/>
  <c r="K659" i="3"/>
  <c r="K660" i="3"/>
  <c r="K661" i="3"/>
  <c r="K663" i="3"/>
  <c r="K664" i="3"/>
  <c r="K665" i="3"/>
  <c r="K667" i="3"/>
  <c r="K668" i="3"/>
  <c r="K669" i="3"/>
  <c r="K671" i="3"/>
  <c r="K672" i="3"/>
  <c r="K673" i="3"/>
  <c r="K675" i="3"/>
  <c r="K676" i="3"/>
  <c r="K677" i="3"/>
  <c r="K679" i="3"/>
  <c r="K680" i="3"/>
  <c r="K681" i="3"/>
  <c r="K683" i="3"/>
  <c r="K684" i="3"/>
  <c r="K685" i="3"/>
  <c r="K687" i="3"/>
  <c r="K688" i="3"/>
  <c r="K689" i="3"/>
  <c r="K691" i="3"/>
  <c r="K692" i="3"/>
  <c r="K693" i="3"/>
  <c r="K695" i="3"/>
  <c r="K696" i="3"/>
  <c r="K697" i="3"/>
  <c r="K699" i="3"/>
  <c r="K700" i="3"/>
  <c r="K701" i="3"/>
  <c r="K703" i="3"/>
  <c r="K704" i="3"/>
  <c r="K705" i="3"/>
  <c r="K707" i="3"/>
  <c r="K708" i="3"/>
  <c r="K709" i="3"/>
  <c r="K711" i="3"/>
  <c r="K712" i="3"/>
  <c r="K713" i="3"/>
  <c r="K715" i="3"/>
  <c r="K716" i="3"/>
  <c r="K717" i="3"/>
  <c r="K719" i="3"/>
  <c r="K720" i="3"/>
  <c r="K721" i="3"/>
  <c r="K723" i="3"/>
  <c r="K724" i="3"/>
  <c r="K725" i="3"/>
  <c r="K727" i="3"/>
  <c r="K728" i="3"/>
  <c r="K729" i="3"/>
  <c r="K731" i="3"/>
  <c r="K732" i="3"/>
  <c r="K733" i="3"/>
  <c r="K735" i="3"/>
  <c r="K736" i="3"/>
  <c r="K737" i="3"/>
  <c r="K739" i="3"/>
  <c r="K740" i="3"/>
  <c r="K741" i="3"/>
  <c r="K743" i="3"/>
  <c r="K744" i="3"/>
  <c r="K745" i="3"/>
  <c r="K747" i="3"/>
  <c r="K748" i="3"/>
  <c r="K749" i="3"/>
  <c r="K751" i="3"/>
  <c r="K752" i="3"/>
  <c r="K753" i="3"/>
  <c r="K755" i="3"/>
  <c r="K756" i="3"/>
  <c r="K757" i="3"/>
  <c r="K759" i="3"/>
  <c r="K760" i="3"/>
  <c r="K761" i="3"/>
  <c r="K763" i="3"/>
  <c r="K764" i="3"/>
  <c r="K765" i="3"/>
  <c r="K767" i="3"/>
  <c r="K768" i="3"/>
  <c r="K769" i="3"/>
  <c r="K771" i="3"/>
  <c r="K772" i="3"/>
  <c r="K773" i="3"/>
  <c r="K775" i="3"/>
  <c r="K776" i="3"/>
  <c r="K777" i="3"/>
  <c r="K779" i="3"/>
  <c r="K780" i="3"/>
  <c r="K781" i="3"/>
  <c r="K783" i="3"/>
  <c r="K784" i="3"/>
  <c r="K785" i="3"/>
  <c r="K787" i="3"/>
  <c r="K788" i="3"/>
  <c r="K789" i="3"/>
  <c r="K791" i="3"/>
  <c r="K792" i="3"/>
  <c r="K793" i="3"/>
  <c r="K795" i="3"/>
  <c r="K796" i="3"/>
  <c r="K797" i="3"/>
  <c r="K799" i="3"/>
  <c r="K800" i="3"/>
  <c r="K801" i="3"/>
  <c r="K803" i="3"/>
  <c r="K804" i="3"/>
  <c r="K805" i="3"/>
  <c r="K807" i="3"/>
  <c r="K808" i="3"/>
  <c r="K809" i="3"/>
  <c r="K811" i="3"/>
  <c r="K812" i="3"/>
  <c r="K813" i="3"/>
  <c r="K815" i="3"/>
  <c r="K816" i="3"/>
  <c r="K817" i="3"/>
  <c r="K819" i="3"/>
  <c r="K820" i="3"/>
  <c r="K821" i="3"/>
  <c r="K823" i="3"/>
  <c r="K824" i="3"/>
  <c r="K825" i="3"/>
  <c r="K827" i="3"/>
  <c r="K828" i="3"/>
  <c r="K829" i="3"/>
  <c r="K831" i="3"/>
  <c r="K832" i="3"/>
  <c r="K833" i="3"/>
  <c r="K835" i="3"/>
  <c r="K836" i="3"/>
  <c r="K837" i="3"/>
  <c r="K839" i="3"/>
  <c r="K840" i="3"/>
  <c r="K841" i="3"/>
  <c r="K843" i="3"/>
  <c r="K844" i="3"/>
  <c r="K845" i="3"/>
  <c r="K847" i="3"/>
  <c r="K848" i="3"/>
  <c r="K849" i="3"/>
  <c r="K851" i="3"/>
  <c r="K852" i="3"/>
  <c r="K853" i="3"/>
  <c r="K855" i="3"/>
  <c r="K856" i="3"/>
  <c r="K857" i="3"/>
  <c r="K859" i="3"/>
  <c r="K860" i="3"/>
  <c r="K861" i="3"/>
  <c r="K863" i="3"/>
  <c r="K864" i="3"/>
  <c r="K865" i="3"/>
  <c r="K867" i="3"/>
  <c r="K868" i="3"/>
  <c r="K869" i="3"/>
  <c r="K871" i="3"/>
  <c r="K872" i="3"/>
  <c r="K873" i="3"/>
  <c r="K875" i="3"/>
  <c r="K876" i="3"/>
  <c r="K877" i="3"/>
  <c r="K879" i="3"/>
  <c r="K880" i="3"/>
  <c r="K881" i="3"/>
  <c r="K883" i="3"/>
  <c r="K884" i="3"/>
  <c r="K885" i="3"/>
  <c r="K887" i="3"/>
  <c r="K888" i="3"/>
  <c r="K889" i="3"/>
  <c r="K891" i="3"/>
  <c r="K892" i="3"/>
  <c r="K893" i="3"/>
  <c r="K895" i="3"/>
  <c r="K896" i="3"/>
  <c r="K897" i="3"/>
  <c r="K899" i="3"/>
  <c r="K900" i="3"/>
  <c r="K901" i="3"/>
  <c r="K903" i="3"/>
  <c r="K904" i="3"/>
  <c r="K905" i="3"/>
  <c r="K907" i="3"/>
  <c r="K908" i="3"/>
  <c r="K909" i="3"/>
  <c r="K911" i="3"/>
  <c r="K912" i="3"/>
  <c r="K913" i="3"/>
  <c r="K915" i="3"/>
  <c r="K916" i="3"/>
  <c r="K917" i="3"/>
  <c r="K919" i="3"/>
  <c r="K920" i="3"/>
  <c r="K921" i="3"/>
  <c r="K923" i="3"/>
  <c r="K924" i="3"/>
  <c r="K925" i="3"/>
  <c r="K927" i="3"/>
  <c r="K928" i="3"/>
  <c r="K929" i="3"/>
  <c r="K931" i="3"/>
  <c r="K932" i="3"/>
  <c r="K933" i="3"/>
  <c r="K935" i="3"/>
  <c r="K936" i="3"/>
  <c r="K937" i="3"/>
  <c r="K939" i="3"/>
  <c r="K940" i="3"/>
  <c r="K941" i="3"/>
  <c r="K943" i="3"/>
  <c r="K944" i="3"/>
  <c r="K945" i="3"/>
  <c r="K947" i="3"/>
  <c r="K948" i="3"/>
  <c r="K949" i="3"/>
  <c r="K951" i="3"/>
  <c r="K952" i="3"/>
  <c r="K953" i="3"/>
  <c r="K955" i="3"/>
  <c r="K956" i="3"/>
  <c r="K957" i="3"/>
  <c r="K959" i="3"/>
  <c r="K960" i="3"/>
  <c r="K961" i="3"/>
  <c r="K963" i="3"/>
  <c r="K964" i="3"/>
  <c r="K965" i="3"/>
  <c r="K967" i="3"/>
  <c r="K968" i="3"/>
  <c r="K969" i="3"/>
  <c r="K971" i="3"/>
  <c r="K972" i="3"/>
  <c r="K973" i="3"/>
  <c r="K975" i="3"/>
  <c r="K976" i="3"/>
  <c r="K977" i="3"/>
  <c r="K979" i="3"/>
  <c r="K980" i="3"/>
  <c r="K981" i="3"/>
  <c r="K983" i="3"/>
  <c r="K984" i="3"/>
  <c r="K985" i="3"/>
  <c r="K987" i="3"/>
  <c r="K988" i="3"/>
  <c r="K989" i="3"/>
  <c r="K991" i="3"/>
  <c r="K992" i="3"/>
  <c r="K993" i="3"/>
  <c r="K995" i="3"/>
  <c r="K996" i="3"/>
  <c r="K997" i="3"/>
  <c r="K999" i="3"/>
  <c r="K1000" i="3"/>
  <c r="K1001" i="3"/>
  <c r="K1003" i="3"/>
  <c r="K1004" i="3"/>
  <c r="K1005" i="3"/>
  <c r="C6" i="20"/>
  <c r="B23" i="10"/>
  <c r="B22" i="10"/>
  <c r="B21" i="10"/>
  <c r="B20" i="10"/>
  <c r="B19" i="10"/>
  <c r="B18" i="10"/>
  <c r="D5" i="12"/>
  <c r="AO8" i="4"/>
  <c r="C14" i="19"/>
  <c r="D8" i="12"/>
  <c r="D4" i="12"/>
  <c r="AI8" i="4"/>
  <c r="S8" i="4"/>
  <c r="C8" i="4"/>
  <c r="X8" i="4"/>
  <c r="AP8" i="4"/>
  <c r="Z8" i="4"/>
  <c r="J8" i="4"/>
  <c r="AJ8" i="4"/>
  <c r="D8" i="4"/>
  <c r="AK8" i="4"/>
  <c r="U8" i="4"/>
  <c r="E8" i="4"/>
  <c r="D7" i="12"/>
  <c r="AU8" i="4"/>
  <c r="AE8" i="4"/>
  <c r="O8" i="4"/>
  <c r="AV8" i="4"/>
  <c r="P8" i="4"/>
  <c r="AL8" i="4"/>
  <c r="V8" i="4"/>
  <c r="F8" i="4"/>
  <c r="AB8" i="4"/>
  <c r="AW8" i="4"/>
  <c r="AG8" i="4"/>
  <c r="Q8" i="4"/>
  <c r="AR8" i="4"/>
  <c r="I8" i="4"/>
  <c r="C5" i="18"/>
  <c r="C14" i="16"/>
  <c r="D6" i="12"/>
  <c r="AQ8" i="4"/>
  <c r="AA8" i="4"/>
  <c r="K8" i="4"/>
  <c r="AN8" i="4"/>
  <c r="H8" i="4"/>
  <c r="AH8" i="4"/>
  <c r="R8" i="4"/>
  <c r="B8" i="4"/>
  <c r="T8" i="4"/>
  <c r="AS8" i="4"/>
  <c r="AC8" i="4"/>
  <c r="M8" i="4"/>
  <c r="C14" i="15"/>
  <c r="AM8" i="4"/>
  <c r="W8" i="4"/>
  <c r="G8" i="4"/>
  <c r="AF8" i="4"/>
  <c r="AT8" i="4"/>
  <c r="AD8" i="4"/>
  <c r="N8" i="4"/>
  <c r="L8" i="4"/>
  <c r="Y8" i="4"/>
  <c r="J1007" i="3" l="1"/>
  <c r="K1007" i="3" s="1"/>
  <c r="K342" i="3"/>
  <c r="K338" i="3"/>
  <c r="K334" i="3"/>
  <c r="K330" i="3"/>
  <c r="K326" i="3"/>
  <c r="K322" i="3"/>
  <c r="K318" i="3"/>
  <c r="K314" i="3"/>
  <c r="K310" i="3"/>
  <c r="K306" i="3"/>
  <c r="K302" i="3"/>
  <c r="K298" i="3"/>
  <c r="K294" i="3"/>
  <c r="K290" i="3"/>
  <c r="K286" i="3"/>
  <c r="K282" i="3"/>
  <c r="K278" i="3"/>
  <c r="K274" i="3"/>
  <c r="K270" i="3"/>
  <c r="K266" i="3"/>
  <c r="K262" i="3"/>
  <c r="K258" i="3"/>
  <c r="K254" i="3"/>
  <c r="K250" i="3"/>
  <c r="K246" i="3"/>
  <c r="K242" i="3"/>
  <c r="K238" i="3"/>
  <c r="K234" i="3"/>
  <c r="K230" i="3"/>
  <c r="K226" i="3"/>
  <c r="K222" i="3"/>
  <c r="K218" i="3"/>
  <c r="K214" i="3"/>
  <c r="K210" i="3"/>
  <c r="K206" i="3"/>
  <c r="K202" i="3"/>
  <c r="K198" i="3"/>
  <c r="K194" i="3"/>
  <c r="K190" i="3"/>
  <c r="K186" i="3"/>
  <c r="K182" i="3"/>
  <c r="K178" i="3"/>
  <c r="K174" i="3"/>
  <c r="K170" i="3"/>
  <c r="K166" i="3"/>
  <c r="K162" i="3"/>
  <c r="K158" i="3"/>
  <c r="K154" i="3"/>
  <c r="K150" i="3"/>
  <c r="K146" i="3"/>
  <c r="K142" i="3"/>
  <c r="K138" i="3"/>
  <c r="K134" i="3"/>
  <c r="K130" i="3"/>
  <c r="K126" i="3"/>
  <c r="K122" i="3"/>
  <c r="K118" i="3"/>
  <c r="K114" i="3"/>
  <c r="K110" i="3"/>
  <c r="K106" i="3"/>
  <c r="K102" i="3"/>
  <c r="K98" i="3"/>
  <c r="K94" i="3"/>
  <c r="K90" i="3"/>
  <c r="K86" i="3"/>
  <c r="K82" i="3"/>
  <c r="K78" i="3"/>
  <c r="K74" i="3"/>
  <c r="K70" i="3"/>
  <c r="K66" i="3"/>
  <c r="K62" i="3"/>
  <c r="K58" i="3"/>
  <c r="K54" i="3"/>
  <c r="K50" i="3"/>
  <c r="K46" i="3"/>
  <c r="K42" i="3"/>
  <c r="K38" i="3"/>
  <c r="K34" i="3"/>
  <c r="K30" i="3"/>
  <c r="K26" i="3"/>
  <c r="K22" i="3"/>
  <c r="K18" i="3"/>
  <c r="K14" i="3"/>
  <c r="K10" i="3"/>
  <c r="K6" i="3"/>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E05A71E0-1BBD-4EFE-AC3B-9BCE4221DA11}" keepAlive="1" name="Query - SalesData" description="Connection to the 'SalesData' query in the workbook." type="5" refreshedVersion="8" background="1" saveData="1">
    <dbPr connection="Provider=Microsoft.Mashup.OleDb.1;Data Source=$Workbook$;Location=SalesData;Extended Properties=&quot;&quot;" command="SELECT * FROM [SalesData]"/>
  </connection>
</connections>
</file>

<file path=xl/sharedStrings.xml><?xml version="1.0" encoding="utf-8"?>
<sst xmlns="http://schemas.openxmlformats.org/spreadsheetml/2006/main" count="8433" uniqueCount="139">
  <si>
    <t>Order Date</t>
  </si>
  <si>
    <t>Delivery Date</t>
  </si>
  <si>
    <t>Product 1</t>
  </si>
  <si>
    <t>Product 2</t>
  </si>
  <si>
    <t>Product 3</t>
  </si>
  <si>
    <t>Product 4</t>
  </si>
  <si>
    <t>Product 5</t>
  </si>
  <si>
    <t>Product 6</t>
  </si>
  <si>
    <t>Product 7</t>
  </si>
  <si>
    <t>Product 8</t>
  </si>
  <si>
    <t>Product 9</t>
  </si>
  <si>
    <t>Product 10</t>
  </si>
  <si>
    <t>Product 11</t>
  </si>
  <si>
    <t>Product 12</t>
  </si>
  <si>
    <t>Product 13</t>
  </si>
  <si>
    <t>Product 14</t>
  </si>
  <si>
    <t>Product 15</t>
  </si>
  <si>
    <t>Product 16</t>
  </si>
  <si>
    <t>Product 17</t>
  </si>
  <si>
    <t>Product 18</t>
  </si>
  <si>
    <t>Product 19</t>
  </si>
  <si>
    <t>Product 20</t>
  </si>
  <si>
    <t>Product 21</t>
  </si>
  <si>
    <t>Product 22</t>
  </si>
  <si>
    <t>Product</t>
  </si>
  <si>
    <t>Unit Price</t>
  </si>
  <si>
    <t>Unit Cost</t>
  </si>
  <si>
    <t>Units Sold</t>
  </si>
  <si>
    <t>Sales</t>
  </si>
  <si>
    <t>Alabama</t>
  </si>
  <si>
    <t>Arizona</t>
  </si>
  <si>
    <t>Arkansas</t>
  </si>
  <si>
    <t>California</t>
  </si>
  <si>
    <t>Colorado</t>
  </si>
  <si>
    <t>Connecticut</t>
  </si>
  <si>
    <t>Delaware</t>
  </si>
  <si>
    <t>Florida</t>
  </si>
  <si>
    <t>Georgia</t>
  </si>
  <si>
    <t>Idaho</t>
  </si>
  <si>
    <t>Illinois</t>
  </si>
  <si>
    <t>Indiana</t>
  </si>
  <si>
    <t>Iowa</t>
  </si>
  <si>
    <t>Kansas</t>
  </si>
  <si>
    <t>Kentucky</t>
  </si>
  <si>
    <t>Louisiana</t>
  </si>
  <si>
    <t>Maine</t>
  </si>
  <si>
    <t>Maryland</t>
  </si>
  <si>
    <t>Massachusetts</t>
  </si>
  <si>
    <t>Michigan</t>
  </si>
  <si>
    <t>Minnesota</t>
  </si>
  <si>
    <t>Mississippi</t>
  </si>
  <si>
    <t>Missouri</t>
  </si>
  <si>
    <t>Montana</t>
  </si>
  <si>
    <t>Nebraska</t>
  </si>
  <si>
    <t>Nevada</t>
  </si>
  <si>
    <t>New Hampshire</t>
  </si>
  <si>
    <t>New Jersey</t>
  </si>
  <si>
    <t>New Mexico</t>
  </si>
  <si>
    <t>New York</t>
  </si>
  <si>
    <t>North Carolina</t>
  </si>
  <si>
    <t>North Dakota</t>
  </si>
  <si>
    <t>Ohio</t>
  </si>
  <si>
    <t>Oklahoma</t>
  </si>
  <si>
    <t>Oregon</t>
  </si>
  <si>
    <t>Pennsylvania</t>
  </si>
  <si>
    <t>Rhode Island</t>
  </si>
  <si>
    <t>South Carolina</t>
  </si>
  <si>
    <t>South Dakota</t>
  </si>
  <si>
    <t>Tennessee</t>
  </si>
  <si>
    <t>Texas</t>
  </si>
  <si>
    <t>Utah</t>
  </si>
  <si>
    <t>Vermont</t>
  </si>
  <si>
    <t>Virgninia</t>
  </si>
  <si>
    <t>Washington</t>
  </si>
  <si>
    <t>West Virginina</t>
  </si>
  <si>
    <t>Wisconsin</t>
  </si>
  <si>
    <t>Wyoming</t>
  </si>
  <si>
    <t>Location</t>
  </si>
  <si>
    <t>Customer Acquisition</t>
  </si>
  <si>
    <t>Online Ads</t>
  </si>
  <si>
    <t>TV Ads</t>
  </si>
  <si>
    <t>Referral Promo</t>
  </si>
  <si>
    <t>Organic</t>
  </si>
  <si>
    <t>Return Customer</t>
  </si>
  <si>
    <t>Payment Mode</t>
  </si>
  <si>
    <t>Cash</t>
  </si>
  <si>
    <t>Installment</t>
  </si>
  <si>
    <t>Product_5</t>
  </si>
  <si>
    <t>Product    12</t>
  </si>
  <si>
    <t xml:space="preserve">   Product 1</t>
  </si>
  <si>
    <t>Product.4</t>
  </si>
  <si>
    <t>Product3</t>
  </si>
  <si>
    <t>New_York</t>
  </si>
  <si>
    <t xml:space="preserve">   Alabama</t>
  </si>
  <si>
    <t>South-Carolina</t>
  </si>
  <si>
    <t>TVAds</t>
  </si>
  <si>
    <t>TV_Ads</t>
  </si>
  <si>
    <t>Referral</t>
  </si>
  <si>
    <t xml:space="preserve">   Referral_Promo</t>
  </si>
  <si>
    <t xml:space="preserve">   _Return</t>
  </si>
  <si>
    <t xml:space="preserve">    Installment</t>
  </si>
  <si>
    <t>Cash/</t>
  </si>
  <si>
    <t>Cash.</t>
  </si>
  <si>
    <t>Cash_</t>
  </si>
  <si>
    <t>Delivery Duration (Days)</t>
  </si>
  <si>
    <t>Revenue</t>
  </si>
  <si>
    <t>Sum of Revenue</t>
  </si>
  <si>
    <t>Column Labels</t>
  </si>
  <si>
    <t>Grand Total</t>
  </si>
  <si>
    <t>Row Labels</t>
  </si>
  <si>
    <t>2020</t>
  </si>
  <si>
    <t>Jan</t>
  </si>
  <si>
    <t>Feb</t>
  </si>
  <si>
    <t>Mar</t>
  </si>
  <si>
    <t>Apr</t>
  </si>
  <si>
    <t>May</t>
  </si>
  <si>
    <t>Jun</t>
  </si>
  <si>
    <t>Jul</t>
  </si>
  <si>
    <t>Aug</t>
  </si>
  <si>
    <t>Sep</t>
  </si>
  <si>
    <t>Oct</t>
  </si>
  <si>
    <t>Nov</t>
  </si>
  <si>
    <t>Dec</t>
  </si>
  <si>
    <t>2021</t>
  </si>
  <si>
    <t>2022</t>
  </si>
  <si>
    <t>COGS</t>
  </si>
  <si>
    <t>Total COGS</t>
  </si>
  <si>
    <t>Total Revenue</t>
  </si>
  <si>
    <t>Total Sales</t>
  </si>
  <si>
    <t>Count of Sales</t>
  </si>
  <si>
    <t>Sum of Sales</t>
  </si>
  <si>
    <t>Total</t>
  </si>
  <si>
    <t>Repeat Client</t>
  </si>
  <si>
    <t xml:space="preserve">Profit  Margin </t>
  </si>
  <si>
    <t>Margin</t>
  </si>
  <si>
    <t xml:space="preserve">Average of Profit  Margin </t>
  </si>
  <si>
    <t>Average of Delivery Duration (Days)</t>
  </si>
  <si>
    <t>Count of Unit Price</t>
  </si>
  <si>
    <t>x</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</si>
</sst>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6">
    <numFmt numFmtId="164" formatCode="_-[$$-409]* #,##0.00_ ;_-[$$-409]* \-#,##0.00\ ;_-[$$-409]* &quot;-&quot;??_ ;_-@_ "/>
    <numFmt numFmtId="165" formatCode="[$-F800]dddd\,\ mmmm\ dd\,\ yyyy"/>
    <numFmt numFmtId="166" formatCode="yyyy\-mm\-dd;@"/>
    <numFmt numFmtId="167" formatCode="[$-3409]dd\-mmm\-yy;@"/>
    <numFmt numFmtId="168" formatCode="[$-3409]dd\ mmmm\,\ yyyy;@"/>
    <numFmt numFmtId="169" formatCode="_-[$$-409]* #,##0_ ;_-[$$-409]* \-#,##0\ ;_-[$$-409]* &quot;-&quot;??_ ;_-@_ "/>
  </numFmts>
  <fonts count="4" x14ac:knownFonts="1">
    <font>
      <sz val="11"/>
      <color theme="1"/>
      <name val="Calibri"/>
      <family val="2"/>
      <scheme val="minor"/>
    </font>
    <font>
      <b/>
      <sz val="11"/>
      <color theme="1"/>
      <name val="Calibri"/>
      <family val="2"/>
      <scheme val="minor"/>
    </font>
    <font>
      <sz val="8"/>
      <name val="Calibri"/>
      <family val="2"/>
      <scheme val="minor"/>
    </font>
    <font>
      <sz val="11"/>
      <color theme="1"/>
      <name val="Calibri"/>
      <family val="2"/>
      <scheme val="minor"/>
    </font>
  </fonts>
  <fills count="4">
    <fill>
      <patternFill patternType="none"/>
    </fill>
    <fill>
      <patternFill patternType="gray125"/>
    </fill>
    <fill>
      <patternFill patternType="solid">
        <fgColor theme="4" tint="0.79998168889431442"/>
        <bgColor theme="4" tint="0.79998168889431442"/>
      </patternFill>
    </fill>
    <fill>
      <patternFill patternType="solid">
        <fgColor theme="0" tint="-0.14999847407452621"/>
        <bgColor indexed="64"/>
      </patternFill>
    </fill>
  </fills>
  <borders count="3">
    <border>
      <left/>
      <right/>
      <top/>
      <bottom/>
      <diagonal/>
    </border>
    <border>
      <left/>
      <right/>
      <top/>
      <bottom style="thin">
        <color theme="4" tint="0.39997558519241921"/>
      </bottom>
      <diagonal/>
    </border>
    <border>
      <left/>
      <right/>
      <top style="thin">
        <color theme="4" tint="0.39997558519241921"/>
      </top>
      <bottom/>
      <diagonal/>
    </border>
  </borders>
  <cellStyleXfs count="2">
    <xf numFmtId="0" fontId="0" fillId="0" borderId="0"/>
    <xf numFmtId="9" fontId="3" fillId="0" borderId="0" applyFont="0" applyFill="0" applyBorder="0" applyAlignment="0" applyProtection="0"/>
  </cellStyleXfs>
  <cellXfs count="29">
    <xf numFmtId="0" fontId="0" fillId="0" borderId="0" xfId="0"/>
    <xf numFmtId="0" fontId="1" fillId="0" borderId="0" xfId="0" applyFont="1" applyAlignment="1">
      <alignment horizontal="center" vertical="center"/>
    </xf>
    <xf numFmtId="14" fontId="0" fillId="0" borderId="0" xfId="0" applyNumberFormat="1"/>
    <xf numFmtId="0" fontId="0" fillId="0" borderId="0" xfId="0" applyNumberFormat="1"/>
    <xf numFmtId="14" fontId="1" fillId="0" borderId="0" xfId="0" applyNumberFormat="1" applyFont="1" applyAlignment="1">
      <alignment horizontal="center" vertical="center"/>
    </xf>
    <xf numFmtId="164" fontId="1" fillId="0" borderId="0" xfId="0" applyNumberFormat="1" applyFont="1" applyAlignment="1">
      <alignment horizontal="center" vertical="center"/>
    </xf>
    <xf numFmtId="164" fontId="0" fillId="0" borderId="0" xfId="0" applyNumberFormat="1"/>
    <xf numFmtId="165" fontId="0" fillId="0" borderId="0" xfId="0" applyNumberFormat="1"/>
    <xf numFmtId="166" fontId="0" fillId="0" borderId="0" xfId="0" applyNumberFormat="1"/>
    <xf numFmtId="167" fontId="0" fillId="0" borderId="0" xfId="0" applyNumberFormat="1"/>
    <xf numFmtId="168" fontId="0" fillId="0" borderId="0" xfId="0" applyNumberFormat="1"/>
    <xf numFmtId="0" fontId="1" fillId="2" borderId="1" xfId="0" applyFont="1" applyFill="1" applyBorder="1"/>
    <xf numFmtId="0" fontId="0" fillId="0" borderId="0" xfId="0" pivotButton="1"/>
    <xf numFmtId="0" fontId="0" fillId="0" borderId="0" xfId="0" applyAlignment="1">
      <alignment horizontal="left"/>
    </xf>
    <xf numFmtId="14" fontId="0" fillId="0" borderId="0" xfId="0" applyNumberFormat="1" applyAlignment="1">
      <alignment horizontal="left" indent="1"/>
    </xf>
    <xf numFmtId="0" fontId="1" fillId="2" borderId="0" xfId="0" applyFont="1" applyFill="1"/>
    <xf numFmtId="0" fontId="1" fillId="2" borderId="2" xfId="0" applyFont="1" applyFill="1" applyBorder="1" applyAlignment="1">
      <alignment horizontal="left"/>
    </xf>
    <xf numFmtId="0" fontId="1" fillId="2" borderId="2" xfId="0" applyNumberFormat="1" applyFont="1" applyFill="1" applyBorder="1"/>
    <xf numFmtId="169" fontId="1" fillId="2" borderId="2" xfId="0" applyNumberFormat="1" applyFont="1" applyFill="1" applyBorder="1"/>
    <xf numFmtId="169" fontId="0" fillId="0" borderId="0" xfId="0" applyNumberFormat="1"/>
    <xf numFmtId="9" fontId="0" fillId="0" borderId="0" xfId="1" applyFont="1"/>
    <xf numFmtId="9" fontId="0" fillId="0" borderId="0" xfId="1" applyNumberFormat="1" applyFont="1"/>
    <xf numFmtId="0" fontId="1" fillId="0" borderId="0" xfId="0" pivotButton="1" applyFont="1"/>
    <xf numFmtId="169" fontId="1" fillId="0" borderId="0" xfId="0" applyNumberFormat="1" applyFont="1"/>
    <xf numFmtId="0" fontId="1" fillId="0" borderId="0" xfId="0" applyFont="1"/>
    <xf numFmtId="9" fontId="0" fillId="0" borderId="0" xfId="1" applyFont="1" applyAlignment="1">
      <alignment horizontal="center"/>
    </xf>
    <xf numFmtId="9" fontId="1" fillId="3" borderId="0" xfId="1" applyFont="1" applyFill="1" applyAlignment="1">
      <alignment horizontal="center"/>
    </xf>
    <xf numFmtId="169" fontId="0" fillId="0" borderId="0" xfId="1" applyNumberFormat="1" applyFont="1"/>
    <xf numFmtId="2" fontId="0" fillId="0" borderId="0" xfId="0" applyNumberFormat="1"/>
  </cellXfs>
  <cellStyles count="2">
    <cellStyle name="Normal" xfId="0" builtinId="0"/>
    <cellStyle name="Percent" xfId="1" builtinId="5"/>
  </cellStyles>
  <dxfs count="151">
    <dxf>
      <numFmt numFmtId="169" formatCode="_-[$$-409]* #,##0_ ;_-[$$-409]* \-#,##0\ ;_-[$$-409]* &quot;-&quot;??_ ;_-@_ "/>
    </dxf>
    <dxf>
      <numFmt numFmtId="169" formatCode="_-[$$-409]* #,##0_ ;_-[$$-409]* \-#,##0\ ;_-[$$-409]* &quot;-&quot;??_ ;_-@_ "/>
    </dxf>
    <dxf>
      <numFmt numFmtId="169" formatCode="_-[$$-409]* #,##0_ ;_-[$$-409]* \-#,##0\ ;_-[$$-409]* &quot;-&quot;??_ ;_-@_ "/>
    </dxf>
    <dxf>
      <numFmt numFmtId="169" formatCode="_-[$$-409]* #,##0_ ;_-[$$-409]* \-#,##0\ ;_-[$$-409]* &quot;-&quot;??_ ;_-@_ "/>
    </dxf>
    <dxf>
      <font>
        <b/>
      </font>
    </dxf>
    <dxf>
      <font>
        <b/>
      </font>
    </dxf>
    <dxf>
      <numFmt numFmtId="169" formatCode="_-[$$-409]* #,##0_ ;_-[$$-409]* \-#,##0\ ;_-[$$-409]* &quot;-&quot;??_ ;_-@_ "/>
    </dxf>
    <dxf>
      <numFmt numFmtId="169" formatCode="_-[$$-409]* #,##0_ ;_-[$$-409]* \-#,##0\ ;_-[$$-409]* &quot;-&quot;??_ ;_-@_ "/>
    </dxf>
    <dxf>
      <numFmt numFmtId="169" formatCode="_-[$$-409]* #,##0_ ;_-[$$-409]* \-#,##0\ ;_-[$$-409]* &quot;-&quot;??_ ;_-@_ "/>
    </dxf>
    <dxf>
      <numFmt numFmtId="169" formatCode="_-[$$-409]* #,##0_ ;_-[$$-409]* \-#,##0\ ;_-[$$-409]* &quot;-&quot;??_ ;_-@_ "/>
    </dxf>
    <dxf>
      <numFmt numFmtId="2" formatCode="0.00"/>
    </dxf>
    <dxf>
      <numFmt numFmtId="2" formatCode="0.00"/>
    </dxf>
    <dxf>
      <numFmt numFmtId="169" formatCode="_-[$$-409]* #,##0_ ;_-[$$-409]* \-#,##0\ ;_-[$$-409]* &quot;-&quot;??_ ;_-@_ "/>
    </dxf>
    <dxf>
      <numFmt numFmtId="169" formatCode="_-[$$-409]* #,##0_ ;_-[$$-409]* \-#,##0\ ;_-[$$-409]* &quot;-&quot;??_ ;_-@_ "/>
    </dxf>
    <dxf>
      <numFmt numFmtId="169" formatCode="_-[$$-409]* #,##0_ ;_-[$$-409]* \-#,##0\ ;_-[$$-409]* &quot;-&quot;??_ ;_-@_ "/>
    </dxf>
    <dxf>
      <numFmt numFmtId="169" formatCode="_-[$$-409]* #,##0_ ;_-[$$-409]* \-#,##0\ ;_-[$$-409]* &quot;-&quot;??_ ;_-@_ "/>
    </dxf>
    <dxf>
      <font>
        <b/>
      </font>
    </dxf>
    <dxf>
      <font>
        <b/>
      </font>
    </dxf>
    <dxf>
      <numFmt numFmtId="169" formatCode="_-[$$-409]* #,##0_ ;_-[$$-409]* \-#,##0\ ;_-[$$-409]* &quot;-&quot;??_ ;_-@_ "/>
    </dxf>
    <dxf>
      <numFmt numFmtId="169" formatCode="_-[$$-409]* #,##0_ ;_-[$$-409]* \-#,##0\ ;_-[$$-409]* &quot;-&quot;??_ ;_-@_ "/>
    </dxf>
    <dxf>
      <numFmt numFmtId="169" formatCode="_-[$$-409]* #,##0_ ;_-[$$-409]* \-#,##0\ ;_-[$$-409]* &quot;-&quot;??_ ;_-@_ "/>
    </dxf>
    <dxf>
      <numFmt numFmtId="169" formatCode="_-[$$-409]* #,##0_ ;_-[$$-409]* \-#,##0\ ;_-[$$-409]* &quot;-&quot;??_ ;_-@_ "/>
    </dxf>
    <dxf>
      <numFmt numFmtId="2" formatCode="0.00"/>
    </dxf>
    <dxf>
      <numFmt numFmtId="2" formatCode="0.00"/>
    </dxf>
    <dxf>
      <numFmt numFmtId="169" formatCode="_-[$$-409]* #,##0_ ;_-[$$-409]* \-#,##0\ ;_-[$$-409]* &quot;-&quot;??_ ;_-@_ "/>
    </dxf>
    <dxf>
      <numFmt numFmtId="169" formatCode="_-[$$-409]* #,##0_ ;_-[$$-409]* \-#,##0\ ;_-[$$-409]* &quot;-&quot;??_ ;_-@_ "/>
    </dxf>
    <dxf>
      <numFmt numFmtId="169" formatCode="_-[$$-409]* #,##0_ ;_-[$$-409]* \-#,##0\ ;_-[$$-409]* &quot;-&quot;??_ ;_-@_ "/>
    </dxf>
    <dxf>
      <numFmt numFmtId="169" formatCode="_-[$$-409]* #,##0_ ;_-[$$-409]* \-#,##0\ ;_-[$$-409]* &quot;-&quot;??_ ;_-@_ "/>
    </dxf>
    <dxf>
      <font>
        <b/>
      </font>
    </dxf>
    <dxf>
      <font>
        <b/>
      </font>
    </dxf>
    <dxf>
      <numFmt numFmtId="169" formatCode="_-[$$-409]* #,##0_ ;_-[$$-409]* \-#,##0\ ;_-[$$-409]* &quot;-&quot;??_ ;_-@_ "/>
    </dxf>
    <dxf>
      <numFmt numFmtId="169" formatCode="_-[$$-409]* #,##0_ ;_-[$$-409]* \-#,##0\ ;_-[$$-409]* &quot;-&quot;??_ ;_-@_ "/>
    </dxf>
    <dxf>
      <numFmt numFmtId="169" formatCode="_-[$$-409]* #,##0_ ;_-[$$-409]* \-#,##0\ ;_-[$$-409]* &quot;-&quot;??_ ;_-@_ "/>
    </dxf>
    <dxf>
      <numFmt numFmtId="169" formatCode="_-[$$-409]* #,##0_ ;_-[$$-409]* \-#,##0\ ;_-[$$-409]* &quot;-&quot;??_ ;_-@_ "/>
    </dxf>
    <dxf>
      <numFmt numFmtId="2" formatCode="0.00"/>
    </dxf>
    <dxf>
      <numFmt numFmtId="2" formatCode="0.00"/>
    </dxf>
    <dxf>
      <numFmt numFmtId="169" formatCode="_-[$$-409]* #,##0_ ;_-[$$-409]* \-#,##0\ ;_-[$$-409]* &quot;-&quot;??_ ;_-@_ "/>
    </dxf>
    <dxf>
      <numFmt numFmtId="169" formatCode="_-[$$-409]* #,##0_ ;_-[$$-409]* \-#,##0\ ;_-[$$-409]* &quot;-&quot;??_ ;_-@_ "/>
    </dxf>
    <dxf>
      <numFmt numFmtId="169" formatCode="_-[$$-409]* #,##0_ ;_-[$$-409]* \-#,##0\ ;_-[$$-409]* &quot;-&quot;??_ ;_-@_ "/>
    </dxf>
    <dxf>
      <numFmt numFmtId="169" formatCode="_-[$$-409]* #,##0_ ;_-[$$-409]* \-#,##0\ ;_-[$$-409]* &quot;-&quot;??_ ;_-@_ "/>
    </dxf>
    <dxf>
      <font>
        <b/>
      </font>
    </dxf>
    <dxf>
      <font>
        <b/>
      </font>
    </dxf>
    <dxf>
      <numFmt numFmtId="169" formatCode="_-[$$-409]* #,##0_ ;_-[$$-409]* \-#,##0\ ;_-[$$-409]* &quot;-&quot;??_ ;_-@_ "/>
    </dxf>
    <dxf>
      <numFmt numFmtId="169" formatCode="_-[$$-409]* #,##0_ ;_-[$$-409]* \-#,##0\ ;_-[$$-409]* &quot;-&quot;??_ ;_-@_ "/>
    </dxf>
    <dxf>
      <numFmt numFmtId="169" formatCode="_-[$$-409]* #,##0_ ;_-[$$-409]* \-#,##0\ ;_-[$$-409]* &quot;-&quot;??_ ;_-@_ "/>
    </dxf>
    <dxf>
      <numFmt numFmtId="169" formatCode="_-[$$-409]* #,##0_ ;_-[$$-409]* \-#,##0\ ;_-[$$-409]* &quot;-&quot;??_ ;_-@_ "/>
    </dxf>
    <dxf>
      <numFmt numFmtId="2" formatCode="0.00"/>
    </dxf>
    <dxf>
      <numFmt numFmtId="2" formatCode="0.00"/>
    </dxf>
    <dxf>
      <numFmt numFmtId="169" formatCode="_-[$$-409]* #,##0_ ;_-[$$-409]* \-#,##0\ ;_-[$$-409]* &quot;-&quot;??_ ;_-@_ "/>
    </dxf>
    <dxf>
      <numFmt numFmtId="169" formatCode="_-[$$-409]* #,##0_ ;_-[$$-409]* \-#,##0\ ;_-[$$-409]* &quot;-&quot;??_ ;_-@_ "/>
    </dxf>
    <dxf>
      <numFmt numFmtId="169" formatCode="_-[$$-409]* #,##0_ ;_-[$$-409]* \-#,##0\ ;_-[$$-409]* &quot;-&quot;??_ ;_-@_ "/>
    </dxf>
    <dxf>
      <numFmt numFmtId="169" formatCode="_-[$$-409]* #,##0_ ;_-[$$-409]* \-#,##0\ ;_-[$$-409]* &quot;-&quot;??_ ;_-@_ "/>
    </dxf>
    <dxf>
      <font>
        <b/>
      </font>
    </dxf>
    <dxf>
      <font>
        <b/>
      </font>
    </dxf>
    <dxf>
      <numFmt numFmtId="169" formatCode="_-[$$-409]* #,##0_ ;_-[$$-409]* \-#,##0\ ;_-[$$-409]* &quot;-&quot;??_ ;_-@_ "/>
    </dxf>
    <dxf>
      <numFmt numFmtId="169" formatCode="_-[$$-409]* #,##0_ ;_-[$$-409]* \-#,##0\ ;_-[$$-409]* &quot;-&quot;??_ ;_-@_ "/>
    </dxf>
    <dxf>
      <numFmt numFmtId="169" formatCode="_-[$$-409]* #,##0_ ;_-[$$-409]* \-#,##0\ ;_-[$$-409]* &quot;-&quot;??_ ;_-@_ "/>
    </dxf>
    <dxf>
      <numFmt numFmtId="169" formatCode="_-[$$-409]* #,##0_ ;_-[$$-409]* \-#,##0\ ;_-[$$-409]* &quot;-&quot;??_ ;_-@_ "/>
    </dxf>
    <dxf>
      <numFmt numFmtId="2" formatCode="0.00"/>
    </dxf>
    <dxf>
      <numFmt numFmtId="2" formatCode="0.00"/>
    </dxf>
    <dxf>
      <numFmt numFmtId="169" formatCode="_-[$$-409]* #,##0_ ;_-[$$-409]* \-#,##0\ ;_-[$$-409]* &quot;-&quot;??_ ;_-@_ "/>
    </dxf>
    <dxf>
      <numFmt numFmtId="169" formatCode="_-[$$-409]* #,##0_ ;_-[$$-409]* \-#,##0\ ;_-[$$-409]* &quot;-&quot;??_ ;_-@_ "/>
    </dxf>
    <dxf>
      <numFmt numFmtId="169" formatCode="_-[$$-409]* #,##0_ ;_-[$$-409]* \-#,##0\ ;_-[$$-409]* &quot;-&quot;??_ ;_-@_ "/>
    </dxf>
    <dxf>
      <numFmt numFmtId="169" formatCode="_-[$$-409]* #,##0_ ;_-[$$-409]* \-#,##0\ ;_-[$$-409]* &quot;-&quot;??_ ;_-@_ "/>
    </dxf>
    <dxf>
      <font>
        <b/>
      </font>
    </dxf>
    <dxf>
      <font>
        <b/>
      </font>
    </dxf>
    <dxf>
      <numFmt numFmtId="169" formatCode="_-[$$-409]* #,##0_ ;_-[$$-409]* \-#,##0\ ;_-[$$-409]* &quot;-&quot;??_ ;_-@_ "/>
    </dxf>
    <dxf>
      <numFmt numFmtId="169" formatCode="_-[$$-409]* #,##0_ ;_-[$$-409]* \-#,##0\ ;_-[$$-409]* &quot;-&quot;??_ ;_-@_ "/>
    </dxf>
    <dxf>
      <numFmt numFmtId="169" formatCode="_-[$$-409]* #,##0_ ;_-[$$-409]* \-#,##0\ ;_-[$$-409]* &quot;-&quot;??_ ;_-@_ "/>
    </dxf>
    <dxf>
      <numFmt numFmtId="169" formatCode="_-[$$-409]* #,##0_ ;_-[$$-409]* \-#,##0\ ;_-[$$-409]* &quot;-&quot;??_ ;_-@_ "/>
    </dxf>
    <dxf>
      <numFmt numFmtId="2" formatCode="0.00"/>
    </dxf>
    <dxf>
      <numFmt numFmtId="2" formatCode="0.00"/>
    </dxf>
    <dxf>
      <numFmt numFmtId="169" formatCode="_-[$$-409]* #,##0_ ;_-[$$-409]* \-#,##0\ ;_-[$$-409]* &quot;-&quot;??_ ;_-@_ "/>
    </dxf>
    <dxf>
      <numFmt numFmtId="169" formatCode="_-[$$-409]* #,##0_ ;_-[$$-409]* \-#,##0\ ;_-[$$-409]* &quot;-&quot;??_ ;_-@_ "/>
    </dxf>
    <dxf>
      <numFmt numFmtId="169" formatCode="_-[$$-409]* #,##0_ ;_-[$$-409]* \-#,##0\ ;_-[$$-409]* &quot;-&quot;??_ ;_-@_ "/>
    </dxf>
    <dxf>
      <numFmt numFmtId="169" formatCode="_-[$$-409]* #,##0_ ;_-[$$-409]* \-#,##0\ ;_-[$$-409]* &quot;-&quot;??_ ;_-@_ "/>
    </dxf>
    <dxf>
      <font>
        <b/>
      </font>
    </dxf>
    <dxf>
      <font>
        <b/>
      </font>
    </dxf>
    <dxf>
      <numFmt numFmtId="169" formatCode="_-[$$-409]* #,##0_ ;_-[$$-409]* \-#,##0\ ;_-[$$-409]* &quot;-&quot;??_ ;_-@_ "/>
    </dxf>
    <dxf>
      <numFmt numFmtId="169" formatCode="_-[$$-409]* #,##0_ ;_-[$$-409]* \-#,##0\ ;_-[$$-409]* &quot;-&quot;??_ ;_-@_ "/>
    </dxf>
    <dxf>
      <numFmt numFmtId="169" formatCode="_-[$$-409]* #,##0_ ;_-[$$-409]* \-#,##0\ ;_-[$$-409]* &quot;-&quot;??_ ;_-@_ "/>
    </dxf>
    <dxf>
      <numFmt numFmtId="169" formatCode="_-[$$-409]* #,##0_ ;_-[$$-409]* \-#,##0\ ;_-[$$-409]* &quot;-&quot;??_ ;_-@_ "/>
    </dxf>
    <dxf>
      <numFmt numFmtId="2" formatCode="0.00"/>
    </dxf>
    <dxf>
      <numFmt numFmtId="2" formatCode="0.00"/>
    </dxf>
    <dxf>
      <numFmt numFmtId="169" formatCode="_-[$$-409]* #,##0_ ;_-[$$-409]* \-#,##0\ ;_-[$$-409]* &quot;-&quot;??_ ;_-@_ "/>
    </dxf>
    <dxf>
      <numFmt numFmtId="169" formatCode="_-[$$-409]* #,##0_ ;_-[$$-409]* \-#,##0\ ;_-[$$-409]* &quot;-&quot;??_ ;_-@_ "/>
    </dxf>
    <dxf>
      <numFmt numFmtId="169" formatCode="_-[$$-409]* #,##0_ ;_-[$$-409]* \-#,##0\ ;_-[$$-409]* &quot;-&quot;??_ ;_-@_ "/>
    </dxf>
    <dxf>
      <numFmt numFmtId="169" formatCode="_-[$$-409]* #,##0_ ;_-[$$-409]* \-#,##0\ ;_-[$$-409]* &quot;-&quot;??_ ;_-@_ "/>
    </dxf>
    <dxf>
      <font>
        <b/>
      </font>
    </dxf>
    <dxf>
      <font>
        <b/>
      </font>
    </dxf>
    <dxf>
      <numFmt numFmtId="169" formatCode="_-[$$-409]* #,##0_ ;_-[$$-409]* \-#,##0\ ;_-[$$-409]* &quot;-&quot;??_ ;_-@_ "/>
    </dxf>
    <dxf>
      <numFmt numFmtId="169" formatCode="_-[$$-409]* #,##0_ ;_-[$$-409]* \-#,##0\ ;_-[$$-409]* &quot;-&quot;??_ ;_-@_ "/>
    </dxf>
    <dxf>
      <numFmt numFmtId="169" formatCode="_-[$$-409]* #,##0_ ;_-[$$-409]* \-#,##0\ ;_-[$$-409]* &quot;-&quot;??_ ;_-@_ "/>
    </dxf>
    <dxf>
      <numFmt numFmtId="169" formatCode="_-[$$-409]* #,##0_ ;_-[$$-409]* \-#,##0\ ;_-[$$-409]* &quot;-&quot;??_ ;_-@_ "/>
    </dxf>
    <dxf>
      <numFmt numFmtId="2" formatCode="0.00"/>
    </dxf>
    <dxf>
      <numFmt numFmtId="2" formatCode="0.00"/>
    </dxf>
    <dxf>
      <numFmt numFmtId="0" formatCode="General"/>
    </dxf>
    <dxf>
      <numFmt numFmtId="0" formatCode="General"/>
    </dxf>
    <dxf>
      <numFmt numFmtId="0" formatCode="General"/>
    </dxf>
    <dxf>
      <numFmt numFmtId="13" formatCode="0%"/>
    </dxf>
    <dxf>
      <numFmt numFmtId="164" formatCode="_-[$$-409]* #,##0.00_ ;_-[$$-409]* \-#,##0.00\ ;_-[$$-409]* &quot;-&quot;??_ ;_-@_ "/>
    </dxf>
    <dxf>
      <numFmt numFmtId="164" formatCode="_-[$$-409]* #,##0.00_ ;_-[$$-409]* \-#,##0.00\ ;_-[$$-409]* &quot;-&quot;??_ ;_-@_ "/>
    </dxf>
    <dxf>
      <numFmt numFmtId="164" formatCode="_-[$$-409]* #,##0.00_ ;_-[$$-409]* \-#,##0.00\ ;_-[$$-409]* &quot;-&quot;??_ ;_-@_ "/>
    </dxf>
    <dxf>
      <numFmt numFmtId="164" formatCode="_-[$$-409]* #,##0.00_ ;_-[$$-409]* \-#,##0.00\ ;_-[$$-409]* &quot;-&quot;??_ ;_-@_ "/>
    </dxf>
    <dxf>
      <numFmt numFmtId="164" formatCode="_-[$$-409]* #,##0.00_ ;_-[$$-409]* \-#,##0.00\ ;_-[$$-409]* &quot;-&quot;??_ ;_-@_ "/>
    </dxf>
    <dxf>
      <numFmt numFmtId="0" formatCode="General"/>
    </dxf>
    <dxf>
      <numFmt numFmtId="19" formatCode="d/mm/yyyy"/>
    </dxf>
    <dxf>
      <numFmt numFmtId="19" formatCode="d/mm/yyyy"/>
    </dxf>
    <dxf>
      <numFmt numFmtId="169" formatCode="_-[$$-409]* #,##0_ ;_-[$$-409]* \-#,##0\ ;_-[$$-409]* &quot;-&quot;??_ ;_-@_ "/>
    </dxf>
    <dxf>
      <numFmt numFmtId="169" formatCode="_-[$$-409]* #,##0_ ;_-[$$-409]* \-#,##0\ ;_-[$$-409]* &quot;-&quot;??_ ;_-@_ "/>
    </dxf>
    <dxf>
      <numFmt numFmtId="169" formatCode="_-[$$-409]* #,##0_ ;_-[$$-409]* \-#,##0\ ;_-[$$-409]* &quot;-&quot;??_ ;_-@_ "/>
    </dxf>
    <dxf>
      <numFmt numFmtId="169" formatCode="_-[$$-409]* #,##0_ ;_-[$$-409]* \-#,##0\ ;_-[$$-409]* &quot;-&quot;??_ ;_-@_ "/>
    </dxf>
    <dxf>
      <font>
        <b/>
      </font>
    </dxf>
    <dxf>
      <font>
        <b/>
      </font>
    </dxf>
    <dxf>
      <numFmt numFmtId="169" formatCode="_-[$$-409]* #,##0_ ;_-[$$-409]* \-#,##0\ ;_-[$$-409]* &quot;-&quot;??_ ;_-@_ "/>
    </dxf>
    <dxf>
      <numFmt numFmtId="169" formatCode="_-[$$-409]* #,##0_ ;_-[$$-409]* \-#,##0\ ;_-[$$-409]* &quot;-&quot;??_ ;_-@_ "/>
    </dxf>
    <dxf>
      <numFmt numFmtId="169" formatCode="_-[$$-409]* #,##0_ ;_-[$$-409]* \-#,##0\ ;_-[$$-409]* &quot;-&quot;??_ ;_-@_ "/>
    </dxf>
    <dxf>
      <numFmt numFmtId="169" formatCode="_-[$$-409]* #,##0_ ;_-[$$-409]* \-#,##0\ ;_-[$$-409]* &quot;-&quot;??_ ;_-@_ "/>
    </dxf>
    <dxf>
      <numFmt numFmtId="169" formatCode="_-[$$-409]* #,##0_ ;_-[$$-409]* \-#,##0\ ;_-[$$-409]* &quot;-&quot;??_ ;_-@_ "/>
    </dxf>
    <dxf>
      <numFmt numFmtId="169" formatCode="_-[$$-409]* #,##0_ ;_-[$$-409]* \-#,##0\ ;_-[$$-409]* &quot;-&quot;??_ ;_-@_ "/>
    </dxf>
    <dxf>
      <numFmt numFmtId="169" formatCode="_-[$$-409]* #,##0_ ;_-[$$-409]* \-#,##0\ ;_-[$$-409]* &quot;-&quot;??_ ;_-@_ "/>
    </dxf>
    <dxf>
      <numFmt numFmtId="169" formatCode="_-[$$-409]* #,##0_ ;_-[$$-409]* \-#,##0\ ;_-[$$-409]* &quot;-&quot;??_ ;_-@_ "/>
    </dxf>
    <dxf>
      <font>
        <b/>
      </font>
    </dxf>
    <dxf>
      <font>
        <b/>
      </font>
    </dxf>
    <dxf>
      <numFmt numFmtId="169" formatCode="_-[$$-409]* #,##0_ ;_-[$$-409]* \-#,##0\ ;_-[$$-409]* &quot;-&quot;??_ ;_-@_ "/>
    </dxf>
    <dxf>
      <numFmt numFmtId="169" formatCode="_-[$$-409]* #,##0_ ;_-[$$-409]* \-#,##0\ ;_-[$$-409]* &quot;-&quot;??_ ;_-@_ "/>
    </dxf>
    <dxf>
      <numFmt numFmtId="169" formatCode="_-[$$-409]* #,##0_ ;_-[$$-409]* \-#,##0\ ;_-[$$-409]* &quot;-&quot;??_ ;_-@_ "/>
    </dxf>
    <dxf>
      <numFmt numFmtId="169" formatCode="_-[$$-409]* #,##0_ ;_-[$$-409]* \-#,##0\ ;_-[$$-409]* &quot;-&quot;??_ ;_-@_ "/>
    </dxf>
    <dxf>
      <numFmt numFmtId="169" formatCode="_-[$$-409]* #,##0_ ;_-[$$-409]* \-#,##0\ ;_-[$$-409]* &quot;-&quot;??_ ;_-@_ "/>
    </dxf>
    <dxf>
      <numFmt numFmtId="169" formatCode="_-[$$-409]* #,##0_ ;_-[$$-409]* \-#,##0\ ;_-[$$-409]* &quot;-&quot;??_ ;_-@_ "/>
    </dxf>
    <dxf>
      <font>
        <b/>
        <i val="0"/>
        <color theme="0" tint="-0.14993743705557422"/>
      </font>
      <border diagonalUp="0" diagonalDown="0">
        <left/>
        <right/>
        <top/>
        <bottom style="thin">
          <color theme="0" tint="-0.14996795556505021"/>
        </bottom>
        <vertical/>
        <horizontal/>
      </border>
    </dxf>
    <dxf>
      <font>
        <color theme="0" tint="-0.14996795556505021"/>
      </font>
      <fill>
        <patternFill patternType="solid">
          <bgColor theme="1"/>
        </patternFill>
      </fill>
      <border>
        <left/>
        <right/>
        <top/>
        <bottom/>
        <vertical/>
        <horizontal/>
      </border>
    </dxf>
    <dxf>
      <numFmt numFmtId="2" formatCode="0.00"/>
    </dxf>
    <dxf>
      <numFmt numFmtId="2" formatCode="0.00"/>
    </dxf>
    <dxf>
      <numFmt numFmtId="169" formatCode="_-[$$-409]* #,##0_ ;_-[$$-409]* \-#,##0\ ;_-[$$-409]* &quot;-&quot;??_ ;_-@_ "/>
    </dxf>
    <dxf>
      <numFmt numFmtId="169" formatCode="_-[$$-409]* #,##0_ ;_-[$$-409]* \-#,##0\ ;_-[$$-409]* &quot;-&quot;??_ ;_-@_ "/>
    </dxf>
    <dxf>
      <font>
        <b/>
      </font>
    </dxf>
    <dxf>
      <font>
        <b/>
      </font>
    </dxf>
    <dxf>
      <numFmt numFmtId="169" formatCode="_-[$$-409]* #,##0_ ;_-[$$-409]* \-#,##0\ ;_-[$$-409]* &quot;-&quot;??_ ;_-@_ "/>
    </dxf>
    <dxf>
      <numFmt numFmtId="169" formatCode="_-[$$-409]* #,##0_ ;_-[$$-409]* \-#,##0\ ;_-[$$-409]* &quot;-&quot;??_ ;_-@_ "/>
    </dxf>
    <dxf>
      <numFmt numFmtId="169" formatCode="_-[$$-409]* #,##0_ ;_-[$$-409]* \-#,##0\ ;_-[$$-409]* &quot;-&quot;??_ ;_-@_ "/>
    </dxf>
    <dxf>
      <numFmt numFmtId="169" formatCode="_-[$$-409]* #,##0_ ;_-[$$-409]* \-#,##0\ ;_-[$$-409]* &quot;-&quot;??_ ;_-@_ "/>
    </dxf>
    <dxf>
      <numFmt numFmtId="169" formatCode="_-[$$-409]* #,##0_ ;_-[$$-409]* \-#,##0\ ;_-[$$-409]* &quot;-&quot;??_ ;_-@_ "/>
    </dxf>
    <dxf>
      <numFmt numFmtId="169" formatCode="_-[$$-409]* #,##0_ ;_-[$$-409]* \-#,##0\ ;_-[$$-409]* &quot;-&quot;??_ ;_-@_ "/>
    </dxf>
    <dxf>
      <numFmt numFmtId="164" formatCode="_-[$$-409]* #,##0.00_ ;_-[$$-409]* \-#,##0.00\ ;_-[$$-409]* &quot;-&quot;??_ ;_-@_ "/>
    </dxf>
    <dxf>
      <numFmt numFmtId="164" formatCode="_-[$$-409]* #,##0.00_ ;_-[$$-409]* \-#,##0.00\ ;_-[$$-409]* &quot;-&quot;??_ ;_-@_ "/>
    </dxf>
    <dxf>
      <numFmt numFmtId="164" formatCode="_-[$$-409]* #,##0.00_ ;_-[$$-409]* \-#,##0.00\ ;_-[$$-409]* &quot;-&quot;??_ ;_-@_ "/>
    </dxf>
    <dxf>
      <numFmt numFmtId="164" formatCode="_-[$$-409]* #,##0.00_ ;_-[$$-409]* \-#,##0.00\ ;_-[$$-409]* &quot;-&quot;??_ ;_-@_ "/>
    </dxf>
    <dxf>
      <numFmt numFmtId="19" formatCode="d/mm/yyyy"/>
    </dxf>
    <dxf>
      <numFmt numFmtId="19" formatCode="d/mm/yyyy"/>
    </dxf>
    <dxf>
      <font>
        <b/>
        <i val="0"/>
        <strike val="0"/>
        <condense val="0"/>
        <extend val="0"/>
        <outline val="0"/>
        <shadow val="0"/>
        <u val="none"/>
        <vertAlign val="baseline"/>
        <sz val="11"/>
        <color theme="1"/>
        <name val="Calibri"/>
        <family val="2"/>
        <scheme val="minor"/>
      </font>
      <alignment horizontal="center" vertical="center" textRotation="0" wrapText="0" indent="0" justifyLastLine="0" shrinkToFit="0" readingOrder="0"/>
    </dxf>
  </dxfs>
  <tableStyles count="1" defaultTableStyle="TableStyleMedium2" defaultPivotStyle="PivotStyleLight16">
    <tableStyle name="Custom 1" pivot="0" table="0" count="10" xr9:uid="{8199E7AA-5EB7-414F-8669-3F407BD06AD5}">
      <tableStyleElement type="wholeTable" dxfId="131"/>
      <tableStyleElement type="headerRow" dxfId="130"/>
    </tableStyle>
  </tableStyles>
  <colors>
    <mruColors>
      <color rgb="FF0009E2"/>
      <color rgb="FF00091A"/>
      <color rgb="FF000922"/>
      <color rgb="FF388023"/>
      <color rgb="FF2A421A"/>
      <color rgb="FF00040C"/>
      <color rgb="FF0D0612"/>
      <color rgb="FF10180A"/>
      <color rgb="FF680000"/>
    </mruColors>
  </colors>
  <extLst>
    <ext xmlns:x14="http://schemas.microsoft.com/office/spreadsheetml/2009/9/main" uri="{46F421CA-312F-682f-3DD2-61675219B42D}">
      <x14:dxfs count="8">
        <dxf>
          <font>
            <b/>
            <i val="0"/>
            <color rgb="FF000000"/>
          </font>
          <fill>
            <patternFill patternType="solid">
              <fgColor auto="1"/>
              <bgColor theme="0" tint="-0.499984740745262"/>
            </pattern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b/>
            <i val="0"/>
            <color rgb="FF000000"/>
          </font>
          <fill>
            <patternFill patternType="solid">
              <fgColor auto="1"/>
              <bgColor theme="0" tint="-0.499984740745262"/>
            </patternFill>
          </fill>
          <border>
            <left style="thin">
              <color rgb="FF999999"/>
            </left>
            <right style="thin">
              <color rgb="FF999999"/>
            </right>
            <top style="thin">
              <color rgb="FF999999"/>
            </top>
            <bottom style="thin">
              <color rgb="FF999999"/>
            </bottom>
            <vertical/>
            <horizontal/>
          </border>
        </dxf>
        <dxf>
          <font>
            <b/>
            <i val="0"/>
            <color rgb="FF000000"/>
          </font>
          <fill>
            <patternFill patternType="solid">
              <fgColor auto="1"/>
              <bgColor theme="0" tint="-0.499984740745262"/>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b/>
            <i val="0"/>
            <color rgb="FF000000"/>
          </font>
          <fill>
            <patternFill patternType="solid">
              <fgColor theme="4" tint="0.59999389629810485"/>
              <bgColor theme="0" tint="-0.14996795556505021"/>
            </patternFill>
          </fill>
          <border>
            <left/>
            <right/>
            <top/>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b/>
            <i val="0"/>
            <color theme="0" tint="-0.14996795556505021"/>
          </font>
          <fill>
            <patternFill patternType="solid">
              <fgColor rgb="FFFFFFFF"/>
              <bgColor theme="1"/>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Custom 1">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7/relationships/slicerCache" Target="slicerCaches/slicerCache2.xml"/><Relationship Id="rId26" Type="http://schemas.openxmlformats.org/officeDocument/2006/relationships/calcChain" Target="calcChain.xml"/><Relationship Id="rId3" Type="http://schemas.openxmlformats.org/officeDocument/2006/relationships/worksheet" Target="worksheets/sheet3.xml"/><Relationship Id="rId21" Type="http://schemas.microsoft.com/office/2007/relationships/slicerCache" Target="slicerCaches/slicerCache5.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7/relationships/slicerCache" Target="slicerCaches/slicerCache1.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pivotCacheDefinition" Target="pivotCache/pivotCacheDefinition1.xml"/><Relationship Id="rId20" Type="http://schemas.microsoft.com/office/2007/relationships/slicerCache" Target="slicerCaches/slicerCache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onnections" Target="connections.xml"/><Relationship Id="rId28" Type="http://schemas.microsoft.com/office/2006/relationships/vbaProject" Target="vbaProject.bin"/><Relationship Id="rId10" Type="http://schemas.openxmlformats.org/officeDocument/2006/relationships/worksheet" Target="worksheets/sheet10.xml"/><Relationship Id="rId19" Type="http://schemas.microsoft.com/office/2007/relationships/slicerCache" Target="slicerCaches/slicerCache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openxmlformats.org/officeDocument/2006/relationships/customXml" Target="../customXml/item1.xml"/></Relationships>
</file>

<file path=xl/charts/_rels/chart1.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2.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4.xml.rels><?xml version="1.0" encoding="UTF-8" standalone="yes"?>
<Relationships xmlns="http://schemas.openxmlformats.org/package/2006/relationships"><Relationship Id="rId3" Type="http://schemas.openxmlformats.org/officeDocument/2006/relationships/themeOverride" Target="../theme/themeOverride1.xml"/><Relationship Id="rId2" Type="http://schemas.microsoft.com/office/2011/relationships/chartColorStyle" Target="colors5.xml"/><Relationship Id="rId1" Type="http://schemas.microsoft.com/office/2011/relationships/chartStyle" Target="style5.xml"/></Relationships>
</file>

<file path=xl/charts/_rels/chart5.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6.xml"/><Relationship Id="rId1" Type="http://schemas.microsoft.com/office/2011/relationships/chartStyle" Target="style6.xml"/></Relationships>
</file>

<file path=xl/charts/_rels/chart6.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7.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8.xml.rels><?xml version="1.0" encoding="UTF-8" standalone="yes"?>
<Relationships xmlns="http://schemas.openxmlformats.org/package/2006/relationships"><Relationship Id="rId3" Type="http://schemas.openxmlformats.org/officeDocument/2006/relationships/themeOverride" Target="../theme/themeOverride3.xml"/><Relationship Id="rId2" Type="http://schemas.microsoft.com/office/2011/relationships/chartColorStyle" Target="colors10.xml"/><Relationship Id="rId1" Type="http://schemas.microsoft.com/office/2011/relationships/chartStyle" Target="style10.xml"/></Relationships>
</file>

<file path=xl/charts/_rels/chart9.xml.rels><?xml version="1.0" encoding="UTF-8" standalone="yes"?>
<Relationships xmlns="http://schemas.openxmlformats.org/package/2006/relationships"><Relationship Id="rId3" Type="http://schemas.openxmlformats.org/officeDocument/2006/relationships/themeOverride" Target="../theme/themeOverride4.xml"/><Relationship Id="rId2" Type="http://schemas.microsoft.com/office/2011/relationships/chartColorStyle" Target="colors11.xml"/><Relationship Id="rId1" Type="http://schemas.microsoft.com/office/2011/relationships/chartStyle" Target="style11.xml"/></Relationships>
</file>

<file path=xl/charts/_rels/chart10.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1.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Ex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Ex2.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Ex3.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Ex4.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Dashboard 2.0.xlsm]Revenue vs Cost!PivotTable5</c:name>
    <c:fmtId val="3"/>
  </c:pivotSource>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gradFill>
            <a:gsLst>
              <a:gs pos="100000">
                <a:schemeClr val="accent1">
                  <a:alpha val="0"/>
                </a:schemeClr>
              </a:gs>
              <a:gs pos="50000">
                <a:schemeClr val="accent1"/>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gradFill>
            <a:gsLst>
              <a:gs pos="100000">
                <a:schemeClr val="accent1">
                  <a:alpha val="0"/>
                </a:schemeClr>
              </a:gs>
              <a:gs pos="50000">
                <a:schemeClr val="accent1"/>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gradFill>
            <a:gsLst>
              <a:gs pos="100000">
                <a:schemeClr val="accent1">
                  <a:alpha val="0"/>
                </a:schemeClr>
              </a:gs>
              <a:gs pos="50000">
                <a:schemeClr val="accent1"/>
              </a:gs>
            </a:gsLst>
            <a:lin ang="5400000" scaled="0"/>
          </a:gradFill>
          <a:ln>
            <a:noFill/>
          </a:ln>
          <a:effectLst>
            <a:outerShdw blurRad="50800" dist="38100" dir="2700000" algn="tl" rotWithShape="0">
              <a:prstClr val="black">
                <a:alpha val="40000"/>
              </a:prst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'Revenue vs Cost'!$B$3</c:f>
              <c:strCache>
                <c:ptCount val="1"/>
                <c:pt idx="0">
                  <c:v>Total COGS</c:v>
                </c:pt>
              </c:strCache>
            </c:strRef>
          </c:tx>
          <c:spPr>
            <a:gradFill>
              <a:gsLst>
                <a:gs pos="100000">
                  <a:schemeClr val="accent1">
                    <a:alpha val="0"/>
                  </a:schemeClr>
                </a:gs>
                <a:gs pos="50000">
                  <a:schemeClr val="accent1"/>
                </a:gs>
              </a:gsLst>
              <a:lin ang="5400000" scaled="0"/>
            </a:gradFill>
            <a:ln>
              <a:noFill/>
            </a:ln>
            <a:effectLst/>
            <a:sp3d/>
          </c:spPr>
          <c:invertIfNegative val="0"/>
          <c:cat>
            <c:strRef>
              <c:f>'Revenue vs Cost'!$A$4:$A$7</c:f>
              <c:strCache>
                <c:ptCount val="3"/>
                <c:pt idx="0">
                  <c:v>2020</c:v>
                </c:pt>
                <c:pt idx="1">
                  <c:v>2021</c:v>
                </c:pt>
                <c:pt idx="2">
                  <c:v>2022</c:v>
                </c:pt>
              </c:strCache>
            </c:strRef>
          </c:cat>
          <c:val>
            <c:numRef>
              <c:f>'Revenue vs Cost'!$B$4:$B$7</c:f>
              <c:numCache>
                <c:formatCode>_-[$$-409]* #,##0_ ;_-[$$-409]* \-#,##0\ ;_-[$$-409]* "-"??_ ;_-@_ </c:formatCode>
                <c:ptCount val="3"/>
                <c:pt idx="0">
                  <c:v>344902.6100000001</c:v>
                </c:pt>
                <c:pt idx="1">
                  <c:v>297692.53999999992</c:v>
                </c:pt>
                <c:pt idx="2">
                  <c:v>302894.53999999986</c:v>
                </c:pt>
              </c:numCache>
            </c:numRef>
          </c:val>
          <c:shape val="cylinder"/>
          <c:extLst>
            <c:ext xmlns:c16="http://schemas.microsoft.com/office/drawing/2014/chart" uri="{C3380CC4-5D6E-409C-BE32-E72D297353CC}">
              <c16:uniqueId val="{00000004-62A1-4047-83CC-799A605F38DB}"/>
            </c:ext>
          </c:extLst>
        </c:ser>
        <c:ser>
          <c:idx val="1"/>
          <c:order val="1"/>
          <c:tx>
            <c:strRef>
              <c:f>'Revenue vs Cost'!$C$3</c:f>
              <c:strCache>
                <c:ptCount val="1"/>
                <c:pt idx="0">
                  <c:v>Total Revenue</c:v>
                </c:pt>
              </c:strCache>
            </c:strRef>
          </c:tx>
          <c:spPr>
            <a:gradFill>
              <a:gsLst>
                <a:gs pos="100000">
                  <a:schemeClr val="accent2">
                    <a:alpha val="0"/>
                  </a:schemeClr>
                </a:gs>
                <a:gs pos="50000">
                  <a:schemeClr val="accent2"/>
                </a:gs>
              </a:gsLst>
              <a:lin ang="5400000" scaled="0"/>
            </a:gradFill>
            <a:ln>
              <a:noFill/>
            </a:ln>
            <a:effectLst/>
            <a:sp3d/>
          </c:spPr>
          <c:invertIfNegative val="0"/>
          <c:cat>
            <c:strRef>
              <c:f>'Revenue vs Cost'!$A$4:$A$7</c:f>
              <c:strCache>
                <c:ptCount val="3"/>
                <c:pt idx="0">
                  <c:v>2020</c:v>
                </c:pt>
                <c:pt idx="1">
                  <c:v>2021</c:v>
                </c:pt>
                <c:pt idx="2">
                  <c:v>2022</c:v>
                </c:pt>
              </c:strCache>
            </c:strRef>
          </c:cat>
          <c:val>
            <c:numRef>
              <c:f>'Revenue vs Cost'!$C$4:$C$7</c:f>
              <c:numCache>
                <c:formatCode>_-[$$-409]* #,##0_ ;_-[$$-409]* \-#,##0\ ;_-[$$-409]* "-"??_ ;_-@_ </c:formatCode>
                <c:ptCount val="3"/>
                <c:pt idx="0">
                  <c:v>161480.39000000004</c:v>
                </c:pt>
                <c:pt idx="1">
                  <c:v>141371.46</c:v>
                </c:pt>
                <c:pt idx="2">
                  <c:v>145047.46</c:v>
                </c:pt>
              </c:numCache>
            </c:numRef>
          </c:val>
          <c:shape val="cylinder"/>
          <c:extLst>
            <c:ext xmlns:c16="http://schemas.microsoft.com/office/drawing/2014/chart" uri="{C3380CC4-5D6E-409C-BE32-E72D297353CC}">
              <c16:uniqueId val="{00000006-62A1-4047-83CC-799A605F38DB}"/>
            </c:ext>
          </c:extLst>
        </c:ser>
        <c:ser>
          <c:idx val="2"/>
          <c:order val="2"/>
          <c:tx>
            <c:strRef>
              <c:f>'Revenue vs Cost'!$D$3</c:f>
              <c:strCache>
                <c:ptCount val="1"/>
                <c:pt idx="0">
                  <c:v>Total Sales</c:v>
                </c:pt>
              </c:strCache>
            </c:strRef>
          </c:tx>
          <c:spPr>
            <a:gradFill>
              <a:gsLst>
                <a:gs pos="100000">
                  <a:schemeClr val="accent3">
                    <a:alpha val="0"/>
                  </a:schemeClr>
                </a:gs>
                <a:gs pos="50000">
                  <a:schemeClr val="accent3"/>
                </a:gs>
              </a:gsLst>
              <a:lin ang="5400000" scaled="0"/>
            </a:gradFill>
            <a:ln>
              <a:noFill/>
            </a:ln>
            <a:effectLst>
              <a:outerShdw blurRad="50800" dist="38100" dir="2700000" algn="tl" rotWithShape="0">
                <a:prstClr val="black">
                  <a:alpha val="40000"/>
                </a:prstClr>
              </a:outerShdw>
            </a:effectLst>
            <a:sp3d/>
          </c:spPr>
          <c:invertIfNegative val="0"/>
          <c:cat>
            <c:strRef>
              <c:f>'Revenue vs Cost'!$A$4:$A$7</c:f>
              <c:strCache>
                <c:ptCount val="3"/>
                <c:pt idx="0">
                  <c:v>2020</c:v>
                </c:pt>
                <c:pt idx="1">
                  <c:v>2021</c:v>
                </c:pt>
                <c:pt idx="2">
                  <c:v>2022</c:v>
                </c:pt>
              </c:strCache>
            </c:strRef>
          </c:cat>
          <c:val>
            <c:numRef>
              <c:f>'Revenue vs Cost'!$D$4:$D$7</c:f>
              <c:numCache>
                <c:formatCode>_-[$$-409]* #,##0_ ;_-[$$-409]* \-#,##0\ ;_-[$$-409]* "-"??_ ;_-@_ </c:formatCode>
                <c:ptCount val="3"/>
                <c:pt idx="0">
                  <c:v>506383</c:v>
                </c:pt>
                <c:pt idx="1">
                  <c:v>439064</c:v>
                </c:pt>
                <c:pt idx="2">
                  <c:v>447942</c:v>
                </c:pt>
              </c:numCache>
            </c:numRef>
          </c:val>
          <c:shape val="cylinder"/>
          <c:extLst>
            <c:ext xmlns:c16="http://schemas.microsoft.com/office/drawing/2014/chart" uri="{C3380CC4-5D6E-409C-BE32-E72D297353CC}">
              <c16:uniqueId val="{00000008-62A1-4047-83CC-799A605F38DB}"/>
            </c:ext>
          </c:extLst>
        </c:ser>
        <c:dLbls>
          <c:showLegendKey val="0"/>
          <c:showVal val="0"/>
          <c:showCatName val="0"/>
          <c:showSerName val="0"/>
          <c:showPercent val="0"/>
          <c:showBubbleSize val="0"/>
        </c:dLbls>
        <c:gapWidth val="150"/>
        <c:gapDepth val="0"/>
        <c:shape val="box"/>
        <c:axId val="332980448"/>
        <c:axId val="332974544"/>
        <c:axId val="0"/>
      </c:bar3DChart>
      <c:catAx>
        <c:axId val="332980448"/>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32974544"/>
        <c:crosses val="autoZero"/>
        <c:auto val="1"/>
        <c:lblAlgn val="ctr"/>
        <c:lblOffset val="100"/>
        <c:noMultiLvlLbl val="0"/>
      </c:catAx>
      <c:valAx>
        <c:axId val="332974544"/>
        <c:scaling>
          <c:orientation val="minMax"/>
        </c:scaling>
        <c:delete val="0"/>
        <c:axPos val="l"/>
        <c:majorGridlines>
          <c:spPr>
            <a:ln w="9525" cap="flat" cmpd="sng" algn="ctr">
              <a:solidFill>
                <a:schemeClr val="tx1">
                  <a:lumMod val="5000"/>
                  <a:lumOff val="95000"/>
                </a:schemeClr>
              </a:solidFill>
              <a:round/>
            </a:ln>
            <a:effectLst/>
          </c:spPr>
        </c:majorGridlines>
        <c:numFmt formatCode="_-[$$-409]* #,##0_ ;_-[$$-409]* \-#,##0\ ;_-[$$-409]* &quot;-&quot;??_ ;_-@_ "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329804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Dashboard 2.0.xlsm]Top 5!PivotTable1</c:name>
    <c:fmtId val="2"/>
  </c:pivotSource>
  <c:chart>
    <c:autoTitleDeleted val="0"/>
    <c:pivotFmts>
      <c:pivotFmt>
        <c:idx val="0"/>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circle"/>
          <c:size val="6"/>
          <c:spPr>
            <a:solidFill>
              <a:schemeClr val="accent1"/>
            </a:solidFill>
            <a:ln w="9525">
              <a:solidFill>
                <a:schemeClr val="dk1">
                  <a:lumMod val="75000"/>
                  <a:lumOff val="25000"/>
                </a:schemeClr>
              </a:solidFill>
            </a:ln>
            <a:effectLst/>
          </c:spPr>
        </c:marker>
        <c:dLbl>
          <c:idx val="0"/>
          <c:spPr>
            <a:solidFill>
              <a:srgbClr val="4472C4">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circle"/>
          <c:size val="6"/>
          <c:spPr>
            <a:solidFill>
              <a:schemeClr val="accent2"/>
            </a:solidFill>
            <a:ln w="9525">
              <a:solidFill>
                <a:schemeClr val="dk1">
                  <a:lumMod val="75000"/>
                  <a:lumOff val="25000"/>
                </a:schemeClr>
              </a:solidFill>
            </a:ln>
            <a:effectLst/>
          </c:spPr>
        </c:marker>
        <c:dLbl>
          <c:idx val="0"/>
          <c:spPr>
            <a:solidFill>
              <a:srgbClr val="ED7D31">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pPr>
            <a:solidFill>
              <a:srgbClr val="4472C4">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pPr>
            <a:solidFill>
              <a:srgbClr val="ED7D31">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gradFill>
            <a:gsLst>
              <a:gs pos="0">
                <a:schemeClr val="accent1">
                  <a:lumMod val="50000"/>
                </a:schemeClr>
              </a:gs>
              <a:gs pos="100000">
                <a:schemeClr val="accent1">
                  <a:lumMod val="60000"/>
                  <a:lumOff val="40000"/>
                </a:schemeClr>
              </a:gs>
            </a:gsLst>
            <a:lin ang="0" scaled="1"/>
          </a:gradFill>
          <a:ln>
            <a:solidFill>
              <a:schemeClr val="accent1">
                <a:lumMod val="50000"/>
              </a:schemeClr>
            </a:solidFill>
          </a:ln>
          <a:effectLst>
            <a:outerShdw blurRad="50800" dist="38100" algn="l" rotWithShape="0">
              <a:prstClr val="black">
                <a:alpha val="40000"/>
              </a:prstClr>
            </a:outerShdw>
          </a:effectLst>
          <a:scene3d>
            <a:camera prst="orthographicFront"/>
            <a:lightRig rig="threePt" dir="t"/>
          </a:scene3d>
          <a:sp3d prstMaterial="flat">
            <a:contourClr>
              <a:schemeClr val="accent1">
                <a:lumMod val="50000"/>
              </a:schemeClr>
            </a:contourClr>
          </a:sp3d>
        </c:spPr>
        <c:marker>
          <c:symbol val="none"/>
        </c:marker>
        <c:dLbl>
          <c:idx val="0"/>
          <c:spPr>
            <a:solidFill>
              <a:srgbClr val="4472C4">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gradFill>
            <a:gsLst>
              <a:gs pos="0">
                <a:schemeClr val="accent6">
                  <a:lumMod val="75000"/>
                </a:schemeClr>
              </a:gs>
              <a:gs pos="100000">
                <a:schemeClr val="accent6">
                  <a:lumMod val="40000"/>
                  <a:lumOff val="60000"/>
                </a:schemeClr>
              </a:gs>
            </a:gsLst>
            <a:lin ang="0" scaled="1"/>
          </a:gradFill>
          <a:ln>
            <a:solidFill>
              <a:schemeClr val="accent1">
                <a:lumMod val="50000"/>
              </a:schemeClr>
            </a:solidFill>
          </a:ln>
          <a:effectLst>
            <a:outerShdw blurRad="50800" dist="38100" dir="2700000" algn="tl" rotWithShape="0">
              <a:prstClr val="black">
                <a:alpha val="40000"/>
              </a:prstClr>
            </a:outerShdw>
          </a:effectLst>
          <a:scene3d>
            <a:camera prst="orthographicFront"/>
            <a:lightRig rig="threePt" dir="t"/>
          </a:scene3d>
          <a:sp3d prstMaterial="flat">
            <a:contourClr>
              <a:schemeClr val="accent1">
                <a:lumMod val="50000"/>
              </a:schemeClr>
            </a:contourClr>
          </a:sp3d>
        </c:spPr>
        <c:marker>
          <c:symbol val="none"/>
        </c:marker>
        <c:dLbl>
          <c:idx val="0"/>
          <c:spPr>
            <a:solidFill>
              <a:srgbClr val="ED7D31">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solidFill>
          <a:schemeClr val="bg2">
            <a:lumMod val="75000"/>
            <a:alpha val="27000"/>
          </a:schemeClr>
        </a:solidFill>
        <a:ln>
          <a:noFill/>
        </a:ln>
        <a:effectLst/>
        <a:sp3d/>
      </c:spPr>
    </c:floor>
    <c:sideWall>
      <c:thickness val="0"/>
      <c:spPr>
        <a:noFill/>
        <a:ln>
          <a:noFill/>
        </a:ln>
        <a:effectLst/>
        <a:sp3d/>
      </c:spPr>
    </c:sideWall>
    <c:backWall>
      <c:thickness val="0"/>
      <c:spPr>
        <a:noFill/>
        <a:ln>
          <a:noFill/>
        </a:ln>
        <a:effectLst/>
        <a:sp3d/>
      </c:spPr>
    </c:backWall>
    <c:plotArea>
      <c:layout/>
      <c:bar3DChart>
        <c:barDir val="bar"/>
        <c:grouping val="clustered"/>
        <c:varyColors val="0"/>
        <c:ser>
          <c:idx val="0"/>
          <c:order val="0"/>
          <c:tx>
            <c:strRef>
              <c:f>'Top 5'!$B$3</c:f>
              <c:strCache>
                <c:ptCount val="1"/>
                <c:pt idx="0">
                  <c:v>Sum of Revenue</c:v>
                </c:pt>
              </c:strCache>
            </c:strRef>
          </c:tx>
          <c:spPr>
            <a:gradFill>
              <a:gsLst>
                <a:gs pos="0">
                  <a:schemeClr val="accent1">
                    <a:lumMod val="50000"/>
                  </a:schemeClr>
                </a:gs>
                <a:gs pos="100000">
                  <a:schemeClr val="accent1">
                    <a:lumMod val="60000"/>
                    <a:lumOff val="40000"/>
                  </a:schemeClr>
                </a:gs>
              </a:gsLst>
              <a:lin ang="0" scaled="1"/>
            </a:gradFill>
            <a:ln>
              <a:solidFill>
                <a:schemeClr val="accent1">
                  <a:lumMod val="50000"/>
                </a:schemeClr>
              </a:solidFill>
            </a:ln>
            <a:effectLst>
              <a:outerShdw blurRad="50800" dist="38100" algn="l" rotWithShape="0">
                <a:prstClr val="black">
                  <a:alpha val="40000"/>
                </a:prstClr>
              </a:outerShdw>
            </a:effectLst>
            <a:scene3d>
              <a:camera prst="orthographicFront"/>
              <a:lightRig rig="threePt" dir="t"/>
            </a:scene3d>
            <a:sp3d prstMaterial="flat">
              <a:contourClr>
                <a:schemeClr val="accent1">
                  <a:lumMod val="50000"/>
                </a:schemeClr>
              </a:contourClr>
            </a:sp3d>
          </c:spPr>
          <c:invertIfNegative val="0"/>
          <c:dLbls>
            <c:spPr>
              <a:solidFill>
                <a:srgbClr val="4472C4">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'Top 5'!$A$4:$A$9</c:f>
              <c:strCache>
                <c:ptCount val="5"/>
                <c:pt idx="0">
                  <c:v>Product 13</c:v>
                </c:pt>
                <c:pt idx="1">
                  <c:v>Product 21</c:v>
                </c:pt>
                <c:pt idx="2">
                  <c:v>Product 9</c:v>
                </c:pt>
                <c:pt idx="3">
                  <c:v>Product 10</c:v>
                </c:pt>
                <c:pt idx="4">
                  <c:v>Product 19</c:v>
                </c:pt>
              </c:strCache>
            </c:strRef>
          </c:cat>
          <c:val>
            <c:numRef>
              <c:f>'Top 5'!$B$4:$B$9</c:f>
              <c:numCache>
                <c:formatCode>_-[$$-409]* #,##0_ ;_-[$$-409]* \-#,##0\ ;_-[$$-409]* "-"??_ ;_-@_ </c:formatCode>
                <c:ptCount val="5"/>
                <c:pt idx="0">
                  <c:v>26520</c:v>
                </c:pt>
                <c:pt idx="1">
                  <c:v>33938.800000000003</c:v>
                </c:pt>
                <c:pt idx="2">
                  <c:v>35217</c:v>
                </c:pt>
                <c:pt idx="3">
                  <c:v>43188.600000000013</c:v>
                </c:pt>
                <c:pt idx="4">
                  <c:v>50358</c:v>
                </c:pt>
              </c:numCache>
            </c:numRef>
          </c:val>
          <c:extLst>
            <c:ext xmlns:c16="http://schemas.microsoft.com/office/drawing/2014/chart" uri="{C3380CC4-5D6E-409C-BE32-E72D297353CC}">
              <c16:uniqueId val="{00000000-A07A-41EA-A5D5-32DB67B8EAF9}"/>
            </c:ext>
          </c:extLst>
        </c:ser>
        <c:ser>
          <c:idx val="1"/>
          <c:order val="1"/>
          <c:tx>
            <c:strRef>
              <c:f>'Top 5'!$C$3</c:f>
              <c:strCache>
                <c:ptCount val="1"/>
                <c:pt idx="0">
                  <c:v>Sum of Sales</c:v>
                </c:pt>
              </c:strCache>
            </c:strRef>
          </c:tx>
          <c:spPr>
            <a:gradFill>
              <a:gsLst>
                <a:gs pos="0">
                  <a:schemeClr val="accent6">
                    <a:lumMod val="75000"/>
                  </a:schemeClr>
                </a:gs>
                <a:gs pos="100000">
                  <a:schemeClr val="accent6">
                    <a:lumMod val="40000"/>
                    <a:lumOff val="60000"/>
                  </a:schemeClr>
                </a:gs>
              </a:gsLst>
              <a:lin ang="0" scaled="1"/>
            </a:gradFill>
            <a:ln>
              <a:solidFill>
                <a:schemeClr val="accent2">
                  <a:lumMod val="50000"/>
                </a:schemeClr>
              </a:solidFill>
            </a:ln>
            <a:effectLst>
              <a:outerShdw blurRad="50800" dist="38100" dir="2700000" algn="tl" rotWithShape="0">
                <a:prstClr val="black">
                  <a:alpha val="40000"/>
                </a:prstClr>
              </a:outerShdw>
            </a:effectLst>
            <a:scene3d>
              <a:camera prst="orthographicFront"/>
              <a:lightRig rig="threePt" dir="t"/>
            </a:scene3d>
            <a:sp3d prstMaterial="flat">
              <a:contourClr>
                <a:schemeClr val="accent2">
                  <a:lumMod val="50000"/>
                </a:schemeClr>
              </a:contourClr>
            </a:sp3d>
          </c:spPr>
          <c:invertIfNegative val="0"/>
          <c:dLbls>
            <c:spPr>
              <a:solidFill>
                <a:srgbClr val="ED7D31">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'Top 5'!$A$4:$A$9</c:f>
              <c:strCache>
                <c:ptCount val="5"/>
                <c:pt idx="0">
                  <c:v>Product 13</c:v>
                </c:pt>
                <c:pt idx="1">
                  <c:v>Product 21</c:v>
                </c:pt>
                <c:pt idx="2">
                  <c:v>Product 9</c:v>
                </c:pt>
                <c:pt idx="3">
                  <c:v>Product 10</c:v>
                </c:pt>
                <c:pt idx="4">
                  <c:v>Product 19</c:v>
                </c:pt>
              </c:strCache>
            </c:strRef>
          </c:cat>
          <c:val>
            <c:numRef>
              <c:f>'Top 5'!$C$4:$C$9</c:f>
              <c:numCache>
                <c:formatCode>_-[$$-409]* #,##0_ ;_-[$$-409]* \-#,##0\ ;_-[$$-409]* "-"??_ ;_-@_ </c:formatCode>
                <c:ptCount val="5"/>
                <c:pt idx="0">
                  <c:v>78000</c:v>
                </c:pt>
                <c:pt idx="1">
                  <c:v>99820</c:v>
                </c:pt>
                <c:pt idx="2">
                  <c:v>100620</c:v>
                </c:pt>
                <c:pt idx="3">
                  <c:v>110740</c:v>
                </c:pt>
                <c:pt idx="4">
                  <c:v>143880</c:v>
                </c:pt>
              </c:numCache>
            </c:numRef>
          </c:val>
          <c:extLst>
            <c:ext xmlns:c16="http://schemas.microsoft.com/office/drawing/2014/chart" uri="{C3380CC4-5D6E-409C-BE32-E72D297353CC}">
              <c16:uniqueId val="{00000001-A07A-41EA-A5D5-32DB67B8EAF9}"/>
            </c:ext>
          </c:extLst>
        </c:ser>
        <c:dLbls>
          <c:showLegendKey val="0"/>
          <c:showVal val="1"/>
          <c:showCatName val="0"/>
          <c:showSerName val="0"/>
          <c:showPercent val="0"/>
          <c:showBubbleSize val="0"/>
        </c:dLbls>
        <c:gapWidth val="84"/>
        <c:gapDepth val="53"/>
        <c:shape val="box"/>
        <c:axId val="904578064"/>
        <c:axId val="904575768"/>
        <c:axId val="0"/>
      </c:bar3DChart>
      <c:catAx>
        <c:axId val="904578064"/>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ln w="9525">
                  <a:noFill/>
                </a:ln>
                <a:solidFill>
                  <a:schemeClr val="lt1">
                    <a:lumMod val="75000"/>
                  </a:schemeClr>
                </a:solidFill>
                <a:latin typeface="+mn-lt"/>
                <a:ea typeface="+mn-ea"/>
                <a:cs typeface="+mn-cs"/>
              </a:defRPr>
            </a:pPr>
            <a:endParaRPr lang="en-US"/>
          </a:p>
        </c:txPr>
        <c:crossAx val="904575768"/>
        <c:crosses val="autoZero"/>
        <c:auto val="1"/>
        <c:lblAlgn val="ctr"/>
        <c:lblOffset val="100"/>
        <c:noMultiLvlLbl val="0"/>
      </c:catAx>
      <c:valAx>
        <c:axId val="904575768"/>
        <c:scaling>
          <c:orientation val="minMax"/>
        </c:scaling>
        <c:delete val="1"/>
        <c:axPos val="b"/>
        <c:numFmt formatCode="_-[$$-409]* #,##0_ ;_-[$$-409]* \-#,##0\ ;_-[$$-409]* &quot;-&quot;??_ ;_-@_ " sourceLinked="1"/>
        <c:majorTickMark val="out"/>
        <c:minorTickMark val="none"/>
        <c:tickLblPos val="nextTo"/>
        <c:crossAx val="90457806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6350"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Dashboard 2.0.xlsm]Payment Mode!PivotTable2</c:name>
    <c:fmtId val="6"/>
  </c:pivotSource>
  <c:chart>
    <c:autoTitleDeleted val="1"/>
    <c:pivotFmts>
      <c:pivotFmt>
        <c:idx val="0"/>
        <c:spPr>
          <a:solidFill>
            <a:schemeClr val="accent1"/>
          </a:solidFill>
          <a:ln w="19050">
            <a:solidFill>
              <a:schemeClr val="lt1"/>
            </a:solidFill>
          </a:ln>
          <a:effectLst/>
        </c:spPr>
        <c:marker>
          <c:symbol val="none"/>
        </c:marker>
        <c:dLbl>
          <c:idx val="0"/>
          <c:delete val="1"/>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delete val="1"/>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marker>
          <c:symbol val="none"/>
        </c:marker>
        <c:dLbl>
          <c:idx val="0"/>
          <c:delete val="1"/>
          <c:extLst>
            <c:ext xmlns:c15="http://schemas.microsoft.com/office/drawing/2012/chart" uri="{CE6537A1-D6FC-4f65-9D91-7224C49458BB}"/>
          </c:extLst>
        </c:dLbl>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marker>
          <c:symbol val="none"/>
        </c:marker>
        <c:dLbl>
          <c:idx val="0"/>
          <c:delete val="1"/>
          <c:extLst>
            <c:ext xmlns:c15="http://schemas.microsoft.com/office/drawing/2012/chart" uri="{CE6537A1-D6FC-4f65-9D91-7224C49458BB}"/>
          </c:extLst>
        </c:dLbl>
      </c:pivotFmt>
      <c:pivotFmt>
        <c:idx val="8"/>
        <c:spPr>
          <a:solidFill>
            <a:schemeClr val="accent1"/>
          </a:solidFill>
          <a:ln w="19050">
            <a:solidFill>
              <a:schemeClr val="lt1"/>
            </a:solidFill>
          </a:ln>
          <a:effectLst/>
        </c:spPr>
      </c:pivotFmt>
      <c:pivotFmt>
        <c:idx val="9"/>
        <c:spPr>
          <a:solidFill>
            <a:schemeClr val="accent2"/>
          </a:solidFill>
          <a:ln w="19050">
            <a:solidFill>
              <a:schemeClr val="lt1"/>
            </a:solidFill>
          </a:ln>
          <a:effectLst/>
        </c:spPr>
      </c:pivotFmt>
      <c:pivotFmt>
        <c:idx val="10"/>
        <c:marker>
          <c:symbol val="none"/>
        </c:marker>
        <c:dLbl>
          <c:idx val="0"/>
          <c:delete val="1"/>
          <c:extLst>
            <c:ext xmlns:c15="http://schemas.microsoft.com/office/drawing/2012/chart" uri="{CE6537A1-D6FC-4f65-9D91-7224C49458BB}"/>
          </c:extLst>
        </c:dLbl>
      </c:pivotFmt>
      <c:pivotFmt>
        <c:idx val="11"/>
        <c:spPr>
          <a:solidFill>
            <a:schemeClr val="accent1"/>
          </a:solidFill>
          <a:ln w="19050">
            <a:solidFill>
              <a:schemeClr val="lt1"/>
            </a:solidFill>
          </a:ln>
          <a:effectLst/>
        </c:spPr>
      </c:pivotFmt>
      <c:pivotFmt>
        <c:idx val="12"/>
        <c:spPr>
          <a:solidFill>
            <a:schemeClr val="accent2"/>
          </a:solidFill>
          <a:ln w="19050">
            <a:solidFill>
              <a:schemeClr val="lt1"/>
            </a:solidFill>
          </a:ln>
          <a:effectLst/>
        </c:spPr>
      </c:pivotFmt>
      <c:pivotFmt>
        <c:idx val="13"/>
        <c:spPr>
          <a:ln>
            <a:noFill/>
          </a:ln>
        </c:spPr>
        <c:marker>
          <c:symbol val="none"/>
        </c:marker>
        <c:dLbl>
          <c:idx val="0"/>
          <c:delete val="1"/>
          <c:extLst>
            <c:ext xmlns:c15="http://schemas.microsoft.com/office/drawing/2012/chart" uri="{CE6537A1-D6FC-4f65-9D91-7224C49458BB}"/>
          </c:extLst>
        </c:dLbl>
      </c:pivotFmt>
      <c:pivotFmt>
        <c:idx val="14"/>
        <c:spPr>
          <a:solidFill>
            <a:schemeClr val="accent6"/>
          </a:solidFill>
          <a:ln w="19050">
            <a:solidFill>
              <a:schemeClr val="accent6"/>
            </a:solidFill>
          </a:ln>
          <a:effectLst/>
        </c:spPr>
      </c:pivotFmt>
      <c:pivotFmt>
        <c:idx val="15"/>
        <c:spPr>
          <a:noFill/>
          <a:ln w="19050">
            <a:solidFill>
              <a:schemeClr val="accent6"/>
            </a:solidFill>
          </a:ln>
          <a:effectLst/>
        </c:spPr>
      </c:pivotFmt>
    </c:pivotFmts>
    <c:plotArea>
      <c:layout/>
      <c:doughnutChart>
        <c:varyColors val="1"/>
        <c:ser>
          <c:idx val="0"/>
          <c:order val="0"/>
          <c:tx>
            <c:strRef>
              <c:f>'Payment Mode'!$B$3</c:f>
              <c:strCache>
                <c:ptCount val="1"/>
                <c:pt idx="0">
                  <c:v>Total</c:v>
                </c:pt>
              </c:strCache>
            </c:strRef>
          </c:tx>
          <c:spPr>
            <a:ln>
              <a:noFill/>
            </a:ln>
          </c:spPr>
          <c:dPt>
            <c:idx val="0"/>
            <c:bubble3D val="0"/>
            <c:spPr>
              <a:solidFill>
                <a:schemeClr val="accent6"/>
              </a:solidFill>
              <a:ln w="19050">
                <a:solidFill>
                  <a:schemeClr val="accent6"/>
                </a:solidFill>
              </a:ln>
              <a:effectLst/>
            </c:spPr>
            <c:extLst>
              <c:ext xmlns:c16="http://schemas.microsoft.com/office/drawing/2014/chart" uri="{C3380CC4-5D6E-409C-BE32-E72D297353CC}">
                <c16:uniqueId val="{00000001-49C8-424A-B076-E0DA5A52F64C}"/>
              </c:ext>
            </c:extLst>
          </c:dPt>
          <c:dPt>
            <c:idx val="1"/>
            <c:bubble3D val="0"/>
            <c:spPr>
              <a:noFill/>
              <a:ln w="19050">
                <a:solidFill>
                  <a:schemeClr val="accent6"/>
                </a:solidFill>
              </a:ln>
              <a:effectLst/>
            </c:spPr>
            <c:extLst>
              <c:ext xmlns:c16="http://schemas.microsoft.com/office/drawing/2014/chart" uri="{C3380CC4-5D6E-409C-BE32-E72D297353CC}">
                <c16:uniqueId val="{00000003-49C8-424A-B076-E0DA5A52F64C}"/>
              </c:ext>
            </c:extLst>
          </c:dPt>
          <c:cat>
            <c:strRef>
              <c:f>'Payment Mode'!$A$4:$A$6</c:f>
              <c:strCache>
                <c:ptCount val="2"/>
                <c:pt idx="0">
                  <c:v>Cash</c:v>
                </c:pt>
                <c:pt idx="1">
                  <c:v>Installment</c:v>
                </c:pt>
              </c:strCache>
            </c:strRef>
          </c:cat>
          <c:val>
            <c:numRef>
              <c:f>'Payment Mode'!$B$4:$B$6</c:f>
              <c:numCache>
                <c:formatCode>General</c:formatCode>
                <c:ptCount val="2"/>
                <c:pt idx="0">
                  <c:v>502</c:v>
                </c:pt>
                <c:pt idx="1">
                  <c:v>504</c:v>
                </c:pt>
              </c:numCache>
            </c:numRef>
          </c:val>
          <c:extLst>
            <c:ext xmlns:c16="http://schemas.microsoft.com/office/drawing/2014/chart" uri="{C3380CC4-5D6E-409C-BE32-E72D297353CC}">
              <c16:uniqueId val="{00000004-49C8-424A-B076-E0DA5A52F64C}"/>
            </c:ext>
          </c:extLst>
        </c:ser>
        <c:dLbls>
          <c:showLegendKey val="0"/>
          <c:showVal val="0"/>
          <c:showCatName val="0"/>
          <c:showSerName val="0"/>
          <c:showPercent val="0"/>
          <c:showBubbleSize val="0"/>
          <c:showLeaderLines val="1"/>
        </c:dLbls>
        <c:firstSliceAng val="0"/>
        <c:holeSize val="87"/>
      </c:doughnutChart>
      <c:spPr>
        <a:noFill/>
        <a:ln>
          <a:noFill/>
        </a:ln>
      </c:spPr>
    </c:plotArea>
    <c:plotVisOnly val="1"/>
    <c:dispBlanksAs val="gap"/>
    <c:showDLblsOverMax val="0"/>
    <c:extLst/>
  </c:chart>
  <c:spPr>
    <a:noFill/>
    <a:ln>
      <a:noFill/>
    </a:ln>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pivotSource>
    <c:name>[Sales Dashboard 2.0.xlsm]Revenue Chart!PivotTable2</c:name>
    <c:fmtId val="4"/>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spPr>
          <a:pattFill prst="ltUpDiag">
            <a:fgClr>
              <a:schemeClr val="accent1"/>
            </a:fgClr>
            <a:bgClr>
              <a:schemeClr val="lt1"/>
            </a:bgClr>
          </a:pattFill>
          <a:ln w="34925" cap="rnd">
            <a:solidFill>
              <a:schemeClr val="lt1"/>
            </a:solidFill>
            <a:round/>
          </a:ln>
          <a:effectLst>
            <a:outerShdw dist="25400" dir="2700000" algn="tl" rotWithShape="0">
              <a:schemeClr val="accent1"/>
            </a:outerShdw>
          </a:effectLst>
        </c:spPr>
        <c:marker>
          <c:symbol val="circle"/>
          <c:size val="5"/>
          <c:spPr>
            <a:solidFill>
              <a:schemeClr val="accent1"/>
            </a:solidFill>
            <a:ln w="22225">
              <a:solidFill>
                <a:schemeClr val="l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pattFill prst="ltUpDiag">
            <a:fgClr>
              <a:schemeClr val="accent1"/>
            </a:fgClr>
            <a:bgClr>
              <a:schemeClr val="lt1"/>
            </a:bgClr>
          </a:pattFill>
          <a:ln w="34925" cap="rnd">
            <a:solidFill>
              <a:schemeClr val="lt1"/>
            </a:solidFill>
            <a:round/>
          </a:ln>
          <a:effectLst>
            <a:outerShdw dist="25400" dir="2700000" algn="tl" rotWithShape="0">
              <a:schemeClr val="accent1"/>
            </a:outerShdw>
          </a:effectLst>
        </c:spPr>
        <c:marker>
          <c:symbol val="circle"/>
          <c:size val="5"/>
          <c:spPr>
            <a:solidFill>
              <a:schemeClr val="accent1"/>
            </a:solidFill>
            <a:ln w="22225">
              <a:solidFill>
                <a:schemeClr val="l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pattFill prst="ltUpDiag">
            <a:fgClr>
              <a:schemeClr val="accent1"/>
            </a:fgClr>
            <a:bgClr>
              <a:schemeClr val="lt1"/>
            </a:bgClr>
          </a:pattFill>
          <a:ln w="34925" cap="rnd">
            <a:gradFill>
              <a:gsLst>
                <a:gs pos="54000">
                  <a:schemeClr val="accent4">
                    <a:lumMod val="50000"/>
                  </a:schemeClr>
                </a:gs>
                <a:gs pos="100000">
                  <a:schemeClr val="accent4">
                    <a:lumMod val="40000"/>
                    <a:lumOff val="60000"/>
                  </a:schemeClr>
                </a:gs>
              </a:gsLst>
              <a:lin ang="5400000" scaled="1"/>
            </a:gradFill>
            <a:round/>
          </a:ln>
          <a:effectLst>
            <a:outerShdw dist="25400" dir="2700000" algn="tl" rotWithShape="0">
              <a:schemeClr val="accent1"/>
            </a:outerShdw>
          </a:effectLst>
        </c:spPr>
        <c:marker>
          <c:symbol val="circle"/>
          <c:size val="5"/>
          <c:spPr>
            <a:solidFill>
              <a:schemeClr val="accent1"/>
            </a:solidFill>
            <a:ln w="22225">
              <a:solidFill>
                <a:schemeClr val="l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pattFill prst="ltUpDiag">
            <a:fgClr>
              <a:schemeClr val="accent1"/>
            </a:fgClr>
            <a:bgClr>
              <a:schemeClr val="lt1"/>
            </a:bgClr>
          </a:pattFill>
          <a:ln w="34925" cap="rnd">
            <a:gradFill>
              <a:gsLst>
                <a:gs pos="44000">
                  <a:schemeClr val="accent6">
                    <a:lumMod val="50000"/>
                  </a:schemeClr>
                </a:gs>
                <a:gs pos="100000">
                  <a:schemeClr val="accent6">
                    <a:lumMod val="40000"/>
                    <a:lumOff val="60000"/>
                  </a:schemeClr>
                </a:gs>
              </a:gsLst>
              <a:lin ang="5400000" scaled="1"/>
            </a:gradFill>
            <a:round/>
          </a:ln>
          <a:effectLst>
            <a:outerShdw dist="25400" dir="2700000" algn="tl" rotWithShape="0">
              <a:schemeClr val="accent1"/>
            </a:outerShdw>
          </a:effectLst>
        </c:spPr>
        <c:marker>
          <c:symbol val="circle"/>
          <c:size val="5"/>
          <c:spPr>
            <a:solidFill>
              <a:schemeClr val="accent2"/>
            </a:solidFill>
            <a:ln w="22225">
              <a:solidFill>
                <a:schemeClr val="l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pattFill prst="ltUpDiag">
            <a:fgClr>
              <a:schemeClr val="accent1"/>
            </a:fgClr>
            <a:bgClr>
              <a:schemeClr val="lt1"/>
            </a:bgClr>
          </a:pattFill>
          <a:ln w="34925" cap="rnd">
            <a:gradFill>
              <a:gsLst>
                <a:gs pos="54000">
                  <a:schemeClr val="accent4">
                    <a:lumMod val="50000"/>
                  </a:schemeClr>
                </a:gs>
                <a:gs pos="100000">
                  <a:schemeClr val="accent4">
                    <a:lumMod val="40000"/>
                    <a:lumOff val="60000"/>
                  </a:schemeClr>
                </a:gs>
              </a:gsLst>
              <a:lin ang="5400000" scaled="1"/>
            </a:gradFill>
            <a:round/>
          </a:ln>
          <a:effectLst>
            <a:outerShdw dist="25400" dir="2700000" algn="tl" rotWithShape="0">
              <a:schemeClr val="accent1"/>
            </a:outerShdw>
          </a:effectLst>
        </c:spPr>
        <c:marker>
          <c:symbol val="circle"/>
          <c:size val="5"/>
          <c:spPr>
            <a:solidFill>
              <a:schemeClr val="accent1"/>
            </a:solidFill>
            <a:ln w="22225">
              <a:solidFill>
                <a:schemeClr val="l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pattFill prst="ltUpDiag">
            <a:fgClr>
              <a:schemeClr val="accent1"/>
            </a:fgClr>
            <a:bgClr>
              <a:schemeClr val="lt1"/>
            </a:bgClr>
          </a:pattFill>
          <a:ln w="34925" cap="rnd">
            <a:gradFill>
              <a:gsLst>
                <a:gs pos="54000">
                  <a:schemeClr val="accent4">
                    <a:lumMod val="50000"/>
                  </a:schemeClr>
                </a:gs>
                <a:gs pos="100000">
                  <a:schemeClr val="accent4">
                    <a:lumMod val="40000"/>
                    <a:lumOff val="60000"/>
                  </a:schemeClr>
                </a:gs>
              </a:gsLst>
              <a:lin ang="5400000" scaled="1"/>
            </a:gradFill>
            <a:round/>
          </a:ln>
          <a:effectLst>
            <a:outerShdw dist="25400" dir="2700000" algn="tl" rotWithShape="0">
              <a:schemeClr val="accent1"/>
            </a:outerShdw>
          </a:effectLst>
        </c:spPr>
        <c:marker>
          <c:symbol val="circle"/>
          <c:size val="5"/>
          <c:spPr>
            <a:solidFill>
              <a:schemeClr val="accent1"/>
            </a:solidFill>
            <a:ln w="22225">
              <a:solidFill>
                <a:schemeClr val="l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ln w="34925" cap="rnd">
            <a:gradFill>
              <a:gsLst>
                <a:gs pos="54000">
                  <a:schemeClr val="accent4">
                    <a:lumMod val="50000"/>
                  </a:schemeClr>
                </a:gs>
                <a:gs pos="100000">
                  <a:schemeClr val="accent4">
                    <a:lumMod val="40000"/>
                    <a:lumOff val="60000"/>
                  </a:schemeClr>
                </a:gs>
              </a:gsLst>
              <a:lin ang="5400000" scaled="1"/>
            </a:gradFill>
            <a:round/>
          </a:ln>
          <a:effectLst>
            <a:outerShdw dist="25400" dir="2700000" algn="tl" rotWithShape="0">
              <a:schemeClr val="accent1"/>
            </a:outerShdw>
          </a:effectLst>
        </c:spPr>
        <c:marker>
          <c:symbol val="circle"/>
          <c:size val="5"/>
          <c:spPr>
            <a:solidFill>
              <a:schemeClr val="accent1"/>
            </a:solidFill>
            <a:ln w="22225">
              <a:solidFill>
                <a:schemeClr val="l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'Revenue Chart'!$B$3</c:f>
              <c:strCache>
                <c:ptCount val="1"/>
                <c:pt idx="0">
                  <c:v>Total</c:v>
                </c:pt>
              </c:strCache>
            </c:strRef>
          </c:tx>
          <c:spPr>
            <a:ln w="34925" cap="rnd">
              <a:gradFill>
                <a:gsLst>
                  <a:gs pos="54000">
                    <a:schemeClr val="accent4">
                      <a:lumMod val="50000"/>
                    </a:schemeClr>
                  </a:gs>
                  <a:gs pos="100000">
                    <a:schemeClr val="accent4">
                      <a:lumMod val="40000"/>
                      <a:lumOff val="60000"/>
                    </a:schemeClr>
                  </a:gs>
                </a:gsLst>
                <a:lin ang="5400000" scaled="1"/>
              </a:gradFill>
              <a:round/>
            </a:ln>
            <a:effectLst>
              <a:outerShdw dist="25400" dir="2700000" algn="tl" rotWithShape="0">
                <a:schemeClr val="accent1"/>
              </a:outerShdw>
            </a:effectLst>
          </c:spPr>
          <c:marker>
            <c:symbol val="circle"/>
            <c:size val="5"/>
            <c:spPr>
              <a:solidFill>
                <a:schemeClr val="accent1"/>
              </a:solidFill>
              <a:ln w="22225">
                <a:solidFill>
                  <a:schemeClr val="lt1"/>
                </a:solidFill>
                <a:round/>
              </a:ln>
              <a:effectLst/>
            </c:spPr>
          </c:marker>
          <c:cat>
            <c:multiLvlStrRef>
              <c:f>'Revenue Chart'!$A$4:$A$40</c:f>
              <c:multiLvlStrCache>
                <c:ptCount val="33"/>
                <c:lvl>
                  <c:pt idx="0">
                    <c:v>Jan</c:v>
                  </c:pt>
                  <c:pt idx="1">
                    <c:v>Feb</c:v>
                  </c:pt>
                  <c:pt idx="2">
                    <c:v>Mar</c:v>
                  </c:pt>
                  <c:pt idx="3">
                    <c:v>Apr</c:v>
                  </c:pt>
                  <c:pt idx="4">
                    <c:v>May</c:v>
                  </c:pt>
                  <c:pt idx="5">
                    <c:v>Jun</c:v>
                  </c:pt>
                  <c:pt idx="6">
                    <c:v>Jul</c:v>
                  </c:pt>
                  <c:pt idx="7">
                    <c:v>Aug</c:v>
                  </c:pt>
                  <c:pt idx="8">
                    <c:v>Sep</c:v>
                  </c:pt>
                  <c:pt idx="9">
                    <c:v>Oct</c:v>
                  </c:pt>
                  <c:pt idx="10">
                    <c:v>Nov</c:v>
                  </c:pt>
                  <c:pt idx="11">
                    <c:v>Dec</c:v>
                  </c:pt>
                  <c:pt idx="12">
                    <c:v>Jan</c:v>
                  </c:pt>
                  <c:pt idx="13">
                    <c:v>Feb</c:v>
                  </c:pt>
                  <c:pt idx="14">
                    <c:v>Mar</c:v>
                  </c:pt>
                  <c:pt idx="15">
                    <c:v>Apr</c:v>
                  </c:pt>
                  <c:pt idx="16">
                    <c:v>May</c:v>
                  </c:pt>
                  <c:pt idx="17">
                    <c:v>Jun</c:v>
                  </c:pt>
                  <c:pt idx="18">
                    <c:v>Jul</c:v>
                  </c:pt>
                  <c:pt idx="19">
                    <c:v>Aug</c:v>
                  </c:pt>
                  <c:pt idx="20">
                    <c:v>Sep</c:v>
                  </c:pt>
                  <c:pt idx="21">
                    <c:v>Oct</c:v>
                  </c:pt>
                  <c:pt idx="22">
                    <c:v>Nov</c:v>
                  </c:pt>
                  <c:pt idx="23">
                    <c:v>Dec</c:v>
                  </c:pt>
                  <c:pt idx="24">
                    <c:v>Jan</c:v>
                  </c:pt>
                  <c:pt idx="25">
                    <c:v>Feb</c:v>
                  </c:pt>
                  <c:pt idx="26">
                    <c:v>Mar</c:v>
                  </c:pt>
                  <c:pt idx="27">
                    <c:v>Apr</c:v>
                  </c:pt>
                  <c:pt idx="28">
                    <c:v>May</c:v>
                  </c:pt>
                  <c:pt idx="29">
                    <c:v>Jun</c:v>
                  </c:pt>
                  <c:pt idx="30">
                    <c:v>Jul</c:v>
                  </c:pt>
                  <c:pt idx="31">
                    <c:v>Aug</c:v>
                  </c:pt>
                  <c:pt idx="32">
                    <c:v>Sep</c:v>
                  </c:pt>
                </c:lvl>
                <c:lvl>
                  <c:pt idx="0">
                    <c:v>2020</c:v>
                  </c:pt>
                  <c:pt idx="12">
                    <c:v>2021</c:v>
                  </c:pt>
                  <c:pt idx="24">
                    <c:v>2022</c:v>
                  </c:pt>
                </c:lvl>
              </c:multiLvlStrCache>
            </c:multiLvlStrRef>
          </c:cat>
          <c:val>
            <c:numRef>
              <c:f>'Revenue Chart'!$B$4:$B$40</c:f>
              <c:numCache>
                <c:formatCode>General</c:formatCode>
                <c:ptCount val="33"/>
                <c:pt idx="0">
                  <c:v>11677.380000000001</c:v>
                </c:pt>
                <c:pt idx="1">
                  <c:v>16987.939999999999</c:v>
                </c:pt>
                <c:pt idx="2">
                  <c:v>15280.6</c:v>
                </c:pt>
                <c:pt idx="3">
                  <c:v>11703.330000000004</c:v>
                </c:pt>
                <c:pt idx="4">
                  <c:v>13162.970000000001</c:v>
                </c:pt>
                <c:pt idx="5">
                  <c:v>13852.31</c:v>
                </c:pt>
                <c:pt idx="6">
                  <c:v>16632.349999999999</c:v>
                </c:pt>
                <c:pt idx="7">
                  <c:v>10924.190000000002</c:v>
                </c:pt>
                <c:pt idx="8">
                  <c:v>14316.199999999999</c:v>
                </c:pt>
                <c:pt idx="9">
                  <c:v>12889.920000000002</c:v>
                </c:pt>
                <c:pt idx="10">
                  <c:v>15818.6</c:v>
                </c:pt>
                <c:pt idx="11">
                  <c:v>8234.5999999999985</c:v>
                </c:pt>
                <c:pt idx="12">
                  <c:v>10326.889999999998</c:v>
                </c:pt>
                <c:pt idx="13">
                  <c:v>11834.449999999997</c:v>
                </c:pt>
                <c:pt idx="14">
                  <c:v>9890.2400000000016</c:v>
                </c:pt>
                <c:pt idx="15">
                  <c:v>14488.680000000002</c:v>
                </c:pt>
                <c:pt idx="16">
                  <c:v>7544.9</c:v>
                </c:pt>
                <c:pt idx="17">
                  <c:v>12760.440000000002</c:v>
                </c:pt>
                <c:pt idx="18">
                  <c:v>8646.0299999999988</c:v>
                </c:pt>
                <c:pt idx="19">
                  <c:v>15184.859999999999</c:v>
                </c:pt>
                <c:pt idx="20">
                  <c:v>12030.05</c:v>
                </c:pt>
                <c:pt idx="21">
                  <c:v>9724.27</c:v>
                </c:pt>
                <c:pt idx="22">
                  <c:v>12248.099999999999</c:v>
                </c:pt>
                <c:pt idx="23">
                  <c:v>16692.550000000003</c:v>
                </c:pt>
                <c:pt idx="24">
                  <c:v>13339.279999999997</c:v>
                </c:pt>
                <c:pt idx="25">
                  <c:v>17565.079999999998</c:v>
                </c:pt>
                <c:pt idx="26">
                  <c:v>16599.96</c:v>
                </c:pt>
                <c:pt idx="27">
                  <c:v>10809.949999999997</c:v>
                </c:pt>
                <c:pt idx="28">
                  <c:v>15047.149999999996</c:v>
                </c:pt>
                <c:pt idx="29">
                  <c:v>11340.04</c:v>
                </c:pt>
                <c:pt idx="30">
                  <c:v>20503.190000000006</c:v>
                </c:pt>
                <c:pt idx="31">
                  <c:v>24259.910000000003</c:v>
                </c:pt>
                <c:pt idx="32">
                  <c:v>15582.900000000001</c:v>
                </c:pt>
              </c:numCache>
            </c:numRef>
          </c:val>
          <c:smooth val="0"/>
          <c:extLst>
            <c:ext xmlns:c16="http://schemas.microsoft.com/office/drawing/2014/chart" uri="{C3380CC4-5D6E-409C-BE32-E72D297353CC}">
              <c16:uniqueId val="{00000000-8E3C-4B71-BE0A-7BCC23858938}"/>
            </c:ext>
          </c:extLst>
        </c:ser>
        <c:dLbls>
          <c:showLegendKey val="0"/>
          <c:showVal val="0"/>
          <c:showCatName val="0"/>
          <c:showSerName val="0"/>
          <c:showPercent val="0"/>
          <c:showBubbleSize val="0"/>
        </c:dLbls>
        <c:dropLines>
          <c:spPr>
            <a:ln w="9525" cap="flat" cmpd="sng" algn="ctr">
              <a:gradFill>
                <a:gsLst>
                  <a:gs pos="0">
                    <a:schemeClr val="lt1"/>
                  </a:gs>
                  <a:gs pos="100000">
                    <a:schemeClr val="lt1">
                      <a:alpha val="0"/>
                    </a:schemeClr>
                  </a:gs>
                </a:gsLst>
                <a:lin ang="5400000" scaled="0"/>
              </a:gradFill>
              <a:round/>
            </a:ln>
            <a:effectLst/>
          </c:spPr>
        </c:dropLines>
        <c:marker val="1"/>
        <c:smooth val="0"/>
        <c:axId val="747911576"/>
        <c:axId val="747913872"/>
      </c:lineChart>
      <c:catAx>
        <c:axId val="747911576"/>
        <c:scaling>
          <c:orientation val="minMax"/>
        </c:scaling>
        <c:delete val="0"/>
        <c:axPos val="b"/>
        <c:numFmt formatCode="General" sourceLinked="1"/>
        <c:majorTickMark val="none"/>
        <c:minorTickMark val="none"/>
        <c:tickLblPos val="nextTo"/>
        <c:spPr>
          <a:noFill/>
          <a:ln w="12700" cap="flat" cmpd="sng" algn="ctr">
            <a:solidFill>
              <a:schemeClr val="lt1"/>
            </a:solidFill>
            <a:round/>
          </a:ln>
          <a:effectLst/>
        </c:spPr>
        <c:txPr>
          <a:bodyPr rot="-5400000" spcFirstLastPara="1" vertOverflow="ellipsis" wrap="square" anchor="ctr" anchorCtr="1"/>
          <a:lstStyle/>
          <a:p>
            <a:pPr>
              <a:defRPr sz="900" b="0" i="0" u="none" strike="noStrike" kern="1200" spc="100" baseline="0">
                <a:solidFill>
                  <a:schemeClr val="lt1"/>
                </a:solidFill>
                <a:latin typeface="+mn-lt"/>
                <a:ea typeface="+mn-ea"/>
                <a:cs typeface="+mn-cs"/>
              </a:defRPr>
            </a:pPr>
            <a:endParaRPr lang="en-US"/>
          </a:p>
        </c:txPr>
        <c:crossAx val="747913872"/>
        <c:crosses val="autoZero"/>
        <c:auto val="1"/>
        <c:lblAlgn val="ctr"/>
        <c:lblOffset val="100"/>
        <c:tickLblSkip val="1"/>
        <c:noMultiLvlLbl val="0"/>
      </c:catAx>
      <c:valAx>
        <c:axId val="747913872"/>
        <c:scaling>
          <c:orientation val="minMax"/>
        </c:scaling>
        <c:delete val="0"/>
        <c:axPos val="l"/>
        <c:numFmt formatCode="[$$-409]#,##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crossAx val="747911576"/>
        <c:crosses val="autoZero"/>
        <c:crossBetween val="between"/>
      </c:valAx>
      <c:spPr>
        <a:noFill/>
        <a:ln>
          <a:noFill/>
        </a:ln>
        <a:effectLst/>
      </c:spPr>
    </c:plotArea>
    <c:plotVisOnly val="1"/>
    <c:dispBlanksAs val="gap"/>
    <c:showDLblsOverMax val="0"/>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pivotSource>
    <c:name>[Sales Dashboard 2.0.xlsm]Sales Chart!PivotTable1</c:name>
    <c:fmtId val="3"/>
  </c:pivotSource>
  <c:chart>
    <c:autoTitleDeleted val="1"/>
    <c:pivotFmts>
      <c:pivotFmt>
        <c:idx val="0"/>
      </c:pivotFmt>
      <c:pivotFmt>
        <c:idx val="1"/>
        <c:spPr>
          <a:pattFill prst="ltUpDiag">
            <a:fgClr>
              <a:schemeClr val="accent1"/>
            </a:fgClr>
            <a:bgClr>
              <a:schemeClr val="lt1"/>
            </a:bgClr>
          </a:pattFill>
          <a:ln w="34925" cap="rnd">
            <a:solidFill>
              <a:schemeClr val="lt1"/>
            </a:solidFill>
            <a:round/>
          </a:ln>
          <a:effectLst>
            <a:outerShdw dist="25400" dir="2700000" algn="tl" rotWithShape="0">
              <a:schemeClr val="accent1"/>
            </a:outerShdw>
          </a:effectLst>
        </c:spPr>
        <c:marker>
          <c:spPr>
            <a:solidFill>
              <a:schemeClr val="accent1"/>
            </a:solidFill>
            <a:ln w="22225">
              <a:solidFill>
                <a:schemeClr val="l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2"/>
        <c:spPr>
          <a:pattFill prst="ltUpDiag">
            <a:fgClr>
              <a:schemeClr val="accent1"/>
            </a:fgClr>
            <a:bgClr>
              <a:schemeClr val="lt1"/>
            </a:bgClr>
          </a:pattFill>
          <a:ln w="34925" cap="rnd">
            <a:solidFill>
              <a:schemeClr val="lt1"/>
            </a:solidFill>
            <a:round/>
          </a:ln>
          <a:effectLst>
            <a:outerShdw dist="25400" dir="2700000" algn="tl" rotWithShape="0">
              <a:schemeClr val="accent1"/>
            </a:outerShdw>
          </a:effectLst>
        </c:spPr>
        <c:marker>
          <c:spPr>
            <a:solidFill>
              <a:schemeClr val="accent1"/>
            </a:solidFill>
            <a:ln w="22225">
              <a:solidFill>
                <a:schemeClr val="l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3"/>
        <c:spPr>
          <a:pattFill prst="ltUpDiag">
            <a:fgClr>
              <a:schemeClr val="accent1"/>
            </a:fgClr>
            <a:bgClr>
              <a:schemeClr val="lt1"/>
            </a:bgClr>
          </a:pattFill>
          <a:ln w="34925" cap="rnd">
            <a:gradFill>
              <a:gsLst>
                <a:gs pos="54000">
                  <a:schemeClr val="accent4">
                    <a:lumMod val="50000"/>
                  </a:schemeClr>
                </a:gs>
                <a:gs pos="100000">
                  <a:schemeClr val="accent4">
                    <a:lumMod val="40000"/>
                    <a:lumOff val="60000"/>
                  </a:schemeClr>
                </a:gs>
              </a:gsLst>
              <a:lin ang="5400000" scaled="1"/>
            </a:gradFill>
            <a:round/>
          </a:ln>
          <a:effectLst>
            <a:outerShdw dist="25400" dir="2700000" algn="tl" rotWithShape="0">
              <a:schemeClr val="accent1"/>
            </a:outerShdw>
          </a:effectLst>
        </c:spPr>
        <c:marker>
          <c:spPr>
            <a:solidFill>
              <a:schemeClr val="accent1"/>
            </a:solidFill>
            <a:ln w="22225">
              <a:solidFill>
                <a:schemeClr val="l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4"/>
        <c:spPr>
          <a:pattFill prst="ltUpDiag">
            <a:fgClr>
              <a:schemeClr val="accent1"/>
            </a:fgClr>
            <a:bgClr>
              <a:schemeClr val="lt1"/>
            </a:bgClr>
          </a:pattFill>
          <a:ln w="34925" cap="rnd">
            <a:gradFill>
              <a:gsLst>
                <a:gs pos="44000">
                  <a:schemeClr val="accent6">
                    <a:lumMod val="50000"/>
                  </a:schemeClr>
                </a:gs>
                <a:gs pos="100000">
                  <a:schemeClr val="accent6">
                    <a:lumMod val="40000"/>
                    <a:lumOff val="60000"/>
                  </a:schemeClr>
                </a:gs>
              </a:gsLst>
              <a:lin ang="5400000" scaled="1"/>
            </a:gradFill>
            <a:round/>
          </a:ln>
          <a:effectLst>
            <a:outerShdw dist="25400" dir="2700000" algn="tl" rotWithShape="0">
              <a:schemeClr val="accent1"/>
            </a:outerShdw>
          </a:effectLst>
        </c:spPr>
        <c:marker>
          <c:spPr>
            <a:solidFill>
              <a:schemeClr val="accent2"/>
            </a:solidFill>
            <a:ln w="22225">
              <a:solidFill>
                <a:schemeClr val="l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5"/>
        <c:spPr>
          <a:pattFill prst="ltUpDiag">
            <a:fgClr>
              <a:schemeClr val="accent1"/>
            </a:fgClr>
            <a:bgClr>
              <a:schemeClr val="lt1"/>
            </a:bgClr>
          </a:pattFill>
          <a:ln w="34925" cap="rnd">
            <a:gradFill>
              <a:gsLst>
                <a:gs pos="54000">
                  <a:schemeClr val="accent4">
                    <a:lumMod val="50000"/>
                  </a:schemeClr>
                </a:gs>
                <a:gs pos="100000">
                  <a:schemeClr val="accent4">
                    <a:lumMod val="40000"/>
                    <a:lumOff val="60000"/>
                  </a:schemeClr>
                </a:gs>
              </a:gsLst>
              <a:lin ang="5400000" scaled="1"/>
            </a:gradFill>
            <a:round/>
          </a:ln>
          <a:effectLst>
            <a:outerShdw dist="25400" dir="2700000" algn="tl" rotWithShape="0">
              <a:schemeClr val="accent1"/>
            </a:outerShdw>
          </a:effectLst>
        </c:spPr>
        <c:marker>
          <c:spPr>
            <a:solidFill>
              <a:schemeClr val="accent1"/>
            </a:solidFill>
            <a:ln w="22225">
              <a:solidFill>
                <a:schemeClr val="l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6"/>
        <c:spPr>
          <a:pattFill prst="ltUpDiag">
            <a:fgClr>
              <a:schemeClr val="accent1"/>
            </a:fgClr>
            <a:bgClr>
              <a:schemeClr val="lt1"/>
            </a:bgClr>
          </a:pattFill>
          <a:ln w="34925" cap="rnd">
            <a:gradFill>
              <a:gsLst>
                <a:gs pos="54000">
                  <a:schemeClr val="accent4">
                    <a:lumMod val="50000"/>
                  </a:schemeClr>
                </a:gs>
                <a:gs pos="100000">
                  <a:schemeClr val="accent4">
                    <a:lumMod val="40000"/>
                    <a:lumOff val="60000"/>
                  </a:schemeClr>
                </a:gs>
              </a:gsLst>
              <a:lin ang="5400000" scaled="1"/>
            </a:gradFill>
            <a:round/>
          </a:ln>
          <a:effectLst>
            <a:outerShdw dist="25400" dir="2700000" algn="tl" rotWithShape="0">
              <a:schemeClr val="accent1"/>
            </a:outerShdw>
          </a:effectLst>
        </c:spPr>
        <c:marker>
          <c:spPr>
            <a:solidFill>
              <a:schemeClr val="accent1"/>
            </a:solidFill>
            <a:ln w="22225">
              <a:solidFill>
                <a:schemeClr val="l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7"/>
        <c:spPr>
          <a:ln w="34925" cap="rnd">
            <a:gradFill>
              <a:gsLst>
                <a:gs pos="43000">
                  <a:srgbClr val="70AD47">
                    <a:lumMod val="50000"/>
                  </a:srgbClr>
                </a:gs>
                <a:gs pos="100000">
                  <a:srgbClr val="70AD47">
                    <a:lumMod val="40000"/>
                    <a:lumOff val="60000"/>
                  </a:srgbClr>
                </a:gs>
              </a:gsLst>
              <a:lin ang="5400000" scaled="1"/>
            </a:gradFill>
            <a:round/>
          </a:ln>
          <a:effectLst>
            <a:outerShdw dist="25400" dir="2700000" algn="tl" rotWithShape="0">
              <a:schemeClr val="accent1"/>
            </a:outerShdw>
          </a:effectLst>
        </c:spPr>
        <c:marker>
          <c:symbol val="circle"/>
          <c:size val="5"/>
          <c:spPr>
            <a:solidFill>
              <a:schemeClr val="accent1"/>
            </a:solidFill>
            <a:ln w="22225">
              <a:solidFill>
                <a:schemeClr val="l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'Sales Chart'!$B$3</c:f>
              <c:strCache>
                <c:ptCount val="1"/>
                <c:pt idx="0">
                  <c:v>Total</c:v>
                </c:pt>
              </c:strCache>
            </c:strRef>
          </c:tx>
          <c:spPr>
            <a:ln w="34925" cap="rnd">
              <a:gradFill>
                <a:gsLst>
                  <a:gs pos="43000">
                    <a:srgbClr val="70AD47">
                      <a:lumMod val="50000"/>
                    </a:srgbClr>
                  </a:gs>
                  <a:gs pos="100000">
                    <a:srgbClr val="70AD47">
                      <a:lumMod val="40000"/>
                      <a:lumOff val="60000"/>
                    </a:srgbClr>
                  </a:gs>
                </a:gsLst>
                <a:lin ang="5400000" scaled="1"/>
              </a:gradFill>
              <a:round/>
            </a:ln>
            <a:effectLst>
              <a:outerShdw dist="25400" dir="2700000" algn="tl" rotWithShape="0">
                <a:schemeClr val="accent1"/>
              </a:outerShdw>
            </a:effectLst>
          </c:spPr>
          <c:marker>
            <c:symbol val="circle"/>
            <c:size val="5"/>
            <c:spPr>
              <a:solidFill>
                <a:schemeClr val="accent1"/>
              </a:solidFill>
              <a:ln w="22225">
                <a:solidFill>
                  <a:schemeClr val="lt1"/>
                </a:solidFill>
                <a:round/>
              </a:ln>
              <a:effectLst/>
            </c:spPr>
          </c:marker>
          <c:cat>
            <c:multiLvlStrRef>
              <c:f>'Sales Chart'!$A$4:$A$40</c:f>
              <c:multiLvlStrCache>
                <c:ptCount val="33"/>
                <c:lvl>
                  <c:pt idx="0">
                    <c:v>Jan</c:v>
                  </c:pt>
                  <c:pt idx="1">
                    <c:v>Feb</c:v>
                  </c:pt>
                  <c:pt idx="2">
                    <c:v>Mar</c:v>
                  </c:pt>
                  <c:pt idx="3">
                    <c:v>Apr</c:v>
                  </c:pt>
                  <c:pt idx="4">
                    <c:v>May</c:v>
                  </c:pt>
                  <c:pt idx="5">
                    <c:v>Jun</c:v>
                  </c:pt>
                  <c:pt idx="6">
                    <c:v>Jul</c:v>
                  </c:pt>
                  <c:pt idx="7">
                    <c:v>Aug</c:v>
                  </c:pt>
                  <c:pt idx="8">
                    <c:v>Sep</c:v>
                  </c:pt>
                  <c:pt idx="9">
                    <c:v>Oct</c:v>
                  </c:pt>
                  <c:pt idx="10">
                    <c:v>Nov</c:v>
                  </c:pt>
                  <c:pt idx="11">
                    <c:v>Dec</c:v>
                  </c:pt>
                  <c:pt idx="12">
                    <c:v>Jan</c:v>
                  </c:pt>
                  <c:pt idx="13">
                    <c:v>Feb</c:v>
                  </c:pt>
                  <c:pt idx="14">
                    <c:v>Mar</c:v>
                  </c:pt>
                  <c:pt idx="15">
                    <c:v>Apr</c:v>
                  </c:pt>
                  <c:pt idx="16">
                    <c:v>May</c:v>
                  </c:pt>
                  <c:pt idx="17">
                    <c:v>Jun</c:v>
                  </c:pt>
                  <c:pt idx="18">
                    <c:v>Jul</c:v>
                  </c:pt>
                  <c:pt idx="19">
                    <c:v>Aug</c:v>
                  </c:pt>
                  <c:pt idx="20">
                    <c:v>Sep</c:v>
                  </c:pt>
                  <c:pt idx="21">
                    <c:v>Oct</c:v>
                  </c:pt>
                  <c:pt idx="22">
                    <c:v>Nov</c:v>
                  </c:pt>
                  <c:pt idx="23">
                    <c:v>Dec</c:v>
                  </c:pt>
                  <c:pt idx="24">
                    <c:v>Jan</c:v>
                  </c:pt>
                  <c:pt idx="25">
                    <c:v>Feb</c:v>
                  </c:pt>
                  <c:pt idx="26">
                    <c:v>Mar</c:v>
                  </c:pt>
                  <c:pt idx="27">
                    <c:v>Apr</c:v>
                  </c:pt>
                  <c:pt idx="28">
                    <c:v>May</c:v>
                  </c:pt>
                  <c:pt idx="29">
                    <c:v>Jun</c:v>
                  </c:pt>
                  <c:pt idx="30">
                    <c:v>Jul</c:v>
                  </c:pt>
                  <c:pt idx="31">
                    <c:v>Aug</c:v>
                  </c:pt>
                  <c:pt idx="32">
                    <c:v>Sep</c:v>
                  </c:pt>
                </c:lvl>
                <c:lvl>
                  <c:pt idx="0">
                    <c:v>2020</c:v>
                  </c:pt>
                  <c:pt idx="12">
                    <c:v>2021</c:v>
                  </c:pt>
                  <c:pt idx="24">
                    <c:v>2022</c:v>
                  </c:pt>
                </c:lvl>
              </c:multiLvlStrCache>
            </c:multiLvlStrRef>
          </c:cat>
          <c:val>
            <c:numRef>
              <c:f>'Sales Chart'!$B$4:$B$40</c:f>
              <c:numCache>
                <c:formatCode>_-[$$-409]* #,##0_ ;_-[$$-409]* \-#,##0\ ;_-[$$-409]* "-"??_ ;_-@_ </c:formatCode>
                <c:ptCount val="33"/>
                <c:pt idx="0">
                  <c:v>36585</c:v>
                </c:pt>
                <c:pt idx="1">
                  <c:v>51765</c:v>
                </c:pt>
                <c:pt idx="2">
                  <c:v>47780</c:v>
                </c:pt>
                <c:pt idx="3">
                  <c:v>38803</c:v>
                </c:pt>
                <c:pt idx="4">
                  <c:v>41138</c:v>
                </c:pt>
                <c:pt idx="5">
                  <c:v>42658</c:v>
                </c:pt>
                <c:pt idx="6">
                  <c:v>54410</c:v>
                </c:pt>
                <c:pt idx="7">
                  <c:v>32386</c:v>
                </c:pt>
                <c:pt idx="8">
                  <c:v>44967</c:v>
                </c:pt>
                <c:pt idx="9">
                  <c:v>42092</c:v>
                </c:pt>
                <c:pt idx="10">
                  <c:v>48370</c:v>
                </c:pt>
                <c:pt idx="11">
                  <c:v>25429</c:v>
                </c:pt>
                <c:pt idx="12">
                  <c:v>33666</c:v>
                </c:pt>
                <c:pt idx="13">
                  <c:v>36689</c:v>
                </c:pt>
                <c:pt idx="14">
                  <c:v>31312</c:v>
                </c:pt>
                <c:pt idx="15">
                  <c:v>44765</c:v>
                </c:pt>
                <c:pt idx="16">
                  <c:v>23242</c:v>
                </c:pt>
                <c:pt idx="17">
                  <c:v>37854</c:v>
                </c:pt>
                <c:pt idx="18">
                  <c:v>27242</c:v>
                </c:pt>
                <c:pt idx="19">
                  <c:v>46080</c:v>
                </c:pt>
                <c:pt idx="20">
                  <c:v>37665</c:v>
                </c:pt>
                <c:pt idx="21">
                  <c:v>29361</c:v>
                </c:pt>
                <c:pt idx="22">
                  <c:v>39796</c:v>
                </c:pt>
                <c:pt idx="23">
                  <c:v>51392</c:v>
                </c:pt>
                <c:pt idx="24">
                  <c:v>40260</c:v>
                </c:pt>
                <c:pt idx="25">
                  <c:v>51984</c:v>
                </c:pt>
                <c:pt idx="26">
                  <c:v>52528</c:v>
                </c:pt>
                <c:pt idx="27">
                  <c:v>33305</c:v>
                </c:pt>
                <c:pt idx="28">
                  <c:v>46768</c:v>
                </c:pt>
                <c:pt idx="29">
                  <c:v>35132</c:v>
                </c:pt>
                <c:pt idx="30">
                  <c:v>62442</c:v>
                </c:pt>
                <c:pt idx="31">
                  <c:v>76119</c:v>
                </c:pt>
                <c:pt idx="32">
                  <c:v>49404</c:v>
                </c:pt>
              </c:numCache>
            </c:numRef>
          </c:val>
          <c:smooth val="0"/>
          <c:extLst>
            <c:ext xmlns:c16="http://schemas.microsoft.com/office/drawing/2014/chart" uri="{C3380CC4-5D6E-409C-BE32-E72D297353CC}">
              <c16:uniqueId val="{00000000-9942-4D72-B21F-118C9B54A860}"/>
            </c:ext>
          </c:extLst>
        </c:ser>
        <c:dLbls>
          <c:showLegendKey val="0"/>
          <c:showVal val="0"/>
          <c:showCatName val="0"/>
          <c:showSerName val="0"/>
          <c:showPercent val="0"/>
          <c:showBubbleSize val="0"/>
        </c:dLbls>
        <c:dropLines>
          <c:spPr>
            <a:ln w="9525" cap="flat" cmpd="sng" algn="ctr">
              <a:gradFill>
                <a:gsLst>
                  <a:gs pos="0">
                    <a:schemeClr val="lt1"/>
                  </a:gs>
                  <a:gs pos="100000">
                    <a:schemeClr val="lt1">
                      <a:alpha val="0"/>
                    </a:schemeClr>
                  </a:gs>
                </a:gsLst>
                <a:lin ang="5400000" scaled="0"/>
              </a:gradFill>
              <a:round/>
            </a:ln>
            <a:effectLst/>
          </c:spPr>
        </c:dropLines>
        <c:marker val="1"/>
        <c:smooth val="0"/>
        <c:axId val="747911576"/>
        <c:axId val="747913872"/>
      </c:lineChart>
      <c:catAx>
        <c:axId val="747911576"/>
        <c:scaling>
          <c:orientation val="minMax"/>
        </c:scaling>
        <c:delete val="0"/>
        <c:axPos val="b"/>
        <c:numFmt formatCode="General" sourceLinked="1"/>
        <c:majorTickMark val="none"/>
        <c:minorTickMark val="none"/>
        <c:tickLblPos val="nextTo"/>
        <c:spPr>
          <a:noFill/>
          <a:ln w="12700" cap="flat" cmpd="sng" algn="ctr">
            <a:solidFill>
              <a:schemeClr val="lt1"/>
            </a:solidFill>
            <a:round/>
          </a:ln>
          <a:effectLst/>
        </c:spPr>
        <c:txPr>
          <a:bodyPr rot="-5400000" spcFirstLastPara="1" vertOverflow="ellipsis" wrap="square" anchor="ctr" anchorCtr="1"/>
          <a:lstStyle/>
          <a:p>
            <a:pPr>
              <a:defRPr sz="900" b="0" i="0" u="none" strike="noStrike" kern="1200" spc="100" baseline="0">
                <a:solidFill>
                  <a:schemeClr val="lt1"/>
                </a:solidFill>
                <a:latin typeface="+mn-lt"/>
                <a:ea typeface="+mn-ea"/>
                <a:cs typeface="+mn-cs"/>
              </a:defRPr>
            </a:pPr>
            <a:endParaRPr lang="en-US"/>
          </a:p>
        </c:txPr>
        <c:crossAx val="747913872"/>
        <c:crosses val="autoZero"/>
        <c:auto val="1"/>
        <c:lblAlgn val="ctr"/>
        <c:lblOffset val="100"/>
        <c:tickLblSkip val="1"/>
        <c:noMultiLvlLbl val="0"/>
      </c:catAx>
      <c:valAx>
        <c:axId val="747913872"/>
        <c:scaling>
          <c:orientation val="minMax"/>
        </c:scaling>
        <c:delete val="0"/>
        <c:axPos val="l"/>
        <c:numFmt formatCode="[$$-409]#,##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crossAx val="747911576"/>
        <c:crosses val="autoZero"/>
        <c:crossBetween val="between"/>
      </c:valAx>
      <c:spPr>
        <a:noFill/>
        <a:ln>
          <a:noFill/>
        </a:ln>
        <a:effectLst/>
      </c:spPr>
    </c:plotArea>
    <c:plotVisOnly val="1"/>
    <c:dispBlanksAs val="gap"/>
    <c:showDLblsOverMax val="0"/>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Dashboard 2.0.xlsm]Sales-Revenue Chart!PivotTable1</c:name>
    <c:fmtId val="2"/>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spPr>
          <a:pattFill prst="ltUpDiag">
            <a:fgClr>
              <a:schemeClr val="accent1"/>
            </a:fgClr>
            <a:bgClr>
              <a:schemeClr val="lt1"/>
            </a:bgClr>
          </a:pattFill>
          <a:ln w="34925" cap="rnd">
            <a:solidFill>
              <a:schemeClr val="lt1"/>
            </a:solidFill>
            <a:round/>
          </a:ln>
          <a:effectLst>
            <a:outerShdw dist="25400" dir="2700000" algn="tl" rotWithShape="0">
              <a:schemeClr val="accent1"/>
            </a:outerShdw>
          </a:effectLst>
        </c:spPr>
        <c:marker>
          <c:symbol val="circle"/>
          <c:size val="5"/>
          <c:spPr>
            <a:solidFill>
              <a:schemeClr val="accent1"/>
            </a:solidFill>
            <a:ln w="22225">
              <a:solidFill>
                <a:schemeClr val="l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pattFill prst="ltUpDiag">
            <a:fgClr>
              <a:schemeClr val="accent1"/>
            </a:fgClr>
            <a:bgClr>
              <a:schemeClr val="lt1"/>
            </a:bgClr>
          </a:pattFill>
          <a:ln w="34925" cap="rnd">
            <a:solidFill>
              <a:schemeClr val="lt1"/>
            </a:solidFill>
            <a:round/>
          </a:ln>
          <a:effectLst>
            <a:outerShdw dist="25400" dir="2700000" algn="tl" rotWithShape="0">
              <a:schemeClr val="accent1"/>
            </a:outerShdw>
          </a:effectLst>
        </c:spPr>
        <c:marker>
          <c:symbol val="circle"/>
          <c:size val="5"/>
          <c:spPr>
            <a:solidFill>
              <a:schemeClr val="accent1"/>
            </a:solidFill>
            <a:ln w="22225">
              <a:solidFill>
                <a:schemeClr val="l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ln w="34925" cap="rnd">
            <a:gradFill>
              <a:gsLst>
                <a:gs pos="54000">
                  <a:schemeClr val="accent4">
                    <a:lumMod val="50000"/>
                  </a:schemeClr>
                </a:gs>
                <a:gs pos="99000">
                  <a:schemeClr val="accent4">
                    <a:lumMod val="40000"/>
                    <a:lumOff val="60000"/>
                  </a:schemeClr>
                </a:gs>
              </a:gsLst>
              <a:lin ang="5400000" scaled="1"/>
            </a:gradFill>
            <a:round/>
          </a:ln>
          <a:effectLst>
            <a:outerShdw dist="25400" dir="2700000" algn="tl" rotWithShape="0">
              <a:schemeClr val="accent1"/>
            </a:outerShdw>
          </a:effectLst>
        </c:spPr>
        <c:marker>
          <c:symbol val="circle"/>
          <c:size val="5"/>
          <c:spPr>
            <a:solidFill>
              <a:schemeClr val="accent1"/>
            </a:solidFill>
            <a:ln w="22225">
              <a:solidFill>
                <a:schemeClr val="l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ln w="34925" cap="rnd">
            <a:gradFill>
              <a:gsLst>
                <a:gs pos="44000">
                  <a:schemeClr val="accent6">
                    <a:lumMod val="50000"/>
                  </a:schemeClr>
                </a:gs>
                <a:gs pos="100000">
                  <a:schemeClr val="accent6">
                    <a:lumMod val="40000"/>
                    <a:lumOff val="60000"/>
                  </a:schemeClr>
                </a:gs>
              </a:gsLst>
              <a:lin ang="5400000" scaled="1"/>
            </a:gradFill>
            <a:round/>
          </a:ln>
          <a:effectLst>
            <a:outerShdw dist="25400" dir="2700000" algn="tl" rotWithShape="0">
              <a:schemeClr val="accent1"/>
            </a:outerShdw>
          </a:effectLst>
        </c:spPr>
        <c:marker>
          <c:symbol val="circle"/>
          <c:size val="5"/>
          <c:spPr>
            <a:solidFill>
              <a:schemeClr val="accent2"/>
            </a:solidFill>
            <a:ln w="22225">
              <a:solidFill>
                <a:schemeClr val="l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'Sales-Revenue Chart'!$B$3</c:f>
              <c:strCache>
                <c:ptCount val="1"/>
                <c:pt idx="0">
                  <c:v>Sum of Revenue</c:v>
                </c:pt>
              </c:strCache>
            </c:strRef>
          </c:tx>
          <c:spPr>
            <a:ln w="34925" cap="rnd">
              <a:gradFill>
                <a:gsLst>
                  <a:gs pos="54000">
                    <a:schemeClr val="accent4">
                      <a:lumMod val="50000"/>
                    </a:schemeClr>
                  </a:gs>
                  <a:gs pos="99000">
                    <a:schemeClr val="accent4">
                      <a:lumMod val="40000"/>
                      <a:lumOff val="60000"/>
                    </a:schemeClr>
                  </a:gs>
                </a:gsLst>
                <a:lin ang="5400000" scaled="1"/>
              </a:gradFill>
              <a:round/>
            </a:ln>
            <a:effectLst>
              <a:outerShdw dist="25400" dir="2700000" algn="tl" rotWithShape="0">
                <a:schemeClr val="accent1"/>
              </a:outerShdw>
            </a:effectLst>
          </c:spPr>
          <c:marker>
            <c:symbol val="circle"/>
            <c:size val="5"/>
            <c:spPr>
              <a:solidFill>
                <a:schemeClr val="accent1"/>
              </a:solidFill>
              <a:ln w="22225">
                <a:solidFill>
                  <a:schemeClr val="lt1"/>
                </a:solidFill>
                <a:round/>
              </a:ln>
              <a:effectLst/>
            </c:spPr>
          </c:marker>
          <c:cat>
            <c:multiLvlStrRef>
              <c:f>'Sales-Revenue Chart'!$A$4:$A$40</c:f>
              <c:multiLvlStrCache>
                <c:ptCount val="33"/>
                <c:lvl>
                  <c:pt idx="0">
                    <c:v>Jan</c:v>
                  </c:pt>
                  <c:pt idx="1">
                    <c:v>Feb</c:v>
                  </c:pt>
                  <c:pt idx="2">
                    <c:v>Mar</c:v>
                  </c:pt>
                  <c:pt idx="3">
                    <c:v>Apr</c:v>
                  </c:pt>
                  <c:pt idx="4">
                    <c:v>May</c:v>
                  </c:pt>
                  <c:pt idx="5">
                    <c:v>Jun</c:v>
                  </c:pt>
                  <c:pt idx="6">
                    <c:v>Jul</c:v>
                  </c:pt>
                  <c:pt idx="7">
                    <c:v>Aug</c:v>
                  </c:pt>
                  <c:pt idx="8">
                    <c:v>Sep</c:v>
                  </c:pt>
                  <c:pt idx="9">
                    <c:v>Oct</c:v>
                  </c:pt>
                  <c:pt idx="10">
                    <c:v>Nov</c:v>
                  </c:pt>
                  <c:pt idx="11">
                    <c:v>Dec</c:v>
                  </c:pt>
                  <c:pt idx="12">
                    <c:v>Jan</c:v>
                  </c:pt>
                  <c:pt idx="13">
                    <c:v>Feb</c:v>
                  </c:pt>
                  <c:pt idx="14">
                    <c:v>Mar</c:v>
                  </c:pt>
                  <c:pt idx="15">
                    <c:v>Apr</c:v>
                  </c:pt>
                  <c:pt idx="16">
                    <c:v>May</c:v>
                  </c:pt>
                  <c:pt idx="17">
                    <c:v>Jun</c:v>
                  </c:pt>
                  <c:pt idx="18">
                    <c:v>Jul</c:v>
                  </c:pt>
                  <c:pt idx="19">
                    <c:v>Aug</c:v>
                  </c:pt>
                  <c:pt idx="20">
                    <c:v>Sep</c:v>
                  </c:pt>
                  <c:pt idx="21">
                    <c:v>Oct</c:v>
                  </c:pt>
                  <c:pt idx="22">
                    <c:v>Nov</c:v>
                  </c:pt>
                  <c:pt idx="23">
                    <c:v>Dec</c:v>
                  </c:pt>
                  <c:pt idx="24">
                    <c:v>Jan</c:v>
                  </c:pt>
                  <c:pt idx="25">
                    <c:v>Feb</c:v>
                  </c:pt>
                  <c:pt idx="26">
                    <c:v>Mar</c:v>
                  </c:pt>
                  <c:pt idx="27">
                    <c:v>Apr</c:v>
                  </c:pt>
                  <c:pt idx="28">
                    <c:v>May</c:v>
                  </c:pt>
                  <c:pt idx="29">
                    <c:v>Jun</c:v>
                  </c:pt>
                  <c:pt idx="30">
                    <c:v>Jul</c:v>
                  </c:pt>
                  <c:pt idx="31">
                    <c:v>Aug</c:v>
                  </c:pt>
                  <c:pt idx="32">
                    <c:v>Sep</c:v>
                  </c:pt>
                </c:lvl>
                <c:lvl>
                  <c:pt idx="0">
                    <c:v>2020</c:v>
                  </c:pt>
                  <c:pt idx="12">
                    <c:v>2021</c:v>
                  </c:pt>
                  <c:pt idx="24">
                    <c:v>2022</c:v>
                  </c:pt>
                </c:lvl>
              </c:multiLvlStrCache>
            </c:multiLvlStrRef>
          </c:cat>
          <c:val>
            <c:numRef>
              <c:f>'Sales-Revenue Chart'!$B$4:$B$40</c:f>
              <c:numCache>
                <c:formatCode>General</c:formatCode>
                <c:ptCount val="33"/>
                <c:pt idx="0">
                  <c:v>11677.380000000001</c:v>
                </c:pt>
                <c:pt idx="1">
                  <c:v>16987.939999999999</c:v>
                </c:pt>
                <c:pt idx="2">
                  <c:v>15280.6</c:v>
                </c:pt>
                <c:pt idx="3">
                  <c:v>11703.330000000004</c:v>
                </c:pt>
                <c:pt idx="4">
                  <c:v>13162.970000000001</c:v>
                </c:pt>
                <c:pt idx="5">
                  <c:v>13852.31</c:v>
                </c:pt>
                <c:pt idx="6">
                  <c:v>16632.349999999999</c:v>
                </c:pt>
                <c:pt idx="7">
                  <c:v>10924.190000000002</c:v>
                </c:pt>
                <c:pt idx="8">
                  <c:v>14316.199999999999</c:v>
                </c:pt>
                <c:pt idx="9">
                  <c:v>12889.920000000002</c:v>
                </c:pt>
                <c:pt idx="10">
                  <c:v>15818.6</c:v>
                </c:pt>
                <c:pt idx="11">
                  <c:v>8234.5999999999985</c:v>
                </c:pt>
                <c:pt idx="12">
                  <c:v>10326.889999999998</c:v>
                </c:pt>
                <c:pt idx="13">
                  <c:v>11834.449999999997</c:v>
                </c:pt>
                <c:pt idx="14">
                  <c:v>9890.2400000000016</c:v>
                </c:pt>
                <c:pt idx="15">
                  <c:v>14488.680000000002</c:v>
                </c:pt>
                <c:pt idx="16">
                  <c:v>7544.9</c:v>
                </c:pt>
                <c:pt idx="17">
                  <c:v>12760.440000000002</c:v>
                </c:pt>
                <c:pt idx="18">
                  <c:v>8646.0299999999988</c:v>
                </c:pt>
                <c:pt idx="19">
                  <c:v>15184.859999999999</c:v>
                </c:pt>
                <c:pt idx="20">
                  <c:v>12030.05</c:v>
                </c:pt>
                <c:pt idx="21">
                  <c:v>9724.27</c:v>
                </c:pt>
                <c:pt idx="22">
                  <c:v>12248.099999999999</c:v>
                </c:pt>
                <c:pt idx="23">
                  <c:v>16692.550000000003</c:v>
                </c:pt>
                <c:pt idx="24">
                  <c:v>13339.279999999997</c:v>
                </c:pt>
                <c:pt idx="25">
                  <c:v>17565.079999999998</c:v>
                </c:pt>
                <c:pt idx="26">
                  <c:v>16599.96</c:v>
                </c:pt>
                <c:pt idx="27">
                  <c:v>10809.949999999997</c:v>
                </c:pt>
                <c:pt idx="28">
                  <c:v>15047.149999999996</c:v>
                </c:pt>
                <c:pt idx="29">
                  <c:v>11340.04</c:v>
                </c:pt>
                <c:pt idx="30">
                  <c:v>20503.190000000006</c:v>
                </c:pt>
                <c:pt idx="31">
                  <c:v>24259.910000000003</c:v>
                </c:pt>
                <c:pt idx="32">
                  <c:v>15582.900000000001</c:v>
                </c:pt>
              </c:numCache>
            </c:numRef>
          </c:val>
          <c:smooth val="0"/>
          <c:extLst>
            <c:ext xmlns:c16="http://schemas.microsoft.com/office/drawing/2014/chart" uri="{C3380CC4-5D6E-409C-BE32-E72D297353CC}">
              <c16:uniqueId val="{00000000-CF79-4389-920B-549CA3DC9205}"/>
            </c:ext>
          </c:extLst>
        </c:ser>
        <c:ser>
          <c:idx val="1"/>
          <c:order val="1"/>
          <c:tx>
            <c:strRef>
              <c:f>'Sales-Revenue Chart'!$C$3</c:f>
              <c:strCache>
                <c:ptCount val="1"/>
                <c:pt idx="0">
                  <c:v>Sum of Sales</c:v>
                </c:pt>
              </c:strCache>
            </c:strRef>
          </c:tx>
          <c:spPr>
            <a:ln w="34925" cap="rnd">
              <a:gradFill>
                <a:gsLst>
                  <a:gs pos="44000">
                    <a:schemeClr val="accent6">
                      <a:lumMod val="50000"/>
                    </a:schemeClr>
                  </a:gs>
                  <a:gs pos="100000">
                    <a:schemeClr val="accent6">
                      <a:lumMod val="40000"/>
                      <a:lumOff val="60000"/>
                    </a:schemeClr>
                  </a:gs>
                </a:gsLst>
                <a:lin ang="5400000" scaled="1"/>
              </a:gradFill>
              <a:round/>
            </a:ln>
            <a:effectLst>
              <a:outerShdw dist="25400" dir="2700000" algn="tl" rotWithShape="0">
                <a:schemeClr val="accent2"/>
              </a:outerShdw>
            </a:effectLst>
          </c:spPr>
          <c:marker>
            <c:symbol val="circle"/>
            <c:size val="5"/>
            <c:spPr>
              <a:solidFill>
                <a:schemeClr val="accent2"/>
              </a:solidFill>
              <a:ln w="22225">
                <a:solidFill>
                  <a:schemeClr val="lt1"/>
                </a:solidFill>
                <a:round/>
              </a:ln>
              <a:effectLst/>
            </c:spPr>
          </c:marker>
          <c:cat>
            <c:multiLvlStrRef>
              <c:f>'Sales-Revenue Chart'!$A$4:$A$40</c:f>
              <c:multiLvlStrCache>
                <c:ptCount val="33"/>
                <c:lvl>
                  <c:pt idx="0">
                    <c:v>Jan</c:v>
                  </c:pt>
                  <c:pt idx="1">
                    <c:v>Feb</c:v>
                  </c:pt>
                  <c:pt idx="2">
                    <c:v>Mar</c:v>
                  </c:pt>
                  <c:pt idx="3">
                    <c:v>Apr</c:v>
                  </c:pt>
                  <c:pt idx="4">
                    <c:v>May</c:v>
                  </c:pt>
                  <c:pt idx="5">
                    <c:v>Jun</c:v>
                  </c:pt>
                  <c:pt idx="6">
                    <c:v>Jul</c:v>
                  </c:pt>
                  <c:pt idx="7">
                    <c:v>Aug</c:v>
                  </c:pt>
                  <c:pt idx="8">
                    <c:v>Sep</c:v>
                  </c:pt>
                  <c:pt idx="9">
                    <c:v>Oct</c:v>
                  </c:pt>
                  <c:pt idx="10">
                    <c:v>Nov</c:v>
                  </c:pt>
                  <c:pt idx="11">
                    <c:v>Dec</c:v>
                  </c:pt>
                  <c:pt idx="12">
                    <c:v>Jan</c:v>
                  </c:pt>
                  <c:pt idx="13">
                    <c:v>Feb</c:v>
                  </c:pt>
                  <c:pt idx="14">
                    <c:v>Mar</c:v>
                  </c:pt>
                  <c:pt idx="15">
                    <c:v>Apr</c:v>
                  </c:pt>
                  <c:pt idx="16">
                    <c:v>May</c:v>
                  </c:pt>
                  <c:pt idx="17">
                    <c:v>Jun</c:v>
                  </c:pt>
                  <c:pt idx="18">
                    <c:v>Jul</c:v>
                  </c:pt>
                  <c:pt idx="19">
                    <c:v>Aug</c:v>
                  </c:pt>
                  <c:pt idx="20">
                    <c:v>Sep</c:v>
                  </c:pt>
                  <c:pt idx="21">
                    <c:v>Oct</c:v>
                  </c:pt>
                  <c:pt idx="22">
                    <c:v>Nov</c:v>
                  </c:pt>
                  <c:pt idx="23">
                    <c:v>Dec</c:v>
                  </c:pt>
                  <c:pt idx="24">
                    <c:v>Jan</c:v>
                  </c:pt>
                  <c:pt idx="25">
                    <c:v>Feb</c:v>
                  </c:pt>
                  <c:pt idx="26">
                    <c:v>Mar</c:v>
                  </c:pt>
                  <c:pt idx="27">
                    <c:v>Apr</c:v>
                  </c:pt>
                  <c:pt idx="28">
                    <c:v>May</c:v>
                  </c:pt>
                  <c:pt idx="29">
                    <c:v>Jun</c:v>
                  </c:pt>
                  <c:pt idx="30">
                    <c:v>Jul</c:v>
                  </c:pt>
                  <c:pt idx="31">
                    <c:v>Aug</c:v>
                  </c:pt>
                  <c:pt idx="32">
                    <c:v>Sep</c:v>
                  </c:pt>
                </c:lvl>
                <c:lvl>
                  <c:pt idx="0">
                    <c:v>2020</c:v>
                  </c:pt>
                  <c:pt idx="12">
                    <c:v>2021</c:v>
                  </c:pt>
                  <c:pt idx="24">
                    <c:v>2022</c:v>
                  </c:pt>
                </c:lvl>
              </c:multiLvlStrCache>
            </c:multiLvlStrRef>
          </c:cat>
          <c:val>
            <c:numRef>
              <c:f>'Sales-Revenue Chart'!$C$4:$C$40</c:f>
              <c:numCache>
                <c:formatCode>General</c:formatCode>
                <c:ptCount val="33"/>
                <c:pt idx="0">
                  <c:v>36585</c:v>
                </c:pt>
                <c:pt idx="1">
                  <c:v>51765</c:v>
                </c:pt>
                <c:pt idx="2">
                  <c:v>47780</c:v>
                </c:pt>
                <c:pt idx="3">
                  <c:v>38803</c:v>
                </c:pt>
                <c:pt idx="4">
                  <c:v>41138</c:v>
                </c:pt>
                <c:pt idx="5">
                  <c:v>42658</c:v>
                </c:pt>
                <c:pt idx="6">
                  <c:v>54410</c:v>
                </c:pt>
                <c:pt idx="7">
                  <c:v>32386</c:v>
                </c:pt>
                <c:pt idx="8">
                  <c:v>44967</c:v>
                </c:pt>
                <c:pt idx="9">
                  <c:v>42092</c:v>
                </c:pt>
                <c:pt idx="10">
                  <c:v>48370</c:v>
                </c:pt>
                <c:pt idx="11">
                  <c:v>25429</c:v>
                </c:pt>
                <c:pt idx="12">
                  <c:v>33666</c:v>
                </c:pt>
                <c:pt idx="13">
                  <c:v>36689</c:v>
                </c:pt>
                <c:pt idx="14">
                  <c:v>31312</c:v>
                </c:pt>
                <c:pt idx="15">
                  <c:v>44765</c:v>
                </c:pt>
                <c:pt idx="16">
                  <c:v>23242</c:v>
                </c:pt>
                <c:pt idx="17">
                  <c:v>37854</c:v>
                </c:pt>
                <c:pt idx="18">
                  <c:v>27242</c:v>
                </c:pt>
                <c:pt idx="19">
                  <c:v>46080</c:v>
                </c:pt>
                <c:pt idx="20">
                  <c:v>37665</c:v>
                </c:pt>
                <c:pt idx="21">
                  <c:v>29361</c:v>
                </c:pt>
                <c:pt idx="22">
                  <c:v>39796</c:v>
                </c:pt>
                <c:pt idx="23">
                  <c:v>51392</c:v>
                </c:pt>
                <c:pt idx="24">
                  <c:v>40260</c:v>
                </c:pt>
                <c:pt idx="25">
                  <c:v>51984</c:v>
                </c:pt>
                <c:pt idx="26">
                  <c:v>52528</c:v>
                </c:pt>
                <c:pt idx="27">
                  <c:v>33305</c:v>
                </c:pt>
                <c:pt idx="28">
                  <c:v>46768</c:v>
                </c:pt>
                <c:pt idx="29">
                  <c:v>35132</c:v>
                </c:pt>
                <c:pt idx="30">
                  <c:v>62442</c:v>
                </c:pt>
                <c:pt idx="31">
                  <c:v>76119</c:v>
                </c:pt>
                <c:pt idx="32">
                  <c:v>49404</c:v>
                </c:pt>
              </c:numCache>
            </c:numRef>
          </c:val>
          <c:smooth val="0"/>
          <c:extLst>
            <c:ext xmlns:c16="http://schemas.microsoft.com/office/drawing/2014/chart" uri="{C3380CC4-5D6E-409C-BE32-E72D297353CC}">
              <c16:uniqueId val="{00000000-08C7-4B17-9C3D-DB49637E3592}"/>
            </c:ext>
          </c:extLst>
        </c:ser>
        <c:dLbls>
          <c:showLegendKey val="0"/>
          <c:showVal val="0"/>
          <c:showCatName val="0"/>
          <c:showSerName val="0"/>
          <c:showPercent val="0"/>
          <c:showBubbleSize val="0"/>
        </c:dLbls>
        <c:dropLines>
          <c:spPr>
            <a:ln w="9525" cap="flat" cmpd="sng" algn="ctr">
              <a:gradFill>
                <a:gsLst>
                  <a:gs pos="0">
                    <a:schemeClr val="lt1"/>
                  </a:gs>
                  <a:gs pos="100000">
                    <a:schemeClr val="lt1">
                      <a:alpha val="0"/>
                    </a:schemeClr>
                  </a:gs>
                </a:gsLst>
                <a:lin ang="5400000" scaled="0"/>
              </a:gradFill>
              <a:round/>
            </a:ln>
            <a:effectLst/>
          </c:spPr>
        </c:dropLines>
        <c:marker val="1"/>
        <c:smooth val="0"/>
        <c:axId val="747911576"/>
        <c:axId val="747913872"/>
      </c:lineChart>
      <c:catAx>
        <c:axId val="747911576"/>
        <c:scaling>
          <c:orientation val="minMax"/>
        </c:scaling>
        <c:delete val="0"/>
        <c:axPos val="b"/>
        <c:numFmt formatCode="General" sourceLinked="1"/>
        <c:majorTickMark val="none"/>
        <c:minorTickMark val="none"/>
        <c:tickLblPos val="nextTo"/>
        <c:spPr>
          <a:noFill/>
          <a:ln w="12700" cap="flat" cmpd="sng" algn="ctr">
            <a:solidFill>
              <a:schemeClr val="lt1"/>
            </a:solidFill>
            <a:round/>
          </a:ln>
          <a:effectLst/>
        </c:spPr>
        <c:txPr>
          <a:bodyPr rot="-5400000" spcFirstLastPara="1" vertOverflow="ellipsis" wrap="square" anchor="ctr" anchorCtr="1"/>
          <a:lstStyle/>
          <a:p>
            <a:pPr>
              <a:defRPr sz="900" b="0" i="0" u="none" strike="noStrike" kern="1200" spc="100" baseline="0">
                <a:solidFill>
                  <a:schemeClr val="lt1"/>
                </a:solidFill>
                <a:latin typeface="+mn-lt"/>
                <a:ea typeface="+mn-ea"/>
                <a:cs typeface="+mn-cs"/>
              </a:defRPr>
            </a:pPr>
            <a:endParaRPr lang="en-US"/>
          </a:p>
        </c:txPr>
        <c:crossAx val="747913872"/>
        <c:crosses val="autoZero"/>
        <c:auto val="1"/>
        <c:lblAlgn val="ctr"/>
        <c:lblOffset val="100"/>
        <c:tickLblSkip val="1"/>
        <c:noMultiLvlLbl val="0"/>
      </c:catAx>
      <c:valAx>
        <c:axId val="747913872"/>
        <c:scaling>
          <c:orientation val="minMax"/>
        </c:scaling>
        <c:delete val="0"/>
        <c:axPos val="l"/>
        <c:numFmt formatCode="[$$-409]#,##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crossAx val="74791157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Dashboard 2.0.xlsm]Sales-Revenue Chart!PivotTable1</c:name>
    <c:fmtId val="0"/>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spPr>
          <a:ln w="34925" cap="rnd">
            <a:solidFill>
              <a:schemeClr val="lt1"/>
            </a:solidFill>
            <a:round/>
          </a:ln>
          <a:effectLst>
            <a:outerShdw dist="25400" dir="2700000" algn="tl" rotWithShape="0">
              <a:schemeClr val="accent1"/>
            </a:outerShdw>
          </a:effectLst>
        </c:spPr>
        <c:marker>
          <c:symbol val="circle"/>
          <c:size val="5"/>
          <c:spPr>
            <a:solidFill>
              <a:schemeClr val="accent1"/>
            </a:solidFill>
            <a:ln w="22225">
              <a:solidFill>
                <a:schemeClr val="l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34925" cap="rnd">
            <a:solidFill>
              <a:schemeClr val="lt1"/>
            </a:solidFill>
            <a:round/>
          </a:ln>
          <a:effectLst>
            <a:outerShdw dist="25400" dir="2700000" algn="tl" rotWithShape="0">
              <a:schemeClr val="accent1"/>
            </a:outerShdw>
          </a:effectLst>
        </c:spPr>
        <c:marker>
          <c:symbol val="circle"/>
          <c:size val="5"/>
          <c:spPr>
            <a:solidFill>
              <a:schemeClr val="accent2"/>
            </a:solidFill>
            <a:ln w="22225">
              <a:solidFill>
                <a:schemeClr val="l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'Sales-Revenue Chart'!$B$3</c:f>
              <c:strCache>
                <c:ptCount val="1"/>
                <c:pt idx="0">
                  <c:v>Sum of Revenue</c:v>
                </c:pt>
              </c:strCache>
            </c:strRef>
          </c:tx>
          <c:spPr>
            <a:ln w="34925" cap="rnd">
              <a:solidFill>
                <a:schemeClr val="lt1"/>
              </a:solidFill>
              <a:round/>
            </a:ln>
            <a:effectLst>
              <a:outerShdw dist="25400" dir="2700000" algn="tl" rotWithShape="0">
                <a:schemeClr val="accent1"/>
              </a:outerShdw>
            </a:effectLst>
          </c:spPr>
          <c:marker>
            <c:symbol val="circle"/>
            <c:size val="5"/>
            <c:spPr>
              <a:solidFill>
                <a:schemeClr val="accent1"/>
              </a:solidFill>
              <a:ln w="22225">
                <a:solidFill>
                  <a:schemeClr val="lt1"/>
                </a:solidFill>
                <a:round/>
              </a:ln>
              <a:effectLst/>
            </c:spPr>
          </c:marker>
          <c:cat>
            <c:multiLvlStrRef>
              <c:f>'Sales-Revenue Chart'!$A$4:$A$40</c:f>
              <c:multiLvlStrCache>
                <c:ptCount val="33"/>
                <c:lvl>
                  <c:pt idx="0">
                    <c:v>Jan</c:v>
                  </c:pt>
                  <c:pt idx="1">
                    <c:v>Feb</c:v>
                  </c:pt>
                  <c:pt idx="2">
                    <c:v>Mar</c:v>
                  </c:pt>
                  <c:pt idx="3">
                    <c:v>Apr</c:v>
                  </c:pt>
                  <c:pt idx="4">
                    <c:v>May</c:v>
                  </c:pt>
                  <c:pt idx="5">
                    <c:v>Jun</c:v>
                  </c:pt>
                  <c:pt idx="6">
                    <c:v>Jul</c:v>
                  </c:pt>
                  <c:pt idx="7">
                    <c:v>Aug</c:v>
                  </c:pt>
                  <c:pt idx="8">
                    <c:v>Sep</c:v>
                  </c:pt>
                  <c:pt idx="9">
                    <c:v>Oct</c:v>
                  </c:pt>
                  <c:pt idx="10">
                    <c:v>Nov</c:v>
                  </c:pt>
                  <c:pt idx="11">
                    <c:v>Dec</c:v>
                  </c:pt>
                  <c:pt idx="12">
                    <c:v>Jan</c:v>
                  </c:pt>
                  <c:pt idx="13">
                    <c:v>Feb</c:v>
                  </c:pt>
                  <c:pt idx="14">
                    <c:v>Mar</c:v>
                  </c:pt>
                  <c:pt idx="15">
                    <c:v>Apr</c:v>
                  </c:pt>
                  <c:pt idx="16">
                    <c:v>May</c:v>
                  </c:pt>
                  <c:pt idx="17">
                    <c:v>Jun</c:v>
                  </c:pt>
                  <c:pt idx="18">
                    <c:v>Jul</c:v>
                  </c:pt>
                  <c:pt idx="19">
                    <c:v>Aug</c:v>
                  </c:pt>
                  <c:pt idx="20">
                    <c:v>Sep</c:v>
                  </c:pt>
                  <c:pt idx="21">
                    <c:v>Oct</c:v>
                  </c:pt>
                  <c:pt idx="22">
                    <c:v>Nov</c:v>
                  </c:pt>
                  <c:pt idx="23">
                    <c:v>Dec</c:v>
                  </c:pt>
                  <c:pt idx="24">
                    <c:v>Jan</c:v>
                  </c:pt>
                  <c:pt idx="25">
                    <c:v>Feb</c:v>
                  </c:pt>
                  <c:pt idx="26">
                    <c:v>Mar</c:v>
                  </c:pt>
                  <c:pt idx="27">
                    <c:v>Apr</c:v>
                  </c:pt>
                  <c:pt idx="28">
                    <c:v>May</c:v>
                  </c:pt>
                  <c:pt idx="29">
                    <c:v>Jun</c:v>
                  </c:pt>
                  <c:pt idx="30">
                    <c:v>Jul</c:v>
                  </c:pt>
                  <c:pt idx="31">
                    <c:v>Aug</c:v>
                  </c:pt>
                  <c:pt idx="32">
                    <c:v>Sep</c:v>
                  </c:pt>
                </c:lvl>
                <c:lvl>
                  <c:pt idx="0">
                    <c:v>2020</c:v>
                  </c:pt>
                  <c:pt idx="12">
                    <c:v>2021</c:v>
                  </c:pt>
                  <c:pt idx="24">
                    <c:v>2022</c:v>
                  </c:pt>
                </c:lvl>
              </c:multiLvlStrCache>
            </c:multiLvlStrRef>
          </c:cat>
          <c:val>
            <c:numRef>
              <c:f>'Sales-Revenue Chart'!$B$4:$B$40</c:f>
              <c:numCache>
                <c:formatCode>General</c:formatCode>
                <c:ptCount val="33"/>
                <c:pt idx="0">
                  <c:v>11677.380000000001</c:v>
                </c:pt>
                <c:pt idx="1">
                  <c:v>16987.939999999999</c:v>
                </c:pt>
                <c:pt idx="2">
                  <c:v>15280.6</c:v>
                </c:pt>
                <c:pt idx="3">
                  <c:v>11703.330000000004</c:v>
                </c:pt>
                <c:pt idx="4">
                  <c:v>13162.970000000001</c:v>
                </c:pt>
                <c:pt idx="5">
                  <c:v>13852.31</c:v>
                </c:pt>
                <c:pt idx="6">
                  <c:v>16632.349999999999</c:v>
                </c:pt>
                <c:pt idx="7">
                  <c:v>10924.190000000002</c:v>
                </c:pt>
                <c:pt idx="8">
                  <c:v>14316.199999999999</c:v>
                </c:pt>
                <c:pt idx="9">
                  <c:v>12889.920000000002</c:v>
                </c:pt>
                <c:pt idx="10">
                  <c:v>15818.6</c:v>
                </c:pt>
                <c:pt idx="11">
                  <c:v>8234.5999999999985</c:v>
                </c:pt>
                <c:pt idx="12">
                  <c:v>10326.889999999998</c:v>
                </c:pt>
                <c:pt idx="13">
                  <c:v>11834.449999999997</c:v>
                </c:pt>
                <c:pt idx="14">
                  <c:v>9890.2400000000016</c:v>
                </c:pt>
                <c:pt idx="15">
                  <c:v>14488.680000000002</c:v>
                </c:pt>
                <c:pt idx="16">
                  <c:v>7544.9</c:v>
                </c:pt>
                <c:pt idx="17">
                  <c:v>12760.440000000002</c:v>
                </c:pt>
                <c:pt idx="18">
                  <c:v>8646.0299999999988</c:v>
                </c:pt>
                <c:pt idx="19">
                  <c:v>15184.859999999999</c:v>
                </c:pt>
                <c:pt idx="20">
                  <c:v>12030.05</c:v>
                </c:pt>
                <c:pt idx="21">
                  <c:v>9724.27</c:v>
                </c:pt>
                <c:pt idx="22">
                  <c:v>12248.099999999999</c:v>
                </c:pt>
                <c:pt idx="23">
                  <c:v>16692.550000000003</c:v>
                </c:pt>
                <c:pt idx="24">
                  <c:v>13339.279999999997</c:v>
                </c:pt>
                <c:pt idx="25">
                  <c:v>17565.079999999998</c:v>
                </c:pt>
                <c:pt idx="26">
                  <c:v>16599.96</c:v>
                </c:pt>
                <c:pt idx="27">
                  <c:v>10809.949999999997</c:v>
                </c:pt>
                <c:pt idx="28">
                  <c:v>15047.149999999996</c:v>
                </c:pt>
                <c:pt idx="29">
                  <c:v>11340.04</c:v>
                </c:pt>
                <c:pt idx="30">
                  <c:v>20503.190000000006</c:v>
                </c:pt>
                <c:pt idx="31">
                  <c:v>24259.910000000003</c:v>
                </c:pt>
                <c:pt idx="32">
                  <c:v>15582.900000000001</c:v>
                </c:pt>
              </c:numCache>
            </c:numRef>
          </c:val>
          <c:smooth val="0"/>
          <c:extLst>
            <c:ext xmlns:c16="http://schemas.microsoft.com/office/drawing/2014/chart" uri="{C3380CC4-5D6E-409C-BE32-E72D297353CC}">
              <c16:uniqueId val="{00000000-3B48-4A94-87CA-0B6BBA085A74}"/>
            </c:ext>
          </c:extLst>
        </c:ser>
        <c:ser>
          <c:idx val="1"/>
          <c:order val="1"/>
          <c:tx>
            <c:strRef>
              <c:f>'Sales-Revenue Chart'!$C$3</c:f>
              <c:strCache>
                <c:ptCount val="1"/>
                <c:pt idx="0">
                  <c:v>Sum of Sales</c:v>
                </c:pt>
              </c:strCache>
            </c:strRef>
          </c:tx>
          <c:spPr>
            <a:ln w="34925" cap="rnd">
              <a:solidFill>
                <a:schemeClr val="lt1"/>
              </a:solidFill>
              <a:round/>
            </a:ln>
            <a:effectLst>
              <a:outerShdw dist="25400" dir="2700000" algn="tl" rotWithShape="0">
                <a:schemeClr val="accent2"/>
              </a:outerShdw>
            </a:effectLst>
          </c:spPr>
          <c:marker>
            <c:symbol val="circle"/>
            <c:size val="5"/>
            <c:spPr>
              <a:solidFill>
                <a:schemeClr val="accent2"/>
              </a:solidFill>
              <a:ln w="22225">
                <a:solidFill>
                  <a:schemeClr val="lt1"/>
                </a:solidFill>
                <a:round/>
              </a:ln>
              <a:effectLst/>
            </c:spPr>
          </c:marker>
          <c:cat>
            <c:multiLvlStrRef>
              <c:f>'Sales-Revenue Chart'!$A$4:$A$40</c:f>
              <c:multiLvlStrCache>
                <c:ptCount val="33"/>
                <c:lvl>
                  <c:pt idx="0">
                    <c:v>Jan</c:v>
                  </c:pt>
                  <c:pt idx="1">
                    <c:v>Feb</c:v>
                  </c:pt>
                  <c:pt idx="2">
                    <c:v>Mar</c:v>
                  </c:pt>
                  <c:pt idx="3">
                    <c:v>Apr</c:v>
                  </c:pt>
                  <c:pt idx="4">
                    <c:v>May</c:v>
                  </c:pt>
                  <c:pt idx="5">
                    <c:v>Jun</c:v>
                  </c:pt>
                  <c:pt idx="6">
                    <c:v>Jul</c:v>
                  </c:pt>
                  <c:pt idx="7">
                    <c:v>Aug</c:v>
                  </c:pt>
                  <c:pt idx="8">
                    <c:v>Sep</c:v>
                  </c:pt>
                  <c:pt idx="9">
                    <c:v>Oct</c:v>
                  </c:pt>
                  <c:pt idx="10">
                    <c:v>Nov</c:v>
                  </c:pt>
                  <c:pt idx="11">
                    <c:v>Dec</c:v>
                  </c:pt>
                  <c:pt idx="12">
                    <c:v>Jan</c:v>
                  </c:pt>
                  <c:pt idx="13">
                    <c:v>Feb</c:v>
                  </c:pt>
                  <c:pt idx="14">
                    <c:v>Mar</c:v>
                  </c:pt>
                  <c:pt idx="15">
                    <c:v>Apr</c:v>
                  </c:pt>
                  <c:pt idx="16">
                    <c:v>May</c:v>
                  </c:pt>
                  <c:pt idx="17">
                    <c:v>Jun</c:v>
                  </c:pt>
                  <c:pt idx="18">
                    <c:v>Jul</c:v>
                  </c:pt>
                  <c:pt idx="19">
                    <c:v>Aug</c:v>
                  </c:pt>
                  <c:pt idx="20">
                    <c:v>Sep</c:v>
                  </c:pt>
                  <c:pt idx="21">
                    <c:v>Oct</c:v>
                  </c:pt>
                  <c:pt idx="22">
                    <c:v>Nov</c:v>
                  </c:pt>
                  <c:pt idx="23">
                    <c:v>Dec</c:v>
                  </c:pt>
                  <c:pt idx="24">
                    <c:v>Jan</c:v>
                  </c:pt>
                  <c:pt idx="25">
                    <c:v>Feb</c:v>
                  </c:pt>
                  <c:pt idx="26">
                    <c:v>Mar</c:v>
                  </c:pt>
                  <c:pt idx="27">
                    <c:v>Apr</c:v>
                  </c:pt>
                  <c:pt idx="28">
                    <c:v>May</c:v>
                  </c:pt>
                  <c:pt idx="29">
                    <c:v>Jun</c:v>
                  </c:pt>
                  <c:pt idx="30">
                    <c:v>Jul</c:v>
                  </c:pt>
                  <c:pt idx="31">
                    <c:v>Aug</c:v>
                  </c:pt>
                  <c:pt idx="32">
                    <c:v>Sep</c:v>
                  </c:pt>
                </c:lvl>
                <c:lvl>
                  <c:pt idx="0">
                    <c:v>2020</c:v>
                  </c:pt>
                  <c:pt idx="12">
                    <c:v>2021</c:v>
                  </c:pt>
                  <c:pt idx="24">
                    <c:v>2022</c:v>
                  </c:pt>
                </c:lvl>
              </c:multiLvlStrCache>
            </c:multiLvlStrRef>
          </c:cat>
          <c:val>
            <c:numRef>
              <c:f>'Sales-Revenue Chart'!$C$4:$C$40</c:f>
              <c:numCache>
                <c:formatCode>General</c:formatCode>
                <c:ptCount val="33"/>
                <c:pt idx="0">
                  <c:v>36585</c:v>
                </c:pt>
                <c:pt idx="1">
                  <c:v>51765</c:v>
                </c:pt>
                <c:pt idx="2">
                  <c:v>47780</c:v>
                </c:pt>
                <c:pt idx="3">
                  <c:v>38803</c:v>
                </c:pt>
                <c:pt idx="4">
                  <c:v>41138</c:v>
                </c:pt>
                <c:pt idx="5">
                  <c:v>42658</c:v>
                </c:pt>
                <c:pt idx="6">
                  <c:v>54410</c:v>
                </c:pt>
                <c:pt idx="7">
                  <c:v>32386</c:v>
                </c:pt>
                <c:pt idx="8">
                  <c:v>44967</c:v>
                </c:pt>
                <c:pt idx="9">
                  <c:v>42092</c:v>
                </c:pt>
                <c:pt idx="10">
                  <c:v>48370</c:v>
                </c:pt>
                <c:pt idx="11">
                  <c:v>25429</c:v>
                </c:pt>
                <c:pt idx="12">
                  <c:v>33666</c:v>
                </c:pt>
                <c:pt idx="13">
                  <c:v>36689</c:v>
                </c:pt>
                <c:pt idx="14">
                  <c:v>31312</c:v>
                </c:pt>
                <c:pt idx="15">
                  <c:v>44765</c:v>
                </c:pt>
                <c:pt idx="16">
                  <c:v>23242</c:v>
                </c:pt>
                <c:pt idx="17">
                  <c:v>37854</c:v>
                </c:pt>
                <c:pt idx="18">
                  <c:v>27242</c:v>
                </c:pt>
                <c:pt idx="19">
                  <c:v>46080</c:v>
                </c:pt>
                <c:pt idx="20">
                  <c:v>37665</c:v>
                </c:pt>
                <c:pt idx="21">
                  <c:v>29361</c:v>
                </c:pt>
                <c:pt idx="22">
                  <c:v>39796</c:v>
                </c:pt>
                <c:pt idx="23">
                  <c:v>51392</c:v>
                </c:pt>
                <c:pt idx="24">
                  <c:v>40260</c:v>
                </c:pt>
                <c:pt idx="25">
                  <c:v>51984</c:v>
                </c:pt>
                <c:pt idx="26">
                  <c:v>52528</c:v>
                </c:pt>
                <c:pt idx="27">
                  <c:v>33305</c:v>
                </c:pt>
                <c:pt idx="28">
                  <c:v>46768</c:v>
                </c:pt>
                <c:pt idx="29">
                  <c:v>35132</c:v>
                </c:pt>
                <c:pt idx="30">
                  <c:v>62442</c:v>
                </c:pt>
                <c:pt idx="31">
                  <c:v>76119</c:v>
                </c:pt>
                <c:pt idx="32">
                  <c:v>49404</c:v>
                </c:pt>
              </c:numCache>
            </c:numRef>
          </c:val>
          <c:smooth val="0"/>
          <c:extLst>
            <c:ext xmlns:c16="http://schemas.microsoft.com/office/drawing/2014/chart" uri="{C3380CC4-5D6E-409C-BE32-E72D297353CC}">
              <c16:uniqueId val="{00000000-F09D-41B2-AEFC-5F8A23665EA5}"/>
            </c:ext>
          </c:extLst>
        </c:ser>
        <c:dLbls>
          <c:showLegendKey val="0"/>
          <c:showVal val="0"/>
          <c:showCatName val="0"/>
          <c:showSerName val="0"/>
          <c:showPercent val="0"/>
          <c:showBubbleSize val="0"/>
        </c:dLbls>
        <c:dropLines>
          <c:spPr>
            <a:ln w="9525" cap="flat" cmpd="sng" algn="ctr">
              <a:gradFill>
                <a:gsLst>
                  <a:gs pos="0">
                    <a:schemeClr val="lt1"/>
                  </a:gs>
                  <a:gs pos="100000">
                    <a:schemeClr val="lt1">
                      <a:alpha val="0"/>
                    </a:schemeClr>
                  </a:gs>
                </a:gsLst>
                <a:lin ang="5400000" scaled="0"/>
              </a:gradFill>
              <a:round/>
            </a:ln>
            <a:effectLst/>
          </c:spPr>
        </c:dropLines>
        <c:marker val="1"/>
        <c:smooth val="0"/>
        <c:axId val="747911576"/>
        <c:axId val="747913872"/>
      </c:lineChart>
      <c:catAx>
        <c:axId val="747911576"/>
        <c:scaling>
          <c:orientation val="minMax"/>
        </c:scaling>
        <c:delete val="0"/>
        <c:axPos val="b"/>
        <c:numFmt formatCode="General" sourceLinked="1"/>
        <c:majorTickMark val="none"/>
        <c:minorTickMark val="none"/>
        <c:tickLblPos val="nextTo"/>
        <c:spPr>
          <a:noFill/>
          <a:ln w="12700" cap="flat" cmpd="sng" algn="ctr">
            <a:solidFill>
              <a:schemeClr val="lt1"/>
            </a:solidFill>
            <a:round/>
          </a:ln>
          <a:effectLst/>
        </c:spPr>
        <c:txPr>
          <a:bodyPr rot="-5400000" spcFirstLastPara="1" vertOverflow="ellipsis" wrap="square" anchor="ctr" anchorCtr="1"/>
          <a:lstStyle/>
          <a:p>
            <a:pPr>
              <a:defRPr sz="900" b="0" i="0" u="none" strike="noStrike" kern="1200" spc="100" baseline="0">
                <a:solidFill>
                  <a:schemeClr val="lt1"/>
                </a:solidFill>
                <a:latin typeface="+mn-lt"/>
                <a:ea typeface="+mn-ea"/>
                <a:cs typeface="+mn-cs"/>
              </a:defRPr>
            </a:pPr>
            <a:endParaRPr lang="en-US"/>
          </a:p>
        </c:txPr>
        <c:crossAx val="747913872"/>
        <c:crosses val="autoZero"/>
        <c:auto val="1"/>
        <c:lblAlgn val="ctr"/>
        <c:lblOffset val="100"/>
        <c:tickLblSkip val="1"/>
        <c:noMultiLvlLbl val="0"/>
      </c:catAx>
      <c:valAx>
        <c:axId val="747913872"/>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crossAx val="74791157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1"/>
    </a:solidFill>
    <a:ln w="9525" cap="flat" cmpd="sng" algn="ctr">
      <a:solidFill>
        <a:schemeClr val="accent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pivotSource>
    <c:name>[Sales Dashboard 2.0.xlsm]Sales Chart!PivotTable1</c:name>
    <c:fmtId val="1"/>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spPr>
          <a:pattFill prst="ltUpDiag">
            <a:fgClr>
              <a:schemeClr val="accent1"/>
            </a:fgClr>
            <a:bgClr>
              <a:schemeClr val="lt1"/>
            </a:bgClr>
          </a:pattFill>
          <a:ln w="34925" cap="rnd">
            <a:solidFill>
              <a:schemeClr val="lt1"/>
            </a:solidFill>
            <a:round/>
          </a:ln>
          <a:effectLst>
            <a:outerShdw dist="25400" dir="2700000" algn="tl" rotWithShape="0">
              <a:schemeClr val="accent1"/>
            </a:outerShdw>
          </a:effectLst>
        </c:spPr>
        <c:marker>
          <c:symbol val="circle"/>
          <c:size val="5"/>
          <c:spPr>
            <a:solidFill>
              <a:schemeClr val="accent1"/>
            </a:solidFill>
            <a:ln w="22225">
              <a:solidFill>
                <a:schemeClr val="l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pattFill prst="ltUpDiag">
            <a:fgClr>
              <a:schemeClr val="accent1"/>
            </a:fgClr>
            <a:bgClr>
              <a:schemeClr val="lt1"/>
            </a:bgClr>
          </a:pattFill>
          <a:ln w="34925" cap="rnd">
            <a:solidFill>
              <a:schemeClr val="lt1"/>
            </a:solidFill>
            <a:round/>
          </a:ln>
          <a:effectLst>
            <a:outerShdw dist="25400" dir="2700000" algn="tl" rotWithShape="0">
              <a:schemeClr val="accent1"/>
            </a:outerShdw>
          </a:effectLst>
        </c:spPr>
        <c:marker>
          <c:symbol val="circle"/>
          <c:size val="5"/>
          <c:spPr>
            <a:solidFill>
              <a:schemeClr val="accent1"/>
            </a:solidFill>
            <a:ln w="22225">
              <a:solidFill>
                <a:schemeClr val="l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pattFill prst="ltUpDiag">
            <a:fgClr>
              <a:schemeClr val="accent1"/>
            </a:fgClr>
            <a:bgClr>
              <a:schemeClr val="lt1"/>
            </a:bgClr>
          </a:pattFill>
          <a:ln w="34925" cap="rnd">
            <a:gradFill>
              <a:gsLst>
                <a:gs pos="54000">
                  <a:schemeClr val="accent4">
                    <a:lumMod val="50000"/>
                  </a:schemeClr>
                </a:gs>
                <a:gs pos="100000">
                  <a:schemeClr val="accent4">
                    <a:lumMod val="40000"/>
                    <a:lumOff val="60000"/>
                  </a:schemeClr>
                </a:gs>
              </a:gsLst>
              <a:lin ang="5400000" scaled="1"/>
            </a:gradFill>
            <a:round/>
          </a:ln>
          <a:effectLst>
            <a:outerShdw dist="25400" dir="2700000" algn="tl" rotWithShape="0">
              <a:schemeClr val="accent1"/>
            </a:outerShdw>
          </a:effectLst>
        </c:spPr>
        <c:marker>
          <c:symbol val="circle"/>
          <c:size val="5"/>
          <c:spPr>
            <a:solidFill>
              <a:schemeClr val="accent1"/>
            </a:solidFill>
            <a:ln w="22225">
              <a:solidFill>
                <a:schemeClr val="l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pattFill prst="ltUpDiag">
            <a:fgClr>
              <a:schemeClr val="accent1"/>
            </a:fgClr>
            <a:bgClr>
              <a:schemeClr val="lt1"/>
            </a:bgClr>
          </a:pattFill>
          <a:ln w="34925" cap="rnd">
            <a:gradFill>
              <a:gsLst>
                <a:gs pos="44000">
                  <a:schemeClr val="accent6">
                    <a:lumMod val="50000"/>
                  </a:schemeClr>
                </a:gs>
                <a:gs pos="100000">
                  <a:schemeClr val="accent6">
                    <a:lumMod val="40000"/>
                    <a:lumOff val="60000"/>
                  </a:schemeClr>
                </a:gs>
              </a:gsLst>
              <a:lin ang="5400000" scaled="1"/>
            </a:gradFill>
            <a:round/>
          </a:ln>
          <a:effectLst>
            <a:outerShdw dist="25400" dir="2700000" algn="tl" rotWithShape="0">
              <a:schemeClr val="accent1"/>
            </a:outerShdw>
          </a:effectLst>
        </c:spPr>
        <c:marker>
          <c:symbol val="circle"/>
          <c:size val="5"/>
          <c:spPr>
            <a:solidFill>
              <a:schemeClr val="accent2"/>
            </a:solidFill>
            <a:ln w="22225">
              <a:solidFill>
                <a:schemeClr val="l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ln w="34925" cap="rnd">
            <a:gradFill>
              <a:gsLst>
                <a:gs pos="54000">
                  <a:schemeClr val="accent4">
                    <a:lumMod val="50000"/>
                  </a:schemeClr>
                </a:gs>
                <a:gs pos="100000">
                  <a:schemeClr val="accent4">
                    <a:lumMod val="40000"/>
                    <a:lumOff val="60000"/>
                  </a:schemeClr>
                </a:gs>
              </a:gsLst>
              <a:lin ang="5400000" scaled="1"/>
            </a:gradFill>
            <a:round/>
          </a:ln>
          <a:effectLst>
            <a:outerShdw dist="25400" dir="2700000" algn="tl" rotWithShape="0">
              <a:schemeClr val="accent1"/>
            </a:outerShdw>
          </a:effectLst>
        </c:spPr>
        <c:marker>
          <c:symbol val="circle"/>
          <c:size val="5"/>
          <c:spPr>
            <a:solidFill>
              <a:schemeClr val="accent1"/>
            </a:solidFill>
            <a:ln w="22225">
              <a:solidFill>
                <a:schemeClr val="l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'Sales Chart'!$B$3</c:f>
              <c:strCache>
                <c:ptCount val="1"/>
                <c:pt idx="0">
                  <c:v>Total</c:v>
                </c:pt>
              </c:strCache>
            </c:strRef>
          </c:tx>
          <c:spPr>
            <a:ln w="34925" cap="rnd">
              <a:gradFill>
                <a:gsLst>
                  <a:gs pos="54000">
                    <a:schemeClr val="accent4">
                      <a:lumMod val="50000"/>
                    </a:schemeClr>
                  </a:gs>
                  <a:gs pos="100000">
                    <a:schemeClr val="accent4">
                      <a:lumMod val="40000"/>
                      <a:lumOff val="60000"/>
                    </a:schemeClr>
                  </a:gs>
                </a:gsLst>
                <a:lin ang="5400000" scaled="1"/>
              </a:gradFill>
              <a:round/>
            </a:ln>
            <a:effectLst>
              <a:outerShdw dist="25400" dir="2700000" algn="tl" rotWithShape="0">
                <a:schemeClr val="accent1"/>
              </a:outerShdw>
            </a:effectLst>
          </c:spPr>
          <c:marker>
            <c:symbol val="circle"/>
            <c:size val="5"/>
            <c:spPr>
              <a:solidFill>
                <a:schemeClr val="accent1"/>
              </a:solidFill>
              <a:ln w="22225">
                <a:solidFill>
                  <a:schemeClr val="lt1"/>
                </a:solidFill>
                <a:round/>
              </a:ln>
              <a:effectLst/>
            </c:spPr>
          </c:marker>
          <c:cat>
            <c:multiLvlStrRef>
              <c:f>'Sales Chart'!$A$4:$A$40</c:f>
              <c:multiLvlStrCache>
                <c:ptCount val="33"/>
                <c:lvl>
                  <c:pt idx="0">
                    <c:v>Jan</c:v>
                  </c:pt>
                  <c:pt idx="1">
                    <c:v>Feb</c:v>
                  </c:pt>
                  <c:pt idx="2">
                    <c:v>Mar</c:v>
                  </c:pt>
                  <c:pt idx="3">
                    <c:v>Apr</c:v>
                  </c:pt>
                  <c:pt idx="4">
                    <c:v>May</c:v>
                  </c:pt>
                  <c:pt idx="5">
                    <c:v>Jun</c:v>
                  </c:pt>
                  <c:pt idx="6">
                    <c:v>Jul</c:v>
                  </c:pt>
                  <c:pt idx="7">
                    <c:v>Aug</c:v>
                  </c:pt>
                  <c:pt idx="8">
                    <c:v>Sep</c:v>
                  </c:pt>
                  <c:pt idx="9">
                    <c:v>Oct</c:v>
                  </c:pt>
                  <c:pt idx="10">
                    <c:v>Nov</c:v>
                  </c:pt>
                  <c:pt idx="11">
                    <c:v>Dec</c:v>
                  </c:pt>
                  <c:pt idx="12">
                    <c:v>Jan</c:v>
                  </c:pt>
                  <c:pt idx="13">
                    <c:v>Feb</c:v>
                  </c:pt>
                  <c:pt idx="14">
                    <c:v>Mar</c:v>
                  </c:pt>
                  <c:pt idx="15">
                    <c:v>Apr</c:v>
                  </c:pt>
                  <c:pt idx="16">
                    <c:v>May</c:v>
                  </c:pt>
                  <c:pt idx="17">
                    <c:v>Jun</c:v>
                  </c:pt>
                  <c:pt idx="18">
                    <c:v>Jul</c:v>
                  </c:pt>
                  <c:pt idx="19">
                    <c:v>Aug</c:v>
                  </c:pt>
                  <c:pt idx="20">
                    <c:v>Sep</c:v>
                  </c:pt>
                  <c:pt idx="21">
                    <c:v>Oct</c:v>
                  </c:pt>
                  <c:pt idx="22">
                    <c:v>Nov</c:v>
                  </c:pt>
                  <c:pt idx="23">
                    <c:v>Dec</c:v>
                  </c:pt>
                  <c:pt idx="24">
                    <c:v>Jan</c:v>
                  </c:pt>
                  <c:pt idx="25">
                    <c:v>Feb</c:v>
                  </c:pt>
                  <c:pt idx="26">
                    <c:v>Mar</c:v>
                  </c:pt>
                  <c:pt idx="27">
                    <c:v>Apr</c:v>
                  </c:pt>
                  <c:pt idx="28">
                    <c:v>May</c:v>
                  </c:pt>
                  <c:pt idx="29">
                    <c:v>Jun</c:v>
                  </c:pt>
                  <c:pt idx="30">
                    <c:v>Jul</c:v>
                  </c:pt>
                  <c:pt idx="31">
                    <c:v>Aug</c:v>
                  </c:pt>
                  <c:pt idx="32">
                    <c:v>Sep</c:v>
                  </c:pt>
                </c:lvl>
                <c:lvl>
                  <c:pt idx="0">
                    <c:v>2020</c:v>
                  </c:pt>
                  <c:pt idx="12">
                    <c:v>2021</c:v>
                  </c:pt>
                  <c:pt idx="24">
                    <c:v>2022</c:v>
                  </c:pt>
                </c:lvl>
              </c:multiLvlStrCache>
            </c:multiLvlStrRef>
          </c:cat>
          <c:val>
            <c:numRef>
              <c:f>'Sales Chart'!$B$4:$B$40</c:f>
              <c:numCache>
                <c:formatCode>_-[$$-409]* #,##0_ ;_-[$$-409]* \-#,##0\ ;_-[$$-409]* "-"??_ ;_-@_ </c:formatCode>
                <c:ptCount val="33"/>
                <c:pt idx="0">
                  <c:v>36585</c:v>
                </c:pt>
                <c:pt idx="1">
                  <c:v>51765</c:v>
                </c:pt>
                <c:pt idx="2">
                  <c:v>47780</c:v>
                </c:pt>
                <c:pt idx="3">
                  <c:v>38803</c:v>
                </c:pt>
                <c:pt idx="4">
                  <c:v>41138</c:v>
                </c:pt>
                <c:pt idx="5">
                  <c:v>42658</c:v>
                </c:pt>
                <c:pt idx="6">
                  <c:v>54410</c:v>
                </c:pt>
                <c:pt idx="7">
                  <c:v>32386</c:v>
                </c:pt>
                <c:pt idx="8">
                  <c:v>44967</c:v>
                </c:pt>
                <c:pt idx="9">
                  <c:v>42092</c:v>
                </c:pt>
                <c:pt idx="10">
                  <c:v>48370</c:v>
                </c:pt>
                <c:pt idx="11">
                  <c:v>25429</c:v>
                </c:pt>
                <c:pt idx="12">
                  <c:v>33666</c:v>
                </c:pt>
                <c:pt idx="13">
                  <c:v>36689</c:v>
                </c:pt>
                <c:pt idx="14">
                  <c:v>31312</c:v>
                </c:pt>
                <c:pt idx="15">
                  <c:v>44765</c:v>
                </c:pt>
                <c:pt idx="16">
                  <c:v>23242</c:v>
                </c:pt>
                <c:pt idx="17">
                  <c:v>37854</c:v>
                </c:pt>
                <c:pt idx="18">
                  <c:v>27242</c:v>
                </c:pt>
                <c:pt idx="19">
                  <c:v>46080</c:v>
                </c:pt>
                <c:pt idx="20">
                  <c:v>37665</c:v>
                </c:pt>
                <c:pt idx="21">
                  <c:v>29361</c:v>
                </c:pt>
                <c:pt idx="22">
                  <c:v>39796</c:v>
                </c:pt>
                <c:pt idx="23">
                  <c:v>51392</c:v>
                </c:pt>
                <c:pt idx="24">
                  <c:v>40260</c:v>
                </c:pt>
                <c:pt idx="25">
                  <c:v>51984</c:v>
                </c:pt>
                <c:pt idx="26">
                  <c:v>52528</c:v>
                </c:pt>
                <c:pt idx="27">
                  <c:v>33305</c:v>
                </c:pt>
                <c:pt idx="28">
                  <c:v>46768</c:v>
                </c:pt>
                <c:pt idx="29">
                  <c:v>35132</c:v>
                </c:pt>
                <c:pt idx="30">
                  <c:v>62442</c:v>
                </c:pt>
                <c:pt idx="31">
                  <c:v>76119</c:v>
                </c:pt>
                <c:pt idx="32">
                  <c:v>49404</c:v>
                </c:pt>
              </c:numCache>
            </c:numRef>
          </c:val>
          <c:smooth val="0"/>
          <c:extLst>
            <c:ext xmlns:c16="http://schemas.microsoft.com/office/drawing/2014/chart" uri="{C3380CC4-5D6E-409C-BE32-E72D297353CC}">
              <c16:uniqueId val="{00000000-CF79-4389-920B-549CA3DC9205}"/>
            </c:ext>
          </c:extLst>
        </c:ser>
        <c:dLbls>
          <c:showLegendKey val="0"/>
          <c:showVal val="0"/>
          <c:showCatName val="0"/>
          <c:showSerName val="0"/>
          <c:showPercent val="0"/>
          <c:showBubbleSize val="0"/>
        </c:dLbls>
        <c:dropLines>
          <c:spPr>
            <a:ln w="9525" cap="flat" cmpd="sng" algn="ctr">
              <a:gradFill>
                <a:gsLst>
                  <a:gs pos="0">
                    <a:schemeClr val="lt1"/>
                  </a:gs>
                  <a:gs pos="100000">
                    <a:schemeClr val="lt1">
                      <a:alpha val="0"/>
                    </a:schemeClr>
                  </a:gs>
                </a:gsLst>
                <a:lin ang="5400000" scaled="0"/>
              </a:gradFill>
              <a:round/>
            </a:ln>
            <a:effectLst/>
          </c:spPr>
        </c:dropLines>
        <c:marker val="1"/>
        <c:smooth val="0"/>
        <c:axId val="747911576"/>
        <c:axId val="747913872"/>
      </c:lineChart>
      <c:catAx>
        <c:axId val="747911576"/>
        <c:scaling>
          <c:orientation val="minMax"/>
        </c:scaling>
        <c:delete val="0"/>
        <c:axPos val="b"/>
        <c:numFmt formatCode="General" sourceLinked="1"/>
        <c:majorTickMark val="none"/>
        <c:minorTickMark val="none"/>
        <c:tickLblPos val="nextTo"/>
        <c:spPr>
          <a:noFill/>
          <a:ln w="12700" cap="flat" cmpd="sng" algn="ctr">
            <a:solidFill>
              <a:schemeClr val="lt1"/>
            </a:solidFill>
            <a:round/>
          </a:ln>
          <a:effectLst/>
        </c:spPr>
        <c:txPr>
          <a:bodyPr rot="-5400000" spcFirstLastPara="1" vertOverflow="ellipsis" wrap="square" anchor="ctr" anchorCtr="1"/>
          <a:lstStyle/>
          <a:p>
            <a:pPr>
              <a:defRPr sz="900" b="0" i="0" u="none" strike="noStrike" kern="1200" spc="100" baseline="0">
                <a:solidFill>
                  <a:schemeClr val="lt1"/>
                </a:solidFill>
                <a:latin typeface="+mn-lt"/>
                <a:ea typeface="+mn-ea"/>
                <a:cs typeface="+mn-cs"/>
              </a:defRPr>
            </a:pPr>
            <a:endParaRPr lang="en-US"/>
          </a:p>
        </c:txPr>
        <c:crossAx val="747913872"/>
        <c:crosses val="autoZero"/>
        <c:auto val="1"/>
        <c:lblAlgn val="ctr"/>
        <c:lblOffset val="100"/>
        <c:tickLblSkip val="1"/>
        <c:noMultiLvlLbl val="0"/>
      </c:catAx>
      <c:valAx>
        <c:axId val="747913872"/>
        <c:scaling>
          <c:orientation val="minMax"/>
        </c:scaling>
        <c:delete val="0"/>
        <c:axPos val="l"/>
        <c:numFmt formatCode="[$$-409]#,##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crossAx val="747911576"/>
        <c:crosses val="autoZero"/>
        <c:crossBetween val="between"/>
      </c:valAx>
      <c:spPr>
        <a:noFill/>
        <a:ln>
          <a:noFill/>
        </a:ln>
        <a:effectLst/>
      </c:spPr>
    </c:plotArea>
    <c:plotVisOnly val="1"/>
    <c:dispBlanksAs val="gap"/>
    <c:showDLblsOverMax val="0"/>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pivotSource>
    <c:name>[Sales Dashboard 2.0.xlsm]Revenue Chart!PivotTable2</c:name>
    <c:fmtId val="0"/>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spPr>
          <a:pattFill prst="ltUpDiag">
            <a:fgClr>
              <a:schemeClr val="accent1"/>
            </a:fgClr>
            <a:bgClr>
              <a:schemeClr val="lt1"/>
            </a:bgClr>
          </a:pattFill>
          <a:ln w="34925" cap="rnd">
            <a:solidFill>
              <a:schemeClr val="lt1"/>
            </a:solidFill>
            <a:round/>
          </a:ln>
          <a:effectLst>
            <a:outerShdw dist="25400" dir="2700000" algn="tl" rotWithShape="0">
              <a:schemeClr val="accent1"/>
            </a:outerShdw>
          </a:effectLst>
        </c:spPr>
        <c:marker>
          <c:symbol val="circle"/>
          <c:size val="5"/>
          <c:spPr>
            <a:solidFill>
              <a:schemeClr val="accent1"/>
            </a:solidFill>
            <a:ln w="22225">
              <a:solidFill>
                <a:schemeClr val="l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pattFill prst="ltUpDiag">
            <a:fgClr>
              <a:schemeClr val="accent1"/>
            </a:fgClr>
            <a:bgClr>
              <a:schemeClr val="lt1"/>
            </a:bgClr>
          </a:pattFill>
          <a:ln w="34925" cap="rnd">
            <a:solidFill>
              <a:schemeClr val="lt1"/>
            </a:solidFill>
            <a:round/>
          </a:ln>
          <a:effectLst>
            <a:outerShdw dist="25400" dir="2700000" algn="tl" rotWithShape="0">
              <a:schemeClr val="accent1"/>
            </a:outerShdw>
          </a:effectLst>
        </c:spPr>
        <c:marker>
          <c:symbol val="circle"/>
          <c:size val="5"/>
          <c:spPr>
            <a:solidFill>
              <a:schemeClr val="accent1"/>
            </a:solidFill>
            <a:ln w="22225">
              <a:solidFill>
                <a:schemeClr val="l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pattFill prst="ltUpDiag">
            <a:fgClr>
              <a:schemeClr val="accent1"/>
            </a:fgClr>
            <a:bgClr>
              <a:schemeClr val="lt1"/>
            </a:bgClr>
          </a:pattFill>
          <a:ln w="34925" cap="rnd">
            <a:gradFill>
              <a:gsLst>
                <a:gs pos="54000">
                  <a:schemeClr val="accent4">
                    <a:lumMod val="50000"/>
                  </a:schemeClr>
                </a:gs>
                <a:gs pos="100000">
                  <a:schemeClr val="accent4">
                    <a:lumMod val="40000"/>
                    <a:lumOff val="60000"/>
                  </a:schemeClr>
                </a:gs>
              </a:gsLst>
              <a:lin ang="5400000" scaled="1"/>
            </a:gradFill>
            <a:round/>
          </a:ln>
          <a:effectLst>
            <a:outerShdw dist="25400" dir="2700000" algn="tl" rotWithShape="0">
              <a:schemeClr val="accent1"/>
            </a:outerShdw>
          </a:effectLst>
        </c:spPr>
        <c:marker>
          <c:symbol val="circle"/>
          <c:size val="5"/>
          <c:spPr>
            <a:solidFill>
              <a:schemeClr val="accent1"/>
            </a:solidFill>
            <a:ln w="22225">
              <a:solidFill>
                <a:schemeClr val="l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pattFill prst="ltUpDiag">
            <a:fgClr>
              <a:schemeClr val="accent1"/>
            </a:fgClr>
            <a:bgClr>
              <a:schemeClr val="lt1"/>
            </a:bgClr>
          </a:pattFill>
          <a:ln w="34925" cap="rnd">
            <a:gradFill>
              <a:gsLst>
                <a:gs pos="44000">
                  <a:schemeClr val="accent6">
                    <a:lumMod val="50000"/>
                  </a:schemeClr>
                </a:gs>
                <a:gs pos="100000">
                  <a:schemeClr val="accent6">
                    <a:lumMod val="40000"/>
                    <a:lumOff val="60000"/>
                  </a:schemeClr>
                </a:gs>
              </a:gsLst>
              <a:lin ang="5400000" scaled="1"/>
            </a:gradFill>
            <a:round/>
          </a:ln>
          <a:effectLst>
            <a:outerShdw dist="25400" dir="2700000" algn="tl" rotWithShape="0">
              <a:schemeClr val="accent1"/>
            </a:outerShdw>
          </a:effectLst>
        </c:spPr>
        <c:marker>
          <c:symbol val="circle"/>
          <c:size val="5"/>
          <c:spPr>
            <a:solidFill>
              <a:schemeClr val="accent2"/>
            </a:solidFill>
            <a:ln w="22225">
              <a:solidFill>
                <a:schemeClr val="l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ln w="34925" cap="rnd">
            <a:gradFill>
              <a:gsLst>
                <a:gs pos="54000">
                  <a:schemeClr val="accent4">
                    <a:lumMod val="50000"/>
                  </a:schemeClr>
                </a:gs>
                <a:gs pos="100000">
                  <a:schemeClr val="accent4">
                    <a:lumMod val="40000"/>
                    <a:lumOff val="60000"/>
                  </a:schemeClr>
                </a:gs>
              </a:gsLst>
              <a:lin ang="5400000" scaled="1"/>
            </a:gradFill>
            <a:round/>
          </a:ln>
          <a:effectLst>
            <a:outerShdw dist="25400" dir="2700000" algn="tl" rotWithShape="0">
              <a:schemeClr val="accent1"/>
            </a:outerShdw>
          </a:effectLst>
        </c:spPr>
        <c:marker>
          <c:symbol val="circle"/>
          <c:size val="5"/>
          <c:spPr>
            <a:solidFill>
              <a:schemeClr val="accent1"/>
            </a:solidFill>
            <a:ln w="22225">
              <a:solidFill>
                <a:schemeClr val="l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'Revenue Chart'!$B$3</c:f>
              <c:strCache>
                <c:ptCount val="1"/>
                <c:pt idx="0">
                  <c:v>Total</c:v>
                </c:pt>
              </c:strCache>
            </c:strRef>
          </c:tx>
          <c:spPr>
            <a:ln w="34925" cap="rnd">
              <a:gradFill>
                <a:gsLst>
                  <a:gs pos="54000">
                    <a:schemeClr val="accent4">
                      <a:lumMod val="50000"/>
                    </a:schemeClr>
                  </a:gs>
                  <a:gs pos="100000">
                    <a:schemeClr val="accent4">
                      <a:lumMod val="40000"/>
                      <a:lumOff val="60000"/>
                    </a:schemeClr>
                  </a:gs>
                </a:gsLst>
                <a:lin ang="5400000" scaled="1"/>
              </a:gradFill>
              <a:round/>
            </a:ln>
            <a:effectLst>
              <a:outerShdw dist="25400" dir="2700000" algn="tl" rotWithShape="0">
                <a:schemeClr val="accent1"/>
              </a:outerShdw>
            </a:effectLst>
          </c:spPr>
          <c:marker>
            <c:symbol val="circle"/>
            <c:size val="5"/>
            <c:spPr>
              <a:solidFill>
                <a:schemeClr val="accent1"/>
              </a:solidFill>
              <a:ln w="22225">
                <a:solidFill>
                  <a:schemeClr val="lt1"/>
                </a:solidFill>
                <a:round/>
              </a:ln>
              <a:effectLst/>
            </c:spPr>
          </c:marker>
          <c:cat>
            <c:multiLvlStrRef>
              <c:f>'Revenue Chart'!$A$4:$A$40</c:f>
              <c:multiLvlStrCache>
                <c:ptCount val="33"/>
                <c:lvl>
                  <c:pt idx="0">
                    <c:v>Jan</c:v>
                  </c:pt>
                  <c:pt idx="1">
                    <c:v>Feb</c:v>
                  </c:pt>
                  <c:pt idx="2">
                    <c:v>Mar</c:v>
                  </c:pt>
                  <c:pt idx="3">
                    <c:v>Apr</c:v>
                  </c:pt>
                  <c:pt idx="4">
                    <c:v>May</c:v>
                  </c:pt>
                  <c:pt idx="5">
                    <c:v>Jun</c:v>
                  </c:pt>
                  <c:pt idx="6">
                    <c:v>Jul</c:v>
                  </c:pt>
                  <c:pt idx="7">
                    <c:v>Aug</c:v>
                  </c:pt>
                  <c:pt idx="8">
                    <c:v>Sep</c:v>
                  </c:pt>
                  <c:pt idx="9">
                    <c:v>Oct</c:v>
                  </c:pt>
                  <c:pt idx="10">
                    <c:v>Nov</c:v>
                  </c:pt>
                  <c:pt idx="11">
                    <c:v>Dec</c:v>
                  </c:pt>
                  <c:pt idx="12">
                    <c:v>Jan</c:v>
                  </c:pt>
                  <c:pt idx="13">
                    <c:v>Feb</c:v>
                  </c:pt>
                  <c:pt idx="14">
                    <c:v>Mar</c:v>
                  </c:pt>
                  <c:pt idx="15">
                    <c:v>Apr</c:v>
                  </c:pt>
                  <c:pt idx="16">
                    <c:v>May</c:v>
                  </c:pt>
                  <c:pt idx="17">
                    <c:v>Jun</c:v>
                  </c:pt>
                  <c:pt idx="18">
                    <c:v>Jul</c:v>
                  </c:pt>
                  <c:pt idx="19">
                    <c:v>Aug</c:v>
                  </c:pt>
                  <c:pt idx="20">
                    <c:v>Sep</c:v>
                  </c:pt>
                  <c:pt idx="21">
                    <c:v>Oct</c:v>
                  </c:pt>
                  <c:pt idx="22">
                    <c:v>Nov</c:v>
                  </c:pt>
                  <c:pt idx="23">
                    <c:v>Dec</c:v>
                  </c:pt>
                  <c:pt idx="24">
                    <c:v>Jan</c:v>
                  </c:pt>
                  <c:pt idx="25">
                    <c:v>Feb</c:v>
                  </c:pt>
                  <c:pt idx="26">
                    <c:v>Mar</c:v>
                  </c:pt>
                  <c:pt idx="27">
                    <c:v>Apr</c:v>
                  </c:pt>
                  <c:pt idx="28">
                    <c:v>May</c:v>
                  </c:pt>
                  <c:pt idx="29">
                    <c:v>Jun</c:v>
                  </c:pt>
                  <c:pt idx="30">
                    <c:v>Jul</c:v>
                  </c:pt>
                  <c:pt idx="31">
                    <c:v>Aug</c:v>
                  </c:pt>
                  <c:pt idx="32">
                    <c:v>Sep</c:v>
                  </c:pt>
                </c:lvl>
                <c:lvl>
                  <c:pt idx="0">
                    <c:v>2020</c:v>
                  </c:pt>
                  <c:pt idx="12">
                    <c:v>2021</c:v>
                  </c:pt>
                  <c:pt idx="24">
                    <c:v>2022</c:v>
                  </c:pt>
                </c:lvl>
              </c:multiLvlStrCache>
            </c:multiLvlStrRef>
          </c:cat>
          <c:val>
            <c:numRef>
              <c:f>'Revenue Chart'!$B$4:$B$40</c:f>
              <c:numCache>
                <c:formatCode>General</c:formatCode>
                <c:ptCount val="33"/>
                <c:pt idx="0">
                  <c:v>11677.380000000001</c:v>
                </c:pt>
                <c:pt idx="1">
                  <c:v>16987.939999999999</c:v>
                </c:pt>
                <c:pt idx="2">
                  <c:v>15280.6</c:v>
                </c:pt>
                <c:pt idx="3">
                  <c:v>11703.330000000004</c:v>
                </c:pt>
                <c:pt idx="4">
                  <c:v>13162.970000000001</c:v>
                </c:pt>
                <c:pt idx="5">
                  <c:v>13852.31</c:v>
                </c:pt>
                <c:pt idx="6">
                  <c:v>16632.349999999999</c:v>
                </c:pt>
                <c:pt idx="7">
                  <c:v>10924.190000000002</c:v>
                </c:pt>
                <c:pt idx="8">
                  <c:v>14316.199999999999</c:v>
                </c:pt>
                <c:pt idx="9">
                  <c:v>12889.920000000002</c:v>
                </c:pt>
                <c:pt idx="10">
                  <c:v>15818.6</c:v>
                </c:pt>
                <c:pt idx="11">
                  <c:v>8234.5999999999985</c:v>
                </c:pt>
                <c:pt idx="12">
                  <c:v>10326.889999999998</c:v>
                </c:pt>
                <c:pt idx="13">
                  <c:v>11834.449999999997</c:v>
                </c:pt>
                <c:pt idx="14">
                  <c:v>9890.2400000000016</c:v>
                </c:pt>
                <c:pt idx="15">
                  <c:v>14488.680000000002</c:v>
                </c:pt>
                <c:pt idx="16">
                  <c:v>7544.9</c:v>
                </c:pt>
                <c:pt idx="17">
                  <c:v>12760.440000000002</c:v>
                </c:pt>
                <c:pt idx="18">
                  <c:v>8646.0299999999988</c:v>
                </c:pt>
                <c:pt idx="19">
                  <c:v>15184.859999999999</c:v>
                </c:pt>
                <c:pt idx="20">
                  <c:v>12030.05</c:v>
                </c:pt>
                <c:pt idx="21">
                  <c:v>9724.27</c:v>
                </c:pt>
                <c:pt idx="22">
                  <c:v>12248.099999999999</c:v>
                </c:pt>
                <c:pt idx="23">
                  <c:v>16692.550000000003</c:v>
                </c:pt>
                <c:pt idx="24">
                  <c:v>13339.279999999997</c:v>
                </c:pt>
                <c:pt idx="25">
                  <c:v>17565.079999999998</c:v>
                </c:pt>
                <c:pt idx="26">
                  <c:v>16599.96</c:v>
                </c:pt>
                <c:pt idx="27">
                  <c:v>10809.949999999997</c:v>
                </c:pt>
                <c:pt idx="28">
                  <c:v>15047.149999999996</c:v>
                </c:pt>
                <c:pt idx="29">
                  <c:v>11340.04</c:v>
                </c:pt>
                <c:pt idx="30">
                  <c:v>20503.190000000006</c:v>
                </c:pt>
                <c:pt idx="31">
                  <c:v>24259.910000000003</c:v>
                </c:pt>
                <c:pt idx="32">
                  <c:v>15582.900000000001</c:v>
                </c:pt>
              </c:numCache>
            </c:numRef>
          </c:val>
          <c:smooth val="0"/>
          <c:extLst>
            <c:ext xmlns:c16="http://schemas.microsoft.com/office/drawing/2014/chart" uri="{C3380CC4-5D6E-409C-BE32-E72D297353CC}">
              <c16:uniqueId val="{00000000-CF79-4389-920B-549CA3DC9205}"/>
            </c:ext>
          </c:extLst>
        </c:ser>
        <c:dLbls>
          <c:showLegendKey val="0"/>
          <c:showVal val="0"/>
          <c:showCatName val="0"/>
          <c:showSerName val="0"/>
          <c:showPercent val="0"/>
          <c:showBubbleSize val="0"/>
        </c:dLbls>
        <c:dropLines>
          <c:spPr>
            <a:ln w="9525" cap="flat" cmpd="sng" algn="ctr">
              <a:gradFill>
                <a:gsLst>
                  <a:gs pos="0">
                    <a:schemeClr val="lt1"/>
                  </a:gs>
                  <a:gs pos="100000">
                    <a:schemeClr val="lt1">
                      <a:alpha val="0"/>
                    </a:schemeClr>
                  </a:gs>
                </a:gsLst>
                <a:lin ang="5400000" scaled="0"/>
              </a:gradFill>
              <a:round/>
            </a:ln>
            <a:effectLst/>
          </c:spPr>
        </c:dropLines>
        <c:marker val="1"/>
        <c:smooth val="0"/>
        <c:axId val="747911576"/>
        <c:axId val="747913872"/>
      </c:lineChart>
      <c:catAx>
        <c:axId val="747911576"/>
        <c:scaling>
          <c:orientation val="minMax"/>
        </c:scaling>
        <c:delete val="0"/>
        <c:axPos val="b"/>
        <c:numFmt formatCode="General" sourceLinked="1"/>
        <c:majorTickMark val="none"/>
        <c:minorTickMark val="none"/>
        <c:tickLblPos val="nextTo"/>
        <c:spPr>
          <a:noFill/>
          <a:ln w="12700" cap="flat" cmpd="sng" algn="ctr">
            <a:solidFill>
              <a:schemeClr val="lt1"/>
            </a:solidFill>
            <a:round/>
          </a:ln>
          <a:effectLst/>
        </c:spPr>
        <c:txPr>
          <a:bodyPr rot="-5400000" spcFirstLastPara="1" vertOverflow="ellipsis" wrap="square" anchor="ctr" anchorCtr="1"/>
          <a:lstStyle/>
          <a:p>
            <a:pPr>
              <a:defRPr sz="900" b="0" i="0" u="none" strike="noStrike" kern="1200" spc="100" baseline="0">
                <a:solidFill>
                  <a:schemeClr val="lt1"/>
                </a:solidFill>
                <a:latin typeface="+mn-lt"/>
                <a:ea typeface="+mn-ea"/>
                <a:cs typeface="+mn-cs"/>
              </a:defRPr>
            </a:pPr>
            <a:endParaRPr lang="en-US"/>
          </a:p>
        </c:txPr>
        <c:crossAx val="747913872"/>
        <c:crosses val="autoZero"/>
        <c:auto val="1"/>
        <c:lblAlgn val="ctr"/>
        <c:lblOffset val="100"/>
        <c:tickLblSkip val="1"/>
        <c:noMultiLvlLbl val="0"/>
      </c:catAx>
      <c:valAx>
        <c:axId val="747913872"/>
        <c:scaling>
          <c:orientation val="minMax"/>
        </c:scaling>
        <c:delete val="0"/>
        <c:axPos val="l"/>
        <c:numFmt formatCode="[$$-409]#,##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crossAx val="747911576"/>
        <c:crosses val="autoZero"/>
        <c:crossBetween val="between"/>
      </c:valAx>
      <c:spPr>
        <a:noFill/>
        <a:ln>
          <a:noFill/>
        </a:ln>
        <a:effectLst/>
      </c:spPr>
    </c:plotArea>
    <c:plotVisOnly val="1"/>
    <c:dispBlanksAs val="gap"/>
    <c:showDLblsOverMax val="0"/>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Dashboard 2.0.xlsm]Revenue vs Cost!PivotTable5</c:name>
    <c:fmtId val="1"/>
  </c:pivotSource>
  <c:chart>
    <c:autoTitleDeleted val="0"/>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'Revenue vs Cost'!$B$3</c:f>
              <c:strCache>
                <c:ptCount val="1"/>
                <c:pt idx="0">
                  <c:v>Total COGS</c:v>
                </c:pt>
              </c:strCache>
            </c:strRef>
          </c:tx>
          <c:spPr>
            <a:solidFill>
              <a:schemeClr val="accent1"/>
            </a:solidFill>
            <a:ln>
              <a:noFill/>
            </a:ln>
            <a:effectLst/>
            <a:sp3d/>
          </c:spPr>
          <c:invertIfNegative val="0"/>
          <c:cat>
            <c:strRef>
              <c:f>'Revenue vs Cost'!$A$4:$A$7</c:f>
              <c:strCache>
                <c:ptCount val="3"/>
                <c:pt idx="0">
                  <c:v>2020</c:v>
                </c:pt>
                <c:pt idx="1">
                  <c:v>2021</c:v>
                </c:pt>
                <c:pt idx="2">
                  <c:v>2022</c:v>
                </c:pt>
              </c:strCache>
            </c:strRef>
          </c:cat>
          <c:val>
            <c:numRef>
              <c:f>'Revenue vs Cost'!$B$4:$B$7</c:f>
              <c:numCache>
                <c:formatCode>_-[$$-409]* #,##0_ ;_-[$$-409]* \-#,##0\ ;_-[$$-409]* "-"??_ ;_-@_ </c:formatCode>
                <c:ptCount val="3"/>
                <c:pt idx="0">
                  <c:v>344902.6100000001</c:v>
                </c:pt>
                <c:pt idx="1">
                  <c:v>297692.53999999992</c:v>
                </c:pt>
                <c:pt idx="2">
                  <c:v>302894.53999999986</c:v>
                </c:pt>
              </c:numCache>
            </c:numRef>
          </c:val>
          <c:extLst>
            <c:ext xmlns:c16="http://schemas.microsoft.com/office/drawing/2014/chart" uri="{C3380CC4-5D6E-409C-BE32-E72D297353CC}">
              <c16:uniqueId val="{00000000-4BA7-4269-9790-F1158D8EBFCB}"/>
            </c:ext>
          </c:extLst>
        </c:ser>
        <c:ser>
          <c:idx val="1"/>
          <c:order val="1"/>
          <c:tx>
            <c:strRef>
              <c:f>'Revenue vs Cost'!$C$3</c:f>
              <c:strCache>
                <c:ptCount val="1"/>
                <c:pt idx="0">
                  <c:v>Total Revenue</c:v>
                </c:pt>
              </c:strCache>
            </c:strRef>
          </c:tx>
          <c:spPr>
            <a:solidFill>
              <a:schemeClr val="accent2"/>
            </a:solidFill>
            <a:ln>
              <a:noFill/>
            </a:ln>
            <a:effectLst/>
            <a:sp3d/>
          </c:spPr>
          <c:invertIfNegative val="0"/>
          <c:cat>
            <c:strRef>
              <c:f>'Revenue vs Cost'!$A$4:$A$7</c:f>
              <c:strCache>
                <c:ptCount val="3"/>
                <c:pt idx="0">
                  <c:v>2020</c:v>
                </c:pt>
                <c:pt idx="1">
                  <c:v>2021</c:v>
                </c:pt>
                <c:pt idx="2">
                  <c:v>2022</c:v>
                </c:pt>
              </c:strCache>
            </c:strRef>
          </c:cat>
          <c:val>
            <c:numRef>
              <c:f>'Revenue vs Cost'!$C$4:$C$7</c:f>
              <c:numCache>
                <c:formatCode>_-[$$-409]* #,##0_ ;_-[$$-409]* \-#,##0\ ;_-[$$-409]* "-"??_ ;_-@_ </c:formatCode>
                <c:ptCount val="3"/>
                <c:pt idx="0">
                  <c:v>161480.39000000004</c:v>
                </c:pt>
                <c:pt idx="1">
                  <c:v>141371.46</c:v>
                </c:pt>
                <c:pt idx="2">
                  <c:v>145047.46</c:v>
                </c:pt>
              </c:numCache>
            </c:numRef>
          </c:val>
          <c:extLst>
            <c:ext xmlns:c16="http://schemas.microsoft.com/office/drawing/2014/chart" uri="{C3380CC4-5D6E-409C-BE32-E72D297353CC}">
              <c16:uniqueId val="{00000001-4BA7-4269-9790-F1158D8EBFCB}"/>
            </c:ext>
          </c:extLst>
        </c:ser>
        <c:ser>
          <c:idx val="2"/>
          <c:order val="2"/>
          <c:tx>
            <c:strRef>
              <c:f>'Revenue vs Cost'!$D$3</c:f>
              <c:strCache>
                <c:ptCount val="1"/>
                <c:pt idx="0">
                  <c:v>Total Sales</c:v>
                </c:pt>
              </c:strCache>
            </c:strRef>
          </c:tx>
          <c:spPr>
            <a:solidFill>
              <a:schemeClr val="accent3"/>
            </a:solidFill>
            <a:ln>
              <a:noFill/>
            </a:ln>
            <a:effectLst/>
            <a:sp3d/>
          </c:spPr>
          <c:invertIfNegative val="0"/>
          <c:cat>
            <c:strRef>
              <c:f>'Revenue vs Cost'!$A$4:$A$7</c:f>
              <c:strCache>
                <c:ptCount val="3"/>
                <c:pt idx="0">
                  <c:v>2020</c:v>
                </c:pt>
                <c:pt idx="1">
                  <c:v>2021</c:v>
                </c:pt>
                <c:pt idx="2">
                  <c:v>2022</c:v>
                </c:pt>
              </c:strCache>
            </c:strRef>
          </c:cat>
          <c:val>
            <c:numRef>
              <c:f>'Revenue vs Cost'!$D$4:$D$7</c:f>
              <c:numCache>
                <c:formatCode>_-[$$-409]* #,##0_ ;_-[$$-409]* \-#,##0\ ;_-[$$-409]* "-"??_ ;_-@_ </c:formatCode>
                <c:ptCount val="3"/>
                <c:pt idx="0">
                  <c:v>506383</c:v>
                </c:pt>
                <c:pt idx="1">
                  <c:v>439064</c:v>
                </c:pt>
                <c:pt idx="2">
                  <c:v>447942</c:v>
                </c:pt>
              </c:numCache>
            </c:numRef>
          </c:val>
          <c:extLst>
            <c:ext xmlns:c16="http://schemas.microsoft.com/office/drawing/2014/chart" uri="{C3380CC4-5D6E-409C-BE32-E72D297353CC}">
              <c16:uniqueId val="{00000002-4BA7-4269-9790-F1158D8EBFCB}"/>
            </c:ext>
          </c:extLst>
        </c:ser>
        <c:dLbls>
          <c:showLegendKey val="0"/>
          <c:showVal val="0"/>
          <c:showCatName val="0"/>
          <c:showSerName val="0"/>
          <c:showPercent val="0"/>
          <c:showBubbleSize val="0"/>
        </c:dLbls>
        <c:gapWidth val="150"/>
        <c:shape val="box"/>
        <c:axId val="332980448"/>
        <c:axId val="332974544"/>
        <c:axId val="0"/>
      </c:bar3DChart>
      <c:catAx>
        <c:axId val="332980448"/>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32974544"/>
        <c:crosses val="autoZero"/>
        <c:auto val="1"/>
        <c:lblAlgn val="ctr"/>
        <c:lblOffset val="100"/>
        <c:noMultiLvlLbl val="0"/>
      </c:catAx>
      <c:valAx>
        <c:axId val="332974544"/>
        <c:scaling>
          <c:orientation val="minMax"/>
        </c:scaling>
        <c:delete val="0"/>
        <c:axPos val="l"/>
        <c:majorGridlines>
          <c:spPr>
            <a:ln w="9525" cap="flat" cmpd="sng" algn="ctr">
              <a:solidFill>
                <a:schemeClr val="tx1">
                  <a:lumMod val="15000"/>
                  <a:lumOff val="85000"/>
                </a:schemeClr>
              </a:solidFill>
              <a:round/>
            </a:ln>
            <a:effectLst/>
          </c:spPr>
        </c:majorGridlines>
        <c:numFmt formatCode="_-[$$-409]* #,##0_ ;_-[$$-409]* \-#,##0\ ;_-[$$-409]* &quot;-&quot;??_ ;_-@_ "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3298044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Dashboard 2.0.xlsm]Top 5!PivotTable1</c:name>
    <c:fmtId val="0"/>
  </c:pivotSource>
  <c:chart>
    <c:autoTitleDeleted val="0"/>
    <c:pivotFmts>
      <c:pivotFmt>
        <c:idx val="0"/>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pPr>
            <a:solidFill>
              <a:srgbClr val="4472C4">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pPr>
            <a:solidFill>
              <a:srgbClr val="ED7D31">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solidFill>
          <a:schemeClr val="bg2">
            <a:lumMod val="75000"/>
            <a:alpha val="27000"/>
          </a:schemeClr>
        </a:solidFill>
        <a:ln>
          <a:noFill/>
        </a:ln>
        <a:effectLst/>
        <a:sp3d/>
      </c:spPr>
    </c:floor>
    <c:sideWall>
      <c:thickness val="0"/>
      <c:spPr>
        <a:noFill/>
        <a:ln>
          <a:noFill/>
        </a:ln>
        <a:effectLst/>
        <a:sp3d/>
      </c:spPr>
    </c:sideWall>
    <c:backWall>
      <c:thickness val="0"/>
      <c:spPr>
        <a:noFill/>
        <a:ln>
          <a:noFill/>
        </a:ln>
        <a:effectLst/>
        <a:sp3d/>
      </c:spPr>
    </c:backWall>
    <c:plotArea>
      <c:layout/>
      <c:bar3DChart>
        <c:barDir val="bar"/>
        <c:grouping val="clustered"/>
        <c:varyColors val="0"/>
        <c:ser>
          <c:idx val="0"/>
          <c:order val="0"/>
          <c:tx>
            <c:strRef>
              <c:f>'Top 5'!$B$3</c:f>
              <c:strCache>
                <c:ptCount val="1"/>
                <c:pt idx="0">
                  <c:v>Sum of Revenue</c:v>
                </c:pt>
              </c:strCache>
            </c:strRef>
          </c:tx>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invertIfNegative val="0"/>
          <c:dLbls>
            <c:spPr>
              <a:solidFill>
                <a:srgbClr val="4472C4">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'Top 5'!$A$4:$A$9</c:f>
              <c:strCache>
                <c:ptCount val="5"/>
                <c:pt idx="0">
                  <c:v>Product 13</c:v>
                </c:pt>
                <c:pt idx="1">
                  <c:v>Product 21</c:v>
                </c:pt>
                <c:pt idx="2">
                  <c:v>Product 9</c:v>
                </c:pt>
                <c:pt idx="3">
                  <c:v>Product 10</c:v>
                </c:pt>
                <c:pt idx="4">
                  <c:v>Product 19</c:v>
                </c:pt>
              </c:strCache>
            </c:strRef>
          </c:cat>
          <c:val>
            <c:numRef>
              <c:f>'Top 5'!$B$4:$B$9</c:f>
              <c:numCache>
                <c:formatCode>_-[$$-409]* #,##0_ ;_-[$$-409]* \-#,##0\ ;_-[$$-409]* "-"??_ ;_-@_ </c:formatCode>
                <c:ptCount val="5"/>
                <c:pt idx="0">
                  <c:v>26520</c:v>
                </c:pt>
                <c:pt idx="1">
                  <c:v>33938.800000000003</c:v>
                </c:pt>
                <c:pt idx="2">
                  <c:v>35217</c:v>
                </c:pt>
                <c:pt idx="3">
                  <c:v>43188.600000000013</c:v>
                </c:pt>
                <c:pt idx="4">
                  <c:v>50358</c:v>
                </c:pt>
              </c:numCache>
            </c:numRef>
          </c:val>
          <c:extLst>
            <c:ext xmlns:c16="http://schemas.microsoft.com/office/drawing/2014/chart" uri="{C3380CC4-5D6E-409C-BE32-E72D297353CC}">
              <c16:uniqueId val="{00000000-F248-472D-9FC6-22B1CCE81DEC}"/>
            </c:ext>
          </c:extLst>
        </c:ser>
        <c:ser>
          <c:idx val="1"/>
          <c:order val="1"/>
          <c:tx>
            <c:strRef>
              <c:f>'Top 5'!$C$3</c:f>
              <c:strCache>
                <c:ptCount val="1"/>
                <c:pt idx="0">
                  <c:v>Sum of Sales</c:v>
                </c:pt>
              </c:strCache>
            </c:strRef>
          </c:tx>
          <c:spPr>
            <a:solidFill>
              <a:schemeClr val="accent2">
                <a:alpha val="88000"/>
              </a:schemeClr>
            </a:solidFill>
            <a:ln>
              <a:solidFill>
                <a:schemeClr val="accent2">
                  <a:lumMod val="50000"/>
                </a:schemeClr>
              </a:solidFill>
            </a:ln>
            <a:effectLst/>
            <a:scene3d>
              <a:camera prst="orthographicFront"/>
              <a:lightRig rig="threePt" dir="t"/>
            </a:scene3d>
            <a:sp3d prstMaterial="flat">
              <a:contourClr>
                <a:schemeClr val="accent2">
                  <a:lumMod val="50000"/>
                </a:schemeClr>
              </a:contourClr>
            </a:sp3d>
          </c:spPr>
          <c:invertIfNegative val="0"/>
          <c:dLbls>
            <c:spPr>
              <a:solidFill>
                <a:srgbClr val="ED7D31">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'Top 5'!$A$4:$A$9</c:f>
              <c:strCache>
                <c:ptCount val="5"/>
                <c:pt idx="0">
                  <c:v>Product 13</c:v>
                </c:pt>
                <c:pt idx="1">
                  <c:v>Product 21</c:v>
                </c:pt>
                <c:pt idx="2">
                  <c:v>Product 9</c:v>
                </c:pt>
                <c:pt idx="3">
                  <c:v>Product 10</c:v>
                </c:pt>
                <c:pt idx="4">
                  <c:v>Product 19</c:v>
                </c:pt>
              </c:strCache>
            </c:strRef>
          </c:cat>
          <c:val>
            <c:numRef>
              <c:f>'Top 5'!$C$4:$C$9</c:f>
              <c:numCache>
                <c:formatCode>_-[$$-409]* #,##0_ ;_-[$$-409]* \-#,##0\ ;_-[$$-409]* "-"??_ ;_-@_ </c:formatCode>
                <c:ptCount val="5"/>
                <c:pt idx="0">
                  <c:v>78000</c:v>
                </c:pt>
                <c:pt idx="1">
                  <c:v>99820</c:v>
                </c:pt>
                <c:pt idx="2">
                  <c:v>100620</c:v>
                </c:pt>
                <c:pt idx="3">
                  <c:v>110740</c:v>
                </c:pt>
                <c:pt idx="4">
                  <c:v>143880</c:v>
                </c:pt>
              </c:numCache>
            </c:numRef>
          </c:val>
          <c:extLst>
            <c:ext xmlns:c16="http://schemas.microsoft.com/office/drawing/2014/chart" uri="{C3380CC4-5D6E-409C-BE32-E72D297353CC}">
              <c16:uniqueId val="{00000001-F248-472D-9FC6-22B1CCE81DEC}"/>
            </c:ext>
          </c:extLst>
        </c:ser>
        <c:dLbls>
          <c:showLegendKey val="0"/>
          <c:showVal val="1"/>
          <c:showCatName val="0"/>
          <c:showSerName val="0"/>
          <c:showPercent val="0"/>
          <c:showBubbleSize val="0"/>
        </c:dLbls>
        <c:gapWidth val="84"/>
        <c:gapDepth val="53"/>
        <c:shape val="box"/>
        <c:axId val="904578064"/>
        <c:axId val="904575768"/>
        <c:axId val="0"/>
      </c:bar3DChart>
      <c:catAx>
        <c:axId val="904578064"/>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904575768"/>
        <c:crosses val="autoZero"/>
        <c:auto val="1"/>
        <c:lblAlgn val="ctr"/>
        <c:lblOffset val="100"/>
        <c:noMultiLvlLbl val="0"/>
      </c:catAx>
      <c:valAx>
        <c:axId val="904575768"/>
        <c:scaling>
          <c:orientation val="minMax"/>
        </c:scaling>
        <c:delete val="1"/>
        <c:axPos val="b"/>
        <c:numFmt formatCode="_-[$$-409]* #,##0_ ;_-[$$-409]* \-#,##0\ ;_-[$$-409]* &quot;-&quot;??_ ;_-@_ " sourceLinked="1"/>
        <c:majorTickMark val="out"/>
        <c:minorTickMark val="none"/>
        <c:tickLblPos val="nextTo"/>
        <c:crossAx val="90457806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dk1">
        <a:lumMod val="75000"/>
        <a:lumOff val="25000"/>
      </a:schemeClr>
    </a:solidFill>
    <a:ln w="6350" cap="flat" cmpd="sng" algn="ctr">
      <a:solidFill>
        <a:schemeClr val="dk1">
          <a:tint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Dashboard 2.0.xlsm]Payment Mode!PivotTable2</c:name>
    <c:fmtId val="2"/>
  </c:pivotSource>
  <c:chart>
    <c:autoTitleDeleted val="1"/>
    <c:pivotFmts>
      <c:pivotFmt>
        <c:idx val="0"/>
        <c:spPr>
          <a:solidFill>
            <a:schemeClr val="accent1"/>
          </a:solidFill>
          <a:ln w="19050">
            <a:solidFill>
              <a:schemeClr val="lt1"/>
            </a:solidFill>
          </a:ln>
          <a:effectLst/>
        </c:spPr>
        <c:marker>
          <c:symbol val="none"/>
        </c:marker>
        <c:dLbl>
          <c:idx val="0"/>
          <c:delete val="1"/>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delete val="1"/>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marker>
          <c:symbol val="none"/>
        </c:marker>
        <c:dLbl>
          <c:idx val="0"/>
          <c:delete val="1"/>
          <c:extLst>
            <c:ext xmlns:c15="http://schemas.microsoft.com/office/drawing/2012/chart" uri="{CE6537A1-D6FC-4f65-9D91-7224C49458BB}"/>
          </c:extLst>
        </c:dLbl>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marker>
          <c:symbol val="none"/>
        </c:marker>
        <c:dLbl>
          <c:idx val="0"/>
          <c:delete val="1"/>
          <c:extLst>
            <c:ext xmlns:c15="http://schemas.microsoft.com/office/drawing/2012/chart" uri="{CE6537A1-D6FC-4f65-9D91-7224C49458BB}"/>
          </c:extLst>
        </c:dLbl>
      </c:pivotFmt>
      <c:pivotFmt>
        <c:idx val="8"/>
        <c:spPr>
          <a:solidFill>
            <a:schemeClr val="accent1"/>
          </a:solidFill>
          <a:ln w="19050">
            <a:solidFill>
              <a:schemeClr val="lt1"/>
            </a:solidFill>
          </a:ln>
          <a:effectLst/>
        </c:spPr>
      </c:pivotFmt>
      <c:pivotFmt>
        <c:idx val="9"/>
        <c:spPr>
          <a:solidFill>
            <a:schemeClr val="accent2"/>
          </a:solidFill>
          <a:ln w="19050">
            <a:solidFill>
              <a:schemeClr val="lt1"/>
            </a:solidFill>
          </a:ln>
          <a:effectLst/>
        </c:spPr>
      </c:pivotFmt>
    </c:pivotFmts>
    <c:plotArea>
      <c:layout/>
      <c:doughnutChart>
        <c:varyColors val="1"/>
        <c:ser>
          <c:idx val="0"/>
          <c:order val="0"/>
          <c:tx>
            <c:strRef>
              <c:f>'Payment Mode'!$B$3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4-660B-4B3B-8928-242993C31EAD}"/>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6-660B-4B3B-8928-242993C31EAD}"/>
              </c:ext>
            </c:extLst>
          </c:dPt>
          <c:cat>
            <c:strRef>
              <c:f>'Payment Mode'!$A$4:$A$6</c:f>
              <c:strCache>
                <c:ptCount val="2"/>
                <c:pt idx="0">
                  <c:v>Cash</c:v>
                </c:pt>
                <c:pt idx="1">
                  <c:v>Installment</c:v>
                </c:pt>
              </c:strCache>
            </c:strRef>
          </c:cat>
          <c:val>
            <c:numRef>
              <c:f>'Payment Mode'!$B$4:$B$6</c:f>
              <c:numCache>
                <c:formatCode>General</c:formatCode>
                <c:ptCount val="2"/>
                <c:pt idx="0">
                  <c:v>502</c:v>
                </c:pt>
                <c:pt idx="1">
                  <c:v>504</c:v>
                </c:pt>
              </c:numCache>
            </c:numRef>
          </c:val>
          <c:extLst>
            <c:ext xmlns:c16="http://schemas.microsoft.com/office/drawing/2014/chart" uri="{C3380CC4-5D6E-409C-BE32-E72D297353CC}">
              <c16:uniqueId val="{00000007-660B-4B3B-8928-242993C31EAD}"/>
            </c:ext>
          </c:extLst>
        </c:ser>
        <c:dLbls>
          <c:showLegendKey val="0"/>
          <c:showVal val="0"/>
          <c:showCatName val="0"/>
          <c:showSerName val="0"/>
          <c:showPercent val="0"/>
          <c:showBubbleSize val="0"/>
          <c:showLeaderLines val="1"/>
        </c:dLbls>
        <c:firstSliceAng val="0"/>
        <c:holeSize val="75"/>
      </c:doughnutChart>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chart>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 dir="row">_xlchart.v5.2</cx:f>
        <cx:nf dir="row">_xlchart.v5.0</cx:nf>
      </cx:strDim>
      <cx:numDim type="colorVal">
        <cx:f dir="row">_xlchart.v5.3</cx:f>
        <cx:nf dir="row">_xlchart.v5.1</cx:nf>
      </cx:numDim>
    </cx:data>
  </cx:chartData>
  <cx:chart>
    <cx:plotArea>
      <cx:plotAreaRegion>
        <cx:series layoutId="regionMap" uniqueId="{40692BD5-95DB-476A-A112-AB74E377A220}">
          <cx:tx>
            <cx:txData>
              <cx:f>_xlchart.v5.1</cx:f>
              <cx:v> Revenue </cx:v>
            </cx:txData>
          </cx:tx>
          <cx:dataId val="0"/>
          <cx:layoutPr>
            <cx:geography cultureLanguage="en-US" cultureRegion="PH" attribution="Powered by Bing">
              <cx:geoCache provider="{E9337A44-BEBE-4D9F-B70C-5C5E7DAFC167}">
                <cx:binary>1Fxnc9tItv0rLn9+0KCBRtra2arpRiApBiVLtr6gaEpCzhm//h0q2BKGXuvVausVOVMyCeACt/vc
3Bf9z13/j118vy0/9UmcVv/Y9X9+9us6/8cff1Q7/z7ZVidJsCuzKnuoT3ZZ8kf28BDs7v+4K7dd
kHp/SCKhf+z8bVnf95//9U/czbvPltluWwdZet7cl8PFfdXEdfVvzh089Wl7lwSpGVR1Gexq8ufn
q/s0va+q+/vPn+7TOqiHqyG///Pzm8s+f/pjerO/PfhTDN7q5g60snKiU8kwqKobjx/986c4S73n
04KunshUlhQqGuLjR3p59nqbgP5dLD0ytL27K8E8BvX47xvSNyPAmfXnT7usSev91HmYxT8/f0mD
+v7u02W9re+rz5+CKuNPF/BsP4wvl4/j/uPt5P/rn5MDmInJkVf4TKftd6f+Bs9f8fb7Ntm+TNAH
gCOdaKpKJfVl8uW/gaNTUZYlEQg+fl6e/QTOOxg6DM0Pwgkwfy2PEpiNH2QvM/Ofo0LFE0oURaaG
9qQSU1SAmmjIii6Rg6j8jpvDkDxRTfDYzI4Sj9NtWm2hxR9mxPQTqlNNMrRnRMhbPTH0E1kXiS7K
yhMi2suzn/Tk9/wcxuSFboLKKYzRMZqvMhiz9CPNFz2RDFmSdEJ/TPtr30IIOYF5UwxVUR81CbA9
icSz+fo9Q4dx+euFcALMX7dHCkz00QpDT+DuoQ/kWSEmXt+QTqhswMgp+pOJU6bI/J6jX0HzQjnF
5uIosbnMmtr/ZG6jrP5AzaEU868SqmjaYc0RxRNJFqlBVPoWmffycxidt9QThC7No0SIb+PgISvT
4APxkbUThMSqapDnqBiW661lM05UokmaAYweP29Reh9PhzF6TTtBiP91nAhlcVZu7z4wRJP1E5g3
RRGp9GS/pviIyolCNV1WEbu9djn8Haz8ApYflFNQNkcJyvr+e7mtog9UGkpOFEkjsqY9eXsRqeRr
pTGME52IiOLgmB4/E6fzHo4OY/OTcoLN2jpKbGzoS3D3gdBI+oliKAqRZOMtJjoCAV2TqaTLT5hM
9OUdnByG5AfhBBH7ODNMnqEys6uDXVO/GJQPSDShMJpCFFlWDloxDYmmrCO8liaa8k5uDiPzhniC
Dr86Sn25vi+TLP1IZOiJqCkS/oM+vLZhgERVJdVQdfnJ70+QeQcnh1H5QThB5Po4ETHv4223Le8/
Tllk40QUdU2VXnL8iSXTlBPUOFUqk+dC5wSZ93B0GJqflBNsTOsotcW5z0rvQ6NlKAWFndL3vn3/
QfnltdLo8gmlVNao+Oz4J07mHQwdRuYH4QQY5zjj5Pnd1v/AIBlJpqwbCLjoc51yUgQghJ6oiiFr
iKJf9PSpMPNbRg7D8Uw2AWNuHqWWrO/b7UeGYLBfsqJSpPTPkdY0ZSEq0FDkfZj2GA3g/OvM5ff8
HAblhW6Cyvr6KFGZx3GQZkH1MjcfEISJJwQaQpFMPhmviZboxgmhuopy/3MpDX7nNS7v4egwMj8p
J9jMjzNG3pT3Xpa+zM4HICOfGLIOny6rT8hMPD6RxBMUMAmRJ6rye0YOA/JCN4Fjc5yVy9U2SD8w
/qIKFor31fyX+Gvi5FXjRCIoaYrac0WMvkjCk0/5LTuHMXkmm0CyOs7Ia57eBdsPXYExTlCiNFCG
fNaQiYpgdR/poy6qxnOGOQHlHQwdhuUH4QSY+XGu7M+zbvsirh9guCRkj1RVNEp/FFVex8OGfLKH
QyXi83n15dnP4ddvuPkFJI9UUzz+Oko3v87K/8aqi4Y8RJVFnTwn7xNtQdyFHHK/onl4Yf+9XB3G
5y31BKf1cQbJp4iEml00vMjvf647WHlBEVmWdPqzH+m17ugKLBraAADkk8mbWLT3cHQYn5+UE2xO
vx2lDq22VbXd+U11X9cfGS9LJ1j4khVFRYHlNTIaFvtF2DVUM38E0q8D5XfzcxieCfkEo9Vx2rll
1gTVB4cE4omBZRZRn5YuDYKeAKKjXeM5WJhozrt4OYzNK9IJLsvjxOVLvfU/0KYh9ZdkDcWvn+1J
rzXnsU9GAzKSOokEfsfHYTieqCZIfLk6UitWDvE2vftANLB2vHcxysT7ayra+ggamoznBGZSpVxt
f8/JYTx+Uk4wWZlHicnVff+h3X0EUZesU2TyB5fBsG4sowcWzX/P5WVUaF47lt+ycxiVZ7IJJFdf
jxKSVbDzA2/7kdUXtJBpVDM0/XD1GIGYJotIPfcJ6P4zMV3v4egwMD8pJ9is5keJzSaKUdf/0L5x
dLfoMkLg56xeJG9DMQNBtLhf0X9pL4Ope60x7+HoMDY/KSfYbE6PEptVsH/j4mN7+/ZvVBgE/ZXP
q11TcOgJMQAO0sy3qLyLl8OwvCKd4LI6zoLMGd6EqYa43X5oWx86+3UDXX3PwIhTvdG0E13W9X2b
+ZNNm3ia93J1GKS31BOczo4zUF4FVbX/P8+DF2H+gBoA+l4krPX/WHGZRGpYkkFHuYRly+fuv7+5
nncxdRilNyOagLS6PFIjV1VZU34kQnjhQtXQPE6fQ7Zpqx/ayjQN3ZfKczPGAYR+x9Gv4XminGJz
nG2YK/QtfeiSANVO9iUYYqDd4vGDNOZNsilCeyhaAVV5UgB4Byu/wORlDFNIjjPlXN93n2bbJK/8
4CMbmKh8ouqKSvDm2EFgUD/D6wCqhLWcp/OT8ODdbB0GaUI+gWo9O0rLth/U4r6s7oeP8z4IErA+
IBqKfNi2aeiagWvCW8FPMYIxUaP38fRrkF7GM0VocbQIre77YPeBjU0y3p6R0GdO6HOj+d9MnHpC
kP8YWOl5kYunlbU9Nr/n5tfYvNBOsVkdLTbfsjJ6maP/PHKjElo2DAk9mJPuAHRnImATqQ7H9PiZ
vKG5B+Z3rPwalifKKSjfjhOUx6VPvi0zdDptPw4abASA5jJZU1C0eUHgdVygoc9JV6hEX5KjKULv
5usXOE3op2jxo0Trwsf2BJ/m1ceWqPEmjSrpkvESPRvIQ99ghVCB6GjrwLu1jx8YwNf1nfdydRip
t9QTnC7mR4HT7t/uLvE0V0/m7s2V/9fNNQzU2dDVqWrPDQUTq4fKNd5Kl7F7w+Ea6WTTi1+zdRio
CfmbkRzHjho391X96TpAO3r6DmP3X9za4/LxNd//gtVFD6OIFSXpZW1jEqro+4oU+uKxBPikyZNE
+f18HRaRKf1Emy+P0+ruJQYC8/t3GP6LEnOzRX6YevWHdryiQQntrJqMNsrHz6Ss8tTxirUyvMj3
1uK/j5vDMvKadiIfN8dZlbwJql2WVsHHLoepMPKKjL16nj5vXTJqkuhaQvO+cfhFynex9At8fo5m
Cs9xOOM3XGObq5shw75X3osEf0zagQVISf3Fdhd46xid4oRSVF5ewHsdL72DoV9A8zKSN0PECP+f
co9f27sfe4SZ23prPW4u9mr/q39/9nHs2PNsQvocch6E72l253d/fsbLEzrM2I9Ny/Y3eROs/mgl
/hvN/baq//ws6PREM6isPL05jpf8EA13CBz2p/QTVMv2fbbIXbBhw/5Uuk80/vyMGFpT9js4aXjF
luL9NJRpqr2Xx55o2sl+IyFIDNboDEnR9B/bup1l8YCXGH7Mx/PvT2mTnGVBWlegNihulT9duB+h
gs6Fx7cO0WUtS+q+wwrnd9sLyDiuJ//TSHAVo98L88G1Rto4sSprTAiDZOMOfsRUQ+Sx32jrKuwD
Sw37ktFBZ8pAkvOYhpIp99ShcdqZvhh4TKhTddF0sZM0asircltXicDGSPquavlg0pScl6pEF20U
bAvN9+2u8wOeUb0+zbLGM+Ok6VmYZB7vVF9cVkJgjZmQ8iKtqnndf60bJVqK0ejkjdyeDp23CHSp
NKOkcFmipQ2Tk2xpxKlv+0O7bAcjssWsK1msiyvs9SOZgpRGvCjC74NUF1ygfcWr3mWpWxU8r5sL
oXRZadCKaUGrmm6iEN4MBqtlWeeu1AzM911zULTbTOh9e0iI6eVlfFoIlOGSwsm8zhE8N2RNS7IV
qayyzBZ5SNM7NCV+C+OEa4mYW9GYP7Q3hkhshVbxaZOFuhnQyDAlX7GMMNGcQQhDrgpFyVyPYop7
1ectUWZdSazY6GTLVdqMZXkyF9ut3xj3UeuzQtKWSRw5bUo2ohdLTqGOfKRdca0UqZnn0Qx7Afor
l/T1mobNsmzahgeBf5aUNLakjH73qF9vfKzeMy1Si1nmiZfCZeITzw4qmnI5yVlZp81C94k1SKmx
NtxePC+ah7DeGJLk3XS9nplJF0WmrEm7Bksti05tuFzUPuuNYFzTpHGSUbsYglziQ0LVTRGfRyEe
2JLQVKO4s6pR886quNbmSS1cCHJKeJFFd2qhxKwdm5IbilHwUOg8J9CSi6zNPOYTMs78IJRZWLiV
STT5vNKDjMdqKJptHu/czIgXoZY7ahqLjHSdZFaaUM0CXfgSpK5lpKV87vtxA+iSwQ4GLz1tVTCd
FqNVXWd9ps6leLio5ZaYctZVc1cjlSmp+ZL0pWVUrs4EuWhYXymmpAzd6SB23jpFfmU17tBYtahe
dlGW32QsGKrI1GOvMfM4o7YrChFrPTrytI5rc/RzPmpNbOp0oCxrulktBNdRnl1WY56abu91c6mq
bCHWKi6JijpTjUHiJEoLO/CZqNCEpbLQLPyExnboj2tVudU62l81rccMt8zY6EnDPBRipjeCaA6S
4FReV1hJVmw0nba8T3OdNUlRcknTliSLbKWKFS4mcWd2YuIvA7HaBqN601SDyIUu5JrR3EphuwkH
2WV6EIYsqvMLQfeUZVyca12or6PQb1gYxhFTWjE0W+0+8oJw3iWt6Y6t5BCqyaZQe9+F2LejavAd
Y0x2QhStfVkYnLQvZxLwtqTGh6URBiYrpcJEnQdpxKIobxlyFYHLJFStfqCjqXZDdqo06tmQiv4s
o5nC2qxW7S7gXa3pbCzqr+FQnIaN7s/iKmONPu7SWKdm0KgrL8xdM+3z3O68+rxRmvtI9AwuSDXl
cTCYmiL03NWahNVUY7Gq0YtihR1GlrTOXNamTclG2QtZvZSkau0R0Uy9YV0XrWemkWKLyTiLNFc3
/WyMLC2HAaKKp1tEH2dtHa4EWfK5rOa+FbfNAvV+ynKSCVxIRI033ZJAOuZ92s9CLw+Y4KmdGabF
uZ9qA2/1OGFNyPpGkVc0hmkPDFlgdeibLZEvxFz7priNy7wkOe2Em1hqAjtpohsBNTamBH7Lh25I
+RjRc8EoPJi/wfsa1Soz+rxiYp3CRqjZlS8aX/2uV6yUtLk5Sq3u9GWx9Qpp3QZ+Z7VRdq0PuTar
WkUw/SidlV1wT7KsOzeM1Od01K+SVnBtKtT6ZRZ0zAuSzpEz78wdm4s+SEbmqWJmkbLuFgbsOGnS
woz6kLJmrJmhP3gkcBeZ1HzJ64SeK8G9Xve1oyYdyzulsEKhV5yQNl/HJGHVqH418nCVifGF0IsX
tVjcUb2BOrZJbWudvnRjuLxgaOrF0G+IWNnoVs4XXt57XBLy1tL1PuN+43ijGNmhJJu5uO7QYbBp
iPYl9cm40kk1sDH3BUcuvqUiDU5DIizlyBDsKBu3fRHmzkj8e3nM+mWoPZDRU+exMU+FoTDxOuF8
yImVhqQ51+Q448W4kd1wvKAubKgUuVbTNxJmIRxm5ZgarKiCzAk6ZRMag8IUbeiZGMcdG0u9siqF
yR5teN9rl143zCVBFDdq7TK5VxIzipvcFBohZ744FstKH7cuTcNFlEfXqiZ2ayNX5l6eBEzJ+/wi
6YNZFOmxQymsgeqKXA88ZVUW6Xkn+SpPKrFjjZFnLC2F2KrE/D43UnFZRhKsfyC5TFKbrVqq5WJQ
Qq4nUrgqXDVkri41jtI0MYtTj4e1W9mqIg+cuEZ2Kovd91FW1mJYCNeyWloNNb63mtdbdaErjhZK
ua0kNGRplp4JirogHvxtYIx3Udt8D4eGOhUNK1bU6XAKo7QIPRl+PPFPU125HEKjNwVXzE3awFU0
I+nMoS6uxAghjpCoraXIo5WTQGG9rxWmlI5XRR4JVlPHZ3kCXygMlWpLmeiaHrnyc0PixgBzVud9
uCrrloWqoM77MolMP/QHnkcV5WNYJ2ZPHqS+zB09V1daLc68RlPNgcjMH+ucRQkcdDEzRjLMItnr
eJqriL5kUXNChInM8yOfx7W+SYV05GT4WpVeYtZqxMLAi1ZK5ZsJ4qfTQRPPvEEOmDS2dF238TDX
WmnrFpXHVK3RVl4r+oxWAnEULTK4SOs74in9ski6wFTixGcKRhJeZYWRc5KVd73WZHZGsi8qLW7r
XG5nUQU34mHLOKs2FkNWx5dBXcomrKFOOt3MheTGDwpqa23OxCHObb9NKevFHjY77wVLEsbvQeVn
nITpuswUFd69JpwE9FqqiWRLeYD4zW6N8jo/E13ByfREZUHtw8nnhNp6racsbGOr8dyRidm487tQ
YhIiPRZnzWkoRZ6ZawksfJ4uujwqnHwQI5aM5JvQ1BWCuBKGLfI6psexxAbJ40YwcChKwV0Cu0YK
lWVCzrOmFTdxX2D/IFlncBHNvFWCjqupBEsrJswTEINkY3ity4W4CZOVLxiXQVQLczmoW1Mlg0WL
LmZjdZqE+rioh6A1x7E1k17xmTFcjzD0vZIhUMo6W491uyXE46kQSnaZhYKtZ4gCtb6Y12UhzWt3
hd7NfB1R8dYP8mwxIMpnStIZPKRqMJy6vlI4vSAuIi29RFt5ZvepHsRMLutsoQ1utjAkMRetPE8r
q0/8u0Qg2UKNy4z3jXsVUP8qcPuWDW3ZmrEXeQnTaZlZdeb7THeDZqHu/yiZWi9sQSyffz8eRIxN
5lF5IXdGErOS6vmiiGBMQRtanobxClkgj1yhfWzpXe+xx9PYalm0lUbcFA3NF/AixeLx26Gfh471
raRxIwo09kgbl3HJ80TN+S/v8nidWxBp5GrfxBwRUfvqaiVK0pj9pK4Rw5u+Ho/s1ZlXX38y5any
yAq9jM2f1IIgCczzMoljvxHMy8+rf14zGfTPS4jnI/PKO5VDBW6HQiXWz5NPI3ikjfIG4i0LxtOD
H49hE0KVuVqk84pGwF1BTlVn8kx5FIVS9mL2eCLbS8DjtyouEtNz4c5+nihLmBttL2UxdRNO6rrm
KhkhUr4RhYBZ6rPF4x83TE8zBPMOiQH63tS9+vN4zJB73/TSSGJJGo5O3cQzKdbTRSMU6SKK+5rV
flAjRpfikYtp4dtxEn+R9oD6CSS0Rg1tYSR9shAVJXn6NjlGqT4Tw7ZxBg1xy6lUKKlDjXRBhxgR
oJIPvG49CPxedyQlKvCcEtmvn0oKnpHxNggaJmVeyx+f8/PPsH9i1pHnxz6eyFTDjrVRcVySpAsh
a9OFN7aC7XbRMtDldPHzeNv2hj1k0tIP3WTRaDky7gTPfCQyfPXCJ2lmGwo1IghL4UbQFdxO1hpT
ltpy9shwvp/rx2+Tn9IwNPZITyHRS8UI8sWeg7iqA0coqnIRSWG5ePymQ2Wffvp5KzHdDwNTrYZi
UcLZLUqaF4vHn0/HIHem2zAnmp8N9rhAyYGdhSUErV4I1L4RDebEHYIs/6K0Ojtapkxb3fSLlHnz
wS7MylScdrAqbdY1PFTss3Fx09lObcVMZf1g5TEbwqXhWmScu5dOGy2SZaxzx70sLeU8Zo29VFnL
G7Pl9cCccVGZKiutb/uHLWGci4ydRaV5E+p82fNofpNq5o0u2Opm2OFAY+KBMXMvFZQ5sjuSWEJ0
CcV2kuWNe1nHKB8EMOnc1/m4COaIgs/BG3EQApw7uDdk+6EyU1aYZDHyzqxZ25mFb2almRuXyRhx
H3MxyByj674GxYqmG0zLmDjVeJYpO0zPEInWOM4N5WuMOPq2Hzap0VljUM98aVFUVu1a2WCLgl01
vE0sY9gU45mqzV3P6se5KKkIctZ4truKa8+KEal3Z50NSIhrdTIvwmUczdqStQ+pzlGz0GKT+Fwk
pt7dgI9o2egO2KANKwcWx6yzVTiFedhhWGPJKpk3BtM9C1/w06B2Ps7Hgfc+KgSsTiy68VNH7E6N
gScZAwgICVRjpSNh3skKHK6NKpCkzsht61o4quQ870zXM8vosqsLVsicVosgtrV0jeB//7B+TWIT
KGRfR2rDfkQNx9OzyhJUM5irnjmgohOb4maEX1s1nmUEc4gF8xqeDpZawD7VzKss/VLfFHNd38Tu
GTyWhX/oTWZJDuyddB7FTClMNzbH2omuh4EH1/JGZmLOXZ6HjF6kK4nwduUvBIx0QXXWXSHDJAXv
9O/iTmxmCuZad/zv4llcM0xYe1/4PL3F7CTDtXsBq8gMaR3728Yabf+qNYOID99n1ZVoWz0s6zKb
B+WqFiwjuc8zUxLmCZcvIh5/T5NV2Kl2El2T0i69nkXFSrxomGEGpsiMB3eHYFEBXiNf5ytfOq3X
6Zc4XwrzBwrFKbpv7byPz2tpptlZMldgMXKXa7yHRLd+bxZubSWybCLEUeKF/NA/yOCcZctwCxFo
FMEWtTkloxlazWW7Tu7ygJfXJJzrtZPIPB8s4BReq/m5UQGf/IokjlecV+k3kNcl86T9fNBNZTCv
NIE6QY6dWH1/K8RmPmwgj4Cs4TfjQtw5ONl8Ra3kloSzlrdI3mMeVRYEKR5n6YMRmz0fqwuS8yTd
4NnhAIE04wfAn6cBlBBXooRI8xWEy/NNX9s/UgGy+mU6rvxrDA63hEL4AFarLurBKuheoiOZD4IN
wR/HVUpbpjYMN01Lu+pOqWDDGAzSg9Ail2+2kOSqnEvENISl760glLFmyjlXqI2DzVCCmVO9WsSP
s5RGi0j/UuRXRr5r5Du/4I6RWEU5z8q52DANha3Sxi2DcCmU3ysX3qdkin4pl3YiLVsE921csZQ4
pBtmpNnK7lkrIwQc50lxHg0Fh60o0m+iWPM4O5PylX45kkVREyYAkS7OGPSbpAMqK/MWubhPHNwC
vR83KTOy66qyvBKBmAndQy1QYSV0MrJ1Btwbmbec7nTCBjsq5814ZtzqGyAslTPMa8u3Adc3NVsH
/oXiDDtosEoYzBPUBGahK2c1qq6zxNh01NrK57KTsyHmMOXRckxgPfENcGhOu2itve2Gjf0GUcIz
HLJodrCrPZKiwQLRuEgfFPywwMoyvUadabAlRGOMYqSesc19Ll0K9yUKdbdQlSpgw060cytnVTmj
EWLy9WDTS3WjrfxH0xQ0joyCQWLJCwghOOkXw9ea+WvMAepuqGI4I/3aEFP1LHcz2J3EvCtYzmAJ
4FLWYra05gtYoLhY0Xhr1RBevbcHOx7wcFgfmNIeutaYkQ636M7Igjh7z0E9s7UCnu+tZnoNY9mY
SO4bhipf6MNruZbm6MFS3egRPCmkXvhCayd9EG4zOHfBbhcAC2UcaaMSk3pWMjc0xKUsCW+/0UsB
nX6uJe4wdY0JLgZiQpOgjvvbhzeopMDsKsF8dKH5HGdhqh8fLyeOoPFsqeV8q91amH3hi3Zes+6r
zoxb7RzuDzhqDibI33Y7fHE6E1oNLxIFLIrtmqXww3DsIoDee0JqwjqQhfCl9YEUZENOz3IJErkJ
NRPObDwfgShEC7ymLODJEok9xKFkOuCQMV0IJaP5fshc3G0heXAXGndZvSiW8F/6BigZ59D6EZ64
skceLbXzBPeDP3ButFukYcscN/Y7E5fDKMiOuBFWwheyAEj4/ya87vkOk6Be9hy4YJqUFWYcXzF+
DAvCDxfaLvZ6qpzmlh9jkOQc7kVRTSW7jq+lS8CYLeGe3UttVVuQaBk2yjFCmCzMlbaC91POoWXJ
ErcNt356KgE/LnmWMMzwxNGBK9NZPoDpzoDMQFiQk4ISphJ1VhtWtPr6DcSIURKItJGcwlR683Sc
BUsAD+MTX8MMkgU0D+slS4wMNuArnLuy+oZRyLcYjRcw+FDMrMJqqxJsPEq7/VZWywAO9RZ/UPEc
OAyqdwWxT+aDZ2nnjQCBzi3gkjKZ2v42VU4r+Ml5bVETVhLCijUfMKA5mOGkNOVz2H9Q9XshVXsb
YhY/gC04fzwCqfg4a8pZ7p5VO6i1qzlAJR3ncNlDhLDBwqONVWsJwRxRlLAE5aDOev1yL6XUiokj
QdCXsui4xRxF4x7BArW7s/gBtXgd0Z53oUWY0WHsL1E/8FF4bb7Ab9awqcVtKRRMUbozTEG2DM7C
gVed07Q8mbcs8qz01G3m+5o+pL42TCoBSZaHPNFKNjQr4UJDMXDWY4oVssiNaoniR4taiV9VuK5s
bNqqp7EfzEYZKfy81mwsahUiz6uzsuS1epVj+SCWdCskXFlt9Usk6SxXGExDvzdyEmEG7/q1p305
G4qvaeLEjAa3HYAXUQ3gniCzSMh4oPCorueaOy73k0/SxxDNDrrLmzhBZdFG2JRbcKt6eypdSmSp
JhuYKOzIy7pdvyADKhj7IkDOsSLyDe60w226IOQ0bFkJr9YXlmtnxirPrpWVaixygIgFEeK4rp2m
a6O3aLsXAz1b5eW+Nsy/eBVho772S3sYzhCZi50jZSsf4oqImJ5SU5StDMYfkSvwufBWSmbJyamf
3OvI9a/hWrUvITJKCLBnydBTz8TSD2KavYAtC9gRxPo7yCzcOeJsyG4y6w2zOyupXX1rB+4i8lcY
EZ1YsYuvQzMX564NoJtmFlK7pzZ8YJqe+vq6xs/zXl8TkUcdaw1TlS3HcWDk6vJC+FKWNiQt+wp7
BQnoRa6gpt3bjbFKEA55ZpCvaGAaVuRkHR9hBWBWBj6iACbNsSiIDAPRSs/FOz1wZNESxKuuPQXD
yDggW46fmRXyHbhXxG5Mypl+lYYcdUcE6fAYVTMj67hkiA1ixCkIhDs4KC6v+mEmeWayrHZ99ZCk
WPw7x+peqmAya2UhXZHbwoRSao7rwxgj3zitWaQjNIZBpguZjsxFlT0W+7MCFenapTPtu1ESJPz+
t0JSrXDrtYwilQmMyzhcKPV15IDQQ4pqB8nFWJ5iKvR5cptn815bUMUMS8tvmF/zhAfx6RhtgnPB
QmxpKRCuGQLb0oIA1mWM5GkpIiCRV9W3GuqeOHCkiFrrC3WGJYtY5Y3ARZavdVbtoHJZaEGJQ41h
dTnhSsJC6COWGRDIGWaazlH56plxg3rTgHq8x2VUh3b1A9yUdmqkVv2/lH1pk6M6lOUv0oQEYovo
mA9s3pd07vmFyK0QOwIhll/fx643r6ped7+ZiahwpW0MWEZX957lgrXugGCCH1fwlSoOTR6mZF2y
oDqMB4CPIDv7O5oFS/UGclduwbSAPRExBYCI1KUiwZL6VEfcjkQwd5ENSmwEXGtvZuIPo0+CqQNR
e3TNM32V5HoJTZjKla+HL9cT/lmSleBxRQDHfrnirGhQD08jmG5rm5OXApdNF0zmgcgdXplReT81
o28d5zpOzJAj8vd+Nr1MlhEYKuhDOkS9923biEKvgxWwdpU3WxfvgD3Kg6GOqYm67U6Jk0ffQajj
q9jZqq3XKbJnO3SayKZxEbgPFy/oY3G8JSYGqjY/ffOOmDjOxbNW1Xf6OJ+x4HkLGLodp7scyK4h
ERnXGkAAVt2KZP5Q73MTaciKBPNXCpD+MvCw2NVYBv36mQyxV/nJQ7JG0T0N8SDMJmzscktzR4L/
H0H23FmXHsAwD3O5qhRmkqJ+L98cxB/5ppcCvzUqJxEivSe973WBdUnu7Mo3v0ozqJ6SN04QMiq/
c/38Pj0A37Uu3pD67YfbgljbtHI1goy8Z4tv6hBhjL0le++iJAsa5Ra4LPU6z0esiviZud5kK9fY
JwrxZdoi/uBScHzsCb91aa6ls7fUsQPR3u1mfZdZ53R8WMoXrqNGzCshXk2cABBdP5N+xaVv2hAd
7FkfdKfyczHD4a5+Hd9kiVI+xAqMKLmbfNSv+zmcE9/b9nusykYdaOV3H/hfnMqT8ajOIGJ6Lygq
H2C0rU+ePkL2kPCQj8GEeJFH5FAZYaYiCaQNwoN3RIx+9HPq26MvAdH2QW1EfWDt2429mrcYu1Eq
P3lb4mlv7QWiW6T2KUMk1GGN9ODdXR3S9fJQRMWI2lLUUYoR0ZveCVP7DeqFUMooc7brvEWujHov
WMR7T9wzdTCn2g0PmjcvZjFiJhbzSD6lbuge7EeALJEBaJgeuIUKY2vgqn1WOk5YXINpB3AHHtWL
ae63qK/WImbIUZLQJn5XHrIC4H6xS5HQeyey283VBjSGfZfu5Cp9NIa1zMNiVeShBWDuhGjKX4vD
tLOob66rIjLXZlhdPNr5Yi8QzkKW+2RnnVgIxBtRocBm076pwXW+m35GcfkE3Uu9qUH+hMmrXFEJ
BGDVRL29bVd8P2wYUNnzfXK0QrF3TgSQgu+cmqjZ0dmf7rP1QCKBLNTYVz8mlHcnOYXTQxaVsT0G
6fJiv6Zvw6OiIRXbPJSPHCO+xhn3Qb7sKfQIKpCTj2X1mV2sFH/MxbExdo0bdf09fug+cBE9/CrI
a7/OYlBbI1l3DZQYSLZWzWGUt5jYBB5i/rFVvrFxov4lf0YUpa9gyNIVwyibmyxH/N41HDoMX+po
kG9t9mBnIWYxu0h+nlufOf7CNy77gazL7dbIEWi3ybOgRtZdVRTPTOq/onTC8ocMgehrEVM1EH10
U0BACV//byyFES8xm/duVG+XKK2CftMFXYGYuROTXwJXwbmkm8o2Uc77ix2oYNiPLw4kCMhp3edq
n60qyw2GbF51z9AoNGnEy0BTP41asgOZhaoKlA6oNhfCIH/u/eGOu+F8MLwgBTFT+dz2aR1NalMP
a2PyO2c1MszW/BHpJir0+aUwwmWOkOq3keOdF3YHqJ9u6mvNDiVJlOEgjY/1H2gGOczxO64Cw0eI
c6oVaJs5f6t9TAgViaNYj1+g/lA11X7hgDfx08dSo/Z0IvXs2VtILPzsaXDitF7zQ+Mnr9fonT4q
UEO+GU8vxY/sefgogMIAfg/ZpwX0JPTWxewnXpDMG9rvi/mt/1G2rW9CMYE47h0Ivo4MMC9+2L2P
GAd1ATKOPZMhaHEQUEa/BxxgAEYRkfTLDWgm6IMAH0ABhAwBUR6KjpaE+Ut7L4qgX41gMNbuBkn+
/SK3fVBdMlwZeZy0781dJ3ynhRhnB/0TwCHvKE589Fm9Lp9drFVj4FqB5/jJV16zqNhU7rDvTcsM
MIz1EE7b7HUICZAi81q9iCfNVoMRWkuQXwhkTCifPfnaPgFS/VT5HTItsqr4eVBhyo9es2U9IOEW
NNOyRugotp72E5IHejMe2bP7OhB/JVco7/eYkmas79Wz/SoQRUGJx01qBViVrGmd5udigHrNWkEq
MHxjBFAF/qiORvNtWRhTvjcvE/KJR8fxDX0o3g3UvWm04BJpfBZnmINJF4EkaEAvP7cf7Ufz6R2s
bYfKHrjGCXIBqAVMeV9iQg9ToP0pQqrynXtXfGTMzt7R3OHqyNYWcIyVdZrauxT4wlZtKfuR7NVH
9tg+t9E1KzslD7W5TtUplX5i+mwqQjv5lj3HbLkGAyxJZRbXxqObKf9b+WYeLOt0B2jAiQwnIhFH
cPORASAAr7OV/lD+4mtMH+xVgHTbTWu1nqBFCK7juEYkSe+Q3h68o5T+Qxs3x8J5WQCjxZSHS619
iDfuL94xfQNfJRzwqq/0Hhjb0zsIIPsabZ/EM1KoHL8yDus0iHTuufTiBjlA6iPs62fnaDUhcPGT
iUhe+B7ATz+PDdTxq+pgPU9fBoDfN/PSPCabgfvOc7adHnAlfsv8rGsJQPuJp1vn8sAJvtunDLJH
5jvHBOqGPiDHYkuOA1ZkXArJuQzVEsqV9ocmSN8qSBb9UyHW2ogM+rLs7MDeIjkDulEYd2pM1sW4
Ud6D05C9Iuk5vRJAaTWh9r/9OZpXLqibkUNSx4vTsTEDqnQBzgi8zzwQBwIvDepjBAN0e82T2a6F
jmdVXCksMS81qNGrqsvoAEnmyzgHv96prtv8espTDd0DfVC0rgJ1Zedun7893DZVPMee5sISUFtK
xIE/P18YHduk4zajIHYUseXPh/T69PZa0o5I0YVrvXvQDEU2ymFnEL9t+o9P3vZhNeCKfu2t6ZIm
Lov+Hl2tIf7rRASidp1IsEW3h1Rej3H70wJhz6Lbn65T9CxyaF2v+knsfm2u/z7NX695KZF/7eL2
4m2bquyyNZaa+Nd2t9d/Pf35l6gEDf7xTsGFCYUMlqZfb7imwkFuz5sReRlrWy+87eK3w9++NhSh
KWrlGdOqT5FAYk5XracjKKMAfl0x3KyeY916APRktcm1XFuWI2Iw+3RlmPKQVuC8shzY1WI+sIIg
Hx3ve+athxblX2HyDdHKCgfIJzrbCpTC0m4L95Kl5MMt1KHnxpvnqNVcQ0epKGA04kFXaz4LsxsD
E5SFRzwIRjjwn5nwIoCWtw6oly/Amt2VrhgDYqx5rDVb0w6ygiJxvLVpQSYriudyzKfA7q2Nmjto
8OhDe9P6FHrCLqdH3IIRUbDJ78dx2VUJ0jMqo1rPYc7WRu5FE0duKYtzXr2kKfIUoBwjijfYAjek
n5Aq5hVQubKLvS5DvZKdRF/FnDmIXWZ6Xt6py7fOIKEuysmWV91jm5F3ai93tVXESfoxahNcUI26
GQHHM05LVzcBNCouWFLLiOxBHZyBAQBdAOokztsEuWgwufUZUrM0aLrWQnEEdSQqALCvWEUs7zVN
IdZrOQCdZtTkIMrjmDjfs5qMsGiNLyhJDjR1XtICElZjWFZT8cnYNh3Lz3rsKn+sFyQBood+dfgh
avcDNHK9G6ipVw1dxEpkWdyS9SIhTbQslNPKgExX1c/OnIMrZ9tOzluISTZVBZ5lSfZTZlz6Tp/n
2fCzsYM6qt7OBRihroYoS8WVKoJutJGLIdwnHVSN3HgcvJV2H2y+5H7jGNFgLStmu7sUmKey3jBM
Hz1Ef8wrT8zIPziyrXLyJn9haWTwYGyBelQYMzNn320+fPQpTUA2cGR7WOM7iFwwYrPt7JXDOp90
ltiJxfUTxTheBlfnSdMO2+lOpi3/XArQRYl1qdT8UrUdcFBvAJpqltAZ1d8srStfDGQ39k048aZe
F9JZTRVgMGtATcWvPDUSyzwn80bI/KupAm44NEyr8bF1sbrOymr9WvfTRhf5foIeKOytKexJ1/oV
Ldtj1tPXpTWKUBouCbWJerIynqaBNZu+Wt4Ke0FIMRi0Mn0XQgZAQmgDX1Hrg31KA1ZCeZl1eeyZ
/BtXUsSYekpG913N9ikBK704kGosdHqcJr3TZRZ1toRyV1dpyOhhdtJ7R9TbipkKiBXgD3M0LtNT
VwHQKT1tbHJwma2hjCDN+KM5uJMvLeNdflLT+yGLSm+KBsM1SY1Fdt4ZFkviUWLn3jxj8dLJTlmZ
9omclkhYWybIcaFJDIVvcoT4defl6puNnhEmKB7K1n6EmryDEBPq21mmh0Vb73YN+cLUII8GI7ZU
noxIR8FazM1XPlfRnJjDqaCNGxTLEeLnE5MF8o9u9mKeJj8Sc8z34/ACazzIRjptrdK2I2aC3RYz
c6FG9+qgrH50ThIob8Qq7rp3XdIjyaiRkOsfvF/uoXbOoGNAWZgk2RTkTb6z7f45G1BdVMaofCgA
AcN4IDtKVxZR+1Syylopazm2hDwJzE2MrvWS2V4bMwJEJqMbN53BVdpZMAz52zyyZy0g/zI6la4o
QcWcCQvmhNkEPDSLIOnHjdnbB9ySYWdnRo+Khh4rUSJTHdNz86279itR4HksEJDV1hQLDSXPnEA4
aeAYSTDYTh8ZugTWZhnXlBCMSzJnW88d3poF7KdFAHsSxJ51VyZAzKbsLEr5ZrX9o6zHI8b8uHTG
WiKhnYYcrCmhz6kL0KvwHpJRnqtlWZG2PWfcBPZRY2HonIX6SZX94NO92UzcT00b5ohGnA1uFpAG
l0DkaRHkuBOrb0BhGhBLQ9FlU9/ihQqoLj9J4wqIq9UPbgPekqXcpLz4KBC8A2WKD7db8g2kwdPO
SVDyI36Xsmn8tuAQI0IK56j7fsh+qMyYz0zh6l9SqNW5NwKCwCoI2UMTV67OAA8OeZT38qWY2jHo
VX0yzyaQENJCwVJ9W5VhBF82B10gxWupPmyxYKpTY/SbmdYBq5YIQv2tUd2RpDumk+yPUFdfVaUA
1Fkzo7JJunUylmBrVPVExPBhGWYbOsaV6rpidbwLdVWWwdjUBMvz+JjZS4/s1DtB9mn4CYRzLXjP
doaA3YhI2W7J5Dgr2nDQwAXxxwaIeasAgrjQ9k5tczZrcF+Q4tY+T8ZnOnmzn3F30zVJEdST0UNT
bT3TjiJjpzWu2kEBCOmKB7oYn40WUdMPW08EUwqwtrWQPZUQlzisgIJgtq29mQNJV6g+BRCxqKly
6I2SUm9q3rBg7APT3JJh75gJ6CYKmiFNPGhNpnLNCis5pIAcvQqiT8ecP70S6BTtARlVFSBaDUC/
cI/V0CSh0IOHswVPUtfTjEyHAWhv68vQyz7WnC6+3QMCcI0tTRYExGyawiwhvt2xPMggDov6of1k
hb2++aT+MnH9YUX6bNq5y1KhfjqT/n76vx+aCv/+4/qZXy/+xx/P0E+za/rmh/rXrXAvrWuPlP6f
G/2xZxz9r7O72rj+ePJfPGX/g2vs8t3DH/M/vPn/ZimDydL7N0fZ73fQ/WUq+/mpvzxl13tfMfho
HRiWYC3DvWL/9pThbkD/i6OROVqb4nYmN3fY354y3NgBHbTR8pQauLmsQeHC/T+eMgPtNdDEFl2e
XRe9nj32/+MpM/B9fneUoVG0zXA7FRedBagJwwB6rf/uKFOL2bRyGKZjPZpexBqw9Grie01bVJ2t
0I8Nn2pUfJkbysxyQ+QY4OlV1q6yBBqUBFcNlvbPFE4u6OQEEPP6mNniqrbKLaM+VdQj24TPbxlx
25XoMGcmj697r30cIdA/1TnE+55y7fi3H+K/MctZ/7DKXb8Ypx4MLw5HNxjDRoOe378Yr+e28MSg
j6kBKn30coD3SIF4Z62FSut94zgiZNWQryCBx5Ix9O6+Gyd2bAX/VmJpd96kT43dTtAblfXaHIiK
XUPbh65oIzp2w9nJBAeyNxYgDIELdG5SHhI3+dLFmK3pVF8aJL0PTtV0IKN6HSV5q3eZW8PyQOsf
0NaOu852Ebm5ikgtx02q63xnDmO+KxSEG5PTw1o2gwq1J5bsTDGeE0LcsE+0+ThM3pVh4cj4Iqsm
oJ9nl9zbS2uuaz7rIE1BBf77mNq4Vv95sXDbsWFl9CyHugb9x5hmjnDhXlLHdJlVrAeRxZ7mQ5Qq
J33QKbi5dpm3ZOE42Yxkq7rN31Qzfrk87VeZJw2wlC0A5oKetB7MtWrUENU25IwyX3VTZ93ndllc
YAsAxmMbj7jBrwSnbb2kpYIqpQSUrltd79KJRil3keCP+QLglY4PBW5F6As7v59KAfFsCbPSqhQt
MAijao58YmIlrQSiJ7TQgEDTLU/aSkDlwLwTSuYgizZG9mA6GEtvObvCrp7m1ILtqQLxbbXiULDm
NMPb47SQi2XzchUCWpcigwEoF1jlDHgArEHuTROa+spGhf/3g/YyrNczsNp//z3Yf528DoeNAFe5
jTlsGtc58PnLDurMJB1JW/bH2voo0qXZuUVnYuhygNACjqE8MbKd5pZ9mDTPVgWAADupI2mInZId
VvDaOg6K032m6siEDcYD/yMlffr380RriT8uG4c5Dho1Xfs1IVVGg/o/T9OiU8rbPq2P1CD9Ni+s
Q21XVmQJ2BYGyOD/L4e7uWB/c8nS6/E8asCu66ILHvpK/3m8Ftf/IjvRHFF6MHEi7Fsir4QJzbBg
TmL8OKuijqBn9+4lJpRPOeSp3tDsPAoObuD04lzM2UuflEnh2BxNhDPnI5fggFUGclCUgDi7pF01
yCXABc7OoVmqLm4NYG89TWx08frbpvzfxLJbrPrzC2GuGRYyRdwY67qa/PmF0AAzE6jOsqPFzTen
FGLnCFz8k8s6hKtUBqkNuSr8yYDrdAsHEyLRrlsGI85teckyMNWwjkSK4UPmjGjYt+x8eyi4981q
eDfNDFNwZksBx+CS7qalBqEJ+YAxdIjsDN/OqZcxHoH95Ykct5DKI22vNOQExGRbejWN9J1THqmT
IMdacufZqxoRCLGdWSKOLB8cBs7Yha5MBam39AgBbR+n7Yh61SqmAxmhBVQehT/NgCrCac2A9MMP
1VNxRBWkYO8wIGHKMrZ33YRBoFMAVbXLfpc0NRxkXNVoUfxv425d7dT/GHfnujzivnAGvK/8Ov9+
m1/UHqzashJQDG6gkgleLmKNd67VvYyCIPDq3ICuzoWQVsxfBXPzbxMeYyPHDZRk4TCwKtw+CZLT
TTESvVKGk1zymUCyct1W92Cdyfw1DMWRF+ZmMuz8LW/c2a/cWQARhXRDlhWQcqtEJKpt/s5ZAhq+
vXD4qcKy671o1gu0S3I+52017pdiGUIo0ckmrdn9aBQ8ng3J1wAFdLBIWq+JRWVc84mvs9qOCKnH
9bRkEuR6XR5TsEM66V41CoNTabbdE3fuOqOfnt3eUgfKcLe0fxtgtNa/Xrp/DLHJr7esuN5jh3Gs
Kkh0fh9iu3Mz2gllHlSVZIFkJduhSmM72k/I1dOMrcrFdte3N24Pk5skKJ6u23Swlcr412dYQj7b
pYVg5O/d/LaJ5eRMwoWID/7am+6B1mhnbsOf+729nZQ5DvHblotNSFBnsJriSgFKed09Aci0IUYZ
//bB2xs/D3k7QVGh/ofL/+nna+btDH4dHIZ3/BgwpdJNL1T4336nX1v/tV/2VaXuvP15Dn9/md9O
9npyP8/pts3Pgw5tdcpZyDr4Kyzl0l1z3ey2QcI7l/wc+ds7t4f5Nvy3PzmmbCGPAmv8imm2REmf
7omZ7DLc42JthRlKp4NmCH3am0yYONskVnqAPBF57JO2lh9LqQpUT48zGX/ohrPNUJj7nC8/6KTs
UM/ZgyrEO0wkC2yn00dbUahZBp0Ho+MWMETuBo+2jwn6GuS9AQa6t9MVoLNnI0O62ljQCA80Aoyd
roa62mHBb/2BgeTLaxKZBhgakTS23yoAdalEmlAkxtEwxiaYp7uRYDlPu9zP4CZTML+HY5JBi6JQ
VhUOyngXrmyUs5BJ0ul+hDU5GjT2kblOE9D8G9nZEkiymFGVbXntQMJm2M+9axzt7Evm+qgLJz9k
JkTkABDiwu7OTBunIfXmqMhH5+rPhYDaVrAoDyDWMA1Av0OrZJjNRZgDFiRbx5i+b7x8c2Glgb4c
TGOmIdkxe76SHP7znMOR3nhgMt2rPs52g5Z0QK2Ldt8U0o76THjwCLCXZVoI1BHbwnSOadqLHVFw
wpXNHLnAAtfwe0Z93Rl7S4LaKpvipUgo9HQgU1g5feVWe2/wboCCxLjkaXfwpHIhAoIcKQWl2/bt
Snq9WJV6S2qITjxYstMJCkg6RvWgPx2Uq11ZFyvFShVNjYSwn7/BeR4kTQvsZ25JIMzJd3vocYhd
r9zUZruGIjKyEEEl23Ttmkh71wnb3mLF3hUD6cJBgG3L3S60CoZxcPDr5dNnJssLmkyQg+EiSjbc
XLfOFKeM0M3sSIANEy6w2gU4n6g9qu8ByKW1mUQK0cKCYjpVa5ZbWN6F3EtrXtmzBvMl0eehK2qM
tFqg6pwAVqAnBxSBQ47spkIoLpxHJqHzXoy09hVoiBLqJGL0Q+QsDZQsJvC8DmBj5xCYqUYCrZox
/XDGYltOT9zKv+xmiJupg5eF55c6bbq9aznbBjbXoBmlG8txiHJDf5iO2JcEbCXJLgrrvK8Ltq9l
cQ8m3s3bHi0q4LSHTt3weblOCNup0nqaciFPY8uDVoCUbnt97qTdhQqV3kKbe2Giz8PQADZMu/ZI
LGOImhygZtaz8eCkXqwlaD4vYZHO6wdTtysKZ3HYN23nD5Q3ocpKaB4mCOEUR2jNl/Jr4dqFsk6N
YPwhzKNp0NaOhaxbHweA5j4f6R7EASSbpFzR2T6iJW4X2w6wD1cYMHu66XZkc1znzocm6QkBq9y6
PcwhAylQ2bXzujbM7ZzMdWQVdFulcGdxp8QktdM73iQTplYeieS9sokKTSQbcTq5Map1kLtzG7s2
rP76wcnLkzmKiCIg+vNYJ+CCwN337jBGMNYeB3A8QTXwzs+t/kFq1INsYXviQC02OZjK6MOwXpBf
og9L84hkK85z73G00zyuy2YPhzpEqIZ8xTUEXVLtumsTrVBgAW0hmBsXhgXaeiUuxm8CXwmfZ2HE
vMlgdhrQA2Mq9q7ddJFTVgxtJvi9gQwVSoq6XmtqZLC8S+gFPPd77CE3whnWIcmcHcqhD1iDobrA
SGeWvUTcJU8kMxH97PRZO3yFUmwK2kV5sPivwIEdJglVi04digBZhsAwUSjNM99ZNeJkiapoyXl+
V7pZpI25P/cglvOOb4Yuz/ADmN3KttsibBMYGxPlefGie39SgMwGVbwVWo9XJWdv27DUqGfRF5up
GFyoQCCK7CaYH7xBHWfr3EhibKYEYt68tftoXCYWCvtOLZDsmjOKRlV5u25u4b+B4n6mkFlPJTVX
nEHpIyXZ6dOoXWNXQRfiKes+o+UqRTy8mr/SAJbIKwJd3ddJeWVMYL1HXbROyqSG8+Vt8PTeGGDm
K2rzwTLcvZPgF16U2LgayOCceEXYZ8u9IaFCntQkA6NhU6zNd0wwvSqH7LFA4IResTf8wpArgawa
BEwNmxVn4VSkq6pEzweP1uHcDWjUkuNp57RPcNZeIGpYXmtQ8FYB517tXaUApv3SyQmwv4raalkN
aHATO04by4ZDlgpFjp+JsojHYkwgUyarKe8h/SPTDPOfW0c08zYj+sGFg2neMzTtAIDTIAIYRIQw
gj8MBD0nJCMyrIh0Yk95O5W01grAxNnJp/tcwy3diAPVyfdQF99s6IXP9LS2FqDDjE0vtAb6ygTF
vEMTGz9rheXn03CQCtAsH9G6IR0WqILrZ7uDcWm5kvLagtO6Q9UE8/NGQE7rdaAytllr8s8x89bz
nLAXwyI68igfdzr1yLHuGxrctrg93J4WS52eqC2mXWItoH2vH7t+nmFgPt0Ux9bLQi5qGqZ1q0sH
Goc0fwAr/uO2j36cD3BtDs8S62nMK2psR88hp5mUaKxx3Uft3gGxBhaeF1nYWEwcJ9X0+3IAW2l6
HXnVVRfd9uUs1ew7WMPvDDI1G5Ri1WqoxmaXCygtFqd8d0jbfRnVldzo1QvhrI5cg6AVkuGNB0Jh
BPPoUL0RO41vm2Lo4f4qUsAjQs+o3sZiI5alu0MfINf/uTd9yOe+/DQcMgYlWv6daO0qcP9ExwxQ
y2PSei/W9bh0KA46cQQ02RQ+cpoKUEbKOqQFloyWezNkmGU0MluifQB8CvMgh3ukPLsJVTMYKO2t
QVGzOzok8NldN6P82eQt/5h7QtE8ou5OczqxrdUrGY+0y54cw326bWkt/JhXwngeUneCeHHiu4r0
6VGEBeF1yDxN3uoKClVpdV9umkHiZpv5vdd1ZAWjLGxzCjprLq+U5PW7cIEpQ+v+Y2o8HnSLK06D
03hbewZ5oGmnUMG7D7cBYqU8Y7mSz6XVmxHmwbiTheyOFprdhA01uvemAdF23Su6NwyQXjfWpS2S
cm03XK/rIZOX0oTt4baJh2zXFW7yTiwQES4jUEKZEGARUpJIuo31lHji/rZpOqSXMb/CBpJCNghu
YVfhujt2JoTNlT3wd1V6fw2kC9kBaGt9YcnSr91UtGs2KnpJGq1/HnjUVdAOrucP4BSOVl/Z4cDm
dt9TiZYRM5w7glbN58ifyVIa7zoRoMZ0R/dN2aijAXTw5wY12XUmLz/yTEH7hT5ae02IOM44R4ja
zPrTa1BfjuwDnSnQcIOPkD7y0TzohsHIdz1EFUwaFxy10QeqdNVySEC6HcbBrkKZz86HC7n37VS6
AeiqcuA9VV12YO3QQ7znYk3uzXKf6PVtK6R8EFXgWMdmIub+tgHEEe77TC6387GTHrLtOaPHooSY
wQNtHo7L0r9rKBB/npBYdNA0XnJEV5Z8T6UDdbqy3DcHP9ZtC+AQXeC6lTwheFo7MRs5ZGuzeush
+LwdxfJGyLcyxk4lyumd8hx4jBDxXmEw//m10bsjCzBA4py6VrWrrqHpWty/2lmDTTEwi8LPY3hJ
fy5S093+J3vnseQ6smzZX+kfwDXIADBNajKZWpzMCSyPuAGtIiC//i3g1K2qrves23reExgAkkiS
SUSEu++9fM5Neze5efxR4vRe/0rkBDhwK3FMUiMhNmhm2AlluOPHNH1LQbSt19GGZ900vsgevalt
zpI5dy+EkX7rZXlarwMIDvlH2o6PyjbkeQrmZu+l3F4sD87rMzKpu5uEW+Jxbmr3ZBc4J9IKgb/t
V28VtApvnMevJIBl5plTcmm8yn7yGvPHYGTjFzcP0rBIRPdBzGrfjElp+MsLTDvH8+N7r7ntREdT
ENhEsT18WuqyvtD2Upgv5DXOzOf5zjFjMDFB+bo+WFPlJIFai7vBC/TdWHtg1parptn8NAxm95K2
Spy8Jsf2kSXTF1Jdm7HwS4Nm2XdmXJ3C3GxebRJ869s3hUZhMxXOtZQRJKAcAsx6QZz7nxpUynOn
qM8lVYCRYflDZVwTROrho54qVidlqo9wkey32XeP61usIChtBzlZt6lOnAePctnvK4oswJHg58Fj
kgr70k+M1eslRQQNLu9iLIfaOpRGO+PeFtk3M3G36yX7MZ62wZyQODDb6FFPOGRDQZBmBCp8qEsL
TYJqrIdaJc7trAdjs372sY5PpHnmt6r0iM+s0d+nYzh/1AgorW6aHyhzdDfCjbLdWLf2OUnd4rkL
jI/f78rmhxYl1XBvJp57DQzqAusDCsxYJv3ytZ9FjbgOu6A9dtkX0v/13Xbz4O0alXinOAfXVtkR
OWK7evr97agOWbasFWN5hG4wVvHvq7ZW9zqQGH32rSE/jw5wuPVD5MbFZqL/DGTT7R2n5CcDn+01
aHFvLv9gwzKszfoT6+QQ3a8/u4m2dJ92ejDt+MfYM3VLKxvP8I/bncPcrqPAh6dHvRkURX1qU/Fp
WGl9LByvuVaxZGlSovQRbuVf60x4+8Cf0Bz2PbNqhwLdq06pjw5kMAlWLdc6DKYb37QhOmNWfjgi
9fw06RZFcKh2ZlCHh5IIlinmu5gy48FO3HnnDAjBejW423AU2AcC49MPasozVoJqZwiq1wp9VZIO
400RNc557IMjuiifG1L7V98hqpZuB4QoofAGj+vZyN1P0hjHPA28t86O5ca2+/7YCW3vY9RUqGnq
cRf3oFtmnTUo9Pz690YCaLrxySct/7Ty7AcJjp11d/QQQXa9fWnHJsbHCsLir/P/fN765HXjLFiM
34edGx9kOV/Wl60XWM/PfcvfWHf/OskwHm4q34P4tcogVxhJ1sMrcWtMuYYiXRCo6cq1sEQI0FN9
Vr6VPsL5JCECig09H6pAvyXxN+CSIQviIscO39dntSBmVoIKOmHWunXPmr/MhrOFXOQ86IQv1zSQ
tM3eTcBXtM/Fl6/N6WSElj5XLSyA2a3qXd/lOPGCMcUNde+7nfj9hH7K9DmrNK6aZbPuZReT5NTR
Ge1nQIcYz2J11uavyjD4QCvD5zfIJ2ywEmE0ohpj78MB2XlXTLuk6b8lSlYXH1GiHQEW8NWwc73m
vvCdW1+2CtoV+lHuMsQq2YBCLINnKQwChrTpX9cPR3a0PhcF8ql6STlWYIjc75nmqgaRyr70k1do
blxb6RczjceNWrE9AwSXBgodGm5t3SaQ6PZ6Obc+WiqW6AI9RtxN2bbEGx77bYPkwN+yUJC1Rsu3
CludNNxWC56mygs+8Zyi1RvFgeXYi8o47SjjIS4irDd2D6Ey2RYdoaUfOjurLNQ5CDp1ridHnSvJ
xFuVZr+BjBadoyzOtmSvvD9gNevVV7bN+neLxMKxNnoIH119sqL0qCgZHmdwcjvJUEWJBVfvTNV6
KzxSDmmSGzfe7Bsb0acK50772LlldzBBS0ELzMeDrfxbYUyoAhMgfjdUoSmI1FDe5nZ4S9xk71dN
gGkjDM8Eiy4yrnO8CHItrCrnth9JQvaJ2HjBaME7pbZX1xXjb2pPOyt2UCuP0Y9BqZ+pHxVYv9uM
8ppz5/ZlfWgrcZ/Pjdza4/DWLzfnCsBRCzdn3WupnJHiN4Zyr2NsTBoV3BG65duchOIa5bci6PwH
o2riy2wDiyvTOjh1vPSqhr7f5Ar2R9vAb0hTz92lPk6SxMJOH/ntUXVikCjqxMbus+ngWX24c3qr
uzMSpEQAb960180XnTr5pVRu/TRPCOaAaaK9EpWzTx0j30xdjH2L/q37qIqw53eWc45GeH7TyNpi
jAiNmRpAqRnOATVBeR903r5sSBDLjJV1jWrUnF6kO0QPWRWmOyfPq51n5vOTUZJl5O/U57YjZ5uB
tMENS4Uj9Zr5Jh8s61gXuX2O3fA66drfixkKVgaOinCoqfKDcrJLSoh8XjfF6DyECpf1AusJlgFs
Jfb8tckMq0RyhIXN9I0fMktezRDfHguwCARQ9yZiY6eykWIDCRHfbNTZNLjl/f7TCzJrP432Q+zY
zdlXHiF4kB5jh0Bn17Dy577usRHEGV+QbbWHwalukVna5782lUAjgKpsxCxXfY/iAkdIBbcxFsHv
9z8oQF9jnzs3Xd3H2zpJu/O6IeXUnRP/Laz68aS4Qc9ap/dJibU2t0d9Xk+Vf+71YYoOw/feZoMb
MB9HBFnS4jZMlo09OcbO9EeEs9TEydY8FBZOK+XKept3UUo6WMUAKdffub+BPgYyKJz6s2c4Gw1L
8TQE2XTxivE2S6vwxrShuvg+02iTh93vzXqIZthHgLo8YpI+F9VQnYblk6wbiFfeNirLJdkVR+d5
2dQSMFxRAhe0zNjBh17dVb35EraM8nHEW1g3gen/sRf9ucfFnJuyoZafpcAntbCG87rnjtHfD9cH
zNrfFqmoj7IROAmWjbOQl7KmeJWune5jK2zP66ZoGMeihbz017kgM6isx9LdrFymyOmZDNJCodn3
wTM64rWT2ECi2YGHsrx0ZTjFMCQ3XtFgxXL98TRjq/GRs1/o4JrXmFwRh1F1IzUaMLbbsGgXw1dt
7+ehenP7mUSNaz4iT3ZYS9TVZbAwTeiJ8UIuNVhDA4zK26VQyne1bgSr9ZvKTGBHLl9JV0AMtHJs
QOPyq1g/TkZroENEuG4ax9IJuv2YZF9m56UXD+xpM1kD/jnGqXXY6hbgVEXOkEJI9EB6DULG7OQ7
GQ8ITV13PCN0iagGDFil5tA8p2khT5nC8mj0DNqFz61mlyYO4vU4hHgqoy4/2UNabk2yahsXAkYB
u/DcteUudyLm4tjmx97ZDrxJX5b7OOpecmkDz1vulXU4WPf+cU4Kfoihbqi48rvodBXuatQG13Qu
0l2OH2KTVVl5S60wVCSZQWvEAbgFU44HgM+a6i7BGIDll6zMmr05psH9KOx9R5j7RQ2m2BYhQsQw
07h9omg4DY1x21CTvnZj0pEClpx35FH4c3broOLBdaH2yRg3n2FhXxNKrC+F146XAO31NnuOvXB8
KtUc3pVoDCrH6M9pSEHQiaktuZTEb4S01GFK5HQ/NHichDYgCwcCHycyqGan7IEyTd7H5GJt79by
qkORCUDRQ1YErN6x9caFJKWcLuGK792heBkebTK8uzFoIC7nw/Doex5hlGVGx1hAc5mNEtB0SZZY
OA9R0JQbO6R008IshqVbf7NCF55Ms4zW6WhvvKzPbi10YjfWBLpQ2Dm2y1rOVGcCG7GnDF/yPv3Z
mlENR4MjcvEsASsGlTwNsbiFnvs+li7gH9/67FxD7BzXQn1hF8n76Da79bxf91QR7Ng6CSdr39qi
PVSoe5/CofpoJ2lvQ5wal6LR4mhPCGDs2XupTa99d6nzn+oEEkMnS/VeWbO3HSV+q/XRIDM34KrH
GwcK6l4VEpJzjn77ZFbMzX4/te++gFxLD9LvDZ1KWT3Nu6yosgOgn5hUDpb8YXzSd5lI1f26cVSd
IJ4Yw1OKdJx0ZWV9aaNFPFB4L7KDbEGoluyVl08PHeV2Yo+3RhvBm4P++lgO2ZVCSrczqth+kMve
lADpiZOxOrZuya3j6YzlnDs9xnlrbGxPTJtpnqot2i/NV60aqFLpdNOnJjI3/Atnf2YEygEinUzU
1kdV5r+KtjNxkNf1W9hn1DYSRbLNnY2t7SA6CwK337Nu0Dcmc+X3Xj6HWX+UtWO+jUFyViNY01TI
5sW3x/xUjsjoUXCRTzbvlDI83oTPNGKJEY2cmpH9jRoXRz7uIA1GN3maMRWGWj1iyOkuo1VFv5wM
eItSSIl2lupOQ9vUby0Fjk5W+T0eCkRfo3MnwvKJypT9ksSOxiTL0JDCq5l0emrHTt2XfArhT8VR
O7q8Xe/0RATOJSn3/kSpa+I1/NeY6sqnvMy7q2O31/XI8hHtGWZD5cbHGudImM7RHN8fjTF33/0x
P7RzVXwfQvJsUZ/Kuz4fP5qxnm4pi5L79hz/tHR0fPSWzdyD9EvJoxemmxGx+Ix/DT+yMM31A9qn
TYe0AvU+jKckEtOj4831qY+ptkVOto0qxCLlREHbjlh7Rn3pfLNJVt7EgB/82kIPrlhKRC1gr7L7
QHcltqNS3jkKZfUShqQtRBN8yiWVQKqyvqVA1CG9DsW+zjyT0sc0/QhysQvmeP4Iwx5FVB6D/Agc
gEtmBbHcnfSzLhpG0GZOfowy2Qa1L34ZaTNme6MH6M7yLDhXtd4xkMUfCCAlCvMYm11nho/dhIfB
G9+tUDqvjWcmFBCZCOzYtF+9qPnjcH2UCidFUo+lYqWi5lmMDM5Awb+5jpoPTSSRrCyHTTt+61uw
rak9/Ft55nzXg36TPfaZCTHAJUhDFrguGWBPFBkmWCwqopXUSpOJvAnpXVP8CAvK90g84hc3ohBA
lWQ6SjPwn2bw0ZRhMEW6zjy8lAfPk+6/sRJ+rygmv5fl1G8R7xT3uWSVlIRI1wuk1IdiylKKDS32
sj59dZPxw8xwoXJ/BF+2Ch6bwG5+DaKiNBNBA5mrI8kfyBYq88HueQzLVU6K1Muim2yS6jz5QrxE
8yB3KSsCKFCzvZW+Ye2csR/uk9z6yBM5n9xZ6as7+1tLpPVbzchepO5rL8TwXHDPl46r7xNDlni/
A+vEjwh7qhdUu9bMim2nOrDZrgCi1OvnqslfrMbRu9SZP3O7wokX2MQ1YCiflKGsbdv1xlHOdf/O
a75lrQvCp+HGaCkVbxp/jjaTJr81hTUhGiDPd4DZwMDUJlOO+OZQ4S/K09iYFvZSdchlbO4bN+pI
mMZHh1TSkTQTGB8xuMeyL81lfq12hs4ApNnkZZDVq3uqwgSMvQ0ZKoOTV5W2/9xObnijqlKcc8jL
INkr/6yzTp7IHs0HJ/euaWbGH7FModzkxvfYMqjRpSOxq5yM7cSI/EONP91xoAY7OPXVMdxqU7a9
RQuN7m00IGEHVeHdpp36bFurfc5lDaNzyW+KoPW+go+xquVBac96GSw7v4S6sJ5KJk8oKwrORls6
r/Psf6W1tTXiSt8IIezdHNnyROfkEmhImkKdJDEXVI0GUQwVKG1DojMd5AfKIkxippxukcqQV0gq
/0D1q7q6HVgQzzWu8OTjHfXi+qlugdQFGgvUH/9BbedbR9ovolDjNggz9aWSdI8a2Th4Q5yfgmr5
VkznuckS52RmeX2pI+q4Fo0SnN4bn+J5NO4s3R/WI0/0eM/yVF1VqZGAzOWCFYbj5SfOzwxMZ+sB
eC747+/gQ0ASUP7XgCR2xjRD9w6/jJs7rSlkNM38qkaEF1aQuB9hD4s9nW7FEEwIKpVxdUy3uEyT
WqRE5gVj2H82bXXwje4XlYyHIY0QFhoOS4tkHi9GNd3msZW+JsbkXwzkc3Bh0/B+yrrwnrsSOpu2
KnWDZuvX6OXmJo3d+UiZKn3Oi1PbquDcTsI/S9N4VmDYj3QwIUMq7PmuKrNr6RGKqREO5hxpuh10
+by3Y5ADazCtik5fotw+DYMC1mMZCGCS5KErkD2MIqSbwI30q+AuHwir6uUTon8yQLWwwGqGXTq8
FubUXUleBHdK+wVxRe+9tXF8KMJpBr5h1SeKxrCtG1XtEppFXLXXhGcu95qZw3tCUPVmj9K5iQao
ClFTfyyVx68khqzjpoPYTYqOEwt5fc+nya9uPfQ3mvzC2RgmDfKr/EGG917nif04ZDLYZ6THtrVK
zUMXgL3wBsjvWqhz6TbqTZjk0mURb4rlNukVsBI7aUboh953E3rzEsIPj0jsi4vL0n4TxVaylZU6
6L5dPnn0KjFGM2nn8Y9oWVEa41FghthVCUbU4NFxGv+m7fsefozGOhrGO/JFOfIgK3mY+6V+Hxlb
0567VyPCRKOqhKkuIqM0g2RxGP/2cYn/0FPOs+tTZRGJMd/bRpJvB0TYRxmO0T6n9kEJX30VA0Wg
ri3+TY6GqprlF7dDwGrJFslTE9TJlr45kB+CHqy7w4A9Cy+/uEU13XSO9E+GmVdHFVg4nYYOudhs
DPNNYo/O0Y1BEfpV/u6VJikW8vWlxn9JMjf8bjJZmLEsnms/vW99ZW5dbED3ie3oQ+3H9MqpEnkp
LCkOVkU91e6oZYn+o6jwCfZRkV9G3zqoUDOHJfKbJ/2BNxyh+ja2lVWrK51Vdrnp0TWjcfrywU69
bsNboP5EfxO49l+8KedValgLWSkf6zSzdrz1fEcCy3oqmtR84gZuAZxqKqOuS+DntrerVLwo4xYe
HC1RxExvFQBL0SGuzf7A/IEsqrPbi9Po9lInzPJVO50kAvwDK47oxgrtfGeWMKEzHrm0wdheiJXv
DIEmK9LD6whipsk658TaBIqaC89xTmMHL+cyu6mPWEMbGDuvuZiZcc1jO7sLMhgtxuTGVzJf0A1y
M77NchofFFpdaDdxsszCeIjkbN2MPbdyTjbsHdpJk8KA0jTKyZPiTgdOfmc0M85TL35YTxWZhZy2
APlU59MdntUXmZj+S29qC3lp+N4nrXhMmvd+PIykTp7SpCIBLBr70I+LjdTNdkFFnsS3jjqmyYGs
ZwyvbXmQBksdDJM25YpPR1DxTSvv0xNd85TWjPaqKMR3s7E2NNaQz9nkg73T2Ghk8pl2fbhvPFEe
tdTju0aXlJZjuCkKNz8ZhqueM48fLOWPYxBKsByVJ0n9FQ7NSqLymW+DpFSr4wtKmBs5fdfdEu46
n6O0JEqNKDpiCsdkmWS3U886p2oDf8NahsZQyIp7MyuR2Pn2pYvHGeMH3wQ9G8Z3jCfzTYqeggKT
P76zZkFIGbWAqJytXcvskRii3A5lG+5EJdqjRwJjyR3I67pJRofr0pRkG0q9aV3tv6ybjNTuZC8k
vGJ8HwrEUE0q00MCokFKEWLBgZUfxV1+VRHTsVuigKFVUnakaRIQ/QhCXlGo+pNM1YN2om/YPY/E
4j1LK4aCtCN8Dbogvys/7YnhLu0W2JQIqr2inIMgJQeRnPf5YSpCKEWUfV70TKEmJBLooYwxS1l3
EQ0TyNi7xOpJ8YKpFPAQ2dpUIt2mr8yvMDOmc9ItCJa6rS+2AUcmkSYa8sF1ThrRXqkt6zopwswq
9xvWJkZ6QGTr8ZskbhuH/LETrr6mfXgrBU2s7K5CZFZQcDYQtfg+2mxdN2DVSXyHihst650zkAFW
1wE1KpKY4VOg9CbM5ady/PCtq/waGG5toRGtord59Mr9G0F+ibslxygM9rvHqAmfyTIreS/jJnv1
4mTbW+ZwbeCr31SFsu5b6fqnJii/WW1s3aNjudAKrjk5nShf/dI6l2OTUpBp5C6ZxppkRZp8H6ez
Tg9DYEcvzTANLzZwMbvNflLH0lfDk+qRCBgEbBRiu40M0gtFVWH2SZurP1B4NdXgoM3qKEGY8ANK
5SfHrALuwOCRH7UOWxYYbITKSI7hk8UZVNx6WZseWQOhih5H0meVR3l4ML2XWENwKd3iK7QDiNw2
gpRWPtfODMyoy6qPspYUcHzvl0OZXZRhzUIUZ+jghYemDNJz4VXWlTSVeS0otVyR4+nzAK9Rl7AX
SEt9+D3CWlppJZdKRu+anPCRCh7pPsJ3cs4PSYuNqXGKl0jb3aNj0C+gKKnSsw4tsKp+dUaA3s6g
ZtxZC8+KqunJCwB7kql03uhLn+wTWBL7NvPsN1sgFxgnP38eCotUfaB+JnP+6tfIdPoumQlf1dIc
aXL35PVay45uldUHz4UP1TErdiStvPNYkSSb2umYeIx0NyQ9WL2Z0gGlPDn3Y29KYgL1LlTl3q+n
4ljBkar6+ujVFTlDZs08MWHZ4j3Y6Hogq4nM8nayvR8uKa1N1RnvRTOP56hrBuzTcnywvFruQyyA
VG46RERUk1Oc34d8NPM3Ij6aMLXNtk267Eg9xr/RCC+PVN/p/5VLcZvazb2PBEIHtrwO2LWeNPkM
HI3gcju9nxUgaKxp6d4xHP8quuSCwLl+Eh43U2kseG84aHaYUxSZSE6WJFWPgRXDbYgqe2vk1as9
59x8c/HQ4EzZuW7IGBtYryJJmqOUGQsGq0LLMNVHqmKIEdsENjz+3Gvuhn9skrDF5VvS14hxqv4q
CkNc1o2hNGIIfIGkXBa0MFgZHNTNM2J/69HvquxoJjBpa5lD3GuJQxFAAGGbx8B9hFMRi1Y/psum
KW5oa4cCyW/EVlNV3VrWJR7M7MMqkTZOk9XvxDRbZ81qhVS3k6LiBC+kBag+p0ihE7odzeqCxtu0
Y23fJ60DCEmE+tgbpA2nwRgOahr9HZAJ2GlhGZzLIQ72VtI847cPLqS0g0so43Sr0hlwgQD0NWcK
sittb55V+uIu4y4toIJDXwztC9IQAnkFbsHQ6mchkJm4Uzxv62GsIRcg1hCBKo6o1M9hvahgyi8V
FfI69asYdOruh4QbMzJfnb7T1yhDepU10NoNSz5Ns+HfjVUnXibN/Z5gFPsdV/eQejZUpMlRo4HT
7WfY9PPHKIhBvciBLbEcIhC5FdWMRpwUwY1ZlTH9MCz3vnamBnnp7G5Kr/7mKO08DMPPYbC6h1lJ
rAwVaqCOFOyVWHKfWX6FnWrKiU5DnOqoSzw3jt5Td+z3QP3Mk510D9xoVPJtk7ZqHXpR0QLhtZaf
alzVN9R05vPQ028g6pcCdhK5l3HdjHdkfYAHUVqtbmLkPEB86eiS2ZASBjpxtAMsa3toNgiNnQ/R
zMdidsRjIzAOVNWpqhzx05USXXGXjk+D39yyOgiPQ2Iit62y9JVyYHiXLHLywGnPXsvaOnBD8PtR
iFKbnF7mxOeCdFSbwtyLUrSQTt0dymmkxm+XP5NGEvIk6i5PB/eG30V/skionP2uB11sh0/opgGt
ZLF7XA8Re/VbH2vuwxxYt2NNN6qqb2HBB9wrjmFeUTNXOzKlAiRZbtIXrDevYHAZ0VOmRMuR6nns
PgrDTp5sX6nniiWyIe2PUpgmfAG+CmmUf+yt54w+oOlb4Rx8bSCfxHT17OThlTRK/zFPpLjqqUfY
ZLVY8luIGrJiyLDQIGFG7SghyumTxOizM7Tjc9KogTR6hgFAIFjuhqK99xRQzzSf6dCgeu/VpUXQ
zUT3nW98JApjSVp9dTp4baV8TLjVDzFwmHY29UM3Yz+hzELYrqOFCBePwffFJWunPgrtWOan3ETz
ZJaId8jGRS+uQjttx+LsQ8m4c0zMZnGiFudAlZ8w2bZn27SiM+B1xx0gXPblNtBd9KW9FG18Lb71
qUdLAi1+Dj6ZX6vLUb7YCLCa3DSeSCHXG3Musw+Ei++S4uSlnLnEQDR+Ehp5QhUa8pHxE7l9ho0v
R25EjpJSAbS1eEGuxc/GVGG/mUP/bA9Fs539cN4OtZ/crpuko8DRxM7XmsGN0VlahoS63YGCY4g8
NfJBM3odM2MEIEz+lXp6H+wiQZnZMYxdRaUNebWFCzJpUtTs0MlRYtHHIioo6vY0dGoQ7hDgQWgP
tK8PZmqQf3INjxaTTnD0SPtuspYyXhOHhEBUJo/Bdzxo4aMmwbVReVDAn4ArwpBG1wuPhLLlXLwl
Pdy4g32zOuP+P3HhdxPfH1VX6nZ6+iWT6s/e2UuLW9vFw/ynhfC/tfB9paPUr5//61l/6V/qP22d
/3zdH8gFIf5FO14HrIIb2qgnQBoMv5YuvpZv/4shCtwC2BfE1AI/5x9NfH3rX45Hx0rh2PQ85xXq
dwdfK/hX6EDywZ1o+3iJbf//hbaAjPh/szsSPnB1hH+Wg2U7dIJ/NvDNLWhR1pB5vxqnuq5B+Njk
9raO5xBzHZb3AXXztpjb8LA+agaG9ftRe8kkro/mefbHo//Ta9dLrU/+n15rhV+JrGjlhBT6sm6C
PG9qcuj/Oebeai7+svnHuZT873+eaKhbUWqoje7c3v61yevw74eJWxgXljBhEzoMGzmgeBFK0lsc
NlNp7ugn7B9s0bjvtq9/ZqUe7uU44yGAx+IDesrmYQLK07AqW0JuOe49IEqMjaY/u9s8miPyhE10
WfdEHUaXMpJwmf86ziLUKn1Pf1MGp53rR2CuWycF8I/hBnOMRcxl0Xb5sh7HorsnKDK/11mSHica
Ad+mcwzAf9nE0egzsmGd+scD6+G6EQlm6azO4Fqtu/UxlAPB9HIhdBgGxXJ0Z1JO/X50wLOn8MRw
QEfBXbzszQQo1AEBMdbWoVKOegvNxnjQGPHIBDPPj3Vf3VFlqO4iI2PjN7DLaszP4Ohkh3GtQH1d
k8g6OFrfWeR37mRtuM9WBewfQJXcr5AFPG7DFf3ma1PgNjRj0+ufsixVZ6RgvvDUU2fm+onPge49
wQy5nls3y72yzFzytB4KTG5P/6cXrRfKvf7otCw6htGhuOIl3XRZNSR/bdZzte2Pf3tgPde79esf
//PAuZvS/uiiLb1vMcQ/4wP2kNAJfNauiJ9HNVn0eWLSpDqkD02mGaEtGw2NP/Qs6Rvs8yPNZstg
rp7skZDPM7L4Pct9MBJj2F/qklJ4RS1zkw4qfVv38j/3FE7R3+f+2vMd2z6meQxkC/LhxvJL70A+
DD7WejzgKDzIIgTYbU0kUOaYoqIaMAaMdFedWyCEkCyCJ1x4NIIyivRnPA473cTFp47ogsHslFw9
TaQmHfjckZ5oA9ChPCjqSFpkICiI8KOv9jUZ/7t4QhAN/Lm6m5ZN4w80wgxbWjguD7TkxC3uGx4x
Yo1Esql/+N1IFjpHZlsMAJfCxjgvh2XZI8ao/Nk4O131ye3JB/rzsC3d9pFyruXMxWX2NDAjN3Ot
S1rC3NhqhJMIY9GrrCd/P54q67uo6enoF14Cp9tAgE5QAWXV+GHoYrwiynPuCjJZQern8xtyBFbd
TSIXlLeEH0+IOFHxzqaHkILi703p0ogxTP5+BlPfTdUgvY5cnjrm4wYE33RAOZI8VkRzNzYSwB8w
xI5jSt7KU+2dXzaHbBlH1g2jXnTxlnFkPSzWweSvY/6B99GMcNtvMRhoqAjXuHXpI+B78zeJRFoo
W/ykQ/uzO3vJexHQMcz0ovS2mtvimuBS+/3UvpyxPxfV+9+mwoffpvm/94e3rMUs/5eZ3qW9O5yC
0BNuKAQTlvlPHohVJF0s4uBXJpIcVNjS5c9epE1GjchJI0SCxb/s/vP4n0/92/F/2/3na9VEPzUD
aBBY29l87Rr5hF92vC+SJH2lJ0NUKNi8FW2N8+XfvG4sgRMoMgqaB2FnW08Va9lx3Q2WV4yYUnbr
8/562Z+v+Ou8Z88UPtZX/N//RlO2V/hu4MQD+r+pvhoeE7ttb+GNgSwXuv6SWX+WoyPfipCeJ24Q
FXvZBvUXjRPo1fqlCuriGifBEU6NejOM4lRQRBtm/TzKuXwwhAavGHdXOfndNxoPxsdZCHdn+br7
VvYE6UWr4vvCU/LYSuwU4EgKMgZTTBs2BWbfNMfbviQSKTJsd8t5FYxYUos5OsFf+i/Kzqu7baQJ
078I5yCHW+YoSpRpybrBGTkg54xfvw+aHlHmNzuze4ODri5AskUC3VVvSF9GRJJFvHFCC1J9qK7d
JPLflPrUsTt/hQQrbdqm1Jci7LX6tg7z4OKBdNzXOvoebkcpWUNu/T8+fbZ6/+lDh4Qnnq7ZGisc
PorMf1LLGEPNrkwZ2nuoRBqtDl5doRyNb+iWmXNoyKwZclc7N6PNqzxj8xQ75lzy6uowVoN29j3p
ZeALS3kKh4gByO+h1OTokOTl7zMRk+zkkUqKt7mLi9y+MfsKVyuuvU2HZvFIb5T/8X+4nYjJVbiG
Dw0EirZz3+DXLdc0faOSIkSSjd5rbYYna/pyG67xWCA89SJSVZ/dlEhtR9pIH6mZFVs/gDZNohzK
i+kO2VIBsbFA6MKjnS3pEtbwj/CKt3wlVx3MHkQJOJNjPaJZ2OB9Ic7+nL3Pk/pg1QNvuV57m6X0
p+zUstHndurIB2kYPx+cXNmGmllu7+K33MjN5YMYmkZ2qPvE3QQRNpWzW8rtWhEzQP2qXdxvxKVi
UsTvL0sc+SxFqAD2uFK7Yzx84eVJEQAdm1dzgCwf1Hb3DsD1OEYeyI4Q+b0gkBpY9AH+XIZTnpUg
mZAi6UUJ+/AksCQfo3ECmlCVu6htEp4EsGSaEyOVN9XlI/P/6TpUBD7d5fbzPH6CGP35E8Romvvz
p4tMI42tbZTDKwyVwD/aOejR3lCzRWLp3lHExNntgPYEE16sY+LW/877p2R/atv8+zfZ+lPmS2fv
pGlIJ8FYRJJl2vT8+UXu/UBS/VKTfgSh/FyPpf1kW2F4rCK8ScQ3miXB94Zd8xNLn4CO3d9xm3j1
EW9H7JazQh2mJcT33gqcT/kiTgf1e+z+FZTO2aljtNz5cisH9+NTez2bYvJY4Q8fmFSS/EomcfpQ
i2lxEJ82cSYSeTtCwgcC0sxE8HpzW3Hx0R1hREoZi+Iijia1WifdF5PyWJLhYuXLWrAQQ+iz8VMN
t1GM0GMwnjUXUG7QJ9k+QLq3pjrqDsY+Lurq1KldPq+DKPleGJSvXbN/S1gmL28ZpvHDNXZVa5tb
S9MwVVFMFlm3ca79x2rA+FN1S/wVp82uqhqy6qAUePdXzJshQzJds3/AVlEMGBIKLQ6xMcworjeq
9EUMomjTGbn0BXnWDPHXv9rE2iMJ6x0xuGFV+DHMXZlfOOzc66xDs+TJ8YaFzPvGGAv1AJ3U21S5
jHrIdKZNMXEmYrfZLMcW/JYnzrqgOyvpSDHIQoTT0tV+RdUfKOXo/T6IiaxxejaFf8dEyshLlrYC
EzkIThwTp+uoNP6+jcgWiU40OLN//6aY//tNsdgc6ojG6Yatsqf/85viAfqX5N7Xfhhp7c2rSZtK
CFSJg1kFfFLFaT2JrJk5Vlp1UO1uoSLlDxMHrYYdjaFDy4j0hwhniFDzq6M+NPoDMNbf8SDUY3xm
FX1+NyGu6p3J4VMNlnXjSPU2G4NJiytrYYOoyWvRB8rWyIzqVE0ISW06m+KZbg4YXUy5ESIyJ72J
0Itr1cuoZs6jZQX7ssu1ixYN9uM0Bz3401w1jXS9+5Jl8QAJSCq2VZeHe3EWdsPvs/jj7DZ7O/M6
C7lDtSrX//63QaTrz/UIjzHbspGpNWzZoRyk36kV+pYPym+Qyx9RnY4VXom5syr9AeCAXTzm6L9s
xegasqBczyipI92q2Q4eomI8ZYt5WP/DrrPK7ZDaIJQS32jXg5N9uo2YELmBiU4Zsoe4++QlEijZ
KH1DCvOc5UgUzSiQDEgpzUpPe+zVtHjr3NxDCCOVn2UAVzTTJPdY5HJIdyDFJtf0tWPES3OpdGH5
rGG/PR9QnHmb7uhHFlSu8qC7XnS2Nb9c61Ku0X0vku+6LK+LvhtegzbBRVkCIqLEJla7U0Zcmh2F
eZSna/GZnT6evd7IB0t8ZrsCvWADm/GVgHyImVtipjYTsAxvHjRDqyenx6VsqvDqheM/qx3eIYFj
VysR+8hAISOin+2ei2n/aIx+iqqSGyyqaShiQWwlq8Jh7WeJHaf3MU7ZqT2JRBGTnJDmlRJWqM8z
cbtXIjauqarPlEqqd3qBuUptpw+N17Mfns4ssCgPOaJue4XO9F1cZIjJ6UqRervImK4spys/bisy
RFykqUF/va0I3V3+520rJ/uPd7b9Px92QzV1Gz8H0zB55Gt3T/vaxBZiiFL3+4S1UBTLxMd0LNih
y2zTgVclezFEAxPthDIcF9nIRhD4H9N3iaHtW/ikTlcXIqmfkkTmLV3cUgzFLe3cOEEGTzAzqIcH
ZLFRAa9dmqr5XkTGThseIhG28tDFpUMGYMRLHS396QoxT9UW5RYrjtajEgwP1+nfd1GoIs3KEtlI
7Iby0kYYq5Wa8qCA16XJPJ2KQyXF7j7xlmIgQzU6fEq+pQ3TjC/bzh4OapDn3E6ErqduE/ACQs15
5VZxBt4R74icNTs2O212FDFxMKgs0IGccuzOOuQy4HrTr7FRuuWIM9+pf99BDJ3ccHb/8bjT7zb/
Foq3ss72i/0/Tyio+XfvImcMDSevpfeoipbIiLEtlkoUspWs6ZEC4s1ye5fYSLU92ABfeLkE4Byw
PJpO4dAXi2gcf+eLmLhyBGT50H7nSTLd9XavP+9//aFBaP2y+JNGfVI9JdOhtc6+rBeP1zXDtHBg
C36LeHYSPebhYeJC9/xdniKEqp4dCQ5SpWf6Gi1tA8NoEyH6Al8gMdsrvfE8XaDTebxeQMWVC4Df
xVWVrsXaBkAOcoiAnjdi6CVFA0tfyTYCluu7f8+KyvttVlTexaw8Jd9dq0RyesmSLtmOef/LHdTk
ERhzej1IXvtjzCNlK0JiEoxRuw3V8leiVOkjahDjondUjX9JkqUNHEu4qNPKMWwrfMjVwTgVg9zs
IRnmS6Nyge3AbC1dX3sdR/TUvCJbu32DUHxe+s9tofnPMOOXgE+kkwj1cERYyOb+ojNC3nENCupO
jS2hLwUtVqmZQ8PKsU/WdJYbHt7p+C5sbxN95OhHJO3mIu0WFzdp6rT9NEGtEJssWWIBQVt63Lcl
9GYjYjUXIsouS+b3erD616HNIF8ok4xang+vbpOdzMbuzpHv/8eD0PpTE1e3qIrJui7rhmLRttHM
uxpY07k2sKOxf+9LKv3yLO3BYpt6bxxZpz1lBvS5uVXrv7TWd/ZjKLfPlG2rTQRyBLAhQ3Fo8y9m
OhZnMQDe2izQB3VXYugrKXI5ofEkRo2bts9t4P6KYOmgcyDlD9RW9WudaxhoTXYdjmtT6etaq4qB
TK58esXzW54mqlhO4y6xTgB0shOLsMRhpRzlMRIu00oLaZPPQ2dwkkWNABRtL+OoxdmzKO6LQx4l
j16LgpsYufwJ4NNZiLqJbkBYmrf8DGQPyJta3+lhry3EWWL29hdccw7dVKcRcX2I9J2D7MKX2s7v
41oH/hN943LeKbLn/tdK7k6HdfqbmpZuarKJ5ZGGXPHd39Qu6AEPlZm9V0NnL1LXLbd10jyE/YCs
L7Ds/ohMXn8UZxD7qq1ZVg/s52DDiORpmHQudChHO8dybB2dLEg2ueP4u1rqkqMVjubSSpP+mTcL
qgNBkPxlJT36gugWz8pJZamN1B8W+GHssowHlZrgkSJ+SoXLHugrsSIpRhkSoRkP6WMKnA+JoHWT
uOrMb9Uo+KnS2Vykg5/MMbYqD7eDSaP+YE+HWwzi+ExGUxzxakdZOizv6nPWmtsUW4UEcPGLFuJb
O+S6sTViSXupTezNVHRhm3jozmHt7nkERl9z64T2TXTgV4GM93GwxxJPvrCt91kVKxsxUTotHSLV
k9fXbTONpy9xXrnr20Zb7M1vw9u++yNXhESGKeVL12jrbZV7w/52GNt82CdxskmSWt3gLZQXs9vs
dWz5NKwAnm0NgCOn0ewWqHoWR20aiVDNW2cv1/1RjHjG/I63sF1XQygDjPiIiRR6OG+IpeCiR423
fA81VJu7uje3WoqtZZwP3rdES3ENM4Nhnw1J+qJMQndTPHPdbDv4YbikMoe5aIY5SoLo9ElPUvNJ
0euLOcVB5dGtBFi+TiUrpYkEkKnDYKtXhn3bd+ZzqmXBpc5gDUB+0lEImQaiYqT7tv8xiKc0r/2U
hltTEQKB//fVgibT0v7cKuArxbPRUgFmYdFjmOYkffypWNtrXQrXcdTeE5/vCxr60Ping2SP4aoY
ABvdYjp4jHamUgi/5qRxLGN6CP/k76tE7t1Q5KMqlM7Qd2hXVlE/+xLy8GELN00cBkOeA6frH24h
FNFk3HDUdAPUVL+mQamOVqZc2WA0iWldhJF64UDMdWyEC3tkFZW+cL4UpiQv0bWgozsN81EvN9EV
RsswHFL6gXDVAAkzhNignFpZP4pR5I/ZF8+4Xigiidlu3DC0Hj0n+B7KSbpPTIrODYTymWiBDdMG
5C4mTzH0Gz7n3WKSQef62mu7u67RbBj1QCbhD3jfmiiJvlZtKy0V1eeVMnju0RwBiMVGhLPf6G1l
pTF//JkaWbx99CnVKNp2gTNIh0uob9F5af0HezoUqN4cZBm5D4h+D6ZRYBoqZsW4s0Fa8l7dSqWK
3KSIOa0Bu1XCnkbzEdf8dB3SjNY6tsEBFL6PbOZYv4Hokb+GJss0sPcA96dhmXf62oowrxXDSsWU
SbM7d31Njl1/rsZoy4khjnKvluE3J9MrFYyEMFfVjJ9QZWkmGprxPMAPPOam8ireYiJEb27P/jY4
IXFlHbxIP+tDRp9TbMjwqcHFWqGWdNup3bZlYlYtqBvd7dckV8ZSG5jizhldnj41PMZdEehbiJfw
WVVQuvlQ7bXp4CV5RcOQszGLMLHCnu4WEmciTWSIoTgAXka03AXxRNcdiJjX2GvVhfSaZUHwamaQ
S4JxGI9R57lfneHkW23wKruGux9RTECthaHqJPrCMtGnF8OsTvdtqiAvXobf3Mr8K1KGySgYoyDH
z5JL7SMIH7fDm4gHU1zV5X+MWzyidoGEIKtoh/YmqkJiKHqiohsqJm5t01usGetNjkSEVMna0UWq
a8XLT6bpzfB2QKTj99CVMcI1CrwJxKxH7WNymWa6LNTwOAZbNy+0Y+iExdLrdUwKRs0+Alk3Zl7X
IaWaTlq9vunuWyqTl7xxqTEExTcd4tw6VON6VY1y/q1Q9WPAm/3Z1n3nevk4pd1djnzNQsRZKulL
lFAPQYE09g3+oGXYcoWJpe1EjJWAcqpGhb8DoIkhheCLDI27shsvOlnNBXEUGDjsytkc0Gxc9IGE
2XVIA0vEDFOhg2FdcB74Iy01XqOOnc/MzyXnSR/OI8W9bK5AOF1EKqBvQ2v8Z9kp3GmymLAPbmue
/v0NoRhTxYA6nZelE6CKwjFbeCBSpqxohmmwq/zzDWElKH+2aZu/gSDHhJL1F3JIqDvOtEDheD03
XcPYt1Yuz0Ef6nNDTF0TxNT1UBp4pHcB1omoKYP+TeNrITqfhjafzaXYcqHSjaeCVMVLsSEz2+z3
bNgm2ZPDV1XgFwSeQZzBYr2UVhNsb/EbFKL7e1LkC0zELc2Ru0s4VudMTWcAG4NLBIXEapPxFbMX
vlNBIlHiKodXB9lZjO97/yFyumuaNFrtMYEbOhcLHlYX8so1lODaHxOx20rorqNxS75bTt0Nb3fm
PRVcuxi3m4J9PNQaqhRQ6h9EXzIJuidFiroX/G0Q84dhfnCkyDlI3uCj8o/vY6WVD0FFgb8RBeLU
q72zy7t0puR1cdJhyTx3qrzjrT2AbDaSTTWU9AumoUhTgTIdcgWnuMwdCsraffJ4+yx7Q3Jp817e
XT/Mmpn3Gy1hjytSxKGePvi+mV2aLpN3t/gtV9zz+qWRjOx6vzAbgnk1oh/FJjU6U4lGPLcyYLE5
RngWBxQi3sZEH/Zi5HaK/ehGr2IgrvEtV91qNVIft9jdffoU/4x//wIZE2rw7gukqSjJOYCMtKks
d7drifqoSlxQ3G+1ryY76nL+lRHQV0Myj9h8LIzKSCsYhtAE/mlaTNS58a0CjL0XG83aOTXoCJ3F
IIK4ulBd20cMmE0o0FjlKLv9+brJjSL5Z5FZ3qEtbWMzKEYwd/ve6BCJbryFVuTZooP0uinC5iVg
6wP/EiHzehydk6F3uI03o/Zip3q4EzFzKhdgXkEvzi3WYjQOOpYo7gi2qcPL4zxkGR7IAMT1J9sf
l+KXSlQqDzJiJEuxW3azxn+iVT03M697FhmI2NLAQSF7K4YoXtq7bir0iKGixfoMgnK3jvURVQAd
TDSrpQczH6gaFjV1RsVHX97Dnmnu201qLsQUWrRvTm7rG2g5I4Qxz98gttSiR98rZ9+q2sVIcefs
RZD6IZoo53CKZa6tHiWxbLcixeEdGdBKj/1Hw1dpm0yHqqC/JOJs+h7FaAxkVGVCZ2+bkfU4ws0S
j44q88ZVC0NsrZSdt28Qad/6qftUx311FJC1Wk1R8nUm1bfpkS4OUuI+RZFVHcXoliEgb+Kqj3uI
jMDr8dXmGz+7PRfFw05VKv9Yuz/uwmJotap/pFQlBrdHpng+ijm3+XF7WIqzQj+2lV2aD9PLKrdD
lG3o1eH2XQGGCY0Od5AMsIwd99T74Iv1shF+bVA0myV1kf1VJPUj1Dn3l1m/t+lggoJQ8iUscvVH
VStvKaIe37zI9OYpDY9djikmzBxYEGi0WsfQQjARmbxsmyrRk40kN04RU0xMpPaz6bMGbGVp2oD3
Hrr+reqtb6W5Po1XmdMe+RQ8oaqrf/84QcrhGoFaeJuqFesk+W20N+XYPqIBBom9KyktNoaEMv0U
dBQQnIsCiexV2lkBeqCGscvlPpj5TY08XaUb3kKSI2clFgc8fcqncDjFkr0uALEdbs8/i/+NFes9
RGLEeqGtzrVvS0tLAWbZBVH8hfxXxdWb9yaABdQqNHsM3al2lpxry6KkhwQ5diYysgaydV2W0TFp
8MswXT2fY+OqbiU746VrOwg+sHPdl9NBDG+HspDRLYv97S3UmFG31jAMHL8qJVa6FLyXFN/8B5Vu
5GNPJ/vRlkKTLdVordGSRxkLldV25RemPBfT+pSI9BGCvLJHgxOXITtA8FhrNWcdxuW4Q6gNdGwE
m7RR4HG1uq7PK8O1XgrL+N6PRvozx+TUcoDxzUZvwACi7N8jCSyF2lTuYqAojuBjVj5nkj9zVNV8
iiu7eM7CJlgidh2txKQW1NbJlZyVmBQhT0HBo6YgiaQ7l0ty3O0ND7N5ZJNQrBi7+BKjjHdEOjdd
5NDJq1VRyckySGiHYBea7GXdpIciTkVQHKJp+noGEwh/zpTmyy1HDHncmmtb7yV4qpB3Zr1eIjkY
hK991jsnt8AIs53OCjWQYODmA24ZDLso6zdu6Ukzdi/WPHJhiTd2P7yqkGOd3nrJWxXZvT6vkEqG
yQDjf/w6pjIiP4YansXBky6NC/lQouh8Roy93ytD+Xab10oEHLocl2URU+XqLzvrQxYKVjf0a1w4
6JR4OdQRtKcdU4Xf1cnWg6IMqEdN+Mp/yMg9WVlhOvGqsT07e9Q/takOIkah4X0aTXOsNGg5T5mZ
Ii1vo2kOomr0M6GIu4+zJnxswMxdv29FTNG/pxJ6Xa4L4HFatXtXB7Dn5gmeX4r01bCreVmOcICl
qj3LSrpFjFD6Cne4PxQafqXdlBXmHbowhZ8vxSxSMdXCr3LQxTkQAnFrNYvjR6VGUGda+otD27XZ
unTD379B6GnJuvYihGAiWzv0o3puEgtuKSLWyJ6atHqVzq7O4kC/FCHkzFjifHwyBHClrOiQ+UFN
8X7Cw1yD8YC0V6vSSnW9kFeYKbE3U6P0MZ9o/g4U/lPob0XkFr6l+oqRPIoJTCT6KRUhRJiOOdyI
DWY66pIaeYUusRn/rACXTZpMVgLzVjHr+mLEmHPBdRthZ0EutCS4Y3MWiWgOTCAfLQ52DpoAF1y5
y13r4fD8EUe2KcQjLXtH50478/KZy7HmfBGVlsx2kcDt8rMYha71qrSue63LqBRBIeMW2U5Mtl7t
LGjExWsxDDSzXoeBpS7E3UyIqztLlVDVsV38UvFDp6Tp0Ct2S+Mg63RWSgv33Q4Nj3e+e0+tEnkX
JIbsTQ5JfiUHWXEcpg4Xu+l1VUrBDyvWJs3QuHmGzymtGyy5NqCQ2nM82s1MpIQR1RZQIG9xJ/EX
aX3Aa2rS/kcNXPhwZn/sxjRLtizF1pAqMzTlbjemgev0FCeP32Dnz8y2aB4V7LPP6DNEu7yKIDrR
7ziLWG5VCg/9uFmLoZgYNev+ql5SNuhf19Izyi7Izs/t3sFsDLLoxwnYiuRJkz11STUKSIClIaog
Dm5iFFgvyX+NklTtU89CwUy11GovTweRIoY6fNrfM7eLP10j7tMP5bd/X3wrAtzxx/+XxXsI9g84
aHDR//P/VZVy5XeJ1n1T2zRZJZ4SzgQBWFArxVmOgTZaHXJ9LgMr3IoYGl3W8SpaQx+gQm5GQ5l4
CjY4PR4TnMwOUYvytJt5bEZN5XR31qqxeo31H2f//3mdWq5qw0NDfCL9GACCZ75OYU1si8XQ08No
LxqTYhjpffhpKGZvybdr6wxNmrvk29CrML5B98Cdy71iHewsy072EG1QrfSfxYF6PRKNjqatKcBC
7Bud9GRa2lxX5eK9jAYJi5m0hpncqhtUxpKNb+sR+wJNQ1+iNX8gcVXx1/5hYtw0OSOFu1zhkWzm
VT6z+zh9RXNdWkp+r6zFMO2tL1JmpU+pSjMOdN6D5mjJaxBn1caXGqgGYhiOOCN37nDswnb4qqU/
w2RMX7s4TfcaNqF8oLk1TAMELGFV7sTsoGPx5qflJQhw+xa/gbiZnATeSvwG16HufMnsNn1qnLQ4
V63xkHg+3pVGGGwbgHWLEj1FWho5dH7UMGZ2VATvfDm+BXamPWtyqG3NQPER+gvLN9t6l2rLf7+7
0G2Ul3///GMTfrf5pERlqhZYEGSxVN0W4KhP9f0RTnQhObiYmj1rka+6Yuuryg9RdvTQQGwbdy9N
3Em/LZ58z9PXYiTidNYsZOmnWTGGTUPlHRjYpuv0ZDuYIXs8X0dazVIb/FWxqthqk1xUUZj5Y2Y2
c6+Mh7MIpRlU5xaD9KuglJjQVefZLBsAg9NFFuScA3L0FzESh0nwCHIXVZUWyC9eV/CWrBEr3Kxx
x2UfApVkkenP8YSMDwZghJc+AJVgJ8MFJJ23LUILZnzbGvUEhxrnqm7ZC/Elvn7lxVc5qLO1rpd7
D7o2sgtesg4dPCl1ml7XA7bqk3GWEX+a8KcUcYU1XSGS09x8VzTXnOdODj+u9RqaU05U7OuPs1LM
iDGNXttGftz63ucOgO8pUerlh1o2H+/qADf1AFEbCIbZCIrtIMJCXuBWMqhVr6DLhtKDb8NVhwEi
ffVC903n2X8So6Y+xXpmXxLVTZ5kyz/RdpK+qii57GVZDxBuRLobklKwNim1Vh3o1DMEnPTMszp8
qviD+JFsPGNlaTwXfpdhQhkWexFLEMfP6mRYC3tjyZWaSY6r3TuxaucIFP49Fme3HCzKWJ1NB7Z9
Dz5FZrVVeryspk2cT/ECtd/8ImAUAjghznS/QTA4c0CaDzl5HqXkW56RwQCrpHBkeQBbXwkMY442
gopwHkNxkGvPOKV6/jQhendDaQSToETkHkvEze7SwgIa8pUdJ48Q76OqxJVzOsAHR3loeBQDqoGU
naksf80addzikproMzFjBZOGi65Qtp2ucvgw7e0aN0CwWue+snDY6+JHMULgIKF/EUxPoxDHVg4J
ogGrEX4Vy4u/Y3rus5bP7XkStf4xLYcfwgs6MnNbjJCL1i6hNH4a0XO7jqpEVS9R5H6aExIXlF5R
fczNcWf4obwTZ3XXj9czEYOHqc3kLgag38ToXxt2vtMyxaXdZjVpPLueKzo8xSSM0xkSVurWLoZh
2+NddlBtFz6eNLgP8OLHpUTf85wlaGvpqV9fUgO9L7ejb4HI+s+Q/eR31ID4OPc1DIAgnOltwKaj
KssZ3PQEp+a4OSSFBCXer365Zm2/pg5C1HquJJcMlhhiM5CR/v2B+j/MXRvPdZnNIw9VHqZM38Gr
ItP1066orItf44koXr1d3hTzuAvjnShf9xJM1Rxt+p149YpZIQIoZmUciK6zt2vFrGr020bN8qd/
ul7cTlzgqyCMjbJUh31a9OBaah+NwT/pA2YD5J7NMFIB1yIWgpjdQVeDCpPAprvkpVsi3WF2F51N
ewPYFU/kk64H+ctoB+Out3DWEkMqhfLS9rSBhySzpmcBpS/q4jiio/diGNm8GIp43Ri1g/u3b27g
/hRro1VRvx4N3JPZCA71iEIggOfnsDOMTeXJxdqrQ+sitdo5gCq18YxJ/aEvdjIajt8MlGMXAcvc
o66l6t53sGt2MrP9mlTmV1Hl/khNKkQiRarVuuicTKm2079kXY4FBD67R92GlrxAJXsph1mDk4/P
Yq8ZPPuo0oI9anVnv6vJeDb5Ur7LWvHT8nvzm5YnCLgk7vgCaw1KpGm2F+xedNY8avMch+mwKBqK
FLJUt0u78PVTmuKwBTAYPdkyl9d9gzmR2enWBgk+Z+fYVrLTpKzfWl0n7+2iQPzThAzoBFmwbvrc
eshDQ0LpBCsXFVgwLcCuOadhhkJVYNdfqlJlL6+mHVplk5R10iuvgYV8RJV32I2M4yv/kvI7C4Cj
NRbWT6NLVnqT+TuPps2m6PjntHoan4ZsKJ7SvHjvQ035pni6vKg8pdhFFURIBVsBEU/62lqXYNtW
PdrQyGYaCHPa/peuOfV8ubejg35eDlUaplQVzGlqRd91JKvRiGp+DoXtzRqzyS+BG3sr1ZA0bBBS
72h7RoIaXeG9RJ35tXPG5qcUhaumQZnHzEJ1M7CnmWda1JxRENdWWiO3ews0Kw9EL181pZ8/Y9PL
49LXknesAVZKXtZ7nPHiuRXl9p7Gv3U9iKHJlpw1iIFr9zSh4EZTzsSpnISciqTrqTNdrtVjuo8w
P/q4jTizAyQ2LBkBDVVyqkXfyeWDKwfqDokrdeWBWvwC4DHlhaOnPzX/W4eO7veUfeK8L1P5SS3G
dCOFur3RUSF5RGGcr15hFe+VV87FNThA/mpUObvkiR6tGj56e0ODmY1LAaKuCtZCmYtCFHbuyY6n
4XMgVh/TQZtWKSJeNuOzMNMWoVucriRiJmR1rgopAh2W6z3+rzFxE/ETcCB4TbBsmpsBJtOg7L0v
DQo0D3ViP6oSsrkiZOKdWdFMPslTyHYQRTfAIK/FJPpNCXAymgFi6KgD9ThzrVsy/hxV3y7hzD1o
8VifzFqqnyeFLC+OKGMpbYz7gqEt26mqBXU6nLWqU50KTWue1cb7lNYMIC0T5wVRxmGTU6ZLnA4U
r4ox+aE3wK6Jgxgm0cDfzzBwWhRi5krmPWI1ATWXeqUISZ3xpskOdqAiNpp80YEBoDo+XcAqI9//
+/uEOsOfC3QbwogNypPWKl9ORZHvADiFliZjFqbqhf4nzZgVz9p814322qTu9lRML/LRcdbQNn+P
prnbaJoTmfX0Wu//yPzf60Qm6q8oSPz9Ez6uCyIJv4oyxbKgdWmnuE1He8U5yFULZtI2hwcREYcB
UNRaCrG3vZuozJhdgCgUY7AmL5wy3fmRAZNhatPxBcerq3Q3YiQOehUYOFCiBamgJxWBQLSbeeug
AeunOKGCW4IDiHirNQTuLtDCp2DScxUhcYYCZYuWO1rltwmqW+UqTTBzDXFt0pNRffSmVeuQFPnC
jKQC2ElqPKMTK+9ZP0SzIVHfS+q8X/Bj/znWqn8plbZbDamrYCsUGQ+6rvkghr1qm2cd4n89wgda
bZytPMmfozxdR4mZvZhph9xoQ21QDJHUxyugNOpV2af5yzDiziopOxMrnQf8JJMFNSkV/H1m8jXv
jOzBK5ejUgEZrSRpy2IBOe0EEux6GMe/DBV32SFq6yWVafvS5OoZ6eLke9LSQukzKCFAg8xNrNFJ
/4cMqpt48rqKuobIo6zGvKapoSYJckdjvkxyOfnKu+wHRBH3p6p+a+qmeoxhFusbFzE8tk45TnVW
bDx2cabsQiolS0gXxqucSyu/N5LvOIn+zuC3l3cT6WxpmbSvqhz5Zz+JWIJPkF9K6s08Ltkrqzkg
FzCngWR3uFdNEDlUHL0DOoEH7CgLjxJBMKtRRmPRFxood3TqL0/RHygzR+8l3N4ZXtfui53jScCi
NPoytIGycPnHPMaBU69SoONHw0fWu6+BsgxB6+/d3sg2mZ3ZR8qN8SrExe+JvxiiDBoN5cFLzGrF
Gnw8agU+YZmaaVtPlobXqOcdkPcONXO3PPbwD2YirrvVuND8nrTpwdXj63FLk6MC++PpCSYNKXer
jd9pER7O+HD84tUevej8FyKiUH7zkDtYxqbtH+qwKB9iJXLnHgS9dwXlEQ/F8kCWs/lYRw7IKEfd
Vfgo8suqxUuUJQ+JGZnfkzj+mUqIqllFkf/X0te4YxbwqHIUTVcVymmyoUN3+xMJUvcomcVNNlxA
6zjnUv9qaw0PXuQydkaLslkUR8W3BBW7mSnVzantCu2pVxWkNYhHY7Rsh27hw8OYa3kfbcVGRAyD
yvg8FLNmVu+LIH9yRht7SCVAzRc9unNcRpiCU+34piXjUyBwuY69zQ2r+FWZ+V/aENsvEhTPedJh
G0Hz51ddVzJuexgh500+vPlWeq5QDHoup7gPGH/h6drw1h6K0M1OnUzpXezos2iUV90kJiz2+6Iu
QIOrPwZqbmzN2NLRTM4Q6iuM/0PbeS03rmvt9olYxRxulSVLtpy6233D6sicA0g+/RmEvCxvr7DX
rr/ORbMIYAKU1RIFzvkFI97ib8POEuI4tUo3r1+T6Y7QVqCl+yPWBAEbJHUQR9n2g0Icg8HqqEoM
qKf954AMsUubKTIQNcthnbnDc2vaZ4kklNhDWO7pce5SIA3ch6WTIjHhCmT7dfXkOm21dtT5YUhV
sZbxouFnG8Fc1QPrt+NWD7HvKl8QFLCWSVxr5wmyOvd/jVzc23S04F6n885dptuzGH4d9Q+TMQZ3
nemLnRMN+V0DrWBRBHb+pa6jFp89O9sqdZN/CR37BY9YVB5xD3j0oM3K7tHL3R3iCUj8zJPykac/
U8eA1AzV9nNU7EzDz754RWnfUCWul7I5KOMj/Ju7eBYEymv/1sEi6ikQbYoTjtGvZH+ABTCguurJ
aMdV7qH4q6blxmxbtuDs5I+Ax98frn2qgze5WdTGQoZcB2QTpKhYw1lyVrloxtWgZ+m9V2HXyXZD
5Ycy6rcoD1fHoBqLPerZ2SEDuXBj8AXdGXHXoRGCIKca9C7wZTw8xiweHtLU85elmzfPCTqxi0HT
ui+4ZCaI2Y3GN92fa8Bl8asum814cQ2wtkhxe9HCGP3ZCzgKFmpBEcZ32h8o1z4aPT6Wv3vAFHtZ
MRsa6gI4cN+rczWtwK/Dn0UU5RgVncuYMZPi38ZkTe7P87ykDle9yPULe8AzZzeKwgt3EoEJN9bA
ASKEnDVzpNvAUTamSEugrnwiu0dPDfZs44PfMBX3oV9EL+RCNG4UQ3KbeqlxUJG22WSx7jy6NVXs
CGmWX7G95Nvv/Ky1CsdkPVceXG0qti2bgcMQIJcUVOw3Kz0dX1DEvom8tD01aoKSH5m8BYnP4DeQ
U7RUjd9K2b4UFJc/O11Sriq3m+4MB8f4ydDLveF35ibBC/sGpZRok4aNdmPUWnRS2wql6iFMPhsi
/YQOQPcLlMumS8zw25ig21HaY3iGGMGdpsrDXVD3xr0TYohSjbr13RFf2TJDN0hzQ5wiSVOwh1Lc
zPVJMfMV5ACIoNczUxtxVLCKaaGOln3uRftSlx5mF+44bhw0arfmDMRqse9WO8V7GlNRHeE1RUu1
NaMvXREDV+PjsZNNb0JovQnEQ+237b0okkd9jvIKI93hR4YozdwkeUfmUwl/5JbosO/jvyEpISNd
QVJTNDpUmiNy+W9gq7HrVwqSU3eyy8GAcFfjJU6twLhJkwHCReB4W7NsuDOoqYIZZtc9JTaKymrd
i69tUN7HfDqCRYlaZ5Igmo2h3c1o9MH3dtIg9geR+Yyxx2VjoCQ/uFF/wp3d+Fy2GH90yI+vZRPH
km6pKHzTLqP8WSJHTPyf9+n2n377bMMgQayD4Edd9k8Mb01MUKTtSnkSXq6BbTKM5VhN/Z2KIvWh
EbW/gS5ZPGGNR+lMz5yfJbjAoOVLfI0d4TXux+SWbQHhUZk/lRUWduWswfkWnqHne1k6heCKQusc
Oy9tzWySBong5YWonU8dkPo0vWnJ+P6qW+0woBP7tW16cxm1cX42k1rfFTx37IJCi2efYvZgShF8
zWBkB2zK5aQepUeyoOA0JnAT+nwnKK0senKCGCVJqvMhgldPiaD4O99B5Nhba0ymj2PzPFAuzn+R
lQEy9/FBCcaJgYaBahv8A4H+n7sP0je+CZzQeTIo7a4SPCtLTLzRxwynZAtQrLlxVQE3U57WHeXI
dj5cRnJz9JayU6QNlchpdJdBZoEktaeTxLlIOIw8+4CJ+dAUwhpRj2htE6VpE22gDiuLgXoabrc6
m0637240pXKOGDj26wZpjWekSvCmnt/wrDwixmD9lJMyJWKSE3cb1eCZX05qkoCvZegaz05astVP
73S9DH92QmAN3/AtqYJiaY+AYWD3fXNae/qCrWmzhMtiPagjRik46dqnNjaVHfxDdZ+oSXiygAts
zEkoBy80P4WYXq9TQDZHUnTeDfjQeKNks9MNnDh+K8X4ywfe3Jp8QMDjgffo42eReNYa+eLXSSTC
o8skHlurt0mjRArUSHXVqR5dJsXzlebHpsuVfF0RT6pvUyIBALTtTS9b43kWRp+mNvimofh8FEYS
H6Yy9tjskmXECahcN8MQ7Mw5B1kZarGwqtG75CCRl1rMz5vPZWqt0DlWgblq9pey/93MOPe2a4dN
TT5l51qxM3cjeVycAzP5kjmZjzwaXN2m0T8jY+jfyi55kE0vSzck3uPjh36z0fVlh3gx+t4P+BSM
N9iI1EgNIXsoz64H2ZcECGNjNMcdyu15blMf82QGHKc+Jm1zadexwdPqbm4f9d7Wn+Xo2KnWsfYe
g3po9nqWGJ+TydtQpLMf1cEJ7+tQPGL7SBHMbLydhtHbSpl0Y61gPrcpyjrfCfLvK/mt1dwx33mj
212acjRDNNbXxq1Vtr+t+dFsAKi/IY1j00VTibVTBf4T1/mfxugox8YbnZPc4IbaJnLU6nTZ8+qu
jQGe2ev9iuQ02xncB9ZCjVFPa0LQ1WzVeMoMVsgVhMcyDrNHa4rf90889Q25lT3O8VaXeS+mfkxH
EP4ZOtjPSReuTfmKoqzcs/V3V8Lo1Z09WfwHZCEme23rntokLJ6VNljL58wx78p9Rn54KRK9exyH
sNyWLsLOslDoJxl6wYnpHRPess95fC5VbfwE+uzpAoIB62WsJkNRN+yNnUPmd8rJxelg5cdt9QXP
tXMw5zr7uDzYWW69iATrAIN92V3lYzbhKU2zjQJkkjEW0xcuWJWfmDebSfM7h+vwkhcPJIMxh3o7
UZSPPe+HctALmA+8i8mr1nlRIffJogLYl7lG5JBunT9OeUPJSI+0YCNHe2iSVTF+xyo7H3lW9/nv
xAigaNFldpJjZxUR2muN89Jl9bpJW+1HVnTqwtOS6T5lkwQQ0HY3aSS856ztn2REnUU8sEbpc1um
FfYwebTX0q566Obkm4xwEJ4orX7EdzuAPTPrjUhRX6FCplHDDM8QLRx5rrfxyhOOjQFg58TP2RDd
GnpaneWPT0GLCeVZfoznsWurNYJ3rbd5vs8H8Z9//T3V+fPv/wy3ofKjUaj7sxaSYSmNEqjD+DR5
h1rRRLePMjBJnmf2yH3HyLiPECPkGa5+PABhWhKt4sZXwJL1/qbLkf2BnAIPn9zETWUOLtVz9Slx
EuwwuFVtR7ONN7afkxWeocUSZBzPGjctAuB5BWEtQtToxubO+skxvU+5m+h3soVf5cLI46cEh4mz
Zuf+gft2vQpyx3qBcf3TASh3j8WlcptMPSbkMMxuR0+pyEEM92HbN5D/up8WSrUvNZk1sAv9+Dk2
umgZ1ekZLzJxW8Sw0CPXLW5rz/F3sSaafc3TacYz5Hrsqv5x0NXpmEbdV222MB+rXMdzug82tkdV
oeS37qdnNwuD926XaLGyq/z2+1ijA5eZWcn7ERgroXn1N41ve66XzmdzNP0tdOB8a1dldx/aJaYt
o/6SZsZK1pWQvg6XoyjCsxNX90IJ4/0wRPaNn8NFkQd+PkEoYpnMPhOe0Myr6n/jza0i8QTvx/sS
Fj5Cm4Za37jOiAsEL3FJymBcG9ZQ4afgm3c1d6el8Ct34woQBQtY26g2dYnz4PrqnQEM7psGYAYT
enStfacseeAZN4Xqfg6tHO8iNyoWlahxsZq6eGvXqrbkDiA+ezaOhbUZ9j8C6PB1UIlw0RlPfW56
v61eueeheNdSnV+NDoyFEVvGttUwqs9Cd5uYuAkWQzPsbFc5+FORr7URFnva9At1NiaZ8g5/M3Bx
m8LveALP2zu9BL/XADr83iXi7FJs/UXJiZyN4y0DHwF/5ILaQwosRrL9CPiDFpiPUw9tIT0OiPrf
y0NVqdqNkgDhm7sSRamXUebihjxbYQhnhH8gyi+DW54rOy+fgNU+abWHd6Orqc+Fon0qAs251eOy
OY1WjYsXwrhlFsc8wv2K1S4/qlHw4MHr3gdOhmFdHRXmUSEB7a2n0M5ehE3WuOzUeiObymjfuSWP
h7bei9vObocFGu/5i6ngVVurXXije90JmKYL/hkVMcmgCT3OkBr/mZThbN4nXvvlYEISk3TNHCLb
qI19Rag+X/X++ExlJL+r0vh59hK7xTSGb9IktAO+Xz12HNypgYZnW5IkP/ndFfcZ/q6nYXB2VmqG
0RJBLRJ6JhD0eVCdXbL6wXEO5ZR8p8ZIhEAhYe9F6JJd2hGKuIsR1uTCH/J+XZJZ/sQ2plsDvedn
bW7ahu0tVU/r9jn6zJvIwx5WtI2C/Itt5DeXU8fseExix+UuxdybBPxAubqyDMVtidntIW/GczXG
1p2btVuePtemZ/wsBPrpatx+F6bVn6cWa3S9cOtNHb1MNfXdmCedsYub38J8FK4jnrFd8Y6Vj6mU
U6XQKpIOEknMLR0JP3+nYuSzKPk6nzOlK8/5fOaY2jnjpn8ju+RgXzTZVgjc/GQTcFN2q2j194SS
cNE41lOdqP1eNDaO8nPTwQuRzFvyLVZy+wltYfGQdRidzq2ygLEZBX23HtRBOU7zATTZ6xmWgf22
D+1v165r2DXWg1FMaYOrv8107OYGFO/vyi/dw1A18d7tfA9K6JDtIlMLTiKKmm1YG8ktpcRxY5RG
dTe5tbP2MqQ9hAjOHr/MuyIrshv0iNtDyNd/10WFezRQSt3oozrdDVVbrH3AHw/dhLFAagr1qUzv
69oCdeBO2T261vGuN+t6HwdeezdGXUTeK61fdD8/qRXf9CQFW6Dlzde47owlSL3sbFB23QGkUnd9
2SXLCpn/tUYWdY+NZIwUnDL/ZGCW4DqG9s3mwUJXa/uXW2aPGnuIJe6D6llgIY64SPnbhFQWci98
CXpeIfbnxdnKo25Xj+2ty1dpm+iu2A4WWBnVcckt2KH+WbWa77qdxb9z+wRKE4EFvsxnm9rzixMa
5bLqteYBuZduU6VtcZxdwryYmqAfKM0ZhlE3O/8k36tiWIZFnf5SQx6zvJw9ie2a+QZ6YXEzTYZ1
0sGRrEJPaF9MMZ7IgbgUKj2NW/amUe0KgzxrWgtXrQ6kKR0cmMUvuBXcKKna80Tc2PdZ08U3RhSg
5Jf14y3mqTy+WNb3WCsDaBntuNNCXLTsgC0SkkX33ZgHPzxgcgstz8aHMTMFCPNa3dR5330mPUGB
hIho3ji7VZHd6wLPpm5odthJpHtn8uy9NsXFkf/LZDuqrX3nmZW3isQsVzXE3m7Uo/GYl8Dxh8jz
nyzTbM7Y3xwSmKnCEAujotwbDG16ihDgw1CxbtcS3BXwXq5sgUeThH51CJuDFHFbRK2AfjWdu+jQ
NH1S1T5/UH0s0cvWurHqPl0aZi/2XacFa5w58heIGL+ougznyoPaURjhTwxeQG8k+IL0SrmMdPKw
o6fa+z7qx+2AF81DoAuc4ouu+WF7NWKenfZLoWRRqZHzXKn4VGla8uKOdbkqcsM7Z/MBgr1Y6DEf
VN9WdGVBIkhbTbVTrkO/9s4y0PNsc+vGmIBe+1B2g99icWOZV5FhqTXYZ/ey9mWx1Na2AaiGXkyf
RyUI125R5iclIAEIZ5D9c2+kRy/2vjqJ4Z0ig+frsHmcDCNa6pOOYK0Hy73GVNlztVMJQWU5oa8N
9ARRfC9t9H3epyPOkxxwcx6zfMPDcbQreVJYmXanf0bu9JtRD8Nv6nMTSOXZxjZ+rhUsIpvWK9aC
3De3yzSYDkrKjdpUrPuB+8hOHZV4lVY2BkRx4Oz8RMkRacz5vmrpF4Aw6WpycSAxVFyJsRltlpmB
tUdsGwN6QEmxcdXRORZVhw0LJblHq3Cyney7HjQcmF9DGlcnr+YA/2I3giJh03x2G9EscseMPvWI
umPtbRnnxAt5RAULAZ57i4ksFAEICeB7EIIUeiVwrmlPojZ4BCRD9ZhRZ1pAyh72sk/LDHvRTy2k
YsU9x0bk/KIWhQvCsvUD9yEw2CVHuvpNVXBTA3k6HUwFgNHCRzs5GufURKUINoLJF6WJ0hehhgDW
gQPNwGWXBHh4AJXeI3Nm2MtkcOu1DYYeTzMKkkEWHdVyyPeRtDMtVWWF24dOac/zH0ZHPAR2cIIb
jRM0dkkkWJJuiyNMcU8+DUqyUuXw2Fpo4za7Jii19bNdjPFpIK9BKqStn5MS508vMZ/4/NhP0wib
Bzr4HwxxZ1aLuVLBKp7iVhXOW2tJEJcDcdX4t235QzbsMFTXhSOSlePU0zlBGmthaO0AM8GYzpc+
1D62euqCvZhD5ABPC2ikKGjA0FOKOFmqVs4GeFZNGzynOnZd+nqGiU+yRjbSQuZLNC11WGIup9yJ
+Fylar9BMh9dRAvJSUWF2p1pno8HGgc+Bt6+g2lloC1ysmqbH4Asvm8rJeHrz22RHaxzr00D4ii8
M3urtpx72de6xUFPmmlXxK6OwBTMrg7jJM0fUINTczRVqvGWqpNxVsfRwpY7DO7x/qu3ozOmO4VH
y0oPJtho45xCuAPBuuot1eRnGuSmV+pwcWLzpYfUdwr7n1jUU2jtxnLjuSRuyyhxDo3fsBebz7QE
+ZxLp2zLQ4ufVDWMG7zU2jVpU0oUJUxIoaQvPv6kXzETmBVRlPYT93tt2cZ+8AgWJVqbce3f2Sof
iij5xsMVBfiuBrzfWfy0zE15EJ4OqtbyyA7Aa2NIHxwbh60Vrpz62WgeIrOB2KjaSK/4vMFIIqCc
rHp1uvdtXcDf0JQI3xvyAWZipatoUox7eahm/1V2W91GC9TXvrrFqKwe9Go/pLV5iROadktBz8Yx
3fI2JdrDq87RzEMbkWnx0LB+0kK7eRCNWKiI4D6ZTr/2ElW5nzfqftdonw0Qq0cSBP6laZVZtoxH
geewXsY1Wrs4YJTI/2+RYEqpxRY/XD8ucA4QAnMuMs2iNYd7CyWN5eilOB15vnuT1MqnEEeqBwFD
0uzq5glzxfqpAI1UGq12WwZK/eQZwlr2aFRzh6WJC4u/1XpSM37r31oFoCqoW/5tHts/tWmKPwdZ
XO8jbI1WlRckn23YMmtTNNFOjsKIQLszNEvQK4xiM4HKbaI8qq6pPvD7AYyF7sHp4S2Ghb2wedC8
cZQJwGBvGTvLaHBy81UbxlTSINgEegweuP2ckUrAv8JVV+T1GR1VbVsW/LwriWORYgnR7wQmupZz
da8PtqVWduvL3A7QGb/25PnmYHZ4zaaYQMbL0aQn92eOU3VpAtPiB2sc1I0MzkVKfRMvs8soplX5
uu5IjF3mDoO/cihob2Ww0bf6qg5d/zKa2k2HvkVW7WSwGmHpV/WUhOSfkEyhsqTCmmwx49lZjtff
9Ujfb7JoKo9ucgP6JHpSsKbUVPGkaE7/lNXDJ1hU3qkw82FX9ZA3FWMQd12LBF3Ue3CHlMi+9LXa
t2pCT+3S1SNWcGtSbPbVEp3bmCdmgObhwRWuuJNr5PVsMGfn0dbNh2Xm5IItXuSsgE+nN0EA8RvW
24+c5NS3sgz1BSgP6y7DzHsXDe6hbbH4w4X9uVOT4DN8ZP2ArwWK194Q4Bjbthty7eNGjgIeaJbU
CL2DHC3M+hEf4v4cRK7xqfvWVFmw08NCXZXCqlEMsetVA29128QUOfG0QAYJq/TeWmO79cdpOp+a
Wlbpy3cB707NTMNUbiR9EFgPPiTMTzZ/3qNnAuMdvOCTwaft3k9xd5hbiiXMO4xIH2QrnnIkUHPx
Q7Zq/mjo21FFubUKP0012kHuQI1Orhq3k7HxQaasYlsx7kZffT2Yyt5RRHB37WbDj5moHzzLoGt/
OnsJhiOV4g8DRRCrsyfXuL0GyxDyETzroGMm3i7n9zwwWrWmPcOH30SiHV/cyfZXUwuoedRy9aTq
pLvATq9ctF7gv9d4Kc5mJ/KAr9LrWWpYLl/v2b7bwf9EjmpvZ2mReeuhh1DyYUAGy1HRKcG7Ucg+
2K/YoiErQe71smrTuIu0mQDudZCKSbCMU35ALuz1ELNVOKTzQZ5dB65x14EPcf8i5Lr8BCAeM9n5
wtd5snmNuV7pX4R8WOo6929f5d9e7foKriEflm+CGZj3YfjDla7LXF/Mh2WuIf/b+/G3y/zzleQ0
+Sq1fsSjM4wern+C7L82//YSfxtyHfjwRvzvS13/jA9LXd+w/+lqH17B/zT3n9+Xv13qn18p8g41
u0OjWCIQwtYumr+G8vAP7XdDlKKYlafu66xLuzMTPLznpS7ty4R30/7yCrJTLvV+luz9y/jrVa8x
KnXnaX0deb/S//X6PMzw6C3MmN359YqXVS/XuV73fe//9bqXK77/S+TVMXg8W5Xosd3+492/vqoP
fdfmxxf6t1PkwLuXfl1CjqTzRT/0yYF/0fcvQv73pcDUd6sRh5+FGY/NbTeEeO+CiF/KZtjPkgFm
3oDcYRSMlrVUK9dfKW5T6Nu0wdSvqT12lPOwDBzGAEwc4JUjJHUcQQs8m1ZyOOjXpon1KZhfGHSy
q5+89Kby2AWWeqlv9dFwViZFpSW8vyVlBqCXs13bxcxN+rpJNzc4e0h6ylNrmBJlefV4053Xideu
qxWcj/cuKsdN+s2PGmVvIvm8zLMs2VKTIh+lZsUDqMydWeXtLWJL+YNC9uVoee1Zjsmoim/uxrPr
YQUtPH+QYTp2pIuQZMtBhui+yhYpZ2vKqjIgLQswXGasLa4L/cur625/dizdJ4n6F1f2RpSXdP97
kBtk4HJXnCaQWCNG4hieyTZmk+FySL3X4euA+RZimwohxUBIIV6nybnyIOO8t1WsKgk3hQl5Vyth
tBh1TBVAnsoDWUJESq/td0GJ655AX47bd3NAnv4R/q4XccXUXQ6GKpDpQ8Mflzf7ttci51aepXhX
9H3enT70syGKVuxP+Qx9mDC04bFPAtQa/lhDRshDyeMtKlB2v732ybMwdfodNMhfH/rlImXj3tTl
ZB/koOxyUrHJ1FHsK01YYCapE2LkZPEW4SJv196lXw7Kfnl2PQCvs29kc5ICePLUpZji1/HrXDmt
MSN/FRl1i+dZNmyAAPTLKJ50b4G+XnNeVBpJEkyNFD61QKhJ29nDJvaK9iwCtT3XWukcnN59kl3X
fuS3nqysdXnWIFQeMuDIG9sM+uU4z5R9l2vIla6d8jquE4yX68gBtZy+ZEXdbCVNV56hA3X/ytf9
QN1FhM8rF5exy7nk7Er2LrKwoB3alYcuZ0gN96C2hpGia15lzUGpFJtzX1Hr/zhvNaNWlzLcb+t+
uGk1HW/lps/wDTdeudOJ0nku2Q3Y0deDUTaIdZLNl13vQj4yr+V4ELvQsd+FGoov5HRJxEa+YBGh
849xGjlr04AojcWvfRPOoAgcItWvWYE60OykcY0IbU1DNFhkS33/AfSTZIDPN7LTmd1C4b9aJEBW
xRs2CE2jm9wOqBzNGUC+KQ8RVVSEK5HFkwcE2TN85dr+IpqHjiYM5zmupRp2iQNqIdaonjRIx5XN
/axQsInaOl6FSL2HS5CCOXCQLF4J36vvSzHW97JPm/s6SN1YDpGj3ci2HP6wzqDGd03nB/vebsSx
V63+6AkqxAvZjlGhv3H126Irhnx1GSD5BB5gcLrvIeY2FO71Hv3loFxdV+jy+HWtD33hvJ6v337o
ttVI2Sr6cN+5yatV6LvflVcX0dqfluQQtHe/MJefHUqAN5cY2X438/IjI/xIXQaAnpYw/NDHVaiY
Zmn0Wfhasc1nszl5SN/ORmkqd23L4V4klxkf+mWTJ+h+C/L/SyM6d1qQ+IQ15UFizsxIOV0Pud+8
Ns2gXXTARI5yUPZf5vawcZbBVE/r6zSy6v6qLytteVG7NSEcQoMSiAGaRhQBAtaqteI0L8bYZcGh
zR1xzOOcB9OoqfbxlFb7xEhd9UFY5A7Uwc2XMqaeAxPJSBg9kNEdVTfykLeyyw31YslmVCAP0mhq
tvR0G73iwZl2/Mxpd5BZ9Tt5luEDqk9Rd7r261i3HTPdQruIUE8FVLvQhtLaOrxsKH50Xg+k9fhL
QH2vIsWbKwPzcGR6SFW+XU32NfMlh0KhJMPVri8grPPm2Dfm5Wrv+vO0Ah2DL56Y9P2URtWWPLX6
6HUZQpWKb//UsfMIu0x8d9tcLGtI/Wf/LTYynOlDrHC+1FwmrdBTDjRKAF2DOFrqNaST8mBnoNck
LsOVHZGRBOnw2ldArCqGCoedecZlslxHhHNSrwrdRTOP1OiYaSu5oj2EOxnyccq8NtTaCNV3ZsjR
wqpWqe44g30HZj1fuw1Cw/zX2T/tEJ6IllTfQjtG18Nq0ruqTvD+xcxwY8FzeZKxUq7lP2PVfrIo
0wB9UPRaWTgaP0mSM9DgegAZJqE5w4hVA101OSrZBnLUcQE6yFE5t+ioQ6qeYXr10medpUmdfFHP
Lgfk68nAV+Cnrk05Ws1OVHI0K3CVqU0ATY2Gyq/XLUw/be4QKoHBM59dB6594TwKgkPb2jFsBRkn
DwI15ssA3I2fExW+SQiKqNcJ8hIfVpKXGFE7QRGahWXw9drp/KJAXzWnCliT4Zjl2h6B40X2EL/A
g8IORn0JeAMoFkZIDYtOe6ksDZBVOT6OhYCfpyQplfBAe3Fy1aH4qfqnIJ1UDBD5wM7T5ap5m9f7
gXzvv1vVH3S0MRQFfx82j3tLuNZW83uY2eCzFuiH9cdIj4LPYTntg4psf+vG01NRFcthFkaDP1fc
6h22UcEcBWmRvbONx4wc9RK94k9hSTkql4SVJ45yNDLVd0vmY06hmDXctvhJSSGlwuAVIOid7kFF
cHzfuaG9wezK/qRM0a38Hb5GpAA/92XkWJuwsRBdNlGnEot6sqqt3CdPcWTcmE6+/LBXhlTJDnxS
VePGil9HX/vkSNTU70bGgZ+fxWWrTsFnZxTNYzLbNxppioqO2RxaVSji9q1JUTQ4ycOUO3vI0eXJ
VvCzY6Fi12hu9CAPHgCPMgGLJ1toW+inymxvjN7EACYbs2GbdaLnJsuEie//g5Ol7XL239oWSNFh
EtOqh7LtnJMMGXVf3NrutL1O0O0p2XEHhVUvJ/hqYS1b5NMvMZfrTsldWRThZREDece7cKTwKV+F
Awwf23bfWshYeQA1na7ANomNOS8/KW65HHBFeFTSlRpjnFJ0jXgcg1pfRgLjW9k3gLg9gor66c16
r7KrKkykgjL15MxdAnT6JqltdpFzs+Sh78GwvsgxGW7G8Ei9DMpOq/rmYcz8F7RDxI0XBOJm9AdQ
6PJUHri9Kwq+Fm8BH6OqtxEZI5t+0QbVQraROovWujX1lzWvMVkRj/7yOluua9Xj6+u4LCHbZeY8
qaIOth9C7EblFzXwnkOrxkml88yD2ysR2MFJ5VQerm05LiPlsINU1mukbNvXyMuQDKUgMS61AJ0R
GSTXkGfXS+JNoBjLv7yajOQZNUR1EGSiqjfDnYPA4CoetGQtm70X0tcbw13vTs5CoEGx+TDgi/Rn
SL1l/7G/GA5hmWk3dV6nNnYqLDK4j/pYittAD1rASZmz8XiyvEfUvl749ST2sikPSec+qGYfH2Wr
imPtvrOGVY6B0F0xtzwzCO4hZl6nVKhwnLrO2vljM0VLr2tRGfCybxr072iJxsvEV0RH7E9Ony88
mKHYNFEGTqmql8B7xH3tqOEjRABwlf6jPBix3YIgsvxDOve5DUDVaVIwd5mbVOu7uzzQD5XpvU7Q
eyAMFkaCsgsqWrZ2ph7Z2Dke7G1+7Avn9zUeaiDwLht3uzmg6qtxGfThuJPNqS07wGh2tJRNxU2N
h7z8lCXp69VQRapIX9rO3kjbBNRNYZC0cWffMrREY/6yOFghsY5j2dwXFRYg4mvb3BsQ5dDqJ8Cf
A2SUbMqDEdkxOJoiWH0YuDbxbjE3oWWDEfxkaC4+OaMRYJXiUmwa0LG3AD6uWtFMG6rwSNe7UXiv
Ru4iHsvsT6Nyroklj4xNDTd4lPMh93+cLyNCxGkvEdcrvF1fDl7XABSMli8gdA+p/40VouGV1Fjo
LWzIOydXadcwMwKEBCzxo27j4BDPGOuFjO7syFmOoTGc5aFFNfVU+g2y9u14zm1IHlnsZ1v5mpCY
xpLBqo+XlksZrVGsYZHIt+NtVL667C9GU1Ji7+Z281wxv3W5mlg7atUBDKcU6k1S1gfggmhLAYB9
GMJlGs0F/7mnUGPvYA/5bzl0Car9bp1WbrS+zglEkS7GPnhdRw4gZvz/cZ3rtYf//nq6flKXhoVC
WZVaxrFo9G0f69a+9Q32W2nfG8exYhm2XqlxTG0jPgxQgLGFNI6yS8jRS4wMryDlrLXWg0syT5GR
cm3ZVAbcI1ZVgOBTm1TjWnbK4csVZfgACWkN+apeRG6UvN6lyxGcz6I0jXGHJ8Ya97vIXJLUMA9R
lVlAt7nntwE/eVhM0Pbk/V2Ok8sZ3XVZte3udV/jD9GeLJ9yyxckuHO71N0MRWugdfxHnzoP4H8H
M6fWL/05yjuYJc8h2JJ/6XWr3Mv5sktO0Pj4rPikIIsyz5cDos/co62PyibOBvgcojyClaiOk2aV
x79qygEZMqJqbdcT1Nr/HitXSqPgm2OjiFbbj6ViKEt5ZgJauZzlc1+ZKpj/vY3+cxx+sAqoYJKZ
brr+oI0lmzowXiWPAMzO+zjZJQ912AfvbLhToAWpbyDblgUnzQkgn1FfNs0MjPNgGgCY40dj7vaz
LjmMPEsvZdOqoN7/P9berLltnYkW/UWsIsD5VSI1y7LsxE78wsq0OY/gBP76s9D0thwn+7v3VJ0X
FtHdABVHIonu1WuBI0kDgHmunjlDEh5ZIOdMXrzRL2vMeKe5T534MUKz0jMOGX62Jt5joHBhF9B7
21a18yBCG2qStyGaQ/ZDBEKTrSa8xRuBrOya2qZ1AkX4dD+DJsWSRn8ECZq8D00cRKKBBbtJuO8M
NW5eU2pnp9l9nUCz6OAa+TKVRjR/srI0cACl8Wu3yZHr7OW2YolxrdFoFfQ18mSmZUFST9lCzezW
dWWLJYQcEguswMxWHmouf/WRxQ5IDRtXkJoe9DTWz6zv3GRdPUv0il075ZJ9p52ZPe06w/ESCGkX
8pBp/J8l0kSzFtDpZrWma94+TB6B6zsFLKYGhv1I9rzzunUDiY/tstTtw5CbPmDq5MsHuS1XPTMv
c/ZlyiMQJmBjZ6j9pJtoww5Qf/RtadjSr25GJmfgbmm/SOHAfCMSpPVLzG2Jm+Nmuy0DtZ90NeN3
Cq376QkptGc0VGqfukpa26o3611XtPknMPl95wA+/vg9YEogeNFGSMsQFZDU0SdjgMiLyAD12DZ8
uyneD001pGDyUvBtSN4Pcysb8PQOGOv12FvGuciAB5pC9wvwrSw8RAx06WjiActXW2sSaZrUPCO3
a5wpWkydn7XGeKy6f/LKMg8xKJ6O6CTFf1WjQacSnaFVCxIxWKFjPh2REiKvVCF0RodWoElq8Xwc
20lnHOzhByTNbPRFqzhajsZIIvVohW4OqYxA1x5lQ4E2aByMmcXabmqQsJ/xHFkPVlO6/+S5WRyB
Bq6R+kyK4iiAiFpnTsjWNEm4uRckfZ/g3ap0NPMMrWZ0rY8SHYBKIV0NwRolL14c9hAh9169lj60
1xnSAGc04D1j11l96Yt0XrEqCZ/7HnAkNlTyOWwSa+V1onwOHcgOVlXkQUVBaCvNQs9ub6CjCWUD
78CgTrv0aZtpGi5DRlQPYKt5N7x5qa/u/+/cPI+StTNiS96p7k+jBzzGaBOGdwXPOduK7QTlM6DY
JWqGxzFqArJNgFzO/uJWU4qhYkGrVjDR0BV4jLeB22r1DvQpbpChbfcrz9IngRaDqz40/DIWTb4i
e1kMpl/ogJF7CtSL9me8mrEv4dx0B/wBBJRKiuwrutvESkReeAcs4PxQa92V7BEvmk0emhYSY7hI
IrpNbwJO1IFn8zl5MeJ0+jnOEeQKcFu7DnU376B+0ux0s4gesB0Eht4u7Z/JC+/Af0KRoDeTVzsF
LczrmzX4JtH5BE1HHxQWOXqg3uTnyYhWgzyQ0snPQOM5l7LRtLUWWXiavZ1FJVKlZEvezm7e5Syd
qnNfghwriexrjLfXPb6Lxh0d0MRu3llpCNVGKAeuPjhoKNPwWteFu6fYWwR43pEJs4A5HfLoAeR+
5SNr8zQIdcD+K4HGsVSr67U1OPmPbkrXsymnlwjqYsHcZu8jhCqR/M8I4onK02RdJDHURCMNDR8l
qDa3YLcp8CvS9PgSqg2HiD3Ht3Rwgi0iyjFtThy1DSF/GKG/QUusowfO0N73lIO8Xu7iR5O3Z6nV
LZpC1J7m3TS1NmrA01G0505J7fIBCV+j8eoHCWDifnQ1vpnmWntCBmuJMND0syokiIfsFC1RJerD
TPGtQwX8G0rP7Ahm3e4BPIryDtznO6PEx17rlaw2luSjT7F0MPT8Gyjs2JFGTZ/M6KkcduBzF/fY
XK6HuUVZMoSYGwnldgJ5uMpAdmQWnfzs8NKnFmjQo2I7DDkVn7qcXe6wlWvb+hkNius8ZoP2mIRS
BmDdr2x0yoAWlw6xresHzVIHYM0L3EVwCmytydFS0H8vcG9EpUB5KFz1tP/XaRlBBLJFOyz6Xhs5
XRN1vwbZl4UaTm5hW4/GhfLXHHbl5ibpOQN3C3W/BlqB0tmR/aPqJ4WUqTEdcxmbqxksHD4FkuO2
FJ1Fmdimb0t9CMvci+axQiRbUK7w1O8Ky+86u7y36hwbTTNLty3vcl/wBDtNPUfjfK9DZ9Rsv491
4W34oM+QIoA+NWlXk63zhnk9aZO4kuM/bbqaiw4/tKbeYmhK3opx3cuJ+VR4vBFEL2XLd3XMGOpF
m3AcP1PVcnEv3NF/ni/lTdOAJN3COd1Xvb0Zqv6zm/ggv1xZfMrPoxyGOMg0tHo65R/DTHUZlyMy
dPnQbWn0FtqpXuRWHd7stCKNyE4Rb/FkN5VA0ls8XZJCvRe7AQFTDXJM7JJxqOrQDsTQzqubjc4U
f+aZVx5obCnGcsFLiH7913mdO6IpiCLHrInO05g5QdVk72NuK3YgXtuiGvUTegn2oWmsu+XvQUOw
XqEtGn+A278IVbYljExu6aAK8DZ1GZLngw0Z329h1DYrxkc9EB3ubMQuUAvjJwD1wyUCtBgYVrYi
DgIRNcXJNMETSlE0yYkGsC8oKvM/J3UiO7+WSljCoPRtlmh3qzMJDSnIM6+y2p7ONI4gj7MZJEqJ
ZNNUzPtAdF0HuFs5y2xyIyfMUFlE/g3YawPEQ+kvE5W3vVZK454Oczc4vjOKKLjZWrTXoYSoR6ui
1E1siyHVPirhMDogWw2+1RY573IKweCohMNiOzMgRv1CAe/M/cA2oLMt1mS7rYGcHHBPwnGWNchh
l8w78wivmupS/dv1gALKN/Nsjh8deOf4gdLrsL8t3nj4GdRmjy+fx3dgUAIljBJtBalhezV4hT5r
x7yIEir0EIdsryqATBRAh9R5b6JQNRFgZWuZ+Ptat+V/X0tW3RcvSdnB5fHKsa1XFZmUVVC8Z2H/
qmvTVSBF4rNn7ns97x6GofDuhyJWOSpoyYwR9FVDHdHLGIkr1OJL9hrtoB3nvsJW5mP07Xo0Q1fr
k02ak3c/YX0a9TV7Tor4ecoS5zqNeN1rMiPe05Bad7zZOaILTZyph6dIveiasiMNKCgGMz16Gc1P
ier7ITuiw202ADXVWmgGW/eQzvOZwC+HZlAMOpBfL3VbSl3KQRIXstv4MKyr4mvYos9PraGj8+o0
4jKFpypbelhuIj0GyAI4/fu4GO7aOZdHMtGhBqvTFnrYHGSOCEPmEUiLFHG6BfBApjnNoZnM1IGS
MGS3d7SVyOgRR6d0AIdj6HeMsRVtU8hG2xI6u9luMz7YaAETVb+V7lZ9EKMBFJAh8IW9Iw1Ds6iz
b/UcSgyKTgztrq+EYZVsA8vioMgcIC640dA/uWlVgXTO6mKDNoNs06hq6s0rI/5jYkDQoKSXrNGn
5AQfYPI0JG+NkuPivcHkCU6PKm28zP3gWJZS3mzGNxnahshuoYsImkZPcw2mrpCB0d8dmPUU9vwF
gkzlhZx9x1cgyeOfmqL1HiSPt2SOCwjxGSP6cCee2E9TpYt9qdeZT14rEloQeSnqaOoCIbSPlwss
S07OhwugmPjuAokr3A2oTIF6RZtLd7LibI0h0i40LCwA+iTj6zwbDiDwdE99KBNfWEnyvUEjx8zB
fwohOHMz8soGqUWVfZ609koBAFA6ILuIjMttJuQB4+8NwybYC80v+VxYG4i74GtlgbU+nwrwwyjM
yqDALrcD2UoIr4D3ttze7F7SjpsGQEnkuSAO9mEqDTUCU6q56NOFXtTbwvIhTfBlsvqorVe90qeg
g131SFTRaZsCgtWpw81NNjlHsT+PSASR4+MSyzp1i0IxstC+wVv7dDuM/SAOQw3o0ps9AhrpZEwg
2vP/PUXL4TCLdzFVl0zbrPO+D9FU3YErmZ9bbUMDUEND5tnG6/hib4ot2clCZ52aM2aCn/FuczNH
EJQEpx2KrL8t+m69m/23RSMIYg2lSFxnzdE5pfYUtAGxQtfeTlP2smxRqHCiDh/2H2gU/gLRL+Bp
lRP4Mr5J0gnZ4t9jHbVaEycvyw6IvMt+ZmhGH4Am95gaRYOUTtk+ihwNfLo2oxmlaBzwCDfOJ2mj
Mx2ENf9Aws79zHD/RA6Phac5bdsjNwCEhH6R8Yi/+biKtU7/qXUX0vlSc6yGv84JmRaeRJRAmjur
ZMBGuZZFhV0xMtovHe7PqwEkLpdWDKDz0CPsvuJifhEOuB/AFynXuQCXozPKykdFJb0AejztbVdq
W+6I6uoyr8HOB31Yhge6ZUUeJpPxfhoE//JhEutaDWyrZnXtWvAeuJI7e3P0ZAHVCbxAoj+odTaZ
VRpPWTvd5dLNf2RGhk5KvL09gF+zRY8pImJNN57acbij/NnfIt7W+M8INLG56xJdwL7bZ5/BS1Hc
E9ChD3RUt54sKVo0gMWfCFBRxbp9mMCxtcAcitoA1BNqGBtjAntVD77dbW2Uw7qqTKhtKyREWibL
ojS/82lRCbQkLUoYCjR2OsuiPZN9kEK0BNBivKbozngf6U15grYBdiAQJ1uGJFJPvLEMJuROwLCi
XnfIrkxtqpcnWuJtHTJB0HPtpBrDnxn0/TZAj2i8AslHdJptnl2EEtLr47j80cdATHWe9yJnPfRz
bLSWCKvTh1UMkI4HpN3GFikaqN7yqaADEJeqzhkckJGTlD+9GS3wYEPmUsPWhWajaNOsODgf1AM5
sv1qmpFek0VxKWpwiZKued+kEwBVfzpaW8NeQjkiZNSWGdng4VusHFFamydugIf4PCFVVVRCF4+v
+Z3RcIrNhAI16d354SD1b132DKXQ4gcyffo68eR8x4BvOqGBHRRhrwHlkARtrgHPp6XuVnb9xtI7
52jL0HJ8pEuyTQkiRaCMoDFP7kTjzjHBvwf0Q9CrzNF6t885mtjpXwaYdWAA/f/cT2D6uNnBjROY
eRY//yXeVnaeeBWQjQJcZBXoPfKsxa9U5SRprLtRu0LZ2IKgHXIXXs2mlWkXHSRjG+NZoPLSdkhC
IjlwF7d9vSKWTfCsgNJKA98hDU3b/N+TGmYCnFfKM5JUFehv1UEDTyXghdDP6OZ/bcqRQqYMijAj
YE+6HUiwG9fMbU6pkPIaq0M5WYGoK7C7qxEdAPg3E4GXTmXxil6/9KgV0wiUjuDjALIPksjR8WZK
p7Y4joP+lUx0sHuv2rs675aZImnjfdlavyDR0x/B/QkZo37KBoiDVv0aROgWakxjjXy7MpKHIuls
CaexGRW/ylzXgZfJphO2TCxo5mFcEdaSjei+wXs5PDSmGDqjA1jSwFuQnW5m0PcCwFn3/euEVkBi
u5n1S8YdSBlpnefgnqxx/OX6NgxkE7l+mhnykxhi5FEt78p1YLniqQZ7qM20IznnUdfRUAmhdfK6
oH/aQbQ6XJPXxaPmbEvnGzqL5ScLXNCPkAOo2rbt11WrXZoR3GIUWVnozm5kqe9pHd7ipyOsUQbk
5aIfDwz9rmDDxCcCjiO9T3l9oGUpAkhIEPZpzQONkhJElNhyNidaDTmrHiT2jQSNlg29URN6eBYb
sA2bY/45RDMrCh4JaKKgRLob8UXeG6DRPaMrG7fmNqo/NSDHWOkjlNkq/NFCJHwiyAUJX4/SaddH
JQAXKqeK7TRbJ0ncgBUPw4JXsbECmiE746EEvpbaRLONZjp+2qVsnYfFb4GxAxGAsCk2etlABViV
4DRVggtVaS5HDsgbpu6OTOS0BQhsdM8cNxRBDrsHkRPNJ9ttEWb1wOgW/R3ZdaGNkKSBZhb69dmp
7ZtyV8fhNZw1E9RfRGkVFRxEVgwcqXOY/ijwLAe5ivLEwsMptGCyjQ3t4BUZwd2McDpdQkFdWQZ9
j7IU5Kl9z3uOq05ebikAqZloCwgTbUeJA3IkwpwghC1aHzdY454cOReoeVfsGQQZ+cGpqhI3Po9v
zaL37uoOugaFlUBQIZzntd466XM3utXKmYvwW+M2d+OIhPxqml9qbPjwV606dJAMza/MLJ6sMStf
eg3/tehflp+xHyj8uMzFtR8qJARMi53deJp3MnL6Q6N7I1R5+R9Xribz/ZUtdWUtru9qWSHPUuUv
KNq/v/LQZ09pXejrtDSHy5yUG5CYgY17NrWtWUntmzHie+71GQcZdusGoPj3Tuj5Hw6oo7OtMab6
fQZCs7UjmvqLJfpnBdrG/H9AbYRK55x905imP0eDk/kcP/r7KA+1Lfq300OSpeI8dekcWN5cfXLi
EITRscm+Q0jj9WMwfAwtjKLvvYEk4IePIWfvj4+RmG7128do8WJzNvCevO4n/J6bEfIVKEIUn0AF
W12NDrcVNTI9HQdg+UpHlndkwtuW8D1h9Fsa0vR4BlaJhp0xLdPR1+2ItZqKxgD0mIPo2JnNxB+M
2HoMK1ZcsdUCMKGzHqEnYD0OkUrCQATpSLY2ihTqV3FdgeT4EQij4mqHr9MhCYZ6YmIhm2D2+qnv
zNeDUGcZ4O+2NgBdqkZ2MszIreQGEqfKA3IeqPYwfa+DpdInXQeTIbuAEsh8AhssNPX0H2SGuiik
YlQU6dRQVDlLeaob/Yr3lnCd1DX4MOVotqdBMajQgXfDgPdjkEEnoH/c3xyQRkC0/hYtpzaounAH
uc5+bSB/tqfiXZ6B+woMEy7IUIGzJi84r709Ff4KPkOO1wW9rB2GwQIcmMc4XoXh6G6rhLWGT3rv
TBmhqeBuSdidxOLpjLwcLG6rTnmbDtiZfuygug6SsMscG584sdSqkbT1T0RhSz41uvlUpP4W+fs8
CAwvkbXRGmgkAywsHC0ZZB04lOgVcHkbJOOU1NAJUS+LVCqnwxJtdga6fFGavx08qclA1nj7HWN7
l5qaAZBCIl8A7PLr3MueZdLWaPWDnbhps8QDk0WTL3ZXKoYxN5Qvyn6LZ9z8hde3Efcw5F4mxdhO
hy7j6BYZ+wTpNthu3kjFFU43A+xAu8UyL+K7iOHB1XUjOi2kM33xvDDyJ6PgB6ruONX9PEvx/CFq
dFJVWzzk2MFfNfyn9YaNwoWbOKbvljEKnEqYdTTEdG0k/kuprDFw7NmovDYZmnPNTd14BMtOoOF5
A80Uqz9pOfZrpFTDc4bXOR6jiUjp2ED2pQQ0PRZH8na5dZCgrXiIotikNcg8QFr0FBdYg5Y0kAcD
HikrVkVcZVCw6uPHWjYN6HcAVGqMJH6sQNwPshZ3PU9gn103xgBNwzB0No1pv3ozbKtpKpn+Nl9F
kNNBg11gQZMGvQOt09XqnyIWAnOnMpsT/ili4SzXrbg9kXdWlXHyojqO4Bj85jcv/ZpoGDv8/dy/
BdNvDXe17DQey8SZ1qXtaZ+0SP5xJif+ahvfzj7EaSm03CfRTltRZsYxnlyQ7qgvLXAQD7Ke5KM1
dMax7mUOVUN8OVvQfRvYvbyz05c5/Dd+TMEFOg/VaOtBbTtIEIHE5DiLmB8l72wfkvDGimw3x9+G
yCXwZkXzbm6jnG2/i6GQ/cHB1Po5nrh+5xqQ+NJYfKFDUeWf0L/qAPH4r4nOwOvmrcEpnwcV6WWS
sU4FaFNsFxRov0cnMcDuuf39ZjZklNyuUDjV6xUcC9gtxRrnrXkU5wHNuAXbWvEYjcVe08Cyie6l
dNUUU7rpoPIJLTmX77tZb+50VenV4sI76j0gBqrSiyeteBDIOUFmoYFuq4ogRyHMPUMP2TIJ7cW9
LyBuJtkc3kGOtFtpuVd/7WqUIy1exMciHOpn6JEt9lZCpQiCRGbQZG3ztca7KmNV9WCUIdiKCgmk
sbIPajo6oKLb9AaSq4+R3T9B5KLyob2XPY460i10RrZR2aSy0dn/mzitQnqh1ME1PU0xW3vGDLp9
dUeztvMguy8mj+VR6sAskzXLC7aeRtxR6tiAfkXQzyDB9iDCo4Egb9OKlG1J6GJ2jDuLVfpDVkzZ
fSL4TzJTlJu4+rY0TflFRemeszUK4GEqzXzEu2Z5ZBZuAqjHW49kq+LYn9DkeDUsw3pMIdTsO0Bd
bymCJpgS6U4lAPtINjVhsMHeuuQBXB4lAPFlAVi742fApdt9OLQ8iFXqy4Hd6qz39grbohcV/zf7
OOdQn23CVTzF/V1Wju4m40MVVGVcfAaNobGDLqW3jsOu+DzGLZqWnchZaR6G6RwiKVGDHpOCmQE+
n6EY78iZ1en8kIGELMKr0widLb+IKv6J92NyHZ1u3A2Z7epIw9ndocbDMl+NLAr3prFllhDDT3Jo
FeiujgWfusMSDtk+6M1AhAroqQYsLHM93ZlJ1T93vj2Z47OuiQ6CU1O+omFU94phUoMMrPJClbSG
uAJaWWhYTFAwi6zxEZVp7+r29pnM+OuCoSgCyL3OWizpQgWtgBDMjrwOky+hKbtNlmN/d3vcIjuS
y1WCDAm0AN49hulpe3v4hlOgmnrfBZAvJgUWOGfIvCzPaprIkYNOQIZ0MsHujj0kGzeDqrIV/dQ9
JHO46fo4upCp113oHcftT/KR6TbpZvt9UjfNzZH140+K/7+dlPRAi4HtAR+tFy7ypM508dIIUI9a
jEbzXbbRUUvxtvlYhl31qczCf5h662qcNlm5eJk8g07QWIb270Py3oKRsRLn23DM0HHG8qjxPW0f
mqqzeDLc+R6jiPqMh7+ODKcsV2NuNw+AhPC1VcT86nImN5CVbk8gghsOo4BYjue44oL8suFrAEx8
nhsIaciqab+7TbwXDHjbVQU4N/gJIBRaGN+hvBN/sbnD1xnKbcuSg6ZoH53ydclxBmCpH63XJdFS
forw3U06MX7RKj6AmhFnEj14K+gcjF9KgWvS2ahsf42rjBk0sR4IS9dTV8Qb0gYLkVY52w4oLhoQ
Jwc0bPsWQuHQ2iSlMNIMqwvunN/sJC1mI4GBh3GW4l3w7JaQDV7hxAzx/FlBqmM5ee/6HzE6AD+H
YU6MTdQbvR/PTrhPPE9+cSBn3Y9V/SRYlZ5zMESvJuh6fKGwJMm0PTiCobNpOquaD94uzXi4jdGs
6KMx2QySscb/dZ3PvW9UOXQ/aCw7swetiGkGE0SFoAtqz4GhO1tgmX6Gloz2xFsP0FV3obM3+81E
9tliSzxR3JPJUoCRCXY8VaM92clEzv9P+4f18R1/93l+X58+p0eIjre1R25tPHS1bZhmm/hC/nsY
QGQreX/pywy8783oonRRpt9bwwmzANh25H/aHiQjasISY8wphF5SB6owKe7Sfy51s7wtt0xPQelr
TwUUwpUagllZ6lsk6rXH3HxDNtJO6MF8ejfm+soYOHix8Sg1zIjtURrVF9zY6ObmyhJuf3bAMv85
aYzXB3Bav4YtMDIV5nVVfwZriP05+zds7qY/Vvs9jKZXYYT/YhvffmPGxhgKTJeutqBJbzTONRGJ
eQXac0T/ML7olX7KOzBbUKQwjW5n24YLrkSOTYmKb+cEVIdxC65bipGaZa9aATQdR41liVFXAPuy
9e4Kur+E52M4n0AbcU/RtOzk4b5lLMUhXUyHyQFqxQy1YpdDB/NJr1GSCJ0wOtMQVH/btuiSRw2K
dI+FNHypelyz3ODoehLViobzzIwdyJj1xZtPMYAwU1nuyEtLxhDcONNQLSlzcPLRkiXodfI+6s5W
FIIWRfOQrIjXnPIm6iDaAjBxyMGdKJfSR/UMTbwk2tCQZfF45Do0i4YmLj9FqBs9mvmSSqGAtgHl
8226EI2+9pw+YJ0BlcIo9a5Tg1Y1rtRC63EA7YTTAWjcD2B/+DNidLtjO+FR/yECyCmkxVXJ4y9r
ONi/+1NiQB8e7ywFD4DEQUrFNkwcZ0W7P6Tahoj0F9viB6k+SPabFiywVqmxrdWYqEpwsJqiDtac
HBqiZLIMCWFDmJp4tBbTDVPzNonQOhT1ZqIRhb5N5GhHOMURWqlTXl36PDtCftB5BDTYeXQ4f0Ib
V3sGSawDyfLGDZDfngJydo7mnSVSVp1ykqks87vKyTlYaTE7S6w0QEt9u6Hpri4YdqLt92W2mgQp
jS3g/ck9mXR3wEsViJ+39Ammwe2PMfSAV+SlNThqcKXOhyuZxlpDB9HoZDv6CFDXbg4Wt3UAQP79
RCD9geqX9kCWTi+g+jR/D9Nk2FMCToAgdzs3fb0k8MbE6O7woL2Sk75kqMZC9D2Nr/QFi7MObR+/
TxdFXfuxzUHfXGbuPsFzANhdd995TfHJ4mn5qcB7kjFl0yVqDHzHLW6uLR6LHTmBkJ53BogS1jTh
bTruVwVIXKUTuHaV3hnGI4EmOB5CPiC9M9h3wHefNSgqt+OUfAcN7je7h74PiEa8fRFDjdHJc/aC
ieSnibLWXN9KAZopfU1P+d5SEHymNXKHsjhT0AtxRV3YWoV1m29csBaMkEH60meJAbbTHBWMXClJ
KSkXZQeylr+z/x6PmuGZe23c79G6PAHCmgGpoDJ/H3KAtZPUayNBQePmeJcsbCkT6Ixg1SwT3MOH
oQKXxhheoeIVXm2GKgtej73tABnbKzgCkPO30fo1ut6JIniYsvup/zZLy0rXuRfbij78V+iMdrq2
FDtwq5akWFqDlrSaFpp96grNwJG87aHeHQ5oelM7O9yXbMj4Rd2ehi3X/RissJ8T7Dzw2vJnGD0q
BgsK2l7R/TWsUasRkPktTO1jltXIThfVelPcLkqr9QMYlYdsBHACwmTbbs6yI3TB8mPBNHMrgUK4
xGMFGHvF3Mc+ROq64Vb1lSfx1yQe619NCr27zJnilTEBAt3G1a/ea75KLS6/Fk2ZQhoncx4lx4+5
1uL8AoGK16s0bHp/FdtM0gB1sBb0xy+Nob+yxkBpejwCs0UcMe/M0IZcaGX+ZqNJioLDjRgkNjw3
yJF7e4RITHWwULKBMI9lPpItEl+60RweRobHgWdBdridwYV1i4f0FSCNQsdbasva63J4HroZoqWV
eW/JyT4Y6mXVBnZjwzKZoow9iwuK7RPQrr8bF/F4MhoqMg3MwyRc92eV6ScdLCe3E8dmi8X79+S3
mCr15FPSNS/0jkxvy/SiLAeIzYtQ35N99NxLbLjAPuTz1z6C7MAtvUtpYGU3OcTOTTvaUOeBHJ/q
CEoVkIpgfoI6IyTn0vnOCIW+pgDLe8q6xlzHJZrVWxHlazHr0WZOLPNOA+J2OTCPxydPmMFQhEhv
kYNCRsgtrUv8yDZkG9D/5+tWEkGYrheXYQRdSGdl06YqBf5+TaUhASnkAS+N8gvYcx1IVFraoVdD
zjeNNznPNchrjpYL9b5YaUezYnbWvQCF/+xoJZiw6l+1NLQXdeJm9esJAz9uJiAIYjFUF0uWs6fG
7To/7oV5GRm0BbI2KQ4oGIDRIZy9oOZQRUhZWK7zGuQ7kRKqK9VZ7wLtDSAPxjpD0S+ddBb8dwwF
0iFNwXYSq+jbYnQWF9/KsvOw3TJOtOUcqni+59p8IhmyLOXyXvloh0m+luPbojanb77/NQ98KGC5
n8yXFrIMKxAfxY+xEbob6QJjM4LG8MxTLwn6RrCnSuu/FdUENfMEPHh4q/sBumdjNalJGv93EsC3
0xkNPSmYNTX9aZ6mZRJkVZdJbYWEFuAmWjhkx6SxtHU+j+kaOafsGIUTSNrJ04WpfD0l15zpSKBY
xXwwJhTQStVWWWloBE8YhNehBZacvBAMGloh2gfNTOt1VYv4RRbjxbHQ67Uaxm+DcLtfaJn6J3Yt
98nJDfAwu5N5yRw9g+6TiA/4y9bnTBo8EKbrPPJUPCdhtJ1V/YgOYyU9YGti9I3TODdQLs6s6cCo
AvUu5s0du7E80KjToTjfSW/eEiSomqBTPrTI6C0IIQUfAiXL323CBgMFiVJTMMVNb3MJdUTrUdx/
rme1eEd3s+4E/g20p+iO5t8yLIOpfwJLOjA3KklTmgAFVpYNqjKFjlYHmhRC2ym42ebUu2PaS4Nt
9yFxvRq7ZF2b8DeM/GU4jYV9kWORonM38ZAuAHFSog7kAJNduDKsMt6+i8bbst/KfDjfgi1HEXtn
9eO7MAi5J8FkFS24wJ9BEOOdRVVbxqpDPmDvGeFzzXl4JwX2LT7g9xvbAAPZEoKeq3mVJqGGu4ss
fOCJIGpwuz9NPK9BZh3Qjakjuyl7867Mu8IfVTB5whwVuJUuABBMxRL84eZHqxfcYCBbRFu6Yju0
FT1ixEv0ZdKpTsSHNxcZR5aaQPUBm6GmkAbeu7h4YFXsU6CVMLQHGbVj7Lk5LrZlBUPWuxYybWa8
KuoCchOMmfdJNjc7K+nyfWlY8jJDCBIacWnzdYLco6NF2i93bHZ2xZ2XzimmNU0q7LTZjTkD84jX
y4uBJZdJhW6f6Y5glt0OOSJ7mRQC13bvpTLgUOhbFapTwVadCnSop2aNpJV3NsyRAVejtvbg2ohB
f4XWAxAyvsZh1wTmElE3wJsj5bN6m6xXybiFPhrkjVHOuQAzPF2KbGzO3IZCveCFDfEdUKDoSSsP
ladfaWQrE52BtyTf9bZqT1BTaRFylFqUbfQa8DsnbMvXVbw873zeI5OaMDdMgtLERnPKOAgJb5dC
bQmfBgiaHa02yXQXpqm4EyBVCFx3TAL6RVXqZ6Un5SOU3PiJRm3odeey6cH7Bx8dvEYfAxuIiyCt
vFcbOlevYaW5y28RXbXluZ6NC8XTTxHk8SKI4rEJbguNobg3IFt8pnWQHAb9hnRSJJlAqVIr/iuW
Jf+IMXXurQHi3SIEaz3ZhW05a9YyfmyjcvrM03jbSZd9zUcGJeuylVsKy1BCzxk29u088MN/LTtz
rV7ZI2i4aNkiHMuDQbDAVuuNHboGw6Cw5m5DLGQ0TJFbfzeM1ZAoy/S2CYObNxyRlNDLfyI8Fj4P
0BQ6iAz/ShqaMbLlle2iEUF5U0txRMY1cIlqqKfAHgpF009DlAySc1Z32TKM5Kifo1r7tayEisdd
GpXfaBQJy7obOv3Jmef5c1eK7qJBR4x8MTPi+zb37sg3Abl430oDnAG4Ihg1mitesHYhCFY+J9qs
AVMkN+QrBs4ebBAG0rz/w9qXLccNK8n+yonzPIzhCpITM/eh912t3fILw7JsLiDBFdy+/iaKsij7
eGbiRtwXBlEogK1WkwSqsjKlI6v7oYmX1FeMYfzAsp8FfnnbLgHWXQaive8ywUHLlbZHpsidABu2
dolpF9DSAV/U5IJqmtJynFtqJSI1gQGMjQ01WwMYbsH9C7VokMACfYEAQXukJk3pevLW5cnDoGhP
0rbid5qK2ooisrdYYLSQu4mKfY/a/Qu5ICkTXaBBsZ8HNFmtb1EIAASFmoQOMovraZIwK9u9Bejy
AgwTPlLZBVskpQ80c2Hb2sLUnAgiW7W/suUYXIs0D66olkx3MeSNFjr5lCbK7EQhL9RLB3IeDsIP
2XVy4hUeLhV+A9O83AdTku7wcDcPmq8l1GWMBBS2PhfOCgVXwJD4oW4eHXw5H2uBrIuB1qb2p7d/
Hw/pWroIgheNvk1k2u4YqoXuw8h5i5Ix+y50H5kDN3/MQJf2NwdeuY/+kBeTA1687a4YsOlSM6TY
LN254JFZxAya9sIIi7ObatazWW/GIIufi7IvL30cAqetzFJ00ZYDOL5BMsp6nge9N7FaTxDJGsf8
OL0Ze9PHPRJHOcr7II/06SADAN6idoDKLzoq9W6lM8i8uxdseGKr91dk8U0T6xye59sgFVDDc2wf
sq5pvXZqM3msMywF4yZs3nLEqjTTtn/WSGMV7pC8OA2CGinw2dhpS2wPsfw+GEWFYjs1PIDYzTR8
9PTqESmPdp2kWO1XCgvBFD6irmy8Ll15oZarg01hbHi9NAYD+A7VK73uvTcMUS5fOjkQU2rox3jf
68VG98FgGoPCGrEAFMK3qkYltUCrghvkHnl7D1xR2Au0rql/ld0D9QfgdluZlj8eaWCqBjZU3DL2
D2UaDwdXlVWUjScujjqjZsgC3KdBezJGaG2DhQP8jGXenciNPEYtzLeNBFnsHuAjufScrETGc9Cm
2oAgTfJFbOjd1Wi94gLsiwY0K1KnrCty/D4LJU76a4QVcv8WhIDgME/t727t1Ud6Ockq9i+QQds2
Ed70y8oM2w2Y9KrVvNRTA1iXNkcydaDp2+ieBZA0wqN1wvqvQVrsQbyj/TAc4wTh0vGlBrPA0kW9
/w14s7SdI/V2h/JSoDbVINdB3WKil/uxj/KbMbDFgg8iOqeqKpXHgEd3kASaWh92p3ZEvcq67CAs
cCnOJDOAhULXR5Mu2FV1caCOFD+vdZ7ayPGbAZRcpT6cSzCkPcufRWfI59DsQ3DkghXNL33ruQb/
1yYxun5DTmBtfR9jstJ+Nr7bYbrrShHfytKK7s3MAjA+1UFfVSXxfVrn1QlPnBfqHKOoOIOi+ix6
lp6sgacrKONCYFE1fYk34IJO6RBoCR5hqmfoOXpcCHcqoR62JmPrvAISl97ag1teUuBHF03r61+i
qtdWeWmKPTU5MhZQx+weuaG2YMDZLiIww3wJkrIHtkL39m7kJUdUnbIllkMLyev6aczC6Kxrgw8C
XcAAICTbrLTcCw+5aiq3WrnpYRmdEa+EJlpYIRkGFNYKVDbRgZofboaaDWAxcKMRqGCsXlHZAYat
Iv/mM8TUVcQ80asOSCvpXXpf5CdUxLHVhwdSEigBSLpuyZRH0IBSnjygSZR/C8v3OchDg+IcuIjA
kYwHkn7XIJm2HkvUgPR5adyhlN64S2t/UyFKeUMeWZxYQBz4/QLRKfDsugkbF3jaDHtyti3UZNdD
BcwVhtKISs2JcGS1tvNuzJYF0zZ967yY0NTac9AxLRrFDOOMQXGkJkRqrEdH1u/NsB/iTYxS5VVf
1mxXCAiG0V6d4a/e1XkXr2gjT73UpN367Gw3XXBEUCdZUFarsRtQBSei3cSVpwGknMlDbVveUQdq
a8qO8QCUXD0yrDSA7JQ6q4Y+3g7AAE0zzQP+nBORIqgSrniEZY+ZAugWZS2/+hxvtH50b8tAwAQM
wbE3va+zqU0YJBHsrFuGTSqTpRtl9SrRGr6Z2kU4Ks7y2NpPbSPAy7fMxYWmyDPGr0MvsT9Ug4G3
m+ZPUWILkrr+kMbHLOz4Caud98PoJQD7/NmO8qI9ZtWR7DSiCXwLNKo6Uc1YF1eBzcc2gGCwi1pK
K9DMBdkc1YF/f74UAEWtZxoQOkMYHWlUIO2iOLsfncF56GvAZIb4Rtaa80AWSxv3oI+Q11qZWksv
F0kh3SN5CGQkVlUNJbRKqxhWVCiVrEtwSNHQCFKyBxRj+QtqoiTWuPwvV3KtUl5jQFwqZOF9mTqo
lB7L7NioQ9xbaMshyoAZGrMjnVF3bsse5MRWD97GjzEhuVM/eRZjAT6fP0+pX6vacg0prXhrpyFf
kW74PlPVYQV+Jyuz0ruzBAD/7KQpX6W6aR17lv+oAy5PRiffD2FiyxPZmAd+PcdOj9Q5Kg8JtgbE
0T5cqKdHBR0oncGrlmm3c5pqbN3oqA/lS/1RWW4jzUAmSlPRQWtAUam8qEWuNHCMmmnglNH6Ndc8
/e9zkf3jivNc5q8r0symENYRtdh4fOJhVHJU3hKC1/toYrtjPiYNHitzL5YTn5vUi4R4lJrV2Xa0
7tybdbDHq+3QmAkQO2SbTj0AVPaJYRzIRgfBCtQzqwPKDEBS+hw12EGAt6t2h0cN8Hsv0Z6Lpsxf
heU9e/ghvIIKejoBnnQ6+a1LD3r3CVIZB9Ut1Mj/ZYr/7z6QAEOVF/i71450nFPZM3tBRA9ZlEab
Cjq1EzuE5ULZpSh059LgT34yvYd4NK3nvw0KPLOa2CH+dVCfFNZzaNnxqRMovpSZ1l/p0MRuCq3M
5WwZEYi7slgtyHmkRF91xWYpCmNrxNijss4YPg1N5VILyjyYpmwNcHXovQpKqCuomN61DCJjywMQ
wZLNRoZyUTWuADWoKNYtaur3gVunT4M2bkVpAtSq7LrF/dnehfm73QVj274Evu7JybGH/LDP/r/b
8xL1a5S9mhJfKnsFyktoMg9TsqwEbe1J+tXDnD9LW7Pcto7XL+f8WYcUJqKwsbeZk2LSDl/S0O6P
ZJrs0TIPUFFGObdRC/gpsoqH+dISD5xtWUbDcp6mCtrPU1PHYKTT1DSRDirnq2TmcjRQIVizEYHB
FJCUS1owttSqOkMdQB9cph48oYY96loeM2Ujv8oMoKAIBMmWZpjG0gQfs3Rg90FBk5r044Dl6TTT
bJrnLGO+xfvGPVIncGB3iZPKU4sy/lWfuVhxq4XMtPLAi68YbKRmlckDz/QuTwdQdakmLVccESLX
1gX8SDbmgeAAoPAb6pzc1LwMqfDNbBPmz3labfA+T0uDfA3BrKSrOfZRWAbRtC0YramTDs3HtEGN
rcJQYFXVN5qzLxqs7Gg944XAQVCT1jPUZF7boRAJqYm5Sb2oZcP9wk9eiF1PiwribdCP3/wGW6LQ
1dsTCMWxxqO2q4x0Roc4EJCI5dWWhgZgWcdrQw2h9jxDkIPg32qruz/s08yfLjKkfrxwPdFtEOJo
970b3pt2q391IcTqB078PZNJu6z6xLtA8Lc5gcYD5YRD7n8zyjM5OFAlXuYuOOXLvijOAjoiK+pg
WwsaU69Qdi5XrOxiKPqG2SUagT1Aaiv+zsyHtjDGbxaK0lfQsRVq2RxskSJG7KGGcCfeucPXTLfr
Rcyt8CoEsy/UgS0AaitUh4YSu6mj0MC/HJioo+jLg2tEoFZ0FASqr7s7snWNA5Td0A53JSKDGyvU
upsgjcwbo9Jva7WoTZBKolbXaNFGA2M+FIEh8hi6rnlAVGVPRS1zoQs1oe7sHEB+PnWSP9npMCC1
dHBitvvTrqYFO7R2yI1m98lf2ekCfNSiIwpyps4/hqN6F/ljvZs+3lxvQ26ARIrjWKTbeVoTmPpz
4nXLUqv7M2NI6PTA5N+0AV7XKDSL72ruA/abQ7Ghr3yxNGyjeHbrCmV8XZV+9TygALpOfPc5yJME
kz+lLVacZy70Q++QDEqwS0nrZeFbwU+kzgDjTvlrH7+hRq98tKUc1hEejadSF/nRQHZ1M3o2FpUg
H1iEmdd8t8xwqY1p9hMc3E/SGexnX+sR3Efk/cI0Xd/nNkr3XezJbhPhtcuu0Y2vg93uO2akP3V3
PMjBL78CtAmBLrAfurJeRF073uumSLaBXfJD6db8xvaicGX4bfcVSPrtUPD0hz5EX2SaDE9t1w/Y
fRri5BvSPuHOztdu6+bPrkQ4ULlazbiPXS86llXsLIswkaDAdupj7BnjfVMb9+DpcL5CoxlqToHd
nKAfVtyBpu2V7PhjEJVpy+4sQFt3W9URgNSxt9J8FNeBADO8aJmIz6URYbNvWe1r5axZEovvANdA
Jks5mDUbtqihjNaJycUVxS/imgco8ELAoUC83smuBrTXvEWR4ROP6Q2ZUMOlITPd+Va06LV8F2pN
sukU6AP/au3W9NJ4gbBxd7DUe2/qCFAtMAb5lVoRC/JzZkbneVCa460/RDFIPD8mEkgYr3AzJRuN
ICJYUL9PTD5uZNSLzKu+E9nbqPg4Cy6HY5MthKMo3ybit+lIPnT41C76cDzWwLpKwztAwmbhMLB4
5Kl1mTALI6QxEBxINoRxCIVZn1Gg8USdZGKRcTat9t2/BsIdabLQOWqV5yyJjsLOqy95bBt3JoJm
p7/Y21J8tidm88VJ63f/EgCgJbFX4HfzxQ8S864PUU01RbJE0Nbv/K5IgpxcBm5QwiRQqVoG/oWm
asA9EdhXfDH5YwtJpl2DEu5NM1jGlxEP3lC60SteYaBPqbl2GqQz3kCl2gNRBgqS1UjkdPPHXo2s
cwSGQlZMI8nBCVAERiMtICpuZALRcffXSLqm7gKiSCOdyNO/1AAfkQNWeqi9CNdZWNl3QIgnG/wz
/FPHY/ANQ7x6Z9VWgbxAZEEtXOrQo7ZAr2qZ/DukizZD4Y4hahKjNTi6jO+JjcpCIGaTJ2fUu5Vv
duZN3oXath3b5sDKZjghzw7xcTcv70o85lGe14oXLCMeAg5w7yK6G2UFxrDCLZSqiP1Sa7pY/u2z
jdL6l88WFvqnzxZrGkR2Ve0XlW5FfZ0taytqDlNxlmoCNd8cqOyrNrU71JHU+6LjvFsgsgoKOQrX
eZVbrq0YjAGTkSFtu/b6SFsgjS2wa23cTQ8xs2XUB/jWyVjnMd7RoXMalYpXrw5C6u6mDiF27hb9
1updcdAACTl3TPZnOqODTHIwlAWMreaOsgxe41oPFlnl9hsrCa295xbRnTeokrYBVL9AnpxQ4lk8
k8dgWybym9Yjqn+6JfTYw0OPR4k1p/U/xfinU3Ia4UQpADeJnU3XR9j2g41uQHDXcT3UoATpulSw
4tqqm4XRABnYAhb0wBxApG0+fiG3QAfNqVMUiMC12GvEcdNcGuXWhqjlU8P/5tbjzt8KQBEhY+XK
xyrLtijlRl4Pd97GdKJxm6lmlxbLBLohz1yU+oGbDLLj2qi/6E7/Y0h874pEc38DNm1UrCt/y/DZ
spYuMldq2kyKLfkPifs+bY648W7MUNkOam0w7G48YMaWyC7Ge9raUrPQk2Q/bXxVLyo24k9NxDLj
fVLqyESXqC71CLgaxk67MIzWWfvC108OoV3xkmjZBuUZ1/crQp3mGDaI06Sj2ZxQZAJ6iQxE1ScI
dAbmJixQVJ67fbehfjpobvwtYYW57YUpUcOCQyzC9pzXZY5S/tQBg4zH+gUZ47x+97GYlMuirpH9
Vd7UId2wB/8llBZ4geQttNblWXYBwITQl1o2OSQaOw40P1L3OMXKq9mA8a1ZeAhN9gsyVqqHzjwg
ZfZ56d7M9sIwQf0x9UprZRQAGvZYGTh4jR9rutFwC0Xnhtu45+g08u4LK02gcIa4OR2Qo0o7hHR/
tRvwCwnw+pPl00hqjzw2oFm+pLnmMRASQiheHczMtdZ2n7L0AnqwZqODC/xSGIF11uWjoeBedCAz
nY1RZy1ZMoh1jJWKiz1I4J3GMFuSCyfb4IsK+j2RvZ5nqGL9EbuTCDR9nhQLDapkB18d6CzkTiPA
pMBgxH7OX5O1GSsb8F3l5bg2lM7rYUc+ZLKd/NdomnJukw818zxz7OXcwww3XxkMgpJVh4RRJ+L3
Q4JoZIV6ebTT3itBOBT+mGwp9ZC7U7n5ps20nxSB/BSk5HEMlZ8I5OkN0Own7B0/RzP/CG7SYM8J
H7VYewIK2jqbGvgBOysaoBQ/JOdySAW4l6R2iyI0c1k2kYkYTxouwBgp3vqQrwFSFMB+xBCucYLo
h0zK1zxkzZdqQN5eY5F+hwWPB+7JWsf/Med7vLRasOBUqOZ3+Zrh5Yr7wRH4LpJuOE2nmiW1g1Fh
TSV4iUoi1UMH1gGZNYAWr8dusIlNFO2BDuMFwMtbiHVW995Y+CcUC1ZLsmsS5It5FZU3PLDGq+/0
WL+oARG4ApAxyp2jjfriBy+HnG6ni8cwH6tFD0a+Ex2GTstOujrMNmrKTtZLJzU3+QhAeCfqc83C
/NEHCvau9oKlblYRcC2rion00emb/BGRV8AbC3lHjmGeXoCS8m6oVSXVWy/KYZoEenWgVU0j3Idq
zlxtaPEg6vbUTEdnXAELZG+p2XgF0oMIcG+oOcRBjd1Y5a0sdVFwhcZ7ZDesJfUiE68dyhz0FtTr
sTY+Nw1WqNSr92Z1g5DBLXVi6RovCmfQd5mmWSPYlnmFgozq0GBxgFBSxoMzflvBmc60rvgCvuxu
Zxq5My7MMmgRgB/ABG9k2BhmUGZWZ3QIoQpwCGIc5ubf/OZhNIJcaNjc/H+far7kH1P98Qnma/zh
Rx1u3cl9a9wHEUSWNaiE5As6nQ8g/nBWuVX0CwglpMe5w41BSV/m2a8h1J67PTXj3KSzPy+QNshI
Gi5YDv/naaLy44PRVeiTTMb5qmRkVWnnC2Ybt6OMsXdTH2IeQs3JhU5pSFEkz1DeLPeaFefXBtKQ
DlJBJ6EYO+lQDA5QIFpQLAfTerd1dJbwjQZRo/Og7gBgo2W9qSRHrcTHWBqRJ0DL9a55nu2jjtrt
McWTiK46dwyg1+lYxy/Ci7Ayl1HL1ryI/eV0xY+JEaVC4TY4vDu6dioFdsmlkaymqWhwJF9St4tu
pqlSaRTrKNbKycXX/IsFEqItGCbkgUldHqYzN23fz/5iI5fes90UNzbG0UF8nM02pqaZZ6WO2VaC
JXSZ2LjjQe/m3xWtC26qCEzq1Awc7t9JExLaHTdvIuVRQl5tFzVOu6TO0vb8uxzxlqzs9PM0qJNQ
CkQRDyJfgIgKWYsbz7IuoEkp34rRuWhML95s6V4iFycCFi9I6pMbp+Bm8vVg71b9IwHSCYYeKiw6
IgGTfTaRB9mzcrxBlflCH7AhSJ3kCgI9+zaJE/eCB9KaWnTQRrA5p1bz1g4hR6avASKv8Mt66bEA
LAZuFh6r1Fb7+ZK9NB9nPDHebXTWpjZ7iaIhXeh55r5MveFWN/x7LiW/dRyH34L3mp3qZjySCeIQ
/LYBEP8mwLMMqnl9uCS3tr2NQMZ0JS86NFW941benanVxwm/rUT+nLsCTBpqZjL1NTgrmGaG+9nW
5la19BKdb8mFOlKZoegiRxEP2WjOqIScaNjYfDVfNXSlteU9GKjn+UIrNfeu0QOvZXj4wEk+ekeb
Nbc0jP4k4CJKKJUWn2Y3StDwJtNHmP8Ejh1lB/avy2wSQXXtfTc6zZ9MukG8MECTiJpUfGHkW7Mq
WGgacz/9VaUZAEZqgq6KXOjgj+AAqY3amP4qmtRtfYjuZZlczpfVG+HttBK49fkvbatWO+he92X+
4hAgBe+/TPfzp+uF49/k4QvNNf0P/b5QUdfhZmqOhX0Aw0animm6vWtCJEHLs/5bUjcPZprxhwSS
jQdX14HQVXbo2Vla3lxGrMMB/vTqTQMqo72XFfajBNEdOenMNJYN06tzbDnaSnPybCEhwHff9sZT
1wzi3KkWK/xxA6wImJNL37ivWF9dPZBeNR437snUGqD2CrMwPpKtb8Nil8W5vpwGOGZ43xubQEoD
TJyA6GFd3SZ7mhycuPyAqIixoCYN8PFj0ZjR35KpHRFKTPu22tLkqDbJToklflAnfVwtNo5I4YY3
09UbqwPaLGZrmsxzeXfR7eJC/nTwk+Rbzl3jRK0ey8Nt4Jot6ETwB41aH94CqbKiTjLlkMhc2FXQ
H6jJx8LauTGCdeRCH6FDZZw+3pNBc6Hx4pejvqMPAFoP/RDKHltJ7Km6+FmPrfZ2tF15LcbuLeh8
/wuk3Yc1FAGHXdijGUltBdItYDQT3z8VVQYFPlRQfwFPoQ1K3Kw5Fm0M6Jp5O5lbKPDJsgRfCGI0
y/cdNyjUdhNOb8bmc6Q+jq0oFp+AelZSQ0zcsO40fOwiDJ4pfx3q4lXWMn8okGTbyRoSP4jS+g/K
gVLbWAO+2vVXDUHO18QBAJJ39k9upTdNOpgvMmkG6IGa4pZZcbv1SrM/BCXjiFNwHayBdv/AByjj
Cgh0flfDoVFq/4wx3M0QDMZPNNgEVoqfRqqjJEHVkceeBmYLg6P4LI36J2hUgMsZ9tmtU9Xnqe8i
jYiA2uTGUHtPbqiOeJ9tUG7zbHHyPSCiA0geD6D5RnmHtsiGt8yNgC71zWfIDpcAJRrZru4b/lS2
9sktjOgV9TzpsgA8+iJdUz/nxoDUmjXErx8juxRiFDQyZyFg25alr7QkQYIoFOkTnYmQ8ems+4vt
b36hbuh4bhbppzybxqzhCGaw3aes3pRjc4Z7zRnZntJrU6+LLNna0UqUmXzk6MiZZknLekf2PkkX
YkRi91K0RbFloB94NrNi4rNiqWesueVVe6CQIM6b5hOfFdbSsCcNCLRNX3tS/h7iZKhSA0zBGXLw
KJtFZ64Vdn4ZMR882GXE/5t2t0zkIohlcPQ5ZEcAleH5JRsdJFyMbkUdyBPmlxgagtYqGfsVMFTB
cXYLBifaDGHqLnsb1ZwdgBpHmbXtQ9SZYg2Wsn4zNUcQsdmswkcy3fZBdsYIAtf0RJ106FwQhqGo
65ZaNFvPjffZbKN7ny20tHDTStEg4uWZfEGcWZAfOnWeUV2oVetpvUv8rFpSkw4I8oKYM6wvdukD
sKk8ahCILW0lJUK2v8wxeagBv8/xt6tYJbRfixbck9FgF/caN47EzRBAnXTHUWu17tVNAY2+WMWi
u5sSot33djcedYi/rvFwdI9RHUbLxhvtU81z60kHXfpEWydFfgALZbEKgZr7Qm5BWtonQw+3npm3
KKpnr3TH1DWEK0rELG4bXW+OTdh6Kz3k8avMznlp+V9bDtrVsRnjg56l4l4NpP6K59DQMQEXsmLO
9jzFPKw22VuIgE8UNd0rsqXdsrX96Mo9w4CY6wiWUSsfIaLM330dKLJIyDGKlYHkaQuGXnB/2Pqq
pzMLW9VOSA/hApxNverMir45TQ8Vdw9lQuoAUkwZbmsAerdOYyMpK/EkarCMAL+/O259PGduSxep
dcWXNv0zomZY1QxBV/pfplGb3EJZTmlwXR1fd76m4NqFmGL31Rx7fSl50kFLL+x2DWu1nY5M502H
kvAl8nLjS9n3J+LQ9gXYO+O8+6qXKeQgUX+hdUn2IFB6j9JtnIVVAdlQPJIftES+2+ZeOhO6Xq87
UYEZyMaDEiUa2YE+csDS9MTK6tv0idWfwgqQfZFHFskdFAuSRz8rTnmu+Q8JCJ8OeKKou7Abvip7
quNtYUaRfWAuqFJ+t49IZCxyoy53ePz1Zyz4+/PosA760Ha+5WYRL0q9hwgB9bhRPC6a0om2eTdA
10yDDoLnq6CWas42l6fDDti26rZVhxrE+shewEZN6phtee3WmzIw2yWh3Ajvhj3wrWuzYE/4ttmu
ucm41YEdXqRE0zorW/lWdYvcWr0WEk+PUDPMG8EdbR2rs5AN72dk+1svgKWgzwFWcpvg13PwkDrY
1KNbPFaVeLMQZXyLy3qDQFz31cgCvgJ+arhIz0Nkz8jrjUhdtjTFqC0CLzNOHjEiUKCY2g4icljn
hAcy0cFVUWQ6Q5oCWq7FCCFagFc3iStRrawK7gjERTYQAED/xmJnBHLyi68ev0KaL+bY6LvEdvBI
LrSe721dw1ui5NBAb+vQhpiOkbwFuCs8kznfCj9KVobjZBef694xGvN63UshUeuNenGoeb7ZdfZz
yNvmwYviZhsEebYPMwdKaWoy8hgtKK7HtfMNof1kFbijWLm6N+xAIUgYdTr4QpTrwHXMNTU7FO/d
sXcH23K2LMsAFx+a+1EEKO3ncbZHTgMFhlB4uIUyyLutdM9akOxFxNZ/06wILLxqVeeoUvGuiPQV
IIuddo/oGr6FLg6LFdX+c6Sudsj1mniFQeUJRIrVbYRgzGSjJnUA3d7srKXmggChtVvzEWXg7cE2
C8VN7SF8WEEaYm4yECjie7XOiRUCIe0xf8kVwzikWp9YXYX3rtOkp3bgwZIYvdkvu8yt9JRbSp4J
Efg1uHxTiBIWC9y2xiv4NiQw/2Z6dSUbwPWCf0TqxO297lUgHFKP2iF6920jMBpbpozuIgPk1TJA
Igt7w/GrrUOZp5fDM+Ri3u0ExABH5mQn/1EkwTrURtQYNA3f2V0cbZDkQF7PG/FcRK4c7DYoCuFp
ujN41nwhj6iJ7W0Ccb4FFlvZcqKebzS93/61TcTzyJehSsbx/J3JQA0XsRrqZ/SVyupzk3oR8e/2
9P2XcfcvvX+MnZ1bNVXpaXI7huOhG5B0hRR6eewRAdiIyrDuBSBhkDkW41se3BR9F/ywxvKn5Xje
o0wN7CzDPjgBBV5NY2RWaGsxoFKJ7jd9sKttokU5Yk9qDSTVgqdTh9QfraWuf5trpue66gJkEvus
hLiPjcrrjmU1BIoH+V6JPftBkwFr8zZ7tPVax++0q8BNk1mb1AG4OOZlcUYRvFgD9lQ+Va7xnUob
NfYdjy3+No/R4zFaaYHzIhn+mVS1BoRxuZmbft2XG8gjR5vUDcOTM6D0yumfCf2e5y2k6aJguHi2
151MiY1MXAbGt5pPDlZ/r/fGAtmCEggR3BI5VpgIC9vFiWRoMtV0VJN6rRa1ndSLvaL5SL1/G8tZ
hMxFJkCgqokLlglYV0KA1ix771hKHUtNZe8qBsKAoXkppZdbPyV3vTvo0a7AcBtmt1GoChhkfAJT
t2N/F6ghXoFWw77RCqj+DZrLH8M0r9ZQkhrPKPlKD6zgbDsWuXW1ksJZtg6LXlpT3GVpbv9EYT/w
jb58i8pfw91IAr7RchNE/nhXgB/BRyjGz05O0wZAD/RPdPuT3bQF27pFNakP+YOZXVHbfRQCwkiz
IFFWRM3WkRHIcEcIEs0dRmFD8EO7gsEGTFQFUPsIrixKJ+6O1GyG/L1JpYd4O3zuHX5vUm+iozzs
vx2bj8DolCJbgdr25NSu2PtqgQU0IhTZvDKLztSmg3IJ8lHsE+7GJwOLT+IzSGT3I3Dy6Mq63r7T
R34hMgRLdNYWsNFkQ15DNv5AlV54xdp28iKzOVjw6lN4qZXrx1zgr5i8RF2wjfRqa40IJQDCfaU/
xxa44XBfB7ciqsHHjYf/GTUyyEEFbYSgS2edR0DFIY5YW3dNXjfL3BD9l8S3vrW+y3+YZYPhKg/l
pCW2Sjp/Yz6EVvvQ0SHIFuKeDmtwo3QD0iStEZ8DQ/uWaoE9LShbbmSnPIm+0TKNNggeqlwXntXy
Ay3WfBu/QRTDF2ti8yJeL9kH6Vmr8KpQzF9kb3qJ0g5ltztvObuSHTKdKV4MfrkAYe+4RdFM9uxC
XlwYXvSaBSiDdsHFdknSqLt4KKAG1KCJXhNIAzg6uDdMNw62v4/kRjxeRWY9C6xszqBgEmesesUZ
O5Bk5/Tak2fF8dFK4k1oZuV9mibtlXEXgJYOyqA9Yi7LKtD1HfVqrdOcwtD7OvXqA3urUfxxxOII
uxZma5C8RISMfOkA4rqN0wnthlpx6bPVP//x7//nP7/3/xH+yK+AkYa5+IeQ2TWPRVP/1z+Z/s9/
FJN5//Zf/7R9z/IcxwaHheODfYQxD/3fv90hCQ5v49+iBnxjUCMy7+06r+8bcwUBguwtEUGI2rSw
ROjWt3eWr1gVUEl/1/ABZbhSum9InSN9Lr632mrax4ZdxI+oWNlyWmF1jtPuADVz0gsbo2zrEa8c
5FLtRTSU8XZSGeRx81sbdcSXCECYeZmRcCdZIRuTQSAEzER0CHnw2UbOZZaudPzGD5AnBnpWHRyR
9WdLHfqkqTY5HnpgZPrVm1byC8j0s53T6lixOxmrgEfy2smFxpIzTQA1BX3xP3/1tvmvXz1jNsMv
y3GQg2b271896PFyratddt908bBDEjgEasoY15mtlS8VR9JELSe6EXXQpWdXV/JgqHlCqbYOmNjf
vSoRaIcs8j7N0+mKZsPqJcSKtYPj1NFLGlfmKrF4d3YhiXksC/BkDMhNPY0gfcbXy96UK/ingfFW
rvr/ZezLluO2uW6fiFUAOAG33ex5kNSSLMs3LDuJOc8zn/5f2FTSipOT76RSLGIk3eomgb3X4MNp
JEinM/3MeD09dGFsHi1L4JkLSoP7P76Xyvz1w7EYor74dCxAQxzbsf/+4QwyqSSg8/nzskh3Shu8
/ML6ggxF8QRH2f4JVP1XehxGTW5s6ZFHRd0LcK38aSrhVSxC9R0x4G7j2FkO1TQ8mMK8gVmDbbdf
RVdfXL1GxEvxlseseLONEpZB5YCuU2GdGvcxNIr6EUD7LRL29nOh1fQraNtC7iDxT1QHybBk15bQ
f6RWGlBH49bWuvyImsG1to4s8PbMbI3gVHyY3Ryq/X4OyuPoQzPDHJJ63fhgEYbtM7zr7edf+lr8
sXHEQcK545elPTnMic5WR91I9nNzH4CdNCDogeUvO3Mr+qMeVPbS6gMihWVtxxAAQyGLnH7Vg3p4
zFSZv4iO11uDz8WGWmn0MKTL6ALivQ9LvNEqBdsIq00+icv3raufyrzdUkMlWPg/vhGW+ts3wmZM
cvxvwzHbBQ3ZNfXP6dOTCk8WMUFKJni28YqCfRwbrwOHvDLxDKPqC1eN+E6LMMvox3Ng++PVCBWW
aEYNK8g4uZCr7OISS+axiz0sndaqLMtVq93eIoAA4b1TxTCXSaoTDaIGKv4/65bJApb4u6aRQNlM
pkz37jDzE7MkP9GZNSZmtcqjCWgrJIrY3pLx4d78jz5LhVV3u//x7Pn7Y19/mBCAcizmSCUgRKec
v3+YSVgznmbMv7ljMyEVm6kVB3/hUUSGAug745s+Vfl7wewNrXWpR12HYOkN1gCFWwjPIo1YSnCP
+3LfIM+gn7O1frp+OoBkdOk7eLmhA1XD4wNBJx4inBbM+bpOOORdBcueuEqiFQVbqIFlxkcDsjMR
ogSQdTesLl/HZQktG1+lTw5wLv/9qSj3H18x03KZ7XIByV1mmb98KlhRWUHeps6NwS73YmrDDEib
JICwaZdb0kQNnDj2xvIpcubU+yS9XMDQgOSSqQ76eSDGSkjJk7Sy707AwY1O6zV1bECLO2vWBAUs
bMhzwAo5ONkaMRgHO7cr3bd7r8YBOs1lsG4cdGio9GOIYkRGsKdip+sGCYZSOJn/qKN+pQ41LZ11
P6qbGomltmW811ree+UGs/WMxzB8RUQQQ6nLqQ7UElXw2PJr2HBR66feymoaGORa6hx2Qn8Fpm/4
OpXbWDTzPrcBVNH1rBgdPCMQVIRqCnb8EOyXAOPbctU3anwWmkBSgoiM1C12Srqk24YJDkppi7Ac
LMLCIIe888D9A8y9y2vXRpCZn1v/JDP3a5p37Y2qCry6vBQ5jC0VqYGnoFAx/v2/vyPC/sdPR8Fv
Q3GYCyjbwi5ct396Dk2K4XU3mdUtDLmOOudvcVNHP/IBoEN/dNgjMj8R4HkAAENfL/xRQhED+X3/
vURaaQvfVKhkuE708veRqu4ZNjDTWWVGBI4rtFicIa4Rk4JcLRVlNG/Cspuf+9CFqkiQbyPtiFcW
RnGBTCygprqIHUa7l65WudHFrIb4aCXtcU9FEI0+pqQirJA3EaBmG2niW06MoMgXzSaanfYT9Rps
cayM6nohDiFQNR9SC1S3hXptZxCSgBMYX6jXcJsrHnzT/kS9LoOx2XRD1i2XoOtMIOYA9y0S910I
t3tyhAoekh781xEknnezE3AKZyw7A6HgvvCgOvhhyd+hKtJu8Uz1d9QtjqF/XiLXNbQSeKceOwiq
d6z2+31aM5gRAdbDadqyKwKE4stz01kzcKOwbpyqPnyB5roFfA6idbXbHKYGGQHQCtw11C+i37F8
ylfZXPmvST8LzzfG9CEHNnTfFb040Ex2iwzgfaaBZcFNlSPIyfDJ6v1xLWAah+A0uMlSH6jerttp
09hmt+bO/FFHDdRvxCiTMXOZQ0Y7mFg1DzJABCW3uuwbBOCP5AzZxu3JHmf1DhCjs47dKQR/Avap
blvz/RghYM+FaeIOZPZNRs2x8fNXkBmSB4bH4dOEjRE8L2BwbRf9C/JcAezsguKlyOYGNgFlv6Oi
U6XdoekBHKciTJjNx6Zh27gziydE2LlXsNS9iapIH1jl7vg0ujeqGiO/9Xzhz1tT1wmrauDcsXT3
hzS/ijI/ULAWpkFQN0ydAwWMQsqQ6bp2dIGN7hkI4VgsSUi3vRs5f4pqG0G9ojmYfl397EXy3Yxn
Cc5r46+xTbceK242OyttDOCBZsg1gMW5LaOuuP3bPGlyGLOy2iFg0W+qHpZ4eVTeSs1GAQwSLsma
iJIbBUwbmzTHTwp1dLBhHEB9nRlPKRlVyMmP01dZFN48FdNrnICgISuHI9eCHTtWtxYIGgVepFrc
0E5LD8Si8TjUbY0M3NAPyaWJi2rdcKaeoE8a7kxZRnCcKaZzIhCdByTRfXYEEgVOEcof4FRt0iyw
fgadOvUtMjI0HHAA9WQFYbQDoGne/veT0Pz1bYlVg8VMhheDwznHM+XvD0KEoapWjEYPw3iOEOvg
I71ElAHITT2qsON7SIUhIkJ1PbyjwrZ/mVunguENVPIdt+RPcZ9jPTBU2W8FvpUAl1lv9x7A8AdI
VPvR3tUSK6Sz0kFkFfufXm1IVKXTBrZ0BgtHGOOug6bJlnWECfTxurOm5NqFrXikBoYMyON/fwz8
13Wp/hhshnWD/s9xaIf96X3gjiNw3pJ11w9Mu6s0kxQ/eQbnY4h4IQxgihl6mfcffRqYnjWa1a8P
AxpRpgD5068/LKFnh0xZvP7vW7b4L+scl0suJf5yEg8P6x87TzBNOYwGo/i6LOhn362hhB5E3xAT
TnVQHmo7ya5SPtv9WU3v+JoDSvXP6gC6jUs1M7voG6w27r2buHU9O6pyaDRtKMyZuSp6FTa0XIp0
M4UNhIOR8vDyhIc3I6g+zmCEYHlDB5pHHnDLm/TZvV8Oi7z/sR2n/cM9EmLjnY5tsIWNhekoi6H8
96/zMM1jVM92sp98UL3stQlTln6G1baLhSYCSO5tmAcY6mrCydAljwC91V/uPXzDmpEfEuNqCHy4
NgpQGaJxhJVTCIHpFO8csECL8NlmWXUcdCsV6RAgETw5Y3AOLQavqr/G54OdgCfM+Q82nP77OyB0
dOHv/1z8eKULlRBLuC44WX//54JqkU3IZAX7hcNlluslIoPYvrqIIEfiEhoqtT4kc9BABxz1/ZSD
0waB6lXiQMUx6HoI8zEXYetAmLsJWs4h9gug7n4q39uJEybr//Ftxh/J1NGAT/8Ymwn8S5QyBSI8
lpS/RrEYXH0LNwqbXdol1rGDXfgaSCEg2AY7+BplChJ4AJ5LtwZT0hqjFdUDAeRuocWIBHSUh18V
K1KYHdnOlSPn8JohL0rd8sLOT0GIsAsVCxuy1E08MIg6Rlgtj215RMbsB8BW8c+svGLRiDdSHpjI
SPnyXUsNrxEZ7G6Wn7bbjFXVuU1794gk8rBra2t+BDc78PAoF296nr71o5/z/DGPMKD06CCZWJZX
HoR4gUBBsr8CaH+RQVIcBX7dXIeHOihQBd1lNl5r6G5cqRdVU3HqqnkP9vN3qqcqaqTD1Fe+x7Hs
Xy9XoMpGT9nwsV91eR7sqO7TxaTb7ropbk6f6rI+z84tqzx7qOA3SUPoUjbIXzuR1tnnOupj2HWh
PdB6BCz+edewosaeUDK1w0qrOgQMKogpmGNwceTgZ8o098D2E/Y5LgXC9Qn3IZPXGf2JyoUsgnUb
8Air22mT+o0DV7U5mdYQUMYbxWmzZ7cL3cts+Q+OFaKkq7rU56umZTa8QuwM+ZvAOhlW9vPeY7DZ
T4hgu3i0WwnWixiJRJx7aF3YLNMcSk8E4XSIFnT2hXpYaZXsERtHAFo3Up2ZWBuErsLH5UqZmrbZ
NM3eMkeEFW88xw9uvYuaBEpxepxoZL7hirubZYbCr55M+FveJ3X5HHkgepY7mtWaS/8apcFR2swu
1qADwpGi9Kd9ypbrtIFvnWHd8kbdaZ4Raf1VCyHNIxX9UFqatQNcp74FOlQB9DRSR5xpVCADY1+X
+JvQXVGdKUBHQK77Sv0jK4I4h89Djz6bafS/mUUTnSW04fCM6bcitKwbhB6tmzlDCgt+EmrTOnaY
r0cjWcGxJXuiLsAYmKCwwY00EqLYiNhqd6qHmnCTfk+HNN2OsxUdLEOUX9LZxwLETb8DAdl4TluI
E1xHx5vR9z945SffgYvCUiJv+VUGKnnA6tRZUUPujD/7yjWeIr9IznPTph5dAJHxk9RwxqKfrpDq
g4z9iD8FXST1X4pSmVBfHdNdWg5q11hG+RXW2+uJ1f5WpA2opQppHKM9DXGF3EOHYOAaT5f4wBOX
gWONjwyRR7Yqx4hVax8PMZ8H+RO1cifqPQc7/x0VQ0MBzwTj1WWqGt/hCjGaq1Qde4YhRrT1BQJ5
VKzymj2A0rhf+rYj+NmwCii2fmP+RrO5pWvsYLJrr7EL58/CGK1bZp6obanJwYTIgHhbblUabX7E
ngVWK/rOzRT7K4iIgDbU4KWJeOzHPeuYaIxk3Y7uoyuYdTat/OOeB0c+AE6cL/esvw5baBsUG7pq
agPBPrsuMun6AvpA941487Dc13/dMw0aG+Mf9xwkNQT7kXd7aPNxOxiJvetqdSiRmwMHrSsB7DB6
LC3odEq7GrBV5ETKyLX3ilqkUYCtmKewdVt6tiB1xLYM4NqmcSF6jgGI6q0fybfEDGEkTXUM8qLh
mU6X2rIXbAWonZ8biRdGeAGYyXPcVOBz1FB5wxIkfQbvMn2uMjhSDuqJOgA0YG4YqFQbKpYsETcM
po40BA5g0hvCId9SXSORLO6iNaxQp0PRp+uPYZi3CVvgcroKutuiT59ZYLcPE3d29x5ZNXX4Z3bF
nubq5lZd8Ink/boqyxP1o6F1MMKOjY3NgerykQ3nyYrf52ruDtKsUg+R3XhntaN9ZEmeXYKxxkp9
9Py8PMikgL0Vy7NVGpbTH+G8TXO3+Tml82/YQYsvskByIa79HJhwCN/NjYWNpWiDp9GHjkzei+yb
4BK5YgwCYBY7nVZ8j20TQvztnN3oyuNU2Mc4Hp0DpAF3pXQgLyRm99TG4R/mICqkSQ2IWzrSvkR4
a2ytMuBg08Eye0oqtWY+MA9Gs6ksCHOkQFl8lwG7QkJbpz8RtZEjPuQYQIEwEsXvRhf8VsHZ9asz
smRtDZP/3ECf0oMNAwPtY/64Nlj85fGX60ZdIJ/AhwBtLgyHL0AJg+DMgSj42/Vg0Q0+X9GUWzWV
UDCH+vm2hgaI56ew0Ml7jgX31PPvIOat/F4076oB1T6EatyeIZbxRVnOscr0rLXiaznD6Mgce/6Q
RwlyOTQSsUg/rKZnX/Hy6MJMekMDsnw3i1h+A7UkhUHO0BwA05cvs3IeqX12YsR0eTVcwxLhebAb
4Xeur5SpAEJflvuCn117GFmYbCtR+9/8ersMNGW/Ed1cHDlDhAsmf1+XGwFqdmXk+OASbAguAvmb
daEnBHDpWERd/mWW4bQXoIJvs7br3pNyWlEHwwQ/D9592QniS9VNSZhP0aUaG+TtBquGxwAYiLMD
BUyPGgy72So8Nd86aVo7CanSXZiMxlth4S+vrwmJu8qbQ5kihQvEDzySq+XjKmCsvgLeJbg5Bhxq
fG0iTCPqGIgfBJLe29kJduNc1nu4kExf5gI+K/qDTjLoKkAAM7s4s6EAwYvFasYr6RXJqtdqgoNH
BDzBvggS2IYtiW9kv21oJyCe5SB1qYVgqIEH7rMxwpxTv01rI7ZvpT7IFGu7yoyNDb0+I9WjQf4W
OmOzvFDLLJp3BXR/1jSIevVA705YTl6o5IydguvGgNdwUYgdlrn8CAbVygUq5jW1DOMpCcoT9/vg
bXQLfDggey6xyLrmgDmxbNxQq5MFqWcgdXeg4COQpD/TUrIrlfSMAiiK11zPCHk6CKsjfmlXuO6f
ZPE0hN8kSCFnYE/lubN7rE77ahT7we0ehG4A1w0ksk/Nxlju8dB3DnMZw8MOuCx59m3x5+kUOnDZ
mcffA/5tsAKIfXd9hiCYMpN16IbtWuIduatMZiVr2DHuRC/NawO+yW2uWXgxM/bw0Tk3kPAbu8xb
ygLxQjA0qxZON3qyJocPKYuf0kilN6TGEfAP1R+dk6JNdDLbiLbB14wu1FjFb13Z8g2Q6GwDvLMJ
JS4nfksDw9lkhipgbINiNUCS3Q+T8kzF0RR7YNCwiip8+zmfy00x5clbENbIZGhTLyykkze4Jchd
zfyP1jgdEw+KTdOBWnvmfreKsH6goUawmU0GxkJalY8IvrzSdbLcqo50U5meH5Txf78pas0QfaSb
MqDwicVCUu38aWZnQnkueE9dzJEAX/nYySxiAdRlkRH4hAwNDB8Bdt3JJTGB+0RLJ5oz0p3sLJu9
qg022NKvAUuKn4EDmV9NoN2TFuxgKrGhwBINauxUktw8mDNLllJaTmczKIZHavNb9QC9LvlAJRGw
5wrSkksJqMq3bnT5ldryIPvBQztaVMMZHOaRG7GGy3IJVqcr/Db8M2mDQ2C1XuVqAiBE35zfFdAs
4Kk8UWuO9/yKZxbyNNQK/3f8plIgbbuAvTquStcZu7ROnRyQGiteZseNd4nBuEfFIGXtRdb+V5c5
Eb7F8CkNJqiNUSNrcanCbNQxb4ziZUz6YpvHCNFT6+Cb2bmZ8ERbxrbQSZHpC3XNckiVI1CPhbu+
aNgN/QaODymy75hIQYHhCPR/Wg/NNTVhLZAmGfeQX2+udgWfX4BycBqHwFhMcGzYLpVVqNBUNfwx
znrrgNDDBEs4PQcDECQzs6/1EB7GGRh1iCPmz1wN2bWKwiszuFEALDpjw8ZN2AnpVjtq2pM/AXHm
Z1XxTHUwuvpmZwJALF0VqQGm8XojNNEEEwdrQRQNnr4YP3JAp/wQ5o5UpBGi3IZJz25Uw0Os9SY7
TbbUFk7J8IgwyNKdegwjDK+7EpEkKkqEPSHc399md/wGqZz2TNWtAVgjvqD9kYpBU1lgGoEuQEU6
DLV4Mds0vdCV1Ax6RYS3FyhLuFE6MNuD94aHL0r6OFgj25is6zd40lTbvC1cjwb2BTduwx/Lv7ap
1OxNIJsDlodZ5tgUD0ka70Q45c/U3c6RmBVsFh+3LwMLeyD7TSXwm1qDLwo+frCGsxOUvV3TfExc
jcw25PFeRWfJ6G6B5BsvVFqqYLiBtOE47kCo/RgOnX8T0PGpX0Pp4BCWo7tJLfAcJqBgH/tYZsvB
b6Q2XPCPqisgM5M1kLsbx/yjn6m6Ydu5MPZTYRl5QxLwC/LZ7QVIwMxLxjT8zT9QmPnezqz+P9tp
PF7NGTZ/abFFlsv1KqSITl0Lbj65o9+LJKJzL4I6BPkZ3Rk0RXTG8vv13kpjG8AyvVqx8SCRwXpo
TP6TUsKODCHRVtfOjlLCWLVdJhgR3FqsQqmXH7uv0wC94iAb1HbxUBL8te+i9klZqnpKzfQLIWHK
OJBbtyzVtsOrEynZ1eSAVgmScbG762ylRp2dQ2xbkiQKS6CA/uxCGlvJGFYepHDGzTQUybRyVf4I
3cP4QACppY5gUs7YNt5i7gbPbwBEyhEK6A6T+NAgpBzOFiC7OYgz0P0zX6kVFmMwOIavQ5oMwXYM
EKcrjQFqmlwU7BImasORHXs09WGC+sVjkJU/JlEnRypRvezEx1CqowNzjNGbsGl7sE1oHUcQpz5N
btO/2EnXbNoqbLaDLloGdw9OHERrai2sWD1UtXWkRqoq+95TJuNPVIJfDuR5p6w4wYP982yMb6Og
dp7glN3ejOTSiXx44tr+fMiQQld+y1bURnVOYMDGKhoQENL9qU4ll7buxLmPs+t9oDONbEXFXwaa
uY20OAaBDzYgTDF/XIkGxFnu7wshZXrNsU6A6AJHCCtw94aRi1PuD84/zrDC33LXB/qrRfQIkTRE
KTQLAfCAoertM5W60bBPMMb4TiU6API/rWM4ne/MbIBQdy+DW494qh5M0/hRa+hfd+T1TQLVbT1j
G9r2eRiM8OaEAEmlOTwg5y+C/kkxZK09K3QkJFDx8dEhrutTaprGhUrTAB7tOPAvVKrdoT/XhZx3
KTJn5ygI4SipD8lfZ3akul2bVO/UI+XVRw8qTmm6tq0yhi2h1UKCFiSgGZa1KwW17OtQpeqB6YZM
NxQWwKwQhAVNvxjUA8jGHyPAdv05lwJ0HTs99BqiYPLZerKgfjmL5pZpmIKLR/u+KRFGoQ5UN2gx
IANY2GVQUxjWk6u2uXtx7HHtJCICWDq3rnQY1AgbNnjobnsYKmFDj4ZQaqDzpFss8BdHEyE16ket
ABe+9HBl25OyVq4cWKI48kTCWopDY39FDVTWrYYf/AbMJ/j3IbyEcjWI5/tZYEyhV+o6I0CrlajP
rfd+Y2GfYXbzIxyG6h3BWaRD8Oe/Iu8qbhWykVRfw4MeYbOm3LMxqt5DbJOysXS+9B0WPJDgxJZb
19+H53CpOdWAZj+2Aoo1M3yc3rCRgAC6Pqt1HZ1RHbVSv6Gvw19bpRo+xha1X6/VEIqdMZsgybUh
RJKgxH8EAGVDVfd6OiucNrh00mp2yk7mFyv1LwZMOn7XJ4BMDnQCU/ilxq3h5LtYkfv4S3RxFx6N
mj+mPvYQEf3l6LRRM8x65DQgQIK/qaMP1GDOIjyqP0dI/EuvCxXIhXELMB7m7IlibHeDrPgL/pTG
bkiD3KNi2gBpbCNss6JiMybYpmGlENSR6NamIbbDEMfADmGoAsJxVeGXdzJak7/QxHVcIbCqi6GD
iVWOWLuPCC90gif5CIGxTRmK8ao0OSgZYRHK7MDrwXpCKttvLfMNimGQNEyycs1Var0ZTo5orZFX
4LlV5ltdNu+TbaaPAeKfL/8yyOAT8/JCOJccttqGESdYK3lBANQlfjFeRCfD7OGN5ewd07G3mSHy
3QSMN+LjePlS0Wws7Kz0y5eKLfxU13MWVk/TlFpHkSpjDRmo6SuDaNK67+zsjJBL/wZMWm7BM4F6
haVlgG6mxq9KQrQXgk/Z2ewN6kWD/62XaYALknMnRDQk6d8s40IzlG33cVkq/nJZ9GrSodhWxsA9
5A+z6/0Qm9CDK9nlXpNxvMdXwGSt69ouz9QAd5H8CvJ7d2YQ9v2aZ/gt4z3zCpcwZ59Nlb1NkPn8
2teNl2rMUuzCxCAoW3mOoQT7MPawPF/ATBjp13Hymlbtx0juZ8tI6pD+NbISmbmMJLQTLCafpqLd
R/Cq+N7kuxGCVT9rOFGuqrJ3Xm2odGyKfogudWUkp9oYxVbZTvGMSAtyW25v/dbN3YpGJcX03oVz
9NYiGO8BVRZeQwupVW4jfgcSbHKLGz9cB1la/YgGCZUHZM4SH29Uo2y+zpGqoNnShA+Qi+wPsi7e
sejPvGq0EIuC8RL0nib5DQtOYGq76Kc2OknAenvPM+6u/cKOHnnri72UibMvTI4kEfD3sOkdxnfL
KWBjg3crN/z3Di+Ejtvq6le8eOlBIViX8AjZc1UULwypKtA91bwurbB8GaaBPbRwS8TvrnihHvYo
98E8pY9U5dSqWcdShgfqPwe9vasynnrUiiB+e4U82hNdiqpkOHqw2umeqNSGpgLfCD4mNHcU1cbW
gacypGFxM05gFgDBlt+o71hk9TWLbDC+I8OEmU6UvSB0de3TvPhmRsBIW5D0OdZSAls7g9TR8OLb
5E9Q8+wsfCng5fG1ZD+ou8GBTRolFvZUhC6DW7TDe2F21R7Oes2WquFj6rVWnIFLkYlDIcJqQ5P2
hn0s8GN8cfIWlDzTOgBDltySwoJvjwVwd+P28Kcqeh+vwgrvakSTb2ULlFE49SB55UOydoK620PF
y0CCVJf/PwcvU+mr/esEPIALaNwWUF/Rig0tmP3Qs3iNOcTIOl7aK6rP+Th7ZTCYS7c6Hz91a2X6
uZuDxdKBYZ18mSKyBEcS8fcoadWqcTn8EtrZemNw3s2hB/2FMRU+OE4Vrmb9EMX6oN8pcDM2VHQq
G3l4BArOVPTN1z5w2i+hWVvXMQsSpDExWe/YIBN3kDiM+5WDnP9vYLN7TOQITgDYdIq5Ut8sE25y
sE5kN4i19NsxaY2Tr6ruBHK33JpRaTzFEwTfQnC8v9l9dxU0fk4gAzVE9e9lDouK0W0HKLTCe7j0
VX51y6k7QMZ62sd+0z5kkwFVYViRfEGC6I8s7sOfAdvbwsR9VFy8ylSOcKPBb8/QJLM4rvgOzIDu
2IYz3Fr73N5E0P58YfpBgd37+MNwGmhZIyYGv8h+n5jM309GHXhtI8zXPGrlvqwQhKDiBEjZPjGS
eCnC5NTcC9UkS3EI8CvNYH3msSK2XlM2Iltu5jneryi2djyi6BRLZxfp6n0FI8Wl1amDdu8iIrSM
DQsX67w0hNWgHls6yJ40E4f9o74r0Hsy2MYZ/dKa2SCSdpJBhVK3KlVG+4Ab09KaKt/YBT1nS+uc
xv4OKXaQMfTMtYtECCzBzaXV5nB6tgUEx2mqMGLmjrXQUaUi3m18N3cNZAv02Hwc5p2wfZim6Ovy
Xow72LeBqjU1h0aW7d6f8ld4D43jCizL5kIH/Hk/zmLzwW3m8fxrD+oWgvK6QiIv3VGxKWEynIc2
TJO0fWRmCXlRcwucUek/4OVruhBHcaJtFUD8lCqpHx2CIv7hRkCWUokaHQP6k102bGM9/t41ThGL
SmPkwu51dNYK9iJyWJre527gzHqSoX1sIh9vPOrmx+DcVtDK8WhinuHhs4rAHs/Asj7dL+YXsB+p
jOIxwYb80/VB4WggcpTHG+p7v5grkoMtm/J8r+8CIztCu/oLXfk+d5QLuUZgjC9zuM++y0EV1XYr
dDAiOK2ECi7Zk2aV/VmdpqHdrqgsYJXx16mNVBr0WyA5YBqZxwCwOC+n1LUtU2MVtvDjo5b/mK5N
o53wA6QW9CUnPY8TdNgVUdmaDAmJESU2PJZYm0EHVw1cHaoA33IqOnbiYt8UFhdmq+BLDQ83quej
NA9VzbCMBfjqK29ABXMawJ2BcrZeM0QDqD7J1HiYwxHkQJoctjzIkQBXiBgIFrQcqQA6lG2szrU+
ULFt7WrLfBDFqW6oKiSpkeMvV0wwC5Gp2L3EbutekrTxOmXOJ7yELcTGdIPju/0GgS+8V5Ic62zq
SC08gm2j7h3qsfd6OlM+/xhGxWVsHdhHq4Dm6o8qbXbTJIwzIA2ptLILHSYrgmCVPtAZ1UVIGHnA
QdfrXxogNQ4Coh5LnWOj302sLI6/1FMPGoo0ub+tsVxervhvF6OxvFY/EEDUkTmEftPBn7ZM2yNO
+gBc18ehJAPFFLSSgxOwTU3Fe5/BDNiaKWPYicaNVza3IxhK18HBLbN0N4RB+iXykyeilMyNH+Nr
0X7uoQBG/+8evlG13jS3kIdVUBBVXYvgVRvkZ8HcjWXCa/de5aYxxBHu5fuIWiTd3iyqC+gx2Znq
l87uxFyvz+BoZ3dd+witeTBbLDh2jIidKKT7ancPW6piVU12+7hUlnmzA6BPC7mirtCHpk6jDfbY
zKNplgbuwj8mgZr2zLSNk/Z2Go2JrdPU79b3uliGrruUC/JuujdxDjnVFY2kyk/tVG4aaGH8Mt2/
dhz1HVALHWhGh8uPunsRvzq82KmPzCs4wmwTENA8hYzLuCqDqbyMcGNEZqeo2KkCN4WZIYrU0vmN
6LygrcGtxF95S5VO7WhTkMmMvaSG9qk5NLcqYniWiMg9SJUgXDLUyZOQX6mNaoA4jfcuIo/re51j
w8cjysGm44ld30JgBW7FjbrTITUVlu1Muss1qM4KWQzRkLDZi0IOe54xYGCyLL0gGJdeGsQ+9iFU
ICq/4AO+uxJHaqE+wHK2wGP30HHWvakB3Em+LXoTkmFZKo6FnfTNi5/B8NeuYIWnZPCc2dH4zjNg
1ms7a5GHrmBKlwYASOTNdJwqkOqxcAweIaQJg0YDDMwEW+fVkFnT7yDar0FCGYJV2g3AGpkKmCUL
ggJp1L0YPpJ4vVlDusOF9DZLk/hg6HUXuEvFxhyn8aVsACaPHCjrc5kclplgdIrgig/Bxw4/vzTL
r/6cQUS1LU+mLZDHdae0RHbozzKd0aGJmmJvNSbEnoLg4vx1QGgN3PcRj7UskmLHZPNOjff6X/rO
YxVqbNu/znEfGiayP8KTb0Nz3+vp7F43lzI6R5DN1nfwy5XudXQzyQzpZQkXwr+6ytyKdpWTQ2gr
sJsLhGFhVO8G5naUWbOp4xn4/exJuSByGkUrX8pcPJawX3pgSKS+NB2fV7Pbpqd+yNTL7HeNh7iL
i88ArVYzOFsTy/+N0EWlvXRnAxAcminuaw7fmPA7NdqQCrr5+LlgzX2uE7uEDVuAnzq813H0tZwt
MlDAMlCZTiGTPhyBaNW8j1G9Zj58vtNxuFIJVM7nLGfDw1IKLQS25Pi4lBx3n80Fe6KSShAhcaAb
kJvuG/DnoA0P7fxABwEg7Cb3TQaIAuryyvpoqIGohOWK/D/KzmO3dSbt1ldEgDlMSVHRlpy3vSfE
Dv5YzDnV1Z+HdHe70fgnZ0KoihQtK1RY7wpu2KvWYKPwX89gquLHjFDH7zs0+ATc0lgcyjwhjP4/
d0Yc74WlAfvSI4QTuVNhhniP2Q89pJsHs3LS42I6KMvGGmrJejBARe4Louf1iN0Iq1L6BiM+GK2c
WZ7S2q5NE1P3WztBrk68z8NAaFKqzHdqsky7AmTrNy48jWb/bnHa26lZod8ZSu1cl5Gy2naiQW1O
bqf6MU4WGk7ZfyLIcg9L11fngrAGTAC/H6bQs8+UdTsZpLFenXvNJrtrVqITkQ5gzggqbautX8QI
DZwZvj0B7tUvBQucQ0sU9m47WyAuvG+n4g0wOu+DYZK+OyTdU70WVXGZkb7lkOI4xh6hACikiBUZ
SvXcaZH8OmTl9N/N34q0C4x+lfgCKoQuZX0UyUr8V3M78T99+Xpd7ZZE0G5P0WQfMrZYxxY60CwE
FY+lEKEj1BZVbJI+alaLEqbpmt/daL94s2q8ZMNsHjPHjPZ5PUY/FGQEM1Sa343EcrQcl/6aqoVx
P1PtDJp2Lm9zItTuEMco0UpYXvhhTNFJ6zKyIjs9etDXA7um5jqtQrYUuD+EA8sivZtIjeHkdhlT
9CfwdXre7rEdhJ1AAo/3yFLhpQlTkm2OlaFpLD+NusZpk0I6qVBDekhGGOHRaIlrio/DtWoEnq9d
ZINE0Pw+IdZmYfZQnwxCmL5PKLbV3CsQN52mxDm37Jx3I47wWhatc7ERFv+Yht/22h2RAXUaVnCQ
KkHjw2COjxpaVxywJoV0VFu5QzxshlNcUPhZT2x921lLY5uLWTvXQIdtAjwIfaWQzs3rYYi7jpn8
Vpf8qWsa5aWG2nXspKnv86ZU3ktLCbYLFhK2d0OTmXfbM6MSqs4WvULMyFOhqdR3/xUF0Vs5s11m
3FLb0m8gktM+LhQSRP7Ttz1qU9EEK5yxX7xlREPIzmhcZpcvJs/dDlab61evetkaRsUA4ReQ/k5z
5fx12mXIQtbdeWii4Nt9P6tZnx8b9eh3S+QcthPbS4ngPhDhE2Myv6ZiO0jxlaETbwuZ77ex1mKf
gj6AcyuXg9N0Trhd5kaUCGzTY95dz/5/P8sak+Z1IHxJMfTxAXOi8QE1AlYfBjnJVJLuvvuHpKRQ
LKXLdpDLthNZrqp3QKyn7UlbP/8vpg/9tEJcjnGj2g3CPrn2D9VS3zdTndQ74DvgfCpxh32/5tZv
TqfYu9GDX2fEoj91JEYdYWYZN6vu/vVs3tF32MP/GPHwye3i+y+fv80B0FmtaYRFilMSEej5bQ24
nejH+VbmmbrTcw0ycOfeLxquapsjVTrqh1hN3PuttfWvXdtVnhTR4avwq5cVhD/TFs/1okePSvEE
SRjJy3qQRDLt0mZO9lsTuugao9wshyaVGFu6w12n9cvNkgVGllTdAyRV8rSdTJx52ZPCXIbbWfJu
50tRksOznW0LHL0WeFzbya0LpQVUW3O5bS0rAmOIuruI7U2p79a86XyN0xghlO5yCOnB1vzOq/4K
utna83pN1yh9sGVaq447o43WlmfXxbZTVwgyZckrnxVUPWwm5tdlbW1dqq6/YROb32/Xd3xlD8TE
M+usV7jQiB5HYQLgczMPMQUmGzDFdGJ09ORKPBZLwJnRp84fF9Vm9Wgm99Sl1B0vaHrE1k5nYesz
bj7O7VhDrtSzYCkW8vaUkZSA4T3uLe8hO9sMNo8O2u58Wai25oVzMEHX967j2Xuzyt/rtFYg6dtK
IChPHinHnjACTh69iMFdQ6P40wXoNnscmjXdNPC4MOfr9kixoBs1NQaOus3HmipTQXx7vZoeewH4
E7M0UCzIGVPypEakHXeRuXMrHRQ3W5nkR2d+XLx1ReRh7Rvz97HAWKqzobcyeNUTVN7YZ5z5/c8+
NLY/FRZ7T7VqxKfYLT68Mf4l0tg7RInmHbNIAdtiO8wsmfAtkq9WsuQHe2UzuN18Stua/xX/HDch
pti0/AU7qYcaJeJeYHuQRbDPG+1lMLSfnqa7vgojbGcOEWin4vitQYFIXSD+TPEQjBO/HlCCksyp
ntguPEPUB89TsT+nTujrUiAAohARQnp2EJ7Wc7ej0hFO08C8rObpZYa26Iuqvx+A42MQ+7+ZVWIx
2xh9GFdas697pfAnE4Kpno8BvpIQnZIPzR7kr74ZDuQXnjpp3Yy6VS9eB7eVyWkMvaQtfS1Z/omG
X22J+zJ730+ssHkvug9cBg+pV/4YC8gkej0gxa2edNhq/tQSLq8rP+IyC6y2YVppeuLHhPkrL9/x
/dobvDOlR2je7HSfKsuEnWW+oQZozlCO2Z0Q9uKb6QhkoChToMsyh2Bl/dQTXUL4Zk3pJZUIuOAD
MWlYl0ywS0HYVFNn18SGWS1j6nZWRkbBXA0H2KK/lKksX4bonwYL3QMitFcFdJR1grzWMwBSkayG
U3PO5CGdnarpV/iY/CeywZUJeAGK5PSZp3F71RaDMLT8ZRhH7dVwziMMykCJxIuGLmRX4WywmxkD
QDzNE/HiV1PO50qoJHFlxXXqyXzSkMiEMuPDoNA7HhL4pOckPnlNHzo64YlR1RKRY06Pg5a0LD77
5pDYmA6O4/AA9WNntssEC9k8a5Wr+GqSFDDthmdHVhQsl0ruhqhszyKdTu0ANxerJUqz0NeVQT1O
ExqzyiwhvsLrwraean/iEKFSUybqB9LiRlIZksi+ug40Z1JzxNDYh35I8M5M1MCGASmwXjhKiY7B
JALI16JSO7Mtd4NpUFi6R+0JDNs3m36BxaGeU0+gD2+aRA+bpenOQ4Zx+m172KB7y/3/Oid1lY6y
ssdDpw6nqgbogh3Js7a7aNvprxvEZASlke4Xs5wOiD1K1M5m6xP1PuOjIbuz8BJ9bw3qTdXr5gyR
XPILS1ziUtgf77oFksmgL5/MVTYyGek9dmJ1k2dl4DP7xWdbx1yhjIOodsigyt2/T+Q5faQuG7jF
aRK/1H/rtvMsosHXqemdYrSqoZOOf+qOj0d48qE2bQx8a7ybqcBX5WqSPXq3Ns8S/IMJXrXFS5nI
JswHiMjt8Fk4eJZA1HWwTa3rUCqJexvb6FRIV3mOMPiNluSiGcNrafXVHueSj77MldCJOj48jB1x
/xnvVVuMlPApVGtd9dwl48+4NXucDBP7kNkUVOpp2EdjWwa83uxSFPPBS3hDihrPFr2wxvum4s3S
cvFSTNT19YatSyQOWVrsJYDy0RbdXVFUWPtk1etUq4FYs2HIqSQmisw0KprZvq+iu7bGVSLjx6hq
40Mdae+J7gDVdO1FZb8RDHIcQ5SL1lnRFQFmn5mnXGBy0fbNP0KrKp9MakNt/8GlJ/VnMyWavMsJ
TI0f+9LQjjj0tvFg7XBArpzuWc3FW2Oqie8ZM1tft7gmjh3vW2PCXziGm9p6xUnXWCRkbvbet570
h8xdAqe7q/vcd+3F9oVXEvhe1O6+otxzHaAstnHXX0trAM3FjgQzNXRYvVDxpOyGVzD91Bej9W5U
MYosIKebUL3jlON54nbnSlk+PQf/K8v7sKaC+E9jOpVUnvxEUC5mcp6DxYLOV+meGwBDz0d2XjnV
Ndxs8qK5pFPPGOzO5p7wDN0f1qRPI9feEHTPcFfbO3NxvV1aj2RnZIhTxZRetsMorPRCdfSSF62N
dNguoPGOz26GwAJkyS9sxR/69p/UsN6safnT6j01sMS8g4x9qVEhOgs4omm7zQ4fhB8dYaOhU+Yv
2Ipb15np3u/bvD3WcVc8FAs8PCUZHsUgfXMo8rBgUbfTEWZhipWS8KVNcGkLOxg0kpUbXRgYArnZ
sS3c+I5Ymgi3HyO5SK+wThErtbNIMu2cTgYKzaSUlyrNpmOJCfId1HDjoAmx3I9JEbOYRdYKPabZ
jxPBiNSatLBOM+eh6OMkjNv7ZkDWYwqbYioBkHhnsCQuG3IOE8x/g5UFGfSZSt3chBJvCWG92IZH
XKAUzWvXHUfFJm+gTN3XnqJ90DrWgNt+gsfwAA3IWIhkwiJf/SEbdk5aM1bvSkNN1Mv6+VRbprVD
8tr5PcPl+2yh9EnQtbwjK+4hJ8N9gKdK6t8gjHcmMJIVkWq9z/YwkOErVLI1LfIzwEXeYwxRfIb1
6R08nQ1b1ozvmheNfgFL6t2zsEKypNu+xxVDBD6GzTsSshlTbSzeYsU4EzioX/Gf9AAknGi3NVMh
9WupoCKak3fZZ3WALsmE0x33+8acmWRN85zY7Imj2ByvPSau147/9TK77R7CGXtlJqBd7RVILXPH
umetDaLkPSiyVV76jLdsMoPR5lViMZRh5T1PeCRjCjPExoqC4uYDNQrab0yCnj2bWmBDGd+rqtIR
nNL9csecEjPeIGj8q2dqOst+xE9kB1PIDkjDMvxRM/JbY02Ov4jMCDMgYN+wxoNeZR6Z5Om0l/V1
zJrlOHRpdJX8L0pq38FZfM2TSDwApA4+nlRMWa2i3rBCx9GvlA+2uTBhV+0SACTArsO5m8IUO1l1
TIcAMUO/N9YQ1KFMAxTx2c2ehurkSZJWsXYkg6WWP6uhImekkoeGVL5wqb03yMG7oZ1ShC/8/iMJ
43dpXMG/YsMNIXC4l7C1HTuMsiT2oxygtWvxwRE83KcpkiER4fGlTfmDrWRXfR264xzgyi6Gdjfg
Hargw8bELRA+AAjgxRpZweAVjq8WFYVIpoc+jeynqfYA1a1i3w1G7U8VoEblxe4uIwDO76gsh11S
27vFbcczRh32fSq0lC+dhLfQAZdpJgNqyRL65lTpXWk0kHSNuwVrunC0lvSCtqM5sPC3eGU3fNOa
o4ZjhlC66NLzU8Ucqv5jOnIgiE1YxxErmiRJgZAXRwv7PqoOVSzywExfO1trHuJl1n0QtZ+M3lSY
J7GcS8sfl7H2ky5WbnbdDdfZnhW/pFx/34lJBHg284+r3jkheqOsgHmyvn0A7YbcMED8qVocKEuL
AG1H03Cmx/PSx5TWVbXsirxxz1divvYd1UZiFL1zHLkkphbuPUbuhzFWcn901ZsJoBMa9rL4Wq+c
e696FcJ27spe+WxnPqjZ0ox7s27KsFuyv50Bf6fFVJzknIdqaNO7fJxmX0kXx59JGeiZ93GFYFpR
7eJMkHcULhHpQWJEKT1EEaFrWHcIR/k0Z3O6mBH0rblOgmSYraATfE+GWi/OihiRgBoAo8tcndxl
JBnErZo7PMeuasuWyoAqYhCJqBO5AVmWFZko7Es7eyS6zCyetHbsDohsw2RWkKw1Qh4LK++gVtYv
fVc9KiqENwy2u4PTdR+ayPXAaDWTX1jOj88zb3KYUcnJ+OTGpBatmOgwJlmIHTQr+Fhbdiq7j9pL
xBmNkkr1Sv7sOgOuHMuCHT8KNBTkrAdynkkfGryPPCpNv3dGsA5smuYcb+jOvlEqna8zJEM8i7p9
7sZvDmY14ezppJmKPJRzbLMZHnmDxlHs7ThSQ+HkbwQCzbsGyCzEclUN8wQ2YaXEGK3o9V0544fV
RUxRhW0avoMl3F5JRyfoi7QPRJQcwODyc4b1rq3q9oU1/h1hlz025umDoWnKoeaH5EfLQw6BYypS
8dixn40tCs2GS91EoCvpm44dq9rqrPTZ2dVGPB+K2tZ2KQQbX7jYyaa3WMwWy5tuDAoYkjvLyR4T
T1xsy23DHotc6taFuh+R4x2lo3oofjE5YQxHSjNmxX7A+F0OdoWdV0oWA37q+2hRw85xWx+5cr6P
PIuRJBJxiMvTh4bvTtgM3fSsFcBCBeqbRteJ+vI8MksNjL+aKJ13hD8+81G5YCzuL+DPfC8Uki4W
Y+fkcGRiQDnY+k5LokmLoZ0eFdB8ZvGWgM+gcw0UuIGQ2vs2GFlS7BsLB/MGJwjY4VX/1ORIuAwK
gR41/3aGQZ/P5uKrrKTNgWgwxp/f2CxMF5Hmj0rUyGBUtehedMaHbVKHl2N9TodMnMqF4dpUoHNV
VDNq5+Kwy0R6eiF7d6eRQhc0jYYjUhUhnYvgKWXduddLSF5zjqdj3PgRBqsHVWHPMjZW+3WwJCwI
syqIRrKtx8jL5B6NJmEYGYLUQSrs1OcihQjgNSciL4fzPInxvD36PsS2OZyLFOoUmhpmage4HX77
YSlz98CHW5+NXK3PNnjXvpfVdcHs94wlkjynBZs2D11SsN3N7SkGDPl8aCgwYkNzAb1wfaD+q9C8
9pw15VvrFgAopTm1R5kUbJE9VM1uvmBLPCznyRjwMnc6snBtrSh8y8KdRS/N06isgXj1YV5keWYW
KdkEzVFoDdWbncAK6Me44v5ALR05u4VZBUpSJeyl3Oi8HVi+sg5NsqsF7L6PFLU9y6HFL2uyDi3D
4blVM7iLCctSv2mrlzTr/3R9OXy9V9uj7W1KpIX3+RJJF+eXQRyiNY1y22dsj9y1uUbz8Xnv2rqc
edEc7Dmaznb8iqipZqALNaz+2V1QlfWc9M0o41ILOrXJTn0vKbjLnTZlj5ripaTZ849RfLOwocQJ
ghV810VRwCC1voDmNlbdNVMYLrDQDZJsiQo/UaPoIPPmOHUNxgolqYhpcpp6dIkKizVosLNx3l4B
Zh7UhR35StmuJq/CcGWwPey0pGb7Gxl+0kOixCoE+fdLVXpsrSYTvIZAqjNEB/0s0JgHtYOOrfnt
yvw3uIvLOxvhITfqlsvumDYZWMSgJuK0fVa1Plfndj1sze1gYubB13z9KP+v0xFB9P919eR43X6Z
BOBiedDqKSBs+YPNyRB0Jq5woa2YGIyU2XFsCo+iDhfENfnflZtilr74rdfCzxROA+WOwwjjb7/8
FWRKUAGcNaW/i/IhOeVKgZ37bSAmcD8k42MZ1XcZ48AZl2wS0uriF3ZyMUB5h0xrIGNW6rcOb3jg
cMUNnaxVfIjRlBPiVD5FTVEydstir03xo0NVLCqeyV1/bVXXOIwrTKBaVnGeY2wi21a/LBrRNgeE
CM7z0PIb9kYXvmRRvXibDJL4gTJGSDlOJ6WyM3467nIVC4ZslqN0rJrAGT3MG5oxP0eqwJe7V1hW
Ica68Nac8IJRLF9SdfaVGZKWa+h+5sXmM45HZV1nZ6+Sf/mwyaeBtHoyp5JsTT3tdwklMn3qvesk
pHEAVK5RjQUpW4id1XbVTS0QNY5sowKR16k/5HF1s1IqzhhZYdpfHhDayx1VGI+rMHw2ZpxtybjR
XZm9w/pvL1GZmgGRyOWuU2Rzl2GcYWiV8lYzzO6duXVPOblEj2RnUpO2ZP9nzsTBkT3Z87357Dii
OvATKI8ROPpbVUY4JqTKryEy6wB72hHGqMivisq+p/PGsM4T8Suuk1eQpIAEbvNjjMUjhqjOZyHA
05gX9FKxb3nE8qWM08ZvVWLbzM7+DTLvggUwRjlqPxwBS54oDaJxGRqEVqAluyruspOO4/zOKUx5
xMVUHiSlgx0sTWMnlb4LWT7uqnpKD2qz4h0eiFQJ0tqLwb5C9CeuUIxPJXoSI62Sj0ipbZTgFBP0
56xWq1W8koSqYcunblI/+k57L6e+wZ0cwSTVfuowZLWkburhAzSVOzyXs0eRZgXi1mxhkAr7pcgv
TVFPF2tF7xaovpPRNkdvbJVXoq9D4RlAqij2dtGQh3Ocxq8wBX8LgqbuzVZXXgzVUojPUKfQHQqY
jVaV7PN2dj9a8OvWc+HWd9FyAfiMd7mJndJIBfmII//Oxcn9V+dNRuBkjnZjB2Cc2jrpDh3as+fE
7FG9Uwn/bLEPtrz0b0sgMetpzXj0qrxes0fMo2eM4tFoIqANRZR/8voTW4GEGmlS+7K1vWfYxtE+
ThwEw40kY0tm8gbE8HfR+5NcRP88db37OGBskZTwmQmabg84gTMcbfXvnBd73mreGbW03P9uf53e
rtw6t/Z22C7/fvZ33/95i+20LaNtnMesTDnFIJ+oP9ZQ46+H1UTc8dbeHm3zzZioXLS1/+vh9/nv
y7e+7fA/fdt9tr5F68udodazz94ux/utLGsm1fWh6rCEAU79d68xmiwI1vO5AmU3JI/tX+2vp34d
xUIZULGUfZyJ5rwd6nWancwK87GtbXbLv9u4V7OKHNO7atHjJ0tT+Tm4hRFAIoqftr66sBndU3M6
bH3bQUWbriZTdPfVVdjZQ8ww9v2knuTGk4mb/1ffdqLsZEt9Z/U6Xm/+1Zcqna9po3r67mPHGWBm
b9wqM9fCxK3jg1VjNV4pjXVVa1O9RoWXMPXN/a/W1d4KiMjPuqrMZxmJIrQJIHqsFsn2KV58LN6q
jwTGxSElAPJIYQTVMupEQvZ2mu6Nu7HNwVKi8t6uxu7OTPODyxx7IcmTJZLM8hPKsUPGlv9SYtl6
wNzltWxz54r8UA0Vtl0MK7F9P/Vzygpfvc/m/owZSnEhvVcQqQORGxaVDA1Pswk9KfCPq+Qv4WA7
yRvtPQPo35d9q37gt1buxGSXoSq1B8rNA1vMAZvGKpuDDnfDg9lWVHpUDJk0HaEcS+9dNo7qa+NM
EEb7bFVTgCTl5EMRQRUb72n91+iGjp0yhMYhtt7kZNa7Au3cU55gUlDP1W+w/OWydbWxPly9vDht
re2AUDjed0i/d9v1W18/6K+eNbZ3W2tMKkmFab7v+8WDp9aLXVVk01MpohIZbDKFSjxNT1tfUrHY
hRx13VoeqZyXpCk+saH51wVyxqoaVBIOynqP7VDo/ySTJR6323i1TE4q0YX+9wXjQNyDqbT5aetr
+N3e9Up09Tpq+Eu1wy8xftBkoRLimS17x41XeIJhe+uLreSxKKmgbl1WNcK6zas/27i+dSWTXAK1
1vTD1kyXrnpaQMW/7lASga1DVNo4rxvJFTroQ1qnzjHtGF+xbPk36fbrkk6yPteiH9/9/3sdEH8J
HdLQ99v9vi8cteR5phrHzqaYAhycqnssA82TMa/+OU0y+1vfdhgrtbrv10OcKtA59UWunk9Ic/5z
4vtiLZPOsdbVh++u7dGSR9X9d5+bFp+q17L6aRPPd9suva90SsaCsN6vR999ttJDImi983aFQoXp
67IybvKjokOG6XVcx9PaJAxFLfrXGCAojFgz7LemJqqCNIQB3bVjda8iilaSz4oVrhcnkyiOqRCQ
qtfmJIaaxGB4Jlg1sfcS9qvh5fDbKhOEeW2aFNWPegdzv58G+3Uu2+koFFZs29l87rJj39bLLjbR
yo+97ZyjlkWJnYHOqYomMEnL7RdnLNmCeeJta1mFlj2vdYKtlbiR/WKYFi5JffG4dVVDzGqiqOXd
1oQxZQZkOH40+Dzs9LnxXqxkVLAES5TQ8jz3RWNpdFRLFnVbs8LqBf81FjnbxQbDxQMKhst2MoLR
8fJD52s9BtNi8Luq6wd1vWnWs9ztPa+82y4klpg13TKQjERwob/1Tcw8oehwofLY33tJPSKiYcqb
t4ltm5tc3YmAO9cyTj8iFwkMW5dHJ+/2whlzuJ9xcihxC3mJp8e6bou9pxAMnU+r7+VkPwMSWBR/
tSGsYGW9KtkIOpWrP4Y4Y3ZfyuLV0uaFdT6jHKExOWtxw7nIBLkzPqL566jMFFu86A07aCI4Zsyf
vcE8bK2mntoXxzgxOiahTZalAyvo7Oi6h3wrw4q6jMRrN4Nk5Q0lKWQ0+lErYycQ1ARWlM8JRpgu
YZKbwx4Ya8XGXJbzxfMyGGVg6kV89PQd5qPug73mwWwHPT8apnIzyvbHoCtE8bjNcuNFY8NRzeDV
OXsXxUAWmVI8DmK7Rmqo4yGIa1b1qy/Hhyhq1BeSDDfGjd+aXvRcgGtlDWt1VWl4fxYNdtF62B6J
dY1hV+Z9XMb5V5c2R8lZMcantMv/1LZrHDtiLK7Cwh9uYYl7KZrinbV398c1xXWcC+2TmI195nUW
m6Vbt0ifBXlJDbvvoUtYme9hrvwjXvnXomz9mGyMVzPtTglE3j9agTGc8pATY/Kk29UFZ95yX2ng
tKWSlqE7pTVF7+QHi77mMLoIGUTvCfzps/7BHKsWIMBO/rTilxpL++B12srOL93dooIRlqmoCM52
AW1VmLG21B9lOpUv05Cu6sJcnLdm3uA3CmniDuW9/RANC3WoYWrQahjzQ9Kaq74s7fawgtNj1+AR
YinlkbgnQhxyuz0C+rWhucrK2ZkbTyz9+fOSGiQFih0kqDBVKPRT1Mr9VO8TwBvbN/VHUgefYskI
ZDDU7uNIr0j7LmF9KVr9qjs9nrVF+WixW3sdpas99p2+385hfepdBjK0/dn+OzA4v5rC8Z6LGnt+
IjJeR8tYSNEmhHk9N2MEB9ZMqunaUvFbfGpGkPu1NVIsfipJ4t1a+AHXT52X7UVUW6991RC2WxaH
7dzgWeqjE7XHr1ZtNo/9JE+mmqnYWujHrMnltVgPvTpdZNrrwDW06qEb96Or2HgZ6fZ11jWHPe9S
+CA6eAZsncZ6JrWYY5aluBR6a1/VSeNstPQyNJNkxLB2bW+ntgMFTGKexuvW+LpV0XQWRdUKGLWY
xHEaC2DJThCY5lqtQDCEc9jWrNY/QBHA5tkr7ZmqBXQimnOvc7V0VXkaxPLy1dzOaG09nhMruxb5
+G5WaXUqQLyu49j864ADphOSK9cE/3NiUr35XuelfF/bG45m+N2sNT4EcqxF1rskPWDQrKcYBphR
fDMyd96LETGllqvxjV8SIgF7lMvdmmG09W3XuUQD3bam25gPKO5AGdbnf/fLpsO+qLUVfBnjlqVc
pO3EEgkUpxzKtC8hGCOxnPKaIvLal5iMnhgBxdA57P6lsMrXOmrEdWt53hKt1EoSydeTU58qB2Wy
UzbS5fCi2qV+b5P7AWOkh/TCFQ20VDbHz1tDtNSY8KuXd1tT66FyIMbLD1uzXsr0FE0ezOH1mdh4
Fjc5JV9/eOuyrSVI2jx+2lpWMQGxTniibM2E7PfQNlcgen26sK36jBbD9rdmrjvWQ4sEd2ttr6+P
9WNuF+3D9tqLlec1W6lCnub6uldi0aJrdbg1a8Ll+WqWpN1sr80usEFKMYJaW9vdkmh8yGsgXgrL
lNYsrVQDpenas02xACB5aRirzao7qjaVoZjwz1dnrhY/jWPnFwTiS8sjMun4PXWW/Afc4m0BCf2o
B+QiFOXFMznfTPUsDX0yOusrDI78WFd2dO4NKS5RpCRH6pDlscLE86YX6VuOPdvffnGezIW8dset
/5ZFZRO5nM1nrSbU2E1h34D9JH9PFOI7EHw2Blrsptd8LlOYOHF8oUR6SGf5YsvS8LHjhL5R5/Z9
L4dK+kWj8fXmlzrmxW07KLad30BDsciOfjk4PAZjhgLdnRrqaXEzQriCeo6GTsVjc0DF4vXzBbK8
PLVd85vYTOVkacXyYg0NX7v5QSMP/o3ctT+ldAMK9Dh319Fe2OKzGYrslqQJvrW5o+yR6atvtZVq
LFr7vebq9quwD5TE8h+GlNPeUJI0dJX8EiveH5br6tlsk08zqX4PszAp7zTOUYMxSpXNJTgLo7G5
TXMcmBA/eMLIfk4UifLFcqEiNRQrHX7YWTN7O11QXmogAjxV1QFEPqXkR+h5X6aEv+BOTJVA+9HI
2DtaHpVPiO952AjsMU0HstIEF77rxujO+umi+r5OpfZkqN0ZIXrjU4WK92oFImZhdwnwMoP3qqzN
W8e4zfNPncQT47Hqbfe4FAP2hzME5TYAZ1SOmkJdDU1Ts0c7r2MPEhnnP1A91GsOArbDX8nelXa5
5sjKE9MjFpt2/NEUbvssdSZtuvSbQ+EecrcjQEw5KOYs7mYv/bOUhC7OE965RC3+I5HB1L3ukQYY
d4E1iv6R4q12sBpLnGOrBJVPancXl6rxBvPz92Sl9T8mLpjUgj6TYWgQfwvA+qrGHGLqB1/FpO5E
ct/0pFZa8tDAUtla26Gxem2PcB5wbL1iO0S1DtNl9i4RYpUnbFQ0aH/pEW5EmJLFcBs1U31eKK2G
nk6te2taGCleixQv+PXkCLvweTIQY8/2eLd1GagPDk5iN7vOzbRnbzR6WJ4QiNbW1qUZFoZvfZ6d
tyess8/JYGZm7ZIcKy1a3T7r4XmJoLSaSf3/GDuv5Up1dW1fEVXkcDpytodTd/uE6kjOmavfD6LX
wtv/nH/tExUKMGwQQtL3hrvI4UnlbWPbxUJnquxZ2RCvrk8i56hK8xxIMQgBC0l6UabiEXJsndSE
RcMJImFSsuPVwF50OsGzpWEbFZEMGoEWzKrDx0Yl+jBVSlPSd2z8SZAGjqIFW93dyc1QgVou6dnx
CfHVaP6bk6DL1oEzPA8h2x2DoajPlYs1Wlr6pzjx+dJldfjHrE10pZk7PVm++RR3v3I8cV/Y01wP
mtFjTZJqL3mf//QjhCZEHVu08hpxSucAYlR/MRX8DKXW6baibaqp3qnApmYtajuZSA/268be1R/5
3ueAYcohOTk+MwioaMGTSBBHybZF5Gbb6L9l6hAkK69wEO821eBp8HpQXq6D9re+j/1Ae7azRnuO
RolBH0zLUWRDyWmOygg8RDRROlN75gM2WEkwt08rwsg9Kq0Hczq98ModcHcXQXS4bYXUWE8iicKK
0a7q+qPlhdZTjTb6rQ8laOYqALRM92BH40izF43ZEfTvaMmxpnHrdA3qt9pyg/otwOa/1yubP1ki
uVuY/QCjsE15gkunYnFXNXNWlNV6uSkVvmcih4lpth8LAHZzVnU5a0z2LsCNB1HUayPhvCaUsfUo
vGdRNozuSUl5MUSurKX2UBtlRgt+VCStOTzkgEOucxEsSBytOmelWWnwaNm85jXaWeag6itiu0SK
tc57Eokj+3s508abyPWuXd2C0t5nahxE67GadoHLwlqJ2izgKx8bKltnVRTuljLNiX47ssxHr82r
uxLAKvtt4S3aV/KTSOhHKHi0RKuXMlfvXstA7i8o+shPreeGl1Ixvy4NItYpKG9U1X4ps7Erq/v5
olXbIViBjNDa6M3hogbhY907yY1vYHIjhH5qIUGcRA6jTFNeiUMn9p+UWq+PH8rEaUaV/Shr19so
eZEA8kmtu0jskl1CC0IADHXKclkCpEsspuw2ERzV5zJ082c3ytlec8JgL8qSIGWvMgRi7qdZvh4K
V17R992jaKxreLRmqBRrOvCfXMYOK2aY3XpNUD6XY/5Us1F4Re+1fM4iRG51X3LXMnRQvB66s9Xo
LTeASh/41IZAKkgpxSyf5aEMH6rQPopKUYTPmMLmfeUclaHLb4Pen83Sb3menfZa6V1+cvqyARU0
eMm19PJtmm8lucs3VWWVG8XwRoBHbrXTJc26thEUjbB1o8l+bIuP25dKczP48O3Fzdur0XootvvE
pOAl/HCbcGf4CB5EBiudjBmAkyvFoQ/MX6OdgmArj3LrwZyQfDDdcqtuauYg64rZR+rgL6QmqxGU
8LoPJIikLl9zEe0DHwO7XgeDLkvdCcTEq1Jawd7jg8AGtwwkHZBy26pneURrrlYkjeAC7CRb2se9
+sa6i8EG9MIm1+Rb0sRHzKilS9Hk0GPbzj4mLQQ4TXsNqy5k+WezTgbtmbS+/TwmhnIaiGiz31Gz
mahlqyQdajhTK7nHSRd1YsK3A24ATt5Gq3rkG8li+Cq3d8WvnMdJhG+AxGAOhQ7v0dMuehXKOwlj
lFUWvI3j+EJEaBPUSr7LzNo+twluMGwEcLgkQ4cCvKkVZ0TLvoCw6HGhq9tdbvn4uKqqe2vTX1zG
PyG3oq3Qfe7Wlq4Ruc0k5ZIwV02MXr5rMVfuimQ8GwjOej4gkUTCcjFS4eQN0aFSuvJUNm65xT6y
21SW5V1iuxw3cq1+8Xr8A0BMNVtvhKIhj/ndAP5xL1T9VQqD4pCg1nhBJhFcCd+UbVxZ9SXPMnZJ
1A7+1uiuvWJoLwAJDk2JIGNdRuu0zPdO0jvHVBuKTcy8gaWV7q803LTWZdscjGJCBHqNstU7M9oB
EP6BVNP3yUz0oBMlX3O32jVwuGaNOhs7ePQbs5KA60V1fVZI0UkAroWWBCv2RuNrr5mwbeQfRaQO
8Or08twBNDhK04aHVt3FjFqZptVMUehGDXGQ2EeYJY2QjAi6Wn5Vk++tKd3iGJ4v4ijrOLyDXv4z
2lpxIv4m8yWMSjTX5NOQFcqTDsNDp9sT7jXLLgJ/YxVrLfWDS5MW3snrmWEkCu/v4OPLEzc5cnvd
1HvzhC0rq0WTwgpeMeplghmxh2oWZbn3zeGHrcv2pbejes1WYO2zFTqDHfBWI7ZkWkev9XGE8CDT
KCmmZVk57ZR8gQiQrrsw+FUlOS7ZgX7gW95GIFaQtyp33NA/ZYxFTM82PNEHTDnqwnhkY0RdhaDL
Nm5YPTt2BcfMrnB/k7Xs6JeMg6Gkr8eurdZ5w55AmT6iaSpf2iBQLvWUWDqGlRYkzDhd+arnbvUG
pJ6vqKxQJKth7DWqrRdF9hpQ1i7IvF8SkQeUGAIUhdjK+NkaXf5WI2vOR/vQpNjYWTacJtUjBiL3
0FMdpsdXrwLIM95ZkdRr4p5Frt+wNU9WuAG8xqHs8/OWMUGoNwPk4ofeYYO9VJuBqLD3hLAKn8+6
AKHkyg04fD289CAvV9hmMatgUdhEMhwevWbzeoy9nelM6rNF+8uz3QSBMg14o63GgBj0FOChu/dH
rBpVCPOrRoHKVP/uIA0GwH63lQOcrzQtdp2tlZ7W8hqh6WwrZw0I5UbCgEWRJeQj0YvxPJfAQm4/
D8Xw1PtmdWGrMVmPzYAoWlI/wF5+Yqe5WhnoyR+dQQUFqrrG0TLtk+S2zkmKXPtkTDidImy+V7Zz
yQOGWb2SGMbiojiMKCxhofreAUTdF03zjveBBifY9LZSHg3XDq+ii8XmcTYRiL1YfY4t+wz+YWCW
3bvcwe69Z9XO7oYHfCkMt6rWuKsqg0SRhAUbFbWnE3XLjUNhF9nKiMx6D3Q9AxTnGIBu+BjsIDOf
rJSglJqhuYV07HNuNDa7PJmyicJwnw+1vm/LwvkaOy9wmRq5dn+OZrmB88631JkgMtLPQGvXqZF4
J7X38Ecs5GrDSt05tADP9gY4UHAnhKQkl8VbA+HeMjI2PWR9w5zx6vRG9xh3aBRZ5BCTiba17r2k
iWSel6ToMmvOmsz8j2YJRQybr5vhMnd0OgMco50A9CwcZ+d6rrP2HdTXFIa+NUvmlSp7vIqurp3H
MiRsyuzjV5yq29SLhpM8It+EUNRdCb3fxuQQBVXngm6x6IyszvgQT8kknqOnvXKR9bK+d2093Opw
GrnJOblX38uAqW5Rxvvcs2R/HVs8RjBhR6lm/dG0MTMPI3iLYhWdQz17NLTe3PVpwPp7Slz7OjoN
PLRaCbdVc4+tKjr5LA9OsWsFGy2DAAAbOzgbpn5XPQ32htPTo7B77EBcsb8XbjupvI8YVLKxx+Ks
mQTOlOQgMGDmFJGGKgwsUTcmrysQmP9NpIZ4UYu2aeZgl6H5SGq5OUiNPnFqtlnwa7CQPZ8CAdKo
blUXW1cMt+BIYAbqwLH2WtBYg9cNrDhdzmVr5IKg9JGOmp0rfXiU/bGH2uGamx5VmvUwZZEpGNat
zsPSYxugmeXH8EoapCdHBXSRo2dnEBmHboCRAlzp1ujNXarxf0r1MNqomGiOa4GZ8ycCvwH+bGt1
QwqnYLRvfawoTAWb5MEhNHcKq+JtBG70itcGaMPsu98F8auc4hLj1L/szKVzi10Ca9oqKEeVlU5M
h7IcW7mKZOATBsDKkTauaI0GOPZquUglwJ4uSIGhTPWTuAyulS9B6aXHJMwZsvvG2mDYDTyEkAIg
uGxcZyimBVZm8l6Ya50h79opUHpLgAL4r3W7qOL3kBxxryEbrIdo9N98pOAQH90NWMttLKuH4D7h
jQBobyKFp4v+byyt47b8w7qmPtddsi/7ks8kqMDIwtJajiAJ1fA4y/Jo+d+yNNe+ICGPImf/pEae
cYg76WlkE2Cit8r7Qp+MB8J3udEOodP7ROs3Tjg6Rz8wbiGhtHWsIqtUyynCfxqIcfNs6+pwUeLw
pZdZpfqFh4yiD2V4MmkqXHRtoorfAwr0NitAeEnZ7EwC3mC5cnMWjoiHP01nKc/Adm2ksaWBhYDO
OK1MuPo0bqtNFpvOIywA60EeXkYQfI8aYAQz9apdEUZfciYGyFcGQCtzgqkiO8ZqwpwvTwBoStI+
amyf+ZMWA38xNqnXaOsiz9oD7IjspdHL6tDDFlmLrBpZFXjj0sAvVKquTJf5f+rG3Ki592swpWGf
hfF4RvjjsR0Be+u2GT14SLk8eJVSEhlGCtNqrXhrlGaxz6GBax7sDClCYi7hz5uYGnaHVLDlE2TM
vJU19smWVfSDxj4Ho/gmSR4aH7DY99R8wbSsPiYTZiafcHU+CIujbj0EE2601Ab5CDDCn5CkIhnU
4E2SNHcb/rdIlIvmyfTalafc4746NXS6VZLFpALoWakgp5Wy8DbubsAR8mD4L2EFUsB97isv3nnQ
ec1ag1vU9c8IlaNuiOfdrKshMEICN5ToLBjs0ELJexLcEBWNG0OS7H8MduWdwGUZ45bJKn+JOBRv
tFHAJTuIw2hkBwkWFv9eV2agfe1aRUEol/bDBClkLpucsha4tVfh9eCuIkmZ9hEo9cBibYmqfLOk
dBPJHg65v/S2A8U83bhquqI4WvCJphLJ41ZAFUVhPyZDchAtA6vmziCL6P09v54uIlopvjysTCuJ
N+KvjNCaJgCL8Nnk6rf3KnkvFEYsZw3JvTuC4fzZTM+v1wPrkKJGLWLAIonE/ReHIUtkQloY34ls
khR7P5dU/GemvykF9+nhnXEQPyn+DJyX/aDoECdpi62T57/EeXHvwTGfHuP8hEWhwEulLlEXYyKN
LmV9rjZ7pFbwZAL0MWN/RW+AdkuEuh/ifiur5XeBBxZJB4y6KeHXsZ+K5EhSdCZmRIUVM8bb1VYE
vWecly977y3Mxa1T+TxREwnRXR1Vz+LZm5H90LHvsxtLjWHd6AL09pi6E97KTrHF8q/20WxbHhrY
YRUIdeVtxOMST0Mc5Xh8RitxKHqB4asuceVm5WRtesLX0QF9Jg6nBCICfUPaF3i9M7Z00QgQAZgz
VsMYgX44FGdbOFKARLa19DQfjnELGsoMDuL3+qpij7rahHX0ZezVk7hz812CWrrKjHjYiHst7kpU
Z6z/awXxlQkDIJ6JOEMcibK5O4i8SLQYx5Cq8YFoIvrYNU/iwc9dU9yapTeImpKdz1UBhn0jboX4
I9W25P7UXqau2UFnlmsUP+rJNgS5y/n+6qnVjgCvtF3CbIBe96wUaQ3T1t+lI0TnWh2e1GnoEJ/t
JDSt/eiNIIGx41vJ0DlRwq3QEzKiNPt/fvjD3yAOsb2C7K766txyfnqoyeBQ2mrqRgwB4vveIDd+
MAFk9U8xXN755s5wig9vzQdQxec7qBHGywJYk2O10/xUGbeh7b9LTSJvlzvMIHhSLRtK9zK4yO1j
gonlTvwtrVs8xOYo79BobMd1lfiXulMlYB7TODS91uJMcfSvZU6TjwgH+NFG9IQ2jHdMYVi6TB1B
7ZF20uFYL91namAWIw10dd0hwXYQPbhvjO4wpAbLkmKbWh3GR/YErvzX3zWz+Oj6YIWdVAOuMAFS
lr43hldbnQCMWmaWk7wNw9s0LIueJLJLWcbuzzQiGepobV2r6MCsxI+WJzFGivYiWd7WD110PhT1
Y+F0B6fS16InzKdgK7CX3uqKAIEYC1mwV3sUuo/LG770ZVEmst7UC+W23VWA9Pa+FexEnS46u2ix
nP+5C4q8eGriaD5H5OfDT/Ui+6ls7rZ5YZp/hx5s5Qjwx/rRgyu3ioHHZDEgt9YE4Tx9OFQHoqmn
slAd1B0+FMTpmReIJ96ZKsag1kM61neLuQHrw4vKjsUoZ3hsR/cUUEpXNmdjwqqOfX5PO7vZ6frI
VKJS5Y3sZezdtAjMrAjw7gTvYEgnu0h97MqNF+QPFubFy4MXvyqy8+u05EXh0k0+nZJ1cX1osR8U
nVEk5TRciyM1gr6kh3CexN0XF8nAMw5gVuh2rQutfi3eEljtlIrDD6WdrX1NDUSUxLplwDV4C6nu
mym4FD43rAml+Mg+ONSQcMI39JH6GrTA3ZEx2Yp7LBLx2MNpeoJQLmvkIf6RDurJCbVkJ4/9OdJz
BMqc5iAGGYVRu4azm6Oeu/Ezb/4CaPUvSPnJUVxQPHlxxEhfT2wYM+h+jZ3ziFmcPWOW3ch8dvE8
26WiRyyDgazI1pHzlr9PrXtl0w4Q75e7mCcWI2k0fWYSOzE2rgFdSJBK4AV8BZesMRN3kB8VTYit
QTnR0EXpFWM765iJyRZ43WI/2NZxAJhDPHcPPRKN4sBcJziGzbOreRUVKF5GzE1V5kEYLvWt1CJt
J64v/i7XDPpjrT6MWlrvZF27i6e6PFpxlDbNz1AbglWfZSj9QyH/u0BbBg5JfPtFfp7YsTzNcaRh
+QDGf6skZgo7v067K4Ls+gFoWnESrJ0uaIoTfeFP7ifJ/HzFk1jGmOXB8IH+HUPP1Aen3BgQpJHF
sDQcTjJeApsRfINC4DbnloknI7q1J7P3aAAPdjN8Q/47mIsGy4i+PMm5Q0/j/XITllpxJJr8/y/F
XK2HvXRdhnrxx4jsPBdf8uJoLhwDbD+Y0CLMICa6UmMeZDwWRRPxs/OUSxzisMmrNh8S1/4Lq58/
lOLv/DDLmM/NU3sNLOBCQBB7DD70Yv5KcISta/GajBlyMGtv0N/RWmE/2W+jQ1b5vrwVzedDd/qC
BoBBGi+e53Gip4oZ3ZIsZcOYEHJQUIpUgIlNkzDx7yzJjJIU+Q9z2fmvz8ceJs61z9B1azmugKfv
TKJU4xq93owg1A9b/CF6eVJtVT6KaZmY1IkjkcyXnqaFIksgCM1rDwLI0lg0WbLiaEmWx7iULb/x
6dwgfW0Q6mAMY8wUA2cDECA9iLx487jjEcv4qX7+48dcyVaB1MkfppHiEc49b/zuQbQ/iu4aoKQL
aHp6Bn7TILkheso/H4qz56EKUE51sPN485kK4sEUWZZwnzghguAhapeKZQ0oKkSytBPZzv3ZKWV6
nP/6qSfPZI/lnZnnM3NnFqWOmjbET/773omjuZU4/JwXJ81X/dDq8w98PktSCGzU5osyIjUrxpVl
9iDO/aeypYmonefZ4nBJxPNYsuJInPevV/2wnBGtRcNPP/VPZZ+u+umXvGnAx2iubHwYfdMrjocz
sYpinNeq4oUXCVspkDOhEbF4n7bZlmQpGxM8QaHf0aaoNQ7nRmK4FRdfmn6oEYeu7oEQIgQ/92jx
soj3ZHlZlpfqX8uW08R7J9r9U9n/9VLumE7k/iwE7ddvbBzamNZOc2Hx4VqSeSW75D/sVfxT809l
83piuuz8C+I6n9rMv9BFzkWRuj9y4/hrMTSINag4Wr7RYgxZsuJomZAtjT+VfcqKdm6LYED7UymR
RIgyEyIfLyexd6a3ogvPh6JU5Ee2sllWJ0WyU53seRneAVNBG1/y0jjRyEVejPzMhTx2lIzEsOet
I9cz6nEthgd2/5FkrVAG/ktXmwcNU2YPQYwuWT5CwkT8bfNPw+3SFSyx6F/aLN1gKfvUXURW1PZe
FbNlYcP06uRR3zSWGo9rsf6NABiwXRT1L17dBbv5jRc3ZUnmYXXJi9v1r1lRsby6IuuxkfJ3+Bb5
T1cQZWMSgZ1QIl6jZbCfJ9ZzvXg+y5kVXiUs3pKjwcaINu2QfFg5Ls3EuSIRE4MlK44+tROD6FL2
4R8XNZ9O6ZxC2o7aFVTgYwmVAtcA0YKdck0ByTF9uHIc8epnMXS5SZQkB3Fn8qhNk8MoW6sqsYyD
eNmXJzq/+x82Mz9MFZam4kg83iBr2dGbG82bXKmF6IkWBsikqGhld6OTE45BzUUZbuIVnfcpRQ/o
RzWsvooX+e+uVil7W6yzCZ1UBAfTNDlGSATDEoe0JpKyIlq5WvKu4Unon/nGKp90h63RwICMAXnZ
+TBUxdvrqnsWnG2DAEAgo10j7qp4LmUClUktspc8hGci+OTq9IDHGtGdet7P/HT7xU398Ijmpet8
18WaRRzOr3lAcHJ09GEr7rL42SURf8CSFTf2U9m8qhM1n8mcS0tRvfxLqu+raxNrvRU2hljFean7
1mRhv9cQAtyqMGbJQj1DgDQ74jNJraESO9MsZHqmWscB5qlGEd5NpfccKMlema4hR2Vyzb2yXolW
Y5P0B2nM9Y3cJoD0ui5bVQGvukicxNbXpgPAUwFTdIkjeycHvpFukQzCcJmV/ZZdSVDDg3WsVK96
gJNFrBnRWIjniYV7UShfYrd/mRDtTx4ysE/wb8oNqnE9qhxkRVmC4FESEZ4oe1QgQrOIn0LHQllQ
b65DiBaCBWxhpxLb3zuGOz7GRfUTvuOh1ZX8rU91XLVi9z3NmZKX+MCfXE8GKZ5UL60zGt8dduuJ
7LoeAQelRh2n61ZeVZZfyhFML0vy/FWVY3ONog7wqgDZLjmbbAF0tpLH1CjQb5LlTYFEMMpQOThu
jBiLWz/VsJWEmUCHo4AfKfsqM/PbOETFTRyJJMkyC92zNEVYmE14Iwu9TV4gP+QO3Ted4Nm+licp
v0QuNOxIUOLYTBvAK9tl5RZmIarXMoRPzcVIVEbBcFMnGZggp+5YD1eZfQKpQXjNYbO9RvVraIfg
sZsSiC7BoytH78hqSkdRlCeYdKO7iCpXhvCZZhCtsbzHCjXsR5lI6GMsKcp66HuPFQQVoekArYpN
7mWKpSgesquh65qbEjXOwzglZQJsz6Rvwa6mxVLhq0m8VnILV7SO6Iw+YDbX9yq6MO7vIQrG25wD
zYHyr0WfW84vAsN5QGUmWBd+vUL3VNtaiqFvhqFK0XgDTJ9pin4yLaDOwFqVjWqqUb3CCh4ZDBzA
c8fPLwVUu0s1JUuW/rmPMvZQO6SNTLhpuXpKRz3W1oquKSeRZIP3n8KsLaT14MByd/yYzWZEDV5a
F8Cobfbtt6hLv2qE0sGFQ/fn3dLhM4NMBK2QFajEtONvwp1f/DRSvw1VBFoBQZwXr0+AXaOD9TAq
xJKNITLOhZ22J7UN60Mch9mNR6BA+a/lp6qX6FxJrF9lrX0pUQ262kH00JlFBfVVKp/ClsCRhdjj
VmRFBaHQV+TX023Zr1qMO1bD1DxUYkz5QrBc03lEsCmyJGi3jBmbDycb6bsVj/pZXKqsdOVmOf4B
chhOnQmyaDs+OMVm+QtqL/rj+2M0X7fUxvqhauptKiNrs3axWG695BmjwpFN+6xirWzqZ4gW1RPc
8/bG1vFR5DDarZ8wrYMMlfSINU0tRJml5Z9PiuwX2UaPC9dAgNrQftixmA4lGHQX9NPaS9mxrZzH
qJ2ICgsliyMymBFoNm6Fqkv1HrFNZS2y4vYksTx9qiwwYdP9MfseoEsxTfTCvdn/mf+dOErdvZmV
cM6m+4fqNIi8ZHDwp6fP9J2Ocoo4FEnhjTDcl7zobX2NhOSHQlEtahrIHZvuAeAMCDyvW4HrwlIh
LxiU1PJrWXr+oTU7D413v3jP852oDzu/3MUqqk3FKFlsWEs2buHsBx4rL/AuzZR0EbontubuP1S0
bYydzJvnmuEWCkN4zvsED8MpEUeiTGeVjWWDiaJaqAQVfoP/0lCcMrdezm56zAH/L6fEdge+Qlb2
ny9TNxkit/f+lsvsBq4//XWitfiRIcvV6hLXE4+CsKNu1DBgUaS8BlOSIjBxFdnBdVEsDNwO8roc
srk+VecyyuWrpZE4wkHvzIevIY7MyaHNroqfFw6eGIMknaw3Ayg+ylKi9tOpIit+uEZ19GAhBD6f
Kn7twxmJqm+bHIDG54rprxryELLjfczMrzH2pCCXRjs+10MRn+0+AHCioLzZJMQZZaIV2yjzlWc5
97uLrZY/Ul+Rnzszk59Vv7w1DLA3YtMwXRAd5OvXauh/WWWtnk2gJW92wqUI5uTXGDWDt6CQvsBH
9h5EpZ57VzcLzUdRB1J4G0Ooe0qnln35FnWK/qK4QfaqREfRhG9O8ixXFfTLm1/Gw6X1lPjaTwni
fmq30qOSQ7MaV4zZoPGmrGgD0ZRAjmv/lqMO91KbvUuYS/Fb4pToaCtavRZZra26g4Zr6ibXDRTx
V6bRtE/YWCFdZPTqNoBQ+Va12CLI8PX2E7/yDShYvjETVz/0WGY+5mb/AoSm+Wbk30e7sr8Ykl2f
kjxAOslUm2/VCJBCtoz0EREdtHT99o9nmfU3IFvqZgxxETcr90UBfIaGbd2B9+Qo9OvtiDUsfOH/
FEGL/Fv5qUw1LFCxyXjJO6fc4teWozBnZS+JZJinKm4GNLfb7EWFMf2E9ftKVErA2F5AYHyByStf
RZHpVsQX7C7fi2yPmsRRcYZoLbJlaOuPI1E6kRNXbDr5KqP1psKIPnvDCC4hM3ztXKIVAy26dFFh
M9Mrm+5hswGLh6wn0rLbwu2sk6hpa9fZ6kpn0O9wOxldRh4EY4K3Vi7aNRyf4CSyViCbwBSC9iyy
JkZE+ECq7kVkR2n4bvPNv4nc0CaPjNfpoxaC73F77+AHnXSPk1q+Bi40Yt/FrqpLi0eAPltkJ9p7
7tSvUVjLZ8AK3V1Va16VEFX5IrIvooEoRxdxl0tlchNFItFROQpMCAxlo2K4muEem5jeXTQPoaM9
pvq9qrKd3dgFhoXlFhnz/GwOVnYOGshyk1hwfpZkkqopbGRm5WETOi2i42ZQPfiKhRX4YLygEBZ/
k43C2aKbmR9EFo4OkHo1e8v1HklKrQVLMDVT2sFdoekHqibtcVeWa4DiRfwNFHWyh45v7VRiH99M
QzuntmQ8635iXfPIAGAxNasH+fcAWvLIp025Mq1TcCPiyJ6SUYndNTt4Ffjd/5QtTcSRIdW/i1ZV
9v90vloDgGnM8KHsx+rWSwVw6cxG+g5Ul86X6Hcqu69635lvldWjD5Sq2SXxNRNl4yIGEdeNX9rC
voumvRZfykBzvpZVKm/sMjSuce5gwFKWqKWgC/sKHemnhPjVNszWNrChi5zzUtl9+L1RAIgZml09
OHrjnSTTivZB7MvPqKqUK3F5a/wq5071syFuBIxID9FhHLQDe7Y5qru5cXdMNMd53S2ELZV0FSVl
hjIuGlWXnDH1Yub+pnXV8FQiTv63Ym4jqvOlFB4J4Gdk/Dfy6MnhRtT74B4v4mqhZVNoFtAJC0s/
zllRrTpK1O94tYO5paeod0OPjL1sdnC3l0sYln42gZefLN+QtrGSqdhSddbBAO97xOumuiiabu3M
KBkeB3xcNm0tV6+8jTLQH9t6Z+58R5tH+lM5L3YXMSXtM2N3fzbrTP8JJxGxSJ1xnt7HS5tEFiQV
b9yWRVHeQrUuD7pWdKfArg3cfd0cW4LGQh8LsCoDH8xMNUcWy23db6HXv0aBLv2WQFrOP5SkClJx
mfFriLvvviRZXxWzSlA7VsZn30QbnCmK9wCF2t4nk6i4LLnxuY1DY892QPxgQwUC41wZ7J8xkJnu
6H9jAH6HfCj9Uj18kEEnMcNmEh55tv47QRlZbdoXD2uOqn5qGzDL6BRXL07NmrBpC+UB3EYDPAeH
JXhX1obNNdc9qKqGB1VvTZIGcoxbnNIkZ3FkWSUhQCQQrk2ErAv+NU+K1Tkvaex8VYZQuuqt43AP
kO8t/bg8iWyjoTyXWmFzVMMWYSqFedmxyYG6ZZXtvHoQ0ldF58vXtsjd16Acv6mGp95EbpwQ4JZq
PIimjmKdA8VwH0XOb719Hefxk56p7qs7EkvMjOo51yzr1d33bmJ9C/lU7utervdW3Xnvmbovu9J8
z0FkYZlTlIfO67Kv2NytWyOwn1hHXjB5yG6lKyGe70HeaFpfWc1lU0WQEXHGWXdisvR7xI4GXiKE
17RA+y3sDg3E1HzLa16XBpVWapvCbIxdh6XgrZkSOsawqfBG3oisqCBgm92qEbctLKvPgJ34Za8p
QDdgOLpi7y67aVNiIsV7tiXtmlrF+MQuwNcmD4b3IZiAHjV8DnSgkNyL1a/h2A3vfRkY634qD6by
/93eRnJpae/aLtcBnrauPBvBt/9cfyn/t+v/7/bid9Wig7nt6Fs9NcJ1x4L9nndDeVctXd2bUxly
GeVdVKQsfucy0QShyOqeT2WfzuXLiZyV5OxDlW+iSIyJbekUlbyjZyR/y2Tso51U3y3NRGUfOs6q
LOEbePmDlNQGhEk4X71Sdt7W4l3ftOjYbJJeyR5E0us8r6x9U1dKVWxVP5IvXgERj0FKZFBoly/1
lIisqUmQ7ud8UmxalmtoPf6nVpQvWXGGKEPb7pwGANqWovlKSz5m0Bt7+yHndn1vsf9Akcz5FsFn
olPl6dFx4ZKqvfU0mK3zXUOAjt1Cp3swbBvD0Qi9lSyWA6KvsIkhHh+rXNppqjN+QZGh2zdcVQie
vkHLOorf8BPgfG1RG1ecsJ2b2ygEuqZrY17xoHLXXsGNGLgOaNpOrer+pJY+mt2T4Y5w1JnNdQw/
g5zL4ktUiKRFq3trA7KCid5aRz3Wc8R1aveeWJF0RyC62agHBxuxaBzRdNHQjkGE3NJXTEHgxYR9
uZeKpN2z+EMWX/tT6PU7EiPdlyDECT5q6vYhqFrlIId1cnT7WL/5noonhpSPb7Ef/wF0mPzhZB87
+JOk66hjYf17x09mr/WNdyuyqrpnU6LJTA/9DLnEqYGmTlSkCsiGUec3JYYXj2SyvO2crLmJ9qIZ
Bk9bTCMHDNAQp4kmT3Yg83jJttHdQ6wDX7UqfkR0CIMIA2M0rZH7HT5o5c3wmmhfQK25RgmkCq3X
x4tlgyyGHW+eraQLjhlSxmdHD4wj2x7ZyRnG7pQUfX+U5CA/J1qGsY/bBpeocpF46iz7EuUDXq8l
myRBE7m7sK5lHBjkcmc7WQ/RFdFlBKDaR+IT+TYOrebuovaEbjDYQUYc0EBF2z6PDVY/mDv3L4GB
PHKjr9rGZ1PKy+TXihj02u9l7a23bbS80T39gvdMuyqCob+6+FAhQZ3Gm2LwA5Sw0I/j2wThw43H
H//D2Hks1wotW/aLiMAsXBfY3kg68uoQMkd47/n6GqBbV6devEZ1CNx2bEyuzJxjJo218fEje6F6
3cC1iRat/Rzd00v6HRny/CEl2geJX+TlekCiPLDUbdbycPYHseuXd7Bi/DvoAyuxeBgZUBkTkE5a
TD4K+hLVTrzb9BowBMyGE2zU8bbGSH2h8c9A1+qLrU8dKGSuAEZG5T5rFEAywPvGawythaB83OdC
ih58yTavpoKadjWCD0WP5E73h32fDtOLMBg7KUrwYBVcKcqUF2AD5PElogFwE5RDv19fpcbJodYG
5ZibyuCRSyyOKIJihqpLZ7BuY8jht87PKjEBRFx3Wef+WWksW9aV/3PL7+5jtvIJ+YDf91nXVZWF
Do0CnpvhGHjVyxYrx1bqnjoMLI+jL2fgKzgkGbxt8pYDSo9lEaKdvZnaAp/LZVEVE6IloReHddFP
a8VBnRg7mDwgkjNMBgXLRM1D/J5KMZWn0U4qHCyYWye/+6xz6zqcxtm7UWlRGnK6sf4/XjcDjCoR
qP8/770u/vPRJj4CByIh5591vy9ZP3+MyvmYpS/NFIYP3HN9p4hN/aD6aCv6XLuXbdPfaUMouXPO
32zaRXxrVMV+XVpfJDT7vu0y+6Lr0h500Xy1uwZJYZu3z/1oVo42mMF7G0gPCIrsL6Eo29zidgAH
3A2UXI3YAShvl8XfJDNuoIPEH1VUxzx2mvZlsbt3E70rL+S5TzIQ9wtCgeqSK1W4BWc6O4mQq8vv
hnUrAdZ/9hNY8hSt6crdEy0yODcv77C+ZN3xd7E3RtMxh5qa5X8/5H+8tTQm6IVU/ymlRxVg5vIh
v2+wLqaDvKf4FR89a5DMczcGGBBhHYrji9SHSEhU81ZAcrxNjeXuqxR0GIjQ+lmH0hdLpdTam6QK
LqaMcUksg/r/WVzW4dQ9XKJlsq6jBVPZ4ItGFWTZ+rth3W9dV9VythUDrgDrYmto+SYCC+N18UR6
v6o/IoQLdiHXr0owIX/ry+nJLBm011Pj3+dz3nu0ivV3ahdDwzTH7MbSgKrEQNwuk94P+4KuWgiO
ET372FYd9NSGCbLcxQdTjq55KlfbjLHurQxrl4wB2etUryUS60X2yLcLXXLe1nNiQEDRZyHe8BR9
8ZvU+Cx1/yiTyAwg4aBrSuqEUPqxKFsDfB9JBgoa3fc42Wc/z4tPrYnfJUGWmrslDfR0Del6jxuW
ALWgg/TM5mx49OuhgWnOAGLdOppheQozpIDr1hwLz7Pfz42zbo3TMMPzEqbcunVqjfRaS+ItWd6J
ikd+k9bV/botFhY5J0BLxOTRTdnK0jXGSYj5QJ+jm3VunchZ8DqrcnX4XbXO4YYaejE+Pj+v+t0q
m5m5iylEOes6swnBTVoNulPgoO7vfr+fIw/ZpRGFcfRnlX3nGFcqlEj3Y2KXlIh8iidKqpxsq1NO
MjoqNOuRsktnUDHrhnUyWlCDXGnZp5akqdr+vkbxpc9yLiHb/fdt/tlFN2M0ZOub/75bj02H25tT
6f2877rZT2M+4p89Z0OSXOywhKcZNkKw5e2loUYiiIL1nxeuG34+cv2CYSb7W1uIp5912voNfj98
shNOQd/s5EMTtt7/+pt+9/7P+ypfWQC34ec7LEdhnfvnyy5f7uc7rVt+PrQrs5sYsCtS8Z3eWvKp
WHZbd/BFTZpnnV23rJNpPfzrrLA60A3Dh01F6CJ1w5ZoAzu1sbk0SVS5NQYWQYTULGjyd71oJhh6
9DT28sEI/Xln2t1f2nInLwWsKEefvZpgHSkM/Chs+GD20B3CtP2qM9/eEjOdLBCmUaVGnmJMC8rW
/jQkLLLjzpFqbuSAZgU4fMsmx9jgbmXVyRPjzD0ivEfR9LbTc9nB9Zgear+iubh7VIKRN0PmBxE7
ufZyczZj9JcVXU8kdDYp2a1CqO9hMZwlqp5TgSXiBIKhXAp+hUTRIUHvu0dHzDDVTk6RpNzVbSLd
yjFD3hI/o9vKPwliEezlllXD2COTSpPLzzoFExdnLobs8PuqgEyel9Ugl/BNlW7XDWjQ3tsZxVXV
9kg55/umum9SMdwOBEKtWcNCzxmSDzMtI8DLYr5I8CiVmKzgkIPtQdWZkB3a0RmRmgqbfkM9vfbK
iAPYMplS/64e0PFnxckMBp2ufyYF2WIXjdm4VQtYY+u6HALDbsZljYTp/13XzQQSIE3VXYWLXmHp
/k22TMBR2KVZ3bYGuKa0hYszEsPczsskSrVyb03m5KyL3EG02xgaBYKh5mfV7/rGEM+R3mrHdZUl
VSpcsnHGLrQpNuu6daKpvkqZCGbjuss/GyDmaVPz88Hral0tqO9ORX5YP3hd54eDY9it5rVTTcV6
+ZLrxiiR85NuACBcVumk1a+mKXlDEMZ3RbkpEATftooS3VEz/x6jyj8MinYBRJ6eR8yqbteJNcP6
B2ulb3/XpVOfY+IGmT+RpVhC0uhreF53x0RP9FuS/frPa7vI2MyFj/tR2Da4aFkM2vwUj6FZL63d
zzIOSdW2LlLh0ufL9rDU1dMSPMeNdTPbRAf9XFErqjpxa9uJdKNHp2BZ0KL4P5NRr187spbHSaTL
sBC9D+5/NGb87jcmUI7SmVvv+kamXBh4V0S3GN5117KYvJ8zai6jgF7j1oGK3NwUdRbcCZJkd2pc
3Jd+MJ7W3dYJIZnqYAtU7tfFdV8FyrqnV3SOr69a16GoSJEkJBfGcKNry4F9m+aafQuXez5qWvcW
+DWUkGW9amY9TlKx48cWyv91NwiYByr34WXdg8jvVo4U7RTNnH/FFLV7KbCNW8Si5i0OYtVGCS28
DMbZvF03KC1wT7mkOLMurhsApohrlRIw4rwhQY4NW0rJmub2EfffpNfPv/uG5E4xM2vMXapW8daa
6JgAZxnelaghPOxZko1mQkZzzbbyt5qtQQ6H33IH6jm6E22DNlRLyB+M5EMtLcVUaPEyWSfELjNu
Wbh5qvNItFEG2OFJmIX4C6nPBzz8n7llEb7ec97i5Ye3hk3/3WKt4mMOfVznsGvOqF8f20Ul1C0t
jOvcOhnWRsllwqCWxsl1JejabmerVLzHGOBLMT2EP41XS5+3TNhdv8jqTJqlZRS7CB9+J8TISB3W
5WxVPfQiexaL8KhblDT18hXwJkJ5ZKz6I70C7AYNkqQA3N3jOlGrdpwxOKoX/sZ/Z9XU/owSFQZG
k4N9XDf3/YxCdJ2Nwc6A/E9iyhyA8ynaQdn7OWLWhAVJAmcktgxKiOtR/NkM7OW0ZGV2sE+wO0Bh
hnxBbKRJk5DYdX+nTnz50CLSotqN2H95unIf4Ot4LLr+xeSwniLswLatIt7CSdibcemqTXibwj5x
x8k26+/9Pdrr3PoPUMMKNyLgWEm4pJ3kTvXqJBD7FqO2o6EV5cFgkJBUce1IcrcbhPGY8qt1fUSh
j6hD5h/mFFBqYnILIP0s6V5cI2JeRGn50nFtLn/WOpcBbdhUYEF47vbKsYFsEVQGhS6thMSXpOP5
nwODRJnjZtgNCEVTcSUp88n3k3CrQv1TZKG00fRzMdTjsQmN4WeiiWg8+upy5LLpLVPU6ojktzra
eQV0fJ3NLbtXNuvsar26zq2TxPQrup1saBhL73yx2LGUWoVAh6Djfz2xStvMD1EGCGDRiC4/c52s
P/h3scs0yDIKvpn+omGalx7F9XAUq+Z0nW1nEl55Zk7e7z+znqe/i+ucrQzYWyHg5eZdwAlkoi1t
f78TvRPhrhP6KVl679fzYJ1Ey+JAiWM7R815XVX6OuYOgUU0stoa9KujgSH1/L99UfxJlabGfVTL
0YAtqrGfWbNTh0MC5AuRPMd04UNUAhuDdbIuxhEUYiWSvmtCyuGEMWTrzI3Z44oixePJtApPw6ar
LcbJCTKsdUP8qT3ZqhjFqLK/I/fzZafjg1IuYF3iEXxjCwznkNJPlM43atajG00uWVGFDowyCqVz
GZ4NemEugd+51NsbZ5iya6bwiMjtSvdsKKsnuWpdbhklJXQyi2XVHcANLEPbWb5Dfa/u5wEHIcPC
k9Z8bus23wqKMHSxdz1eLE2wjVqMKEXuSH1GfYQ2QY8HLjeN+EaoiuFOyiRtfKnFFqZXt7D/wdPN
j5pID3lZkr/DkihqxGs1VHgWTukW/FK00RH6FW13DoNadng4okwOi8JrEGSE3RnwK/0kMSVdSab0
GsQkVdBSuUDZou1QLR7RrUYXLikKitPuXKoD/sZW45UgKhqLXGM/fjcmB8bqbaxSeP3c2+dgSmI3
wmDLz2MZrikWpZFCurqXAd9qMXR8TDOr/jv2UWTLdFK546xbOx/WjVS2+1YNOQhw6CJhcKRFiFa8
GQR9McOTbS2pS4wgiceaL5NH93JvURTYMaZxyJOdJk0IgSX6/btB2hFRzC71xzeC53BjTej3S8lI
YBPRpmPNxJ4CbY4FHo32TX54kNvTPrHuRhBIeyqe8plmWtwzLBwY5Jw/ukSli2a+CwAGW4El47XV
CZhTqJ5C6bv18Zapx8tyBqmx0V7ScP6rs9HNGx6UFYNsyfSvhdp9Vhl0JJVL1FWGHrOmaaDeGJo4
5six8EiInoukwQHXQCeGgttLSSdoAlH4nMipa7QLUgTWsjOq7bPP88KD8urgy4w/aEYJx+KzjMqO
YELMvUtXzgTRS790lbTNgsa/myCuz5X1Uaa46gVy8D710ra1GAgOSu8tAWBvaOGJXrmtbodfEhxW
pxjxJlbG+cWuSFiQgFSkvyYWiXCNtOigKWTy7Fi+g7hgudqUen7YP0yKtcUIl/aRkFYsSchUWxkh
SclnUinddq7GzpvCtNxK1lMo5bmjx5m/qdOc/Eyfb3VDKs5zyBsOLZnBSFFugjFuQVNOh05+Z+Qf
uvZk9puuvm8SrFpr/LrI528Mu3xV2h48C4AkS8P0uO2f6MjVgB3FoYuLZ+YQDSruDH/VsTFMddpp
zJzYDPe6kGSnB9llxOIJkFglaJIE85USH1Wyl8e4r1gQQ2Wl2ytaoLNteg7s/t0PqhqoU/EVzy+z
mgBfS8NPmnMzr1EfsVB87OmXpOoCLXU42SBTl9pGO3aWR65tnDqTlBlNwIavfpO+AWFivMaDfi1G
ivapfRYqu2XKcNFkon/u6fGmx3W4LZuzP3cYyObTDnteA3fZPNxPHzhnk69+SPLuTekwlJfb6VbE
RP7dvOB6CxKBWKNT6BPcoXMgkx09w4ANA84Jty46gGDxe89BcuoSU2BJkw7lSJAVCqVy2x3HXvZS
k4Q/lgInrdzWme7f4W3YbijtxO5YmY/GmHla3nEjkMDQpukLHvepp9gUvJu6jZymyZ7pF0Xk2DKG
HpMIvyS6N40aI+HFJ5bO6HHTSOkTMP870GmW0zz3BgS6KkrQ3Q8HK1K/Cin5yiL1s6k0zAJryPwy
Yygy3Lt86KatlVEsiBR62a2UPqJwCl4UsqBjBuxvmIp7Oa6u1ZKoyqelEPtXa0ysFwa+cEirbNML
B+5dvRklY5E7lzd9GDtRYZAtWRp1q2A8FAoPhYweIQN4H6wX7ppG4MbKoc6iG5NGDKdMi2uWFN+Z
Zh6qynhvIgZeo7gNrTTzhJzuaVQhH+S3+LUMPrp6azi2uJkFoKq9ig70TafFEHmGPvEMCTd6VWon
R9Lz0fM16dOCbBT6PY3okbYRmEqprWnsprF+wOaNMnQmdmQBdvpMJjPMH/NR3gpcvbdWaNA/TM9K
pHOaScWLLRfxsXeD0FoYYn96LYQ2nj5Nc5t68Gcewnr+LEbjWS2mu95w1cyotkYwXmbQnIkBea7B
f1IxjEsBxtoqGjiDhUpFTTSHxPdp0zZ2QyR5VoTX/esUlW92kD4YZXceDXoa5eEpbNN9Qw9OMnJO
xG2zBckGmqY/h4ADaWgDjFanupeUjMCl2tNqrk+o8nq6r5piIIk7wYyDDw00AO+KQH+b2vENb+rM
MVPpsbEA2bSR+tpkyecATk+rxlf0ZX9p26UvVtvNfXToRPYwISN3U7n4U3bAyyM4TH1CRzXH415g
IrYrKAPQ86eRO2rmHQVIYGrNIei6OzyN8BC0yI8Prfm3EQ1oCp6weGxj9Z4LkL8AlB1JDFheyjnY
pvSstvldAprHUeZB3wjb3o2GfXjNGgB90IYOxai38PYTmuUn2iNCfDRxYz9hilFc0Q3TwmeCTVe5
IkufzA5Z4Vb/lLP2nMjDS8eXYuj3HNGEAekzfbJr6cSd757mstLpOpNDH1wVnOkLXd218bAfC3/b
7Jsh3zYcFm4SjPypHY4Otb2I+H8ABWyW14gs1b7FT01uMBYb7XNSwPrstIR6Sr4dIq7ewfL/pikW
ygn9aflYPxtde1bt9razUhc/h7uyDd70jHEjEjKsG4b01URTD5+06F1KM7g8CKw/Z84NKgJg43PC
hloZiGjGjaXJNBh3O8E442AzWi6yK9ajNXFAJJOr4nLpno2WpPKcWqMDh+cmjcfGqUyIgLKg4UjL
gofCSP+W7Vg7WZsOXmV3OEYiOqxD+dDL9h9TI4icQsjZedCftIYou+z8t67lups7dWsA8zab/qKR
vYOckngg7gwppRpa+aBE6Z0CufsMg5BGp4AUmkbusO41DrLJYcTyZOaGrmRep5o2gn/Lcvp4yLzs
vslgRPWJJG9VDWZDU0d/MIBvfdj2POCIJO/sL3nsurMCiIzRmL63/PZBEhPYTbt7Ey2k8UmK6Hvp
3urG3gY9SNEmwqPYTmwvJUVQU+BIaYz3clni4iEIq0TsVgEZgU6WMzLWyT6be+uAyeSzGQHv4Qne
9eWX0hIbTwOXZwFfJ47OQipwmBtgKMacLlX0R+H246FOoqsJ/545qs5BVHxjMho6QukoK2mPfmNh
VJJ/KJDrrLlGJaHgCOZHFv6c+aULqpNBsBi0+bW3KRriLwLq6oKA6IlY+8miaOHqweIVoY6fk84I
ILH68WrZPGqMyUusbnEY5GluYCAVN3BUq+dErbg6BteoZ/lG77ORYDxNHGERgxkpfRtB9N2Tz25P
erEQsvQR3ts4POrFsFFUfSSwwjQjMmE7GN2tNIzlIZKSWy0gIMeTNlf1fKeRmaqqeSCgDfsdIm2t
MTKPhNCjEQYf8K1gpyb07IVKxRXASSN9k/R7j4rk4BvaiDNwS7XympVgzEDcCyel23Y/60HtNRAx
7SF241m/1J1Nb2r3V5eOWC2fI4xZc5LQAB/pvUvKDVLG27gXYivn1SuQhWOXzxCfiwXR/FYJjKtH
W0GsX4SPpTCJhOiBskgSOJUcEHcWEZhJWtBza0fTko41pDm4sYG4x5hQhejvcQcCsh8mPNsNdSu0
6UGVjXMVcwWGHOFEYCpBVfKvbvq9l7YQh7NNqBi7yBjf5vFI58xjSkeqgy9ItckUjhNW4leUGLSN
zIzXDbRK7bSk4PVnCTLf0tvmQg95UZuTpGwNDI8cW5fuRSG2PYDb5SZVOHBQkUJNNFDvFroc7h8J
NzZJO4EOfO1D7UM1pGnrqz2wZCSkEA0ZnqYpeDsiQt3m7C8ktAMEJtgmhuhXiPHbKISRlGjfmtHm
jjGS7tehJnHfJIWogxdU5bvIklWocqaX4HLqSDZniamr7yRc/uKhXJ76hKq1SuF+wqooUZU/APsy
j1YZBJSa4slJoS8v2ETkiD1VpbBvJTuhw6VVxnFvKr1FHBCXLqi5BnpK+xIrFTjq9iRFnG1FLZwm
LR/jNEeOZBwBY3pzQfw8tDauviQpHCMNdwOO41A756tBC3spvibF/iyzOfZoZCs5Tbs7Mx9ezWb4
hCS6n6fJNVTlrRgjHVryAKIX8YU/1jp8kiF3qYPIpbjvE/OuayxkGXF26a2OAkolU8i2X2O9xdE+
0x789k8nZFDdMERxEMNxRzZ9bwzzS6qLs1AMLt2gxc+JOkYtmzclo46+yAcvjORbDEce1R5XTLvL
t0E4/Ql9vacX0LyjoIKBS+zDbJ5fLPuPZUg0iagLiy9rR7dtYwJsAkzwdYEXq4U3QbHF5tzp6456
Q7iTyvySp49g82yKnf6ec9Kty1DbjLHCSKxX2FWN8o2kGpprHZsAYCdJP3oX8Aa3O3pOcnMzVPKL
lKaUWjp1548w90YfM7wUDFpldm7Qt59hReu9rh2IL5o8JcAYTEcnqmT0NdzIyYFIWoc6nOJSFdmu
UvQGH4MfQmpLrk9vbl5pimtZ8ddkhi8hdcpp6jJX6mEDxrY6HczpuRBRuvHVXSooSOfoUNGgBhsD
H5hCdC9JHiwZakb+fsy/Zhu1ywOBWkmtkGnFr07axYhIJyN5HEee3jqu3ttyIOTojZYyYUN5OMQk
2jZtGMpfpY9HRhKW1zYItxpGIlt7Gk9lon6kEoLdMIb8vvCGqvaTjqRHCuLFVqJHxam44je2ZDI2
tLmUhqG55tPWhgI8TaTb6eeqPD8JoLMVyAIrlAgpVa24QfuX+uRCouir8NOzbEpAzeMSZyFfp/QU
NfsQwIZD05Lp1IX6NWhgp9JHxTDzXVAob6Yi7c15JH9i082jlV9FAeoUXvcXvJl3IuphW6nhdQY5
DNk3SVzcYKEQzDd1iIXr7cjTlEsRwWH+TksMrd/9N/6WV9/GYjniHqVgdJ715pOtjKepBkYCZw4v
ea2+6WvxnvNngUS5ixJb3UmL5XJYTudUl6G+R3m3jSLGaTKxf1kOT1yjtIHQVL/cDo1NHUw7XkcV
vAsA34YHbIUeE0WVPBywdk8ISX1nqHy6h77s8bmytGdy2w9m1hFt0piqz3ScYV2NdOKUJjbDVG5R
vkbAy7VJky253qqmveZVNtS3SqGXKqNngoTtn4KD5+SDdielCSlDob301C2VYOg93H8WnoodnENd
PASzsVdSAnQRYMrH3YkIANIeY1hLhd1adRqNxpCESVjd2mFwV/7lxutT+RlQVo5hf5cKRmpGjZ4m
HrBFEfJLWGPUMKkFflDDAwDSdEsP121s9mfKCgj9pPQq0qD1GASeh4XcOmn3ynuQW+9m1zw1Midm
oj/hfXGvGrknAnwKsQCGAo6R7HRsaq4WZF10iO8bTX7pWv1DMnvyynS6NRredbFMMibm+W/OkYZi
oj9U3TWp4IBzA6ANboE3K6/+Mni1pOA8QyoEqX1OVGMmcdd8ltW4rUzpKcWS2DFDbXCHgsBb1ulm
8DlbiGK6vLCRigvZ0UV6LPz2IxdIKMJuBkpJ+1Pd3ZupOGmZ0biq1BFT5bTfywCqx1iSPLH483a2
skEKjhV9XHyGWbgHXHGso3ArJ/pXaNXkqWqqgDipYqUY7dSpvCYGhqJ1lR7KHsvUTi43dIW/J0pD
u6iKQ7cebeKEwnPc0v/m54CD9Q1f4dSFN2aU0yQ8nHNJge9kKKGD6NEftD9+i4TC97/nXHpQsRIa
jSJ8kJI3mIm5PquuFMh0Yw3qdYI95mmt8ml27UG1o/tioLKOAvCr9ZeDHaZvk9I/Jzm6atwWoF8V
/OZouE7JcCli2vP84J0Q4h1j1dAxi36rl9NbVy66PJkHuZTZdATOBexxlW47YvMlUznuqOKFnjaR
mpUjFQN4lWxC+GbrOFIkTX7OUuyUCv1PZg2CCrr0OgfDWa5ASNv5ReUWLkxr1xaF5WYDkLu83URD
9BKltXC/K7381LX0wy9Lei3V4i6D1tiaGTcXo8ZtSW/B453mfNj4+MfT5YRWWylP6IzuVamnOR3l
LyqL/TSAJQzxBo1jmaRel/ecjfScz0LzZGqqMLgCtCD54MpuO48xTolRsp0D84SC8t0Q1Vs6zzc9
nC/KasaFK+TZSKC1SZ1n5wU9mFawU+vYNYeOhmMJt6h4viJeOkKtnXeVrm108AY8fxT8KFPXUrm6
+lnu93g6QNGnDXy0OiDr/KhSs/+MJskbk3yKoxHRcRbnFy196kTiYaB6W4ftS9hTAl9OwXnCYorG
EnkbGJwo6Ceuc+rvyIi/+GZ7JXN74wPKZ5SADi2tlA0uRKdUZPdtqL5moyEY6IWEteipLBvKk2h5
MObR/doqEMgkZUgel3tGY/eYar+UbfzJ6PcBFWh7AJuPp/Lse+heXvTyXJf+K+EB/RghIYpPov4s
UcipFcxWuklPNlam7ukyIq0XTxohQxXgDymdC7OUrow1n8eM3O7cmVv8snOv0I2BMf1ob7MZFM0s
0mSf15e8kCgQ8AYbK5E+Gfc6E1oIEfnWfpwldJMZyEpMsoLRCo59NDBohJxAbV9yy1jHtnjSd1OT
KUcppYJVoUSgEmEyULNCGXmGspsmuzogj4ucesKDaVS07I80NUDjzaTZrYs/68DQx1yXTep7JhIO
QPylyrOqxWzczAq8DBb3p/HFEhEwbgwsDHOc3MqeDoWJJB2R05tBHlkR9J+aWift+T3bWSFQ7YRP
pg+IPUObpzmtm11PhF4PPMP6mgRk1N7jL/zetemi7OLpM0vDQSi9vTP9bxPPTndKlXf6yHjWNLS7
xbII8DlOX6UOoGqhEdobg/LXzy0uGiLszPc/tFh0LikiywMbIGwNiLOc85sMbktWdYyGJWQLpVNo
0sPnm5+hrX72De3bEzdhv/MPkJgBpJOxam312U6AfuvbcpIu1fJx0VKB0QzapwbI97b1BD8P7GGO
s8Scu/0Un2fZ+JOVN2UseidOh/s8oPqcWtahLgUpTfMmUVGTm9ZXPepA/IPqdtLTu3gpHdhSRtpw
rE9CDga3qTWuCBsXeFRlR/wxcq8KqpEafusRXA9c1toh7wWGOjqjt70WhALYBJ0dsgGRQDFLmKiJ
ZkJoDOpNrJc3ddy/jNlitDjG/c7Xsu8hmptLC2kjIL0t64yUtcDmATtp1Ac0bWOH8ks0mRc7+FYb
jZpsjR+axYCzjKyc22N8nw1PvhZBF7IYo4WBFjhIrJ2xheUwFqNr2TFjZ1MfHGqquziSlefE5m4N
O5bRLSmWMcMfSolOoiP7YvTiyhj7wZCz5yaz0o1Ui4hGi+AFxggSdkvdoWaSXRo9uA0uTYcmtkNk
DklSde6S9tz0KmJ1lf9YXaqts4QxpJ4kO4xMeZV60qiFbWXLeJ9R8mcDqUq/p7gCQgWJOxX3oR0Z
w0n4Lll5armJYSgomvoHJQUIKGsgX/qipK2KhJVefiVxBfslH/bpRJ5ZSXX7oIpDm7WdMwUUppqZ
5JNpJu8dST6eNoXk5DQ9NGkRHoK4XwJo9VVH4uKQrQzAnYz1rZxlFFZU/aNYSk/+W0WGxVUSidi1
PTfkLGmTrY8B0sCOYOTONzgr84JkZyejO+mvPfo6lx6VcmPnOpT0ibKHsTjWdBUZv2juBuplnDCQ
EZJdHUKpILxzxjrp7io8070Ge6MFyH8iL38J9MpNO/I2I0QNZSCtSSxVHuK+gvjBEyGshO9WXSRf
2kHeZsSUzmSinI5mHMuFfGOXQtsJuau2ECIPcxWbjpHkm1DFsGUOeDgEgWhOA/n2xKLBPU7GJyOn
yVRuH6ma8f/nM60/ZGT9qImPaUFanXErnNrYwHql38JigCJR5dG5NamfVjVJ+1IbJUSx8CBTO9vM
rcbDeGheQPRscn2JPwukcXN/0BPupGlUPOXGrO1NtaCbWRTTUTRLTaimnQb7DXr4zKQmrk3xE0e7
sREhp4U0CATYDYlALjSGWYb+lKV15ppK7rsgV3J6OVG9lrGLZVsOAGq5JG/SkY9IJi5hLa11Vwix
+ClUZ13Ez63BsfWV1tjHUUIDE5c9Mp+n2uAXVzofiZ6ITExgcFujJGNY/bNu6zQWJ9kZ1Od4Coo7
mRQKZ1Tu+PwrmzBpwH03NcM9Plsppy1GIz1VZ6Isk1rPxrDKwo2Dfi8YuGMvnGGx2ol8R7FYgxGz
tftLEWLeglb2XTZE+ydT/U0fT8/agOqyN/vHxkfrSRtQvcsxouEW3d6M0cxO0rfAJYi0TvBRakbn
mVZ3DKihkji0VcAowUTa3Ci/4DdziKb4tpc7CfNpCwVMb2G7kSNMqEr6aVUydCpmIx0Omzlnsu6D
W+NCQvVfXsTUcrsZc/UAqKSYCSt0zjlRKl9joL/L6nc/zl+gZzC3ABSuV7dzY8iQcXzy0P478C1e
LVRjK6coKCgZQq9pEJmQ95CG/jpQYzZw8YnDftOE0qtdC2vTKTWGa1FSXKj8mZt0tnDHE9R0KHu5
skKkwzgHcS8RK+PaHWAf4cLESDwe24dY86ej4cvUNhj6iJyWHDMoxq0EC54+5PtWSuVtbd3CuCAw
lKenflT2cyOTFR7rx7anImIMrasGeeOOg60QKKYz3z64hE37mhqUyLRvtY9uLUb7DIJ5Kvb9SKsR
w4FupAAd2hIx+75GN34T4EciFZhZY+7kDY30VRf96/9h7LyW41aydP0qHft60ANvJqb7orxhGXpJ
NwhKpOBdwuPpz4ektqit7tMxEQwE0iDLEJXIXOs3RoCvV+qfkhZspdm+9i4B/TImBA+68qEhKIDf
m4fub24T/DAeO5/tYYx6wxqCzosys9dCZzwODtYFWRzfKmaJer41cstNZbEogKKstI49nzNr4tdl
/qYa/demU1mx2P1OY+7ZzqLbfZF+BbuBeyXqp+R72RnrjrjjE8XcVWFM+MVKtyESuIANV4kS7zIV
Q2fhG9eq9uJDUXNvG9Uq4EtejKUHPJAkuFZ51jps+v5cumsD9OzKHUzcNtqXcSwuPGFjVsHGwiyh
z4kiBwdSbsZ4Juw27DswbQMgP5WvMSQrtgrxva56/jKsCL2GhRVxRuAkDYr2ktswc5VvxNr7L0qw
I/uqIu1knruaNNs05N8cZ9ZmMdkaiRpgXcd/RVOnbeBN9SWaDxbRtwwk7UFW2WmFlRGRhzKx+bT1
bEHjD7sM+COYXJ25FGN1V/FQ8RfduCor5mG/1B7iNoq5D9TnGnmJlabrzjIwdq5tWytz8p6DKDRh
uRHTLuqsXwufjUzWw4OIF2Ioqn011A+dU05bPTaidSfS8wBkjNwx2TlDpNWWHw/Gxm6boCM8kKsl
E8cSjjkWlj4yFUSH14ao23NXundpzheaT+kiKzVxbrymxMN74/LQd0s0WRrSG6iOXYQ/EuQnzNiE
w9e+1VARd0jLx632ZNggC8v6S1mh5AKji6VQtvaEc8nIiK3KyayXLFrXPtTBjhQrmjmz0Ub/Fotx
5dtdg33hIRHtsEH4G+Sif/am4BTY7FXYlm0SvQyXvZIQj9H6g4b/AIuc4Y0pF/Eox71qhrit2oQw
jB08pSP5T5PnUoCCtFDG7wP+wbFvaOfIMrpVk2fBRklxRqg097tjgdHMmqeh6fyFiQzy0hnVpVOP
zM/G9GoO7k4Y2GTH3x2bG3TK0m/VALdWdRrWfgomRvkYHHujfBQJYIqGm0uvH+BxHD0Bwifww7Uf
CVQ8Wn3heOa3mXHCQhx1ktrTjaWvOzc6yOuU/Mu6C+y9B+TnAFHxUZttxoNSIdte8AU45mudQraE
R1QQfN0MvouoTZw+eDZ5at3BowgtkINdjJfOIHtgmf7n8AoChVll6ffTutWB7nfiNLZJugWWsR87
/4JdCNQXYhGJNgDVcRgzGMfnLLfexDScTLO9sEpFtjg8Jj49uDsVAEH1JjFb7u55dUYe5WLHocly
ts6InBi7ymr22oAPejbcK+OknVqwQDo44E0R7TLBErfxjDc9MdpFbtfPStFMxLkSHgZ8bzrMzArQ
k3DDY0MujZjbi242zY2GWWwcuuNGaRpvVU/F0jND7pboNkWZYRkw1xdii6zSHswkj/JE1eH3l19S
GzsxfzBwnFbeAqt9SczkayPCibtf3/YV/xczwrwQv/WNPdVfAoMgZBzPdPqYDJqBx5NeuMHSRKKM
CAMZW4uvuRPdBuATM+whbuJH/v93zldRCm8VEC8gTEvQv/bUhdKzrbKCt6Ee7mrdeSvT5tkd63uy
EP5SjxV08h2MszwUpSqf7YCpzegd8qgKrsG2CSQbywN30WZTxZZfJevs+MYRobSvmt+7yyoHJzZn
s/IGej47tXSF7c6+G2zEHw6jMW4dfkF5UGwzJm7fVj4ZbfQdcbOcyHM1bAsVWBv091C85U79jM8U
0ei8uFTmRvN5cjKno67s7TKzQ/04/6onLtj0Yd26EZA61SzxZYB3Ws72M8oIwM7XXh39jYSmuw4n
7zQASVvlGtIIQK+jSgXT64WHwZq0RRyFp7JQcK00shsbtlqSV9m2GS11DWzOYnXRL9vc3mr9EKA2
VlZYsFR3OgOjsMbPPzEPgk1pAKMTd8cQ4rVXNczw27GM38KimkWnmr2RK3xuXDlNmygOy1s2YbMH
2tg/aVPoHYlsLIca73HXirT14OQPYSmuRosRBDLVvI1o1WdgXV2i5fC9rZOdsBWqSJcvo1HFuMpI
btDUuwX+jejfUJKxGkhiDJg7gZzaVo1Srvvy0kyqdsyzbtPnSrCqEhZlZb0rco11KzHhKI/47w35
2g2nU5QxAflhla/VsjkELsbtgYrtAogjzVPqtZcq0JW7T+kg1qKrWQI0wVXRWPT3efEakNCrYswo
vUCJVsqov9hNdTHVZpd56bhuNNa7aZPYxIMMyEIpiix+f20C42tpHgODWROfQId02HcPjENhWtDc
O+8Nj5QXgl9m5T6RQdkO2MDBaTkabErDgGXEEOgXCCuXsFcvUd+C9tD2ZZBmG43wgJ3Z10H3ZigP
y9GywkhxBOtaCv25HqIHEJYsR9GhspoOokZun/PJuPeN+M5kTtm4TrtNxLT1Su3g8ySHLLpsCxJk
WFOu45hoJI6dcSQWejUYK2CUlNyAxU4JLqbOiJrD5Y6KcDt22sZpGlYlBBs9PAsWpZLemIN49ePu
NanJVcTTQqvu0qpt+dFA+fOLT3pov0aD9dZ2BXr9+spQ03KL+D35shFhhYpdux1+JSRLwr7MBcEz
5WIU00NoOU+xM+xU3dhXIUtVpdFvkN+B7mGC0Wl5IFq12y5uvmumsq7UkgcG0hCdZ26siies2n8V
ObKByVfTMPFhS/YEdW9th0hc2hTPk++txDiZ27DRHj18WKvK+xy2MyI+Cm+UHiAFQDtcILLhxsrw
PS10AtyZ+6ii4tb6xQXBow7kVXdfdcRimgAybOHYJ4hjGNr55V0GkWHhTeNN3nqraLJwUaILGZMb
A50U0qzuxnLFnWFlL6LGq0xRHbT2AaSp3YNnEl42PGgFlnvfNxoLNmvFlEsGGo0EYLjmY4JBJ3QT
5MUsQ7zkartSQKlWuIYOkX6xNQfPUHQDY2Lubenv5kceeYHnKU+shRnmcNOh+viVdVsZ9dkSg7sk
18i2G9O6hVIZ17S163UOpqd3QT4OzVFvyQYHpFOE8g0lB6weia0ueoGCJLhU3eFf25MvT1ONfamz
JwTP3BhpJc+1adtq7VOmEgJDFWlmpG8ViN21Z7MoYaHYw1aZ04DoSUXITqjBSHCA1a9ff6lcbdMK
86Z1HPRQSpwhE+ZsBC2cgoBm25z60mxOWhG1JwIQE2m9XtkBH+kXtVIO+6w2y7vYVJI7ttXzuawo
aviP6BTx2LR9tCD9MNCWwlLr7Y9mOipDt8bWsLrIKuAA5CEs8/PHIHEfxMzj7rC2prq8Iw5T3QEX
uy9VxDtklYG967ny1N17h7lXioHphncbrj4GIpAOS7/Xlb3sB9h6uB0q7OvnUeUBbskuhFBJ2pp3
Jutqu26WIOwsZFz+rEsjd6kh6nORPdDuGkG7xAS0raS/mEP348De7tY18/7wW73J2gApnZ6E1p/9
tcpGxcK8IU+qnz+qU6zVzgEIIzmorE+LEeup0LqyF9mUeuVfYzw9Hyof4FRR9s1BFm2vSGYPuGkd
DXH74IkgPeoVscQ86FueHI17iwfCMoV+0yxzZzj1KpOvvHQUXr0MAOvtZTFOvXgLscFcvQ8c+P0N
XoUEzeaXFSmqc4n23lW+lOuVz2RdzJN8pT7CsnHy3YCABN37tsp2bKeVpSxGME9Pvac/ZpXC+1DV
i1Fp9b0cR+NKQhmiupEDWTmgvir3/I1sbWJrOYLphVWTFrfyYKWV2CSCnxZSWWG4bO0CrYs+q5ey
GURzccsLRjuBBzOz+Nwni6YQ1BVJrY9xknoc2A/kW4IU+qZpjOhCiD3cFP2QXknBz8iBsrxFos5Z
FUHU3SVIaq5qVBXuR1HZSx/2zQNrL7EMejt9aoi+8buz+udwQs/OSS3nUz5Y+SJV2uKLKco3TGWh
S4r82e3i7NtQ5tAGY+M1nwCyp27xvRlYUWTkVMhwFMtOLZk4JvXqD6xoFuKGaBWQ3AwVGtOOgR9g
Tcxyp6P3VGxDciFvJCKORjNVr6lwbh0Q/l+jPv7s5qF4UdkTsHqrvc86udtFEqfjJioDrFE8rbrF
TB5dzdRhCpoNl2VdkJRQKieFxU9XVbeyQQs0h0nCL9eyKBtERHAoDlKF5Q5Dvfcrg2FtAzFbyWIz
D1A4urvuBhdFvZ+vgddzAXyaPJrVV0W4nISjbhRDQ4V47iPH98gJbofK6t7fqmzIa7/d5jU5LdlF
jj8oKjj/LiTfX1Tg2WCk76YuwS6SFOgFt6Bs11ZWjCVoGZ74mSnrRhnie0QMoqXQrOZLlipn3Sr7
gBzx7eT64fcqs14AeHvPva27WCA30GZ7JyWq4lVHJS+Mo6P37obNa8fvP9PJixvdp97vPlkFUi6h
tYY9wD9oSqbb3Cntz4OtF8sg6Kc7T4uKjWdnyO1kdXcA3e9ucW32L9ia1iujStQnEIUxgknhtVKT
u3zS9bNRZggtGHZPaoJcYJuE1Zkbh0RRUCTnhK3T1kBr4ZQkZrptK1RS0pwEV5b04ymxjGZr5KAK
cpPkf2tq2UlrR32Lsk1w0jzd3vJDcW6SBCJAwYTLr+yQAzrZllD7d4YVh7esRljSaY79LUgP6ErY
rw378EXdBOOd7BpZk0JU5s+uQ1f/1tWA5nyn4vG97RqL2bdN7kFPxTd4n217H21T1JYJZ8g6Ap7b
rir7cN1jF7oqhUrWz+9vM73GWTn2p7UeTf2tPGAv6ywN5CQ2sqjN/bQOJm5glNa2ZGrDuDsmlo2q
T7DXo2p4vy6MCSq7ui8OJMFfJ9z8EKoi0g/W/9qUHrI38JTYDbq7AhcVMJY9ZGB4CbcGqsIrQDvD
Wtb1hevfsroHo4/iJjkh+sk6pzdW/Yg8kyz1oZ+dkSjbyZIcCH6at4txzwPOzBjyYJmWj3Ezv6GP
OvCcglSure/bn/3If6x0pO0usqr03BxJN7ErBBbqQ5o2K1XvQVcQQGk2Smzyv8MOMlzDRoSPqUwJ
sSy9vjg8FgACzJXEJpPle7muBAJ8xHHfe8oiwvmEmubDxxCyobCC5mKTUkdz2kUGpq8vmj+qOxm4
z5WUN8GN+f+pDCxb3SkaIX55oewoD7IBHirp4PniaSqBjyeevQ/mDWgVCuPcEf+5BFkFrAXVwC9E
DWuSPFZx1UuEKqwJPk7RknA0nPwt1wvvNgog3ngV8XRZnznePXIf6r03L3erClqMErb0z4tjUaIK
ZY24TftjXq1lfRuyI+rb8pksjoM40YC9akzqMrOwnNXCXjnWDnfTQp42I86l+dAhZW4pR1kl4oRW
WX4/lbUf7Z0HcS3NlO+/1cvib3WW7mr7rErWvUsMFd+r8Rjq44+Dqta3UctnnUzw4lnoWJ+0GPKB
WiblF5J2r5ZZ2i+Kkz81mtbsTdswt64Wh2svM1D9QAP+ySw00mcwPHLdZT4NNHSZRBo943iJqTET
JqgMZV0b49FFZcsfY2MFKpz5Lx/OY1Vlb2OJqGdb658Cq1ZBkBYuO/ZeOfTPO13rkBVVSd0v1N4I
dn6Ws7VuoHa5evZSetpn/MmVOwSzi2OuIzMYOROAhKHdVFmZPncqSbRRSbWNAoXri+0vGSBbt8+d
CMqDVol0o0IQ2xdtkD2547gnGJm/aL1RwHry/WMWdvGdbwbf5ctNust/sBqKi1Nk3dkPyDIM8wXz
+wBBSU4rBhuY24G5RU7ya4wk6UkejHxoT5XZAq+1XCQOFHbpFQDJk6FH5rCQfeByzqfAtOHAmccf
xZ9DyO5ZWT5nWVrsPoZODWDBptI167aCGjAM0x7dFu8sS3kCAc3pkL2XxViAYgGeuu/d+uyQEGz2
NREQ0GFqtCwqRTyPHXnVODerz85E3joa0vqlSLNnYB79NyyaTy3r0be6s6Fk5QEO9sW0KFxoAguF
jfwcjvYC+C3ZAELGDcyZbp/BE2/gKc/icoVToTCna+Uiwlp6K4sfDUmqZPggg7PsCHdfoielw0bc
QJD6xrXDytvUJRDffrDrfWi0B1mSB9nFmvvJYjWzi8w+IF7WOLfRoCr73IXXlcFSZ5feIaKgQ75a
RXOz7CMUX12mKTFRYVn04bH6jS29cni/RNfSpdAD6/Lemf/TWcNZwhKWcwthiEF+vsb79b2fCe4s
XqMGUnAcyqbfLBtw2HdBkuV3/rzliFQBVudnnVu3zSohBAZ0B0k4mCv6Vaiue1PpsbiBy/LMnth6
UKFVoTdmX8vaQVI2Bk/ucCPeyEYLVfsVOJByp5bgBJvOKLe5A941bYzgMfILZ112iCPo8QCPCnon
5jkdVLchsx+mFJSNVwTK24b8mv+WdyxJDdFYDxljrQHIJjeDZYSrMk4hEIEUuCeauR4Y62pYhnU/
CZ/AqaOzw4Rkx94cUXfDbOKFbHUMMp1j4/g3pOcRGI2i9FzWtjg7INZIoYvoa+VkB5HH1pMwSgdO
RYAcyJRFz6VCAGHu4Pz1SnKpNUF1N/wKXuT9SpsZa1mOtX4lt0TE3anShz6FoYSAZ3Qb+z66UVpT
kCJJnW0/2vox5hkBHCZryWjHxQ3zW7MdM9U5m3w/aydJjNsixf4uUhXnYZgli9DjXVSV6W7r1p/G
RTZ7MLTOqJ1IdaYELlHdmqtyEPyncj6892uEWeBtofy4QrY044hDcm/6WBBCbifHvQaR2N7ZRhve
lzaaFRFCb2tZlAc6mI7d3rGyn1lACA99dJB1dNBMwoFEQPq977UmzrRdcLTzVJz6sM/WSZY2T3oU
f5P/as34Hll9+BpzrxJMHzG6mK9xkSo6mvM1qUNMQcRm/TQZc/qg99/M/P2a3Eu1he5mP66pbHAp
SZofoVR5R60ZvSMpT/JbvU5CoorzYJPwbBC4YdOUy6bfT1kEGyuljTbpUGUtJgUmPD5cdRc1nx6V
Z3zUxwARhoWluhzzueLj0KQRBsCgXh8miLTrdsBxvY4G46bI9WQdWbHyDEn+0nMXvlpRdzXr3niG
t5CTFq//pauftRe5dDXD4Vp60Y+uv41qTioe60WVEEZ80UVuPKq+KB+C7pdC1L1ona2/t2jeLy2/
X1N6Zb+thQ8IZao6nMVrdeAZC+OfhKhqruVpoiEIEM2H0otRmHQvKrpdR5HM+zV5mqNBq+Cp+tda
WUYZXhwmg5C1NyqH3AqOUEbMbUqq+EBWXjnIeojvBE9lpZYNLrrIc2+Sfl6+kL1aW2utnexQy1p5
Kg+Va5Erc9p4UaKc8aO/bBm14EvrifA4Ms9fA34au3QgMKdlVX71cy2/yjNWoU8NydTDR/3gB9rO
NUjcy0v/2he06Y++Ddq9CzQOWmSH3eAkDxZCn9xHmbl2qgztkqaF+y1PP/rUI+mO3/vIZlu1EGvp
MJaJgBkGDwri78c8b1Ti0/OproD4kmfyUAc8u4AnhYuPuk53x+r0UU7sKdnEGTpm8mIojig1/TYO
4UqSNHVtM1255Mh+GYOFk7PMx0EFX1PC1UKur/OiK0IG+TVQw/xapaMDR9w3Vt6oZ7827JoOAb+P
2tIwnBWZVmMlL5QHpJXza70Tc09ZUffgw2yWHFt4GhlOM88T6cYTZgjVQhahMhXb2kBpSRZ1E8qo
AlfzRhYjO1rxgNQfSk/Xr0lmPsjqPkK7tTHxkIvHfHyuNVK9bCGcvWxVLPWCk+Z0i1G2eV/n0/vQ
Xmq2xz5uS/SUuIiMx7hGV4j96Py2tBQ1wcJSjHOPr9Kz7uNM8q/v1pzfLcuwcEMmaXj+eLdyyIR3
m9UINFew9LdSCT3jcbFpigBc9CyW/q6OPuupfxSrOoSJ5gGhka2yYRpSZnZZTtX8c6ql+U6Wxqw6
MlVC8Um1tRez1oUWGEVXtN2GVU08ez3UzgiUKcyWPkIF54KlENZJvkX6QSCfJXu/X+gYIdjpyp19
PaKrpdTRFbxZwNaiv03wv7hBQP7YKoP7rOq8/OgNsI4871p1yWM9V+cePBuRkE5v2sR9HhojXhKI
j25ka2PHeGKMyVOggZ5uTCx2hl5xnwWksU0u4mEjr9L1nnBkG8dnT0m9pym+kS/pKp16g9IrGcD5
pfw4JpErcmUri2Myfp7wnUXDqi4f6sBfy5f0GnJj2oTzddul+pMJayyJ3FOTGmQ8VBVyMUZWJ5yy
nVNfWeReYs32wYWa9+OYmsgN/WweFDAMH5dM0zQyiSKxb/FoNSxYJ2F3H4Rtd4/REqHDFHCoH1BE
8gYDmX58+eihtf5jHxvpSfbH9aTeGh1ES1kU84BzFnceS17Ti8xaoinibT3D2jbtKC5DDt+eBQBQ
e6Hwa1URyWwNO3gNb9uwK17xcMrACQaz14AJ23ZqXIj+ffxo2fVXz1Dy18TXgb/Y1SdDt6p1gzLh
DdFI+1ROWoUHkud8iZVqJbtWLnk+vVfduynFG25UI54klujvptLrFvL1bEiKaWdXL34JVFGpBhZj
SmIda0iV6yKy3WeAAyfZtYn1z52rwkHUbY03RURHfobC76ulwz7qz8+QsId6/wxFxppKfgYBa+gx
yquvwHe7jV8l5iZVk2kHOCBb6Qh7PMpiJ5J8pYeq/mg29Y/WyQuMX4pqolc7kkbZBrYzeRJDiZ9U
fNJX6qiKM2D4fl9pSb1DNhkdUSVKVw66eZ/GsXsGAm1+d+tjnSrTW1MxTSBCHkMo5+rJ88W5Jp5Z
tAgu9Eb+0mdVuEUvK0P+Lu3LGyJzWEbNZ78VW0SesRk2myX7AHpXVT/CjsAG2m8y+5xqxtoflOiG
tJG7TIm7rmV95epggSA65zeGVayLpscyImi5wvAijF+8wX0foN8bjomrljbb6zmOemOaYEHnUhUH
oHgKMb43diLU1kJ0KBLMDbKLbPU6vTiSQEBFPyZBhRLYJhWBdTKJb57s+SCLYdrbxwlzSVmS9bKH
lpE/IunjoEydx1Df52v7Ao+j0Mo2Ia43SynADtP1sUTo/z4KAEzWGjgLKYTuTPWj7bnJPen08L2+
TJ1lq+n1F9Q2YJt3r6iN8wwD/nIblKa/C5AO2rphmt8nPUmORlG7V6NXlwhAty8qqk0rZBy1M9Kp
OKC1abQZKqV+Eqr2GIikR1IHo6wx956tGA+VWHOSm7asejxAjBHV/jG4sseAjJ0Ht9DK+xtDb+xb
az6YOrhFq7gd48ieFcXaExDMI/w/sJbCTMRen1hWfPRv6zraqA1bNlknL+tCUPhj1GZbWZQNaiTe
kK23Dh/dHJBUTl1kF8ib9m1a+fXF7ZTlRweUZViaxeO3j2Fqw6m2zQSpT14kG9o2GlZJGvpQLhhI
1mlNPmB2HWV7WewK397kUQkaQsUbxwusZ5ct3bH3AAHIYj2O4RqlGnUni05SPDaku66Qqfx7GOqb
ummt53IMILB5d9oQmydSF0jwB+p3YFjqNhYlWxpZJw9RlNc3cK6gLdNXnQpj40+i3Ddd/hksMNRz
z9dXmurGd/2YW1dT/9oSW4A4g13FHhkzKK9zYyGK5E41I3Wlkh1ay7r3Br/8bIy6dpQlpBStq5d/
ld1lTWRp6p5F66/jxGmhgopolLVwug4iaVN/DuBQvY/B5gK4djV9hvziLoVHZjom9a/NE1CE3uv9
R8n330tyrhpQufho6/5S+nmdnOR+9pTXkXPq7/WeXPU8Af7s+f56c9ssuPNvrvOGAPRj0O+DfkxO
MBuTk5X4d202djvkWJLTR708e6+rBhJmPcgGun9U54KZfiHL9dR9SwOA+fgznPzMKk7yTB7qakRT
RU9bDMT+bPA1NRp+KZtOtCvUIDvEPT6U78N8jNDVyrjW4lm7bx5fHuRYLAq6xR9/++9//u+34X+C
t+JapGNQ5H+DrXgt0NOq//GHrf3xt/K9ev/6jz8c0I2e7ZmubqgqJFJLs2n/9nIX5QG9tf/K1Sb0
46H0vqmxbtlfBn+ArzBvvbqVqBr10QLX/ThCQONcbtaIi3nDRbcTmOJALz7785I5nJfR2byghmb2
4BH6OyRyrZ3rXccDBnit7CIPbla5y1yA960WStR7LFQwCUg3QZyYZzFZxvshm7SzydR6IDfMd41a
knkGlV9uFS1oFx/9ZAM5Nww0iwjJ5DIiKGrluyp3+5OVZ8NJnhk/z+YeKKfkLOPAnYZsTU6+ru2b
qC1uywgorW+Ov5S8XN1boTdu/vM3b3m/f/OOadi26XqW4Tq64bp//eYjawTHF0TOq8DG9WTrWXHu
WzU9424xn8PerslvzDXV2hpxJgO2MSAdMh9+VMfCQzawqv2TQnJzlZmqheDNUN96kSOQUKBu8G0L
OKnahbD6/iyXrfhWpaLFfSZ8qoDrXyKy4U+q/pQmTftoQJq6S8Byy1q3beKT5kMxlMVUI6kyGAri
+fM1FtyDdZDWAvJ+az2BtUiXk5OnR9maF8kv4w/lL+MrhrrvWwHR0tdwPfX9BrGOujsRff7PX7Rn
/MsXbWsq97ljuhqUL9P86xfdurnLgjXI34iI9OjF8P3JbzjIPL5UCykLiH2o5cnv+KO5L5BFrfP8
8N4vrFuYwuiIHkJzEjeEdeDDJtxwmT22mGbOlZ0744flqe+b86mj/+hVWvZbV7HuqoLS26NZZaw7
t5lemmYx1sTDJwxiNmqmt/s2M90Hy9eusj1jl0PEXC9hcvr2WSBvvKw7d3rx6+RhIMb8wBzw24Ap
8IM71TMAGi6HFN3SyRquneOEN21fnmQJkcDx+qO+u+LzjAJfV+b+ojNQfgTmYqx886MLlzZm/n6p
rphiNbE+2RUxKI8Q6RAk7KPhTvWrh3HQNAzeOmJJbjN/lkD55DjrsbXUzyrq/zvAQvZ70R6jcw6H
9d5wMQmKCivDMJWr/92o8+XCQAtB3hr//Zfpr5bT4beiHEUUhM1vxX8+FBl//ztf87PPX6/45yn6
JooakMB/7LV9K84v2Vv9e6e/jMyr/3h3q5fm5S+Fdd5EzXjbvonx7q1u0+bPaXzu+X9t/NubHOVh
LN/+8ccL+lmEWTFnjb41f/xomqd9wsc2v4KfD4r5FX40zx/hH388RQIBxujl31z09lI3//hDcay/
66bNOLoFDYx0mP7H3/o32eQaf7d5rsy/OMtyLc9gZstRQAt5Ye/vYAhNjYcNc5+uqUyKNWSducn+
O6MZrurYjqvrum3/8ecX8OM59v6f+/fPNV2+yi9PNt4Vr49/E2PyNlTV/e1n73Z2Abo60HagNm5t
8BNorOTx2rmxmqhmLkWmCX2KrVNVqLk7x2YWQOmwb8ugd88h6uYwxn2LK/Bo7HXnjMQssP0BZgTP
oENRimTXJfraU50Oz0NEqkS0HhG9mDQedlYLi9cj12Pw82vxtkvtDmP54c6J0G9r3UOl1vc8ZLFN
7BY1EHUQ+qdUs1s8X87J92kSz6U/QLctVXR5NTRzg+FLX1+jJ2HVCLv1uAx2ysLRyy9xHXwdIh6T
7CCXQWnfRTq5n5o8PnI7607Zj9+jWqyIgftgamdtWofl9M5xvSX6g86hV3ELgEWC6k9uX4rc0Q81
CIsdQMxVYvnIExLNZWnHHhu7AZCkDmDgoJxGgmXTCu2/706G2EzGxZVAYYNvul+NEJXiIWU6SeI7
oeIA8WpY3sO8Q44j7xGuK/oIs415WmNozr/vLvI7scGNClrofMjIGioxTH5rIJielcGafCPPq0YB
+hdOiBeCulGhYoWzCKZvomR1sE0nXAmRm59ipQ82OBmy/vfxMI14/7phIM3AbQ/8ufoEQLE158C7
U38fPAdv48g+phUfO2tbBU3jnkCUGV31FpCm5ZOx7iyFhRE+YpvcC3bGGESXTG1eyx7t+nCIJ4RP
fO9pNEeNXTJo2BE3ZRDQBBUyDa64H6+TKUA0jvXRzo1vjdlcBgH7TeWG5qUbhY8mXlovURFoNol3
lcrIrYJGzmRM5qrMH8uRb8oLhhr8jsZbMYNjB/5Qg/0L9GIgXy0Gheu6dFt4KzMEFMzN/6X1W7RC
2ekdslp/sqI8RIenqg/RILz9YO8iaE9LN1WDVQbhHPXwNwuTtj7Utn1QvE6u8hUJt2LT6wlOoP7o
LoS5jtOyIJW4ZDNibEkT3gitFwddy8nWhO7B1fHFmGprlfGxFl2e3BWaZmySAJEUBe0gQLXuUu3N
Yj+MMA2EWS/IIWvLws7uyyme3X3Grzh69euYPN7Ba7Eds7tk68w/NWsw+xWbc5hxPyVuRYYc5aRA
YNFz7GyUYNQxI9IKbJuT5tDMBxONDIJD1g7aU34YkM4T3mdTxb9CsIwlgWxmzbfEdbfk7CpEq5AC
r03XmfXwa/RvVAAxVvo9i+L2/ZaNahSXiiLiiy5eUyd7FrOrAmitABe2NZAqLG4KhxWOby1sxakP
8uAr6T4ap36Lwwa+8KFTHVBYnoxwOWR+sXIU21rGmP3BtXCHHSL2K7g9qBxn1SnOxGzVuYtR8V8S
v6/XcWdPIK6QavXBKOGEg4pREf0/vs5jOW5g27JfhAjYBDAtoLwji0YUJwhSBt4jE+br34Lu5L7u
jp4wQhJFlWAyT56z99pxf67RJ3RSgPDKxM0TmdgNuXNrW0fbC5/WVZM9uW2H58tJ+mCEiDEgmzox
wB9P0PS35BouxwHl0xCvEZqCmQ5xWUFD1sBGNTTq57HUt8WIHr0nAtyVWheInkaLsjt5ypRn7Tql
w9OChY5BB9W8TA7/+ZypQ8MjoQar5RJUOlQ8q8b93E7aNhmTL48aa9fzTQa1yKkr8/kwpm2w/NZp
8ZzM9Uu0AHAdH/k4DMEodWtjIL1sF1JKXO/WxC6XVlRBXmflcSKOvJ/cGdQJLORWM4oQlAdkN9mc
/LGL966GSUdb21eY1+RsPMX02NEfpwLbff+NezbdgWYnfE+aZEcgwHOwSYSay10CZOmesANgFzGz
+YGp/CLkgtYOs+V+ONax6Dine9aNuSAqY3c5G9lW8PDuvKlzT0sTv3bJVO0LH8dxNI4E2eZemI0z
+AC0WSLpuRlO/tuciZsTxISi4pvr89AX5CkJnVZSvrpumtPU2dc+Rhc/x9UI+T9/qUA2wvfP6Wd3
3W0ywCF2wAmZI3bvM3F0d5K+f/77FfSXbOdaKU3g4cdYmcbVNHr7tjhpF7SFRtAj4d4HLAtxUEUx
Vz0SwN18XQvN3LAvRmv+GVRyQiXVPZMYO9p2GvwrWs2kviVd3mzK0gLTOnY9zQLf+sGl3XjwAkiI
bKYLyKdgMvOBpmlqMXQ1OdXh9cIeZXFaFsAeMOuM2HJi3w+92QQnAR0Nr8/AU8d8KyRwa8RzCcCo
h7oSkPLsgssV/c7vUVVgGoqf4uSbNAnnXLcrkqZrjG0yyaduWTyW/DblsUP3j6C8uNYTDlnY/YE9
5eMhN7yj45CbbcIFWwlUl872vT2c1TqspvxHP9i06iMcQhou6Us9ZLSJlz4PPdAMJAZo9ha1IDbQ
GNSi2WfvYkYNl1kggUcnkiDBizYsMTBDVUt+CGiKl1jSyGnSaNjmzSgO08wheqhxlU3KH16cObRX
pRYSy3uCbeyI+V4AyDEVGd2LEUQGfPqy+F1Z7CKDzz0lxPc8prY8GqX/mo6GfkBqabBOyPq8eMY6
iyRv16ji4qrzs8J/f8AlrLZuI/csSuPKi3lKUpQBC436ymJuVPfxQ2pr+Fg2zDfhV9W1wUOKsTF7
FFJPdwwwX2NoCJpmvUdDHn32DtaeVOXNtTOQlGaoEi2iA1xbnbxpkSEoweHkuenw1c37QkfDlCx9
ubVAYOzJCeK4UxZyP82Y9fUuOw/Kho+oGjE9Rqs/uq72RBPFf7ZHD+ybartzf/atGNPIanSYXAvj
zcxdXUguPZqGfwAz8lp7ssR3lEseq+JLk/7D0kR5z4FsSUfBPfRcnBDNBVyPhUE4Mk8Sebc7KNoF
HZaNOrbvC9C1HTwdOVnx0bNVjD2Hb1oEdVkTjT9JJ4mfaC7SSSa+mNCaNSQhrMClv3CLTksiLlSn
AxiQBhO5oX2otMSR61flGwlL1yLL9nGOjCUa8yRgF1ogPtAWJgoqMUdoSlGC7qs06rPZ2y+ODqYt
LTuNbLs5uWqCpdX7nKs4fqKI0IMcP99hZcBnGcbhJo9r3DCufFMrGUl2WX0y+lS+SS93WDNh5izL
qvvjbZu9un0rjY8Fu/UhHrk9NfFPSediY3AwqHkrrtJ0bVDXMB/gGS0vQ5oaF7ip+X7Qa/NHau49
SwoSB8ByGOghL82QnjXfZPOVQ3lhynWNKoRDTW82gYL7tMMfyL4PkREWZ9LsGzu1LqNKnEM0+Rd9
IkDXWvuALc9X4PvOvE1E/MX83bunBKcjPCdukhAsxhHWiIu+TusjfBrveVLd3c9g4BJN8rok5rRt
XUtecxchInPjTivOTTZnO7PJ3DeYH58sfRurSYe3dBp2a2jrKvfTnqjCsI1MMfPcJC0uzMZ/ZVlN
Q1rDb7Vk0vnAhZLHn5ACFCYpIgBhvaCU7+whNNgh77O0Hv6Mw5QFH+RP3aPBJZ1056TNsKduJriy
h8wyL7F9ileOrGYP3cFArB4uORQFE+nLS42ZJMzRaz9DUvsx9Pj+9dht3nQTd1Kp7OS3o4DL4/h9
6xZXMHsOtMnt3io4WTjhJ1b1dml+9llTbSpDi88wg82gcoUJiaP+dstOnWL016SDVc6u6ts34C0e
gbjf2djdnRo1GKyBGyRCEUZzg+k4hSAkyclj94CGNg0cdDIh35My148RiQGh4zT1IV/0vWC1Y5mC
GBXpPS44+acvhR7MI3KeNmE7xwEFbljwdHBdNS1hfFpSJEfo7TA0XOwYPwulh9opTVhHpyTwE7Zy
aGYJOAp/YdJYEvfoS9f7SMronBbCeWayBf/G62De9t4m88tin7vtdKt9stCEhUyhFR54V/ha4EvN
u5Wofpv6IyAmQrmJhTY+oE9s8JY/4omW5KKq6sDkDgIqmtCjYXDdMxR8DQQMcmIq8B5VH9N+ASWu
NzAyCjIr9k4x/J2sOnnJcyzvUFB+VJ0aw9KiOIR0DiiMnvWyWFePoIJd2do8xo6/AXUWPSkCk2Ti
OLw52t+qsbKj0I6yqUGYSH9blXl3wOm+MDcdEIwN5B/R/LYJPGoOTdRrV1ObLxnbZ89ij4MPlHDm
gWqCf1QwuSGHtueKprrQrlRfd2yOnIzM3N50YJLZJNoTfov0WDnOdzIuTDoyiHO6T+KDjEmZSRV0
XE2W9XUqBBJZvCp+kx8of73tpBoAtiK+NG3jhYNJwHljgtHtYv/QL/xkt7X+Oohg9q2pd6FvV9md
5YZ6ozH6B5NzhCwgMIISteeWVRK3SZRFp8pym9CNSwU2jNmkiOLbVHryFv2kBQHpBs3voaSJsfkX
HVaVQECGGYFjrw2HaarcTaxS5IAC57VNwsXFLK6Lg4qTnQnmmAQOEyXux2wl+7Jzi7cq0u+aDeyk
TErY1q3k/gD9XDJ4Dty1DD5DODiTCusRWTOjhnzjdrp5qtr6rMWKV31kyx/L/MLIJDnLfOEiR+5G
yxjnaTgE6jU1sMLMbDXDn0Xa7ZlsMj59Jb46dJCryrwNXVrWJ22ZcKB5o3808FESrFJtul5IdJUg
9BMMyWAsYqo+yEVGjWdBy+IRVx+piiWywizPrMMcOVboNWo6IA6D+zeXTynQj20Da3FnCG84NUA1
0J7VZ7TaUH2Iy4gcA69hm48XN8KiBVptdBf/2S8yeVV1/qqVD2eV4gkyK5HvGk+6Fi8n5hgPravB
KftxLzYAu66A3C9lRqGX2IQmJMK/Jw402AqWb9mm+3mw7bPm/tbrYT6bSCk3bkYId1m0J71+GWVv
nXLFH0VmvJWiiI8l/OajZ44cu030HLEmdnNvRa82rsvE9evttDSfGEJ4gownIiWTn4qAii5vd1Ni
3noVQdWpu+oGJyQLLL0rd74DbgbKsQaz0sDNM5XTYYDQExSxfJ4IIQ04UeoHolIwogP9S4TbBU0H
Y7aCSaNqbzjj0AqN2qBA9PrX2Z9hqQwY/UXh9yEteXNrQhjcVnnZ7AYLhDoW+Gxwsk+2anNbkgxw
EnIk+yMGgNbjHuMUeDRs8QbRCJvsXOO2NasSAqtmnsQbCrZpqqlc2gJkgG/Vm7x3ReDnybuAEXGJ
C94nk+u9YwvYNN+wyTHvLTReF6V+G5MiSEkyycudg4VWZDun9p9W9/84BT5H2GG/QIR2R5ICdlBc
xJXDMAZrgUoYIKX5btnHxPD9N9OvvvIRdNriLxSvRgNuBv3sItrrACOQkzbeZmmQ4IqduYEO2ONT
MT9sxBtH0q0pBZPnajlAoadCNPXiIxlurYl6KWLUDbgIHfjc2uWjtDz4CfF81NzsopR8J5GjQMrp
sx0kNdgObThr2ggjsWPAgDzEe64BgSPGPiKaH37xJVyaPMiRc78kKOzdQu20ERcCyleeeDWCliV1
faJcuqdpTwaUmtMdqZ8g8fo9PqD2Mo+0DSPR/RRIwzdYPOLtin+OoU0/Ki19mRSlJ3jRaC8/Zrjs
HN/lbuyMJuT3si2Ntj7Q0C/r2g5ywQg1zqE/ODSsbgPAWlLe8XmogQxeA+h8ucwAfUcv5DaVgNVo
+CnjixTOevtkutMPNULGcqearVDiVZGLHnDLkUKMnv3E0u88FSWSU6NgoxSyeY762gPYDS/R1Dwq
MgdTWtekP81EHTlQFZ/lHCOehdwq0za5lr6VUqn3sFanNg6WNrG4tnRi+kniP0FfirlOi/CgRb/J
IGIO1IkysLuZTqpWZkeVDc8V5KGnXiOvjMy+Mpws2h6638vDkvGfFim2tsmZe8oa4g07Hrm27jYM
d9CZNH/KmFO/EbehYfcK6rufMHSX4x7dw8Dub4Fb81Pniqut2boz0YMDpsBiwRzexti1oJ7NbOjS
YVX2KhiJ65gNGuslJTLgnJGz1VuyfHVIXrF0ke6ktF/S0as37WCeu1SieXVe6xY4IS6OnOvfJg8E
QckjEdVnS1zDs1PygHLqE3GzK8ZpCMjXYW/sjbuvhS7y+ywnNKcFLx/jn1JzfDX7CI09NuOBGRb0
TCBAWs5LKnyIpR0+g1rjCaub9FtTq2Ku/WFI+9bK+WtKzc8ulvsuckC3ddW9G8k1aBZWLH/AcKis
tzUVDiaXvDtm83OK7AO29X0BQ2NhH6TOIUCowp/gIMmmlfENA4+9861z/KfGS16FOVqbTbR2n2PR
/7XRJW7qOtl6JNNusN7qm2o279jugGM7eznKM23rDscXwRmMlUPe4zem5eCa27eksOOwTrU34JXE
g7cyoXVLJvCSJLxyEnUCmDflXCGWEhOAx5geAKGFyDRRCWflj9GksI6b+odDb0Sj3nDGco9h+UK2
gIdugr+FG/2nmT4lCZVCU3zwTH7aJWAaVVnxrhH9zyGxIaoa0bsfZb/yKbf3mCjPpFSP8I9dxpDT
xrTJeOihFi/mbG/MzHg4M41TehRgdKYR6QjBUOvDaye0V7SHa+Ddd0bLPdN8e49nqIuolho6BLYM
u9LcE2ONNwVBl133R7Mgt5OGNodMzN+hzYUMDQ28Rq+1QU3Psu64fXqV/ZT0B8lOEBElphUg7AWV
US5/C42U9hjX5cQ+aUxbr7kIb2tAcwbd0MiD268CoLz9Zpz3TSYTbWPaB3nDUotq/tCVmnM2jG1v
xCJ0h94PoApxtGz/iDT6XASZF92EXqgubjLz3G08wYgYt1DCTq7fHgziw0wotoG9oBGKTZB5c6UH
peE+1dD3eNSAqKlhPHijg6Wi7j8jIplcA3wVqjMsXH6PjHniCJgfbP/UjirfYkWgV0bbyM9qE5zk
uWuaX7FLIbcQl9GRbwP88uyPy7eOlB2M5ODv9EyenTH9ju2xP0IoCejfPWX6bBzRdQKeg7NkS9Yo
z7Uugj8CEQlEm/ivABfnHyAC430BQFIa8a/RtNUHlUrGElNdnRSDQzS+u9Tcga3FCQ1vKrva4tJ2
DT6+sZHtZx7pOPE1N78PMy2HVlu8ncf/beNDQBscOt4oC3myFfAhaF/HaSFq0snAHYwxaeq6bd5g
g+bYMjvsuPKdEBgAM0e3leWnjkQvxKGmZaY8yYUnrli7C45lbUYtS0N9KGcWKmjlS9VB4AYyv3GU
fEv8aYLL0j/5DHk3qVlcBkvzTmZBRFWtqMzwAePqs6321aGknQyNnaPiNItH5slWBOHkPdRGoPkM
4e32B0ey7mcmGs6tk9IOEd7bEK0sqLOIODYsBCQyqEketBxCFYLYq0fqnl81z1R3RiCftJVXYWpj
uzdcujC9vmJKfA8mVtKSKszBc1LVDcv/QyCg3aFTDCBvmmHV288Ck3DNzFZfOk7bPjl0cUEMXjJ6
QPE0OuxtrWEfuBk9C68JyUzK+r6MxWPRh2abjaDAs1vZlYSgmZYdJgK0ENlR97iFt9Sr5TMy9W9p
knfQQYEKOMd8s9wYQ1TvNb2A99B/x6NR7FRyTZVcN3U171yk90HfkzdWEB1ELLfV4TBO3H3P84fP
tbhUelEdK+oDD7sXTqofCT7ZsECcrOSSHa2R4OABkD7wZLUxu+hvlC5/59y2nx2dcY6fTc+55CSZ
5mwKa9fKFhB2XFCsvD2kCWEUfnXbT5Q6JVbo+CNxYrruRNpjtzVmr932JvAX5IbnMtWeqrw/DjAO
T4VuDKG9SrOi1rr5ZvPNE4FQZ6MAbREGvJQriDm/Vj4VBYOlGFzH8DYqiOezXIaLVTTHEQLTSMgY
EK6W9Nu6Q+UxPIhQhRneMpQrB0KUHIsKXRRfVZGTByz197nGvjwtrRHKFAaA6mZxcZshXAb3jSQ4
ZJtRDQaAALtDl0ID1bM9ex1ZHJr/7dfl+FHon3WiFKzEpD/MLdT1dtaA8C0Km+3UR4f2KMXIMWfc
mbn7w2rLV5ee8zbyUamPRG5MCyPOKN0vpfk51pETNEvyZijiATNDyw+d6/aA3M340+i8LZFX5d0t
4wNjSQS/vRfOXXKo0g9FWXnNCMaaNXqwiygQxdI0i2gjLKV+bAwqPL/BohTht2ktpoTk5/AvmA+N
NZLzIey3KGI/alCSROI0J63BTHfqds1EL8HmX2rkLALou38qx5a7WvweGzweZWMD3sghGhkTpX9b
3mXLFSNAyopN5nckyJTMkg4S1kvgTBL3yjLxMRqN6Y18DKYOmztDGatcZrju+LsUSXfSSn1+Fpj4
VM+6hdJtZ3cA+R2xEsu0EV2w4QbefNYTUz7jK6VVBZQt4/u6/AgmfDnYlXekpU7c12juY2ZvwRiX
89Hpm12TqfJkjPKH32Xexjbf+x5cwzC5r2qp38xBvojM3abAkOJcHOKS/OlY6flTo0hkySgLT47u
v8SN0s+eTV8uEermrGBJS2h3Zl+iuZbdUF/UwCaru+nRTYB3zyZHafQI1UelsTBBOLDz3nuayvaJ
UrsNx8Q6An03blqu5/u0Ya8q03dM++alpGvSOZH+xDtMAdyyb7HRBEBKqC5qgizFtB7oZ2CeHSEf
sFzDEWtt6DQ3D4XguHDqZmOdgbcABnxWlk5daLcfkjgOUNwgUz9hg6b7Si/nQJfFC1kvXLdUR4sw
NVtNKQ8GOTt5TYvCEIyxl20+ohVoZ5/Tz1LiwIR0HaEVe+6MdAdgKw59RaaMXaq9p3F7+oOI/Nfc
nuR1zWcrO6nvxiii71A0J/DPawYZe0IGiat3GfvD2SgaxiNtYr/FfhqwqbFm5NY5cym99PmyEAeK
+axmmupO2GKAMpA17u4TZz10+DlQuV3Jsv48DOvaTnLcnmCX6+KbXWjMK6iBKQDjA2p4Hsxk+M4a
wwjdpNrV06ivUB2M40Y/3kb/WzUkR2TL/Ap4l6LYGskC41Bp5+afYqaMzRfGk4km3p3sr8ysPyMi
q8YV2LoKoti8uILy2NDU81KQrwtSyhaEwrMbu0ciYkhgoEPrt+/018rTYA3vbmMoeGTOHdJPzKyl
tO5+CRpujH7n7krlrxzt2GouPLARUjDRb9vWeRgG62gPOM1bvMcUdURLQTG/EEZwNMVoczJW9D67
+tciM44OSx4flOsZQUW2VzNa3A3KXfBwyTaV05cyRGiohiQZ92tyJf324otUH9JjWh+S9QK6ttan
kKQQ/A7pAq5TErRnWSS61Fp2UyXRiWa/MG24e3r0zBXcYbt+Ah3Q7lU+HBTwhG5coNLFRgWW1MvD
Yh4IlF4nVw7UHOU3SDhzk3HYeDQW6wZx093Dhf2j5T/ahs3ZBbbZCeu25FO6lUsdovlg5mI90/v9
IESwj1wOl7219SZS4XyybQ7KeUJll3xMSzduhSKXbCg6BtWc6vdepROA6OB9SZtbBgdWq0lW0+eR
CMAM3K0ltX1CfIVePfznBVzXGwMv4ki85ioG5+YwQsSsrqD5cqB1ouiRl65Hs7PerqM9tNstTZ+8
3fP4XEXb3ZnWkkkyJA8jxdGG2n1jWBM4bcc9DUCWKWEz8BZ+cZRp/yPyvC1zjhE7PjdooSZh0urv
SVxaNknFfD5ZsGtHC1BULA/o+zYEV8Yc/CexyUpW17rot9AKvS09IPgIwqM71o0HbVwous32rurk
g5EfvtT0s859MtQr915EoKwM86Lp1kO2OUWmXVydGBmDYdILQjb36k+/yjJOseaa6DKiAqY1J0Ch
K/TzhGkRRMT7VrEdaShyB6v5yJPZOa/aJmrXgrKoH9W2VlBatbnbSZ6IfacD3rJa2YSJOxr7yUPT
KRIBat4dFZRPsSH7k9wXjRYDp738EiXzR+8NV9TmxRl76WmK10COQZzi1DhkBscue5qQoBT12RDE
/sm0GzeGYd9kiW9GMH8KpgzIeFL1nzLh8JT45aYrGK5E4jhF6JKAMO86T7JrTj4Ehepr/dN0hEbZ
ufdW888cvLa09gjUfcfHFq5xW42gI0FaoG0jzknG52no0a5CYE6013pQ46VozFf90OcknyXd1bAY
VfS5Xx1ltvqmxcNPy+k1KtDIJzkMTKwau7ZNdrFXKjDYhKsRZ05/QMV0ZgdDIy6ND+jOzXWRDALW
Eth0/83y0pCjOQxOAe+9jL9aDteBNQPLxBVXSMfbDZN6mVa9cuzbJLDoBdw4XYDk7GEbGXnmbxs8
JkGfxyS/lf162zCtGqQtbmmqLE95LK/uSFM0SpM0RCzpIPvY0hNvwzqqrlHSJ8yLUC+nlF0lxhDy
sYNKIZAa8/quu6TGTRzvx7ggED2azjn3JHC8cefFdLCtavwaZ8bOULa4RN5UH5UHHBwEYm55W8si
ONfWWjOwjOrQFznvWXfQvNwNQck02/hnlE8/ZFSQIw+2jJpo8MlpOxUJnBdBxnPlXRMsdJyukmi/
vrUEcwxIgia9guUX3QdCyfSe2+CkxAqsh4a5pZlNXFWt4CPMuhLHbptDir0JojI7HbSf131NRo7x
KJqKLUyV7mzq8V1mdHbBV/6x5yXb2fr0OyHRWXFUszJsakXMGdlqlHwW2qFBJAVzhkybzCgOGUMY
VXeSxJsKvCkw91yzxq0rdFRHMxGoysVU4exTKq4wwdDLdzcKILGRBosz3BEzpkczSim+PVJ3untl
0RfjzX8xrbV1k1QHa8BTaHn7vmCooKaE98RsbNidRbbNwBWj49NyVDzLSxb17V60b3IBOr7GULPz
ZjR6+6vez29+6bxlJu1C4Cd7BAWhcmkaFYr0wN798mszOajvYRYfM9MHHFvId8bUeBQlMH5npi/i
p+I78QqQH2kLpb5u/yImmrR1eFtBUywcSvaW0wisjjfwO1ORXQFLQbVjVhf3+kH6y7HAYl8xXqbS
qhaCaLJp3mpsEieSzPBgDhMY4hh4cUXuIMiPTWQV1Ueew/Csst+VA3WA5IWzJZg6+RSBE9tVTx90
y5n4WFMuvmP97btZfTqJQ3ZKriOzPFKLQeTKFUkGTn0F2nSx6cnTYX6p/PrZkoAFzaE+RR3/ARtg
U4ARhcOnP5FQ6JIuUUseJ8ou0HVzU39hKGw3dWduHVavo5b6+Fv/Yhu2z/qvivNpqEvNOToNwk1R
mgkE6UKyCKDlyk1CxhOnuyT41xfD+IsZPl0Hn6+GHtE+EO6HtOU+LYXxZGjSeKI7Z2xUTGPYYizM
aG8BbkbRQH+dcNqRtO1JOR96CmCW8a0ec+RO4Erao/OzNNLxXpjPk39Lh8r8wT7B/zsTEyAkQFrO
IumpeOY2dlFT5Sl5h/bQrvbTfV5zX5ucXqzRS05LPgsZurNlU2TW+6A+I0aG50XvCsJm5TNPUQkz
KsViFV0KraM4dddmLYOmvnlK1SK2XjcoIjgRg+Zd+oOgLEMbyjcgGPeBPvEOFuOuYpvZAlZChCrI
25lJLIBy/4Iy6mmO5jbwC0IiyuIxC++q2urnAGQjECjUc8dEsZLDQxUtJbEpGEfNKGKHpoBiYCFE
bxBclZGbh273q8/WnIg5oAw/OT35tyDM6KQu2rOackrIxmfYneTAe62dM5RjYIsiBVu2ngzsvthX
uU+BVU7bPmoJ8S7CAj4rZ70RCEa0XAk4MA66XSS8eS0Pts66NzuH2S2XY5lEFKtgzBg8s6YqBIfB
4Nbfig3/tHiQVjWi+2RGe9c2qx856yK97eiOGqXejHoyH+ga9F15IMezOghkladc0M/A8Edhnx0N
PGyJP9x16Behtay49NZhtBaVO5RX34B12n1ugg3uSsW6zOW2OtpNJgd1LBcQtptEJAiIM/fmU0Bh
aQVGh54qnL2GBkvCKzj7MAWzhrQY3wljJVgJHO3aAxTCbAyvdmdOCO2ThencMqGlfThyVufO7YYj
RCBo9Yr6vlyIELa4xxYp7bHv2Qd8sejPQpWpmogdZYROtZBDlzm3ZFCIGOmjsaVygKuQ5fHYbYqJ
x5Ls1i0jIE5jcIDPC3OzecoeTVVy7uqjN7P/MjqCQ/7pgcnq/pcaR0BpygQ0sSlW5saJyM1t0U6s
mr8qTY+pXcitnhl/lrnMt7G1SpWzqDzN9KnaWYxHguqdY9klkN4ZECLgzgrIxt1r4ZvFrtAMM+h0
npd/AzWFgDCeovykt7gGiexlBxkAbRRtcnR8gJZ2Q6wJpNhAa2nOTcm7nb64hrEwkY8eliza3T+J
Z9U2QRH15sHxJvjDtklPfhVbshPAzkNChuHzJCyT3O+VW8EbdqX1THNlaF57FdcnNQ/GIdF75BPj
3RVGv48iGuCbnqSPU0f+EFHr8fHfx4mES0+SX5I89zJ2OpqwObbDEqLv5j/qb0JtmlOqhgfN7pa8
A1GfNJPUWl1FeqjUMi4BxjamqUwy8lBz5LOMmnlPpI81Zyg7Wq8OdODCm77krgpi3gJh+LTEfQRo
cUVIn6eBIEYQsKv19Ffj1Ydx5OUQGjTfIgHP7c99u/X936pX7W5WSMYNcRghRB+h8gVLzoPYY0CS
7MPgqFdRab3qbgFqfdU4ZLYRZtpio2ysyNAe4bbgi0eJwZjGfV106aE6RM0ZGF1s712nPsikLLf9
on0adCAYr1TPgxE5WKuIguS1vaJDzxiLmp/V4usn5kV8acf6mLYMiJO6J46OGsY3F2ODJ4bCi0Aj
YT5yneiCzAZvx+DwP1+I/Dnxwk37xSO1DnfQh6iQvBr6TQz5eZzpa8t4gi5q7KBXMqtDcxLzW1sE
j3cY6G+L+2V5sULVgWS48O09bEDBwuUcc8P8G2vKZ5sliyn3IyOwi4zbjF2cHlhrb2ESAsHnfL4h
0GHYIh8kWxU46nYwxnfLNKx9yyLnu6o6ZvTdT1EeeSdMHDiViTj2gNQH9KRWLW0yi+/CNFcJY9UG
CQkabP9iCsyh+eKI+8ObjCmYS/fKBphubF3OJ5ALy8mrM3vXDu0D6fS4TUv34XMccDiREO+zL2NC
MIqKribgAQhwfYvcibePNCHjBbDo+wI1ltg97UP0k8nZN0JvXHz9Uw67VB//0TrPNFH3duY/c3Cg
eJq/nHw1BwxLvsZm3sm9iE+LvqtkfEOtvUYqDm0AafAex2sgTVRNAYNm+1RVQeRz35Cd7nSHN0Gy
RTPeMkLNp5XZ4P7fdVbx8u+tMiK6IaOZ9NtGT86aDb+Gn43rn8fyn+r535elq5nsR6SEYYMYtGe3
xWdCR1zHLdKWO6Am74XhE4E30Z90SW9g64l3s5NEvIEo8CKp78eeFDEZobubddJk+Gty/bRdreNG
X58UqEPZ2SbSKNQzeuOTGNfdYf6ZGFZ/0tqYH+FgeWlwExD0wRYzRi2IXY4rbR19VJZ2jSCcHizW
JKHKR4E/YWfES8+anIAbh3n6B/4e+1yXUWMgcEY1Wu6UoKmWmdphaNenO7NPecxH1le5/ZDE9sGc
OewLhj+jXdAwi6N9u9goL63ySIJkSGNuCvQI+oQfDaF/SJkPI9WdftMgZ98Hm0W2g87N4N2LLZYE
zRyZZGo0q9PYJpF1XeTM/AUy85Y4yaInC8xwJIG2RLnRE3uonIGqDwMN+cfOReyDd7bndbNrtFdA
sIzgv+xQ/w/f7Gpv+l/uIl+3HA/rjUVXzsD38n+4N2N/BPAZTx0K9ezPQv5CmDleTsQBw6SZkM1N
pnh+od/ZJ4QnJi0Upmaz+PJp4+3//5+Fv/R/fRjbMjzHtC2Xo4jprB/2v0y8JPXMAiB0fdB15NOu
YwM6nEskR7l+NZv2hRMJqQ4dUZeor2gFJVAUB6sKe8Nb0C3X8Xtdv+S8WhcyCqvLqoSm1fxoEqKY
BZ2ySvVhZs8J3Scyq8fEq0LXTDSo4hbUc8JGmdZZp6EohxBjQX+JbBcRJWbdwEiHLhi8bD55FYXT
mJf71LDzxzCYRGUvtwaY8F8m99+60r2DYTYJulykRmw5kheeeaxeEuQ0/A97Z7IdN5Jl2y9CLIOh
MwwL8L5hK1EUJ1giJaLve3x9bXhkZkRkvpdZNa+JL6dEUU53wOzavefso/Xm19kCajOHJJbF4lGr
Ylb3cbCOWFaLvVVS25sW9Q8xIMCkzEZ5Y6LvuBy17yUaXqM+lmsXZawh0U4MC/OI6GJVifjb4lJa
2lmxRTqCQyUKj4mthmNvdsdAVPa9GVevshnzSxhp5Tk2ONjMQfGkVY060YbAVtAM+h0BMCEg1Zhl
0praLbEc7JiLMu5hYCZeMQUXlwCIF5ooWcjMnFO3sVNWcjc6Dl2YlqkEkltjn2UBgrYyUUdhAQrk
mnT3kqV0S+On2yN+0HelJl4zayFB0FJPZp0t15Jm9KarIDLUcTXgBU9aYvsgBExm854GBWmZqH3x
SBAyrMtMu9A5/MlWoePS5mWmCU3EEXbF2QyMPanh08UpWATBlgK1hhbp56Z1L8AIv09RCtT1kV2i
+IHQICZkODowtbR+uIgeN0pWL3EwpReNKSWqNpPrPkgvOGLZ6GktlrmUX6SGzylbku/YTg5Olakt
qrYOhaC5fMuB2/txlX0alYStnnMx4UeZ0U+nzYvrdG96phOPM9AKG+dMXE27yY9mkD/061eJDYXG
u/1FwQUFKhJbOdlaJEeqmpAcB60aHUGm/WRWYMgLHTltbv/y9m+w0NMxmovo928UjuZs7GGeD0TW
kODOpX0yO/Lpe7xs3tJISlIrJk4LGd0xstzpiUyh5mDqyNymlpaPgsaDfqBgEB0RneOXobOgmc2e
y7msr6VLnI1IE2JDKnqpC5UUKhAyK7gni+d2PKMdAgSZO+Ghsg2fkfx8cd3R9TIb8VjU2UcbGudO
as2vWoskO3vLDlDSxcDtVXiShPEn6k1U1eSd1Vz6fR+g+4UbuwvLADsUb+x9NxL54Y6puoqmSKjE
TbDeNAuf0J+XXk5m4DEwWwbeAa69oZC+XiXVfWp91uEwflUoaSy9C7ct3KgtykzrHCcCLjvGl1R1
ZJpkKHwdO6EXODvvKiybg5KDeQEb9Ay7p7pOg80cU58AZhvjrqsabIv9QiuvbLIN71mzC8yFUS6N
HA1NBVaiBUSM7THqKE9RYdwlthhPRllus7Tsz4nR3HpMHWdEqCVhSapSN43j2XERlTKcJrXTqeI9
xN93WryNj9gv24u5PKhMxRsrpC3z7xdn3fmXtdmxbAhEECZNgS32nzaKtNFlYLeiPKAo8Cl9G9/U
i+QkZJ5crJEASrAHvwARNjhmMiQDCng1o/9041oivhCjfq/XHJSKAhMJs5ZPuon/4SXK1Qn7BwPC
MvGoWja8YVy8pjLkP+9lqrFp8qGBOkx6YmzbEKPGqBjgofWSZ5G1XPE56cUBS7mZEtjUZZLq1DK0
hyEZN7p4zApa7xHtQ39YVLcfmsm52ojV4lIRKDIaOo1u5lX0DCuvpaCn1VnK/7AL6n/lKay/hRKG
coGGmXjbXeufSBaVhpRezFOJbKyor2ZoPWDA82wOHxtLt4prm5+qcriErIH0sOp9PBUmE00Eeaw+
I/r26qvZxDE59T8YJ6Gag+6KXjfHE/bvLwnzr0CC31+pKQXRb7pjuP/yfmND1IIyaFDCJ2RKyJrk
3hXCepBq3BRhjUOmHT+msHmsO9W8dvbHNDOKd2wgC12BsUMF+dk2CPEi6gqgeO4CaXTOOYi7i0LE
vW0IUGFgCf3ViqX0JgDoG7uoLGpVPGQWA1Cvyh1jP4yNBMeU7yVnim/EV/4alnttVtNjVYGknTLz
EMaujVsWqb/oaO+kDsIIOvvkny+HRjDJu701/2fI/w+GfN21ALP8//34/9WkP4r2R/tnP/7v/+Zv
dnzl/mabluk40jW5rJRDifg3O75r/sYB2rVtaWKEV5bL7f93O779G8pubnoO6OxZGOX/sOMbv5GR
yHcr/pgIEqn+V3Z8Xf4VNGPpOj9OGARfQv+yqMTWRehPNWrNadqsSLU8EqGpfCPn4BnmLa4D6yUz
GeX3Mg63o21+GAsFvG9TeB9pD353plps+6GND7Tjn5Wdf29pJSIQUw06oRoHqBZ+pU6/ohmJocP3
01YasX3CmLOBaIn5np1J5sMmCVyT6bLzLZyTae9qCcnU9MzCVJ0IRKKfSm2wiRSMPvI3aebp1JtS
GmBQA4Nmqv6uJj9IRHsRBQlx0aot7Bzml7mORaYunc90MOznlnQxZGUbSUrMfWYFh6ztgg3gLbpv
LqLCZBLWnirI42OZGOfZAqkqOtYCWXImuHXzt2NTRV+rarHPqmak0Ncjcp3FvMtVuRBUkuibFMfE
pn2M7LG7aIoYI4FyhXcjdQ/w8uY4TYhASuKHxSK/DQ+GX0rSmqzy3tUVaMakT+AW5DoxaGCTzDyY
/LBf1SfOrwDo8L5uiNQD64NjuijO43KmdWz5UYnaDwBZ4N3pLFAAwKGpgtiLmvZKJwc5bWLsnWR+
GXP5jEbM2OCS+OaSNLudYBTu5pwQc1jBzW4ZP4Nsuu+a4CED2r6hny/25hBpHmYlzLcQ+NI+Ns82
M1QLAfo9UXqtv6B2Ghmc0PnRvwVlGoP0E41PG2MXhIgFbbveBdaA4kYrd6Y7iH05WldLX2Uu4T5x
1WkojXpXRRmpVxmBlkYzhXs9VbknMP5gBYxmP4RSUFmFhaS9afYxM/PQrpLDMhZvJVERiNKPNMXf
mFjil8g5wASaA2CyE4SMu018nN32Tob1yYVl5Nt2lG0WgTiYlB8m61/bZO8U6DfD4iMh276PJg5C
aHDnhFTVHOC3Nb1FqoSrbbMF52bs5UK/H/sQG3bFqd5Wr6KxepB0aCc7V/+p1fFXt0XyVJEio8qT
k+X8Xrrzg1SH76ZCc2b3fLq1Vf5w1py8cIQaGCgsCLGmOYc8lNe8nFOfZnRwFskmrYJ0KynmfAdQ
pTfV5ndRxb8W2cAeLOOBDqi5GzUCq8hSzbJqkywMBpJZS3i54Y9BhnSqgge8JsS/5PNrYsiDzO39
LLsNEw8K3DZ0n5wc+pb2y1oiQclsfaA2Q4xbkG9TtD+DiHzMNJuR4rjysR3VM8dbY/vCkahiyEDs
DA6zyEOq50+9/dCkBj0jX2/JS9acmgzVNDkzz+98IykJg4s+UmYgHgUa6wfBsLU03szESrZDMFKR
u/ZOpwxEpQq+3iJhru7o1RdPpT0Oe3sZ7P3Qxy9RnzBqJyFm4oaOZPZSCcKVAPNFkOHCOKTZ0KFo
IFKCMkg8lWN61WP1lHDHdTjD2YXvgsZJIJQNhV+QT4Knl0k8Hvo9wYgbTWnHIXMeTc3dmsSNz3Wf
HJAR9d7E8EguDRoYkX/IYaS3kOcQ+Tq1nbP4S6gRChzK8Rqin/XyglSrvKZXqQ9pTz7c+KkZSMK0
rP5uoW7wqasNrUlOSjPf2iyK7symOQbfa6TNkTdF9slMet/oYF8y60xpEVifAZBTT2YTfconVXFW
SINaezbliWjpn8RYqh1qCpNeX8at0+UccUxks9QwviuGYx5kJ1k0nO3c8DVVRgFgoOIyp1pGl0pQ
BAkU38difpomRB7clCMxcoWXjIFxTZRW8NtgHTe4QI1huoaygzoKV9qXSxkcnKjUkfggYrcHPWEt
i1G/xWBSZo25i8WUQXPezfjaWM1PeMch+RaM7Jyq2JQtUXVNJHXKKW9yl2yX98m9kdZYxFN6hnaI
MCEPEg1MKhmrrXCPSdGcIm4VxupURpA2iLmmwLVZfQ5pBlE++1lOIOhR2XhlSG5wjBZ8yYTYoLQh
uTFzBr8ir15j2HPux/CJcSV65hS7XRJI8t43Q6VdQZvjxYfz7scTutdKt09Oji9itplcTYxD53K6
ADGg1g7ldhHkIKqsAeloJNoeMjrGOJMsx4rYUD0qabePUbjr6vwlAOPGZjb5XdTGWyMYDcaONs2O
JUF2Tk9+5vCxk7nUGK5n8jAVJVssBffW7Yr7AUtZHDvq4o7d3VSXNcDd6VXrM3Gc+ldEm62fKcHo
p8CcTLCsX0WR8i09tZGz3jcEi59ZDFiUybEnMBVGQ9A0fmuz4rmMYad0n8yNS6rtRKSjYb0oGlI1
LfBtPTQafbUcnbwFATQJyEaNZ2V7aX+X2ZJcmwy9+mhrmSfD9EcVj1+TslleFnVosetveiMmsiil
GTMeCiySVNi8Px0Mb64ZXJE9MRBTfY9egkRLl85jWyOW5eyC5zTs7fjEQfbQ4JE4pFVMp29kyqO7
L8g9vsYM7UILd7jt7oWJQBsf3YWsCF5qH/LJLhh5pGHBvWPZJcUz2w9Mq+xBIkPFnLEd65dasb0g
3gtwbfCN1aI5/pDmTBkwDKbzM/q5e7vjNdJewcqlYu0Qk0ozaF2DzqnzMvq+j3Nuv4U1+djNNB6X
WHfPVjgy/SQasCHDArVa6pUi2+tVH12DxL7Ec054PXIqzNkHiF9EXsb1jznf5Ik8F4GDBLgyP12D
tp8+70CXt18j5psVlnGRTVjqR7dE0uuKTa9F93IZsqt+bouQm8+ajCvKvwPjcPuoqJpUyRsa9+5B
LMEvt/uWJ5aJuoNATzGmh6gjEXfK8iMxe8FWwzNr3fdA2Iinrd9sAYcFjM9eH4FlIoEZNwn2CK/L
Jz79FCcHFxzKOoborvlO8ggyN9G/DnipIRNXe7vP7M3y6ojubS7N/CIC9VBSvZ2zfG534wQ+x0rd
NzCL1a5G6Midm35JNITxzrpr92FQHxXIxFPCG+gAc9syg2Asm7evC476fWRWVwdgJ9/5pU6Hld32
S9YpETkzKXdDewzG7Aen5ZKjHTtpQS4y6xGLVRu3ycERC8wA91FKdyLyl0owNudvc2ysM/cO/8xS
Z4SWtxpOmmmi0MEPEnbyiEWdy6PXCWWJEPZJBNu+W0/HZcRGmHQRotsSkpCzkE2yLNRMLmsXVWDv
Deo4GXzqKaE7G92A9Dzk8M6HuL9U0IHp2ZMH3kQp5JzARejhun6OYMbTAWYj6QaOVdJUXtQd+9K0
dUrosKGD8A+N/ESecfBNovtY+i8DtAo/aEdBDsI2YBa9G4qkZIQmXy2H+X5hWxxgWzRBa82Vklo6
j4q3OiEeaApOrQbKBFG/bmX9IVf2pTKc5DjabIGzqHV/iagsmogoTt3sqZcMTBF9aqIR2GpBdO+O
Q8gONvOSagHLuTp0QfMEXgTR04I6KsHjUvMhNG13RFb5jQCR+agnZE4nBdYCYRBTqZNJR1yuw4DQ
HQ5ZZ+2R8NLA58PEA2q7W7xK2dFGzpUurxm1y35IEsTBUzNcncV5g8H/3ge41Aj0fI+XfiuHAAni
6i+bUsaUSQZHsEcnMXPkwNk3fOot+gyS5MstNDPm2qNjb806Wss2k3KTUjMwp+9DOQJq/8QI92MG
FUBqwzWX8MbjjGzMqDdea1Uc+rQzN2aCczdj+ESe9Y4SEdxY6fodNuImqXa4GJyjhNjEYagXqKOX
J0zwSIDyJqE7ViKrmL6kQwU7skLkYnUEQ8CXIoGorV0m40MGAyx9akuWd0tLnhdnsDZJhy7d7SjB
c5n8iEkhLChW1t0Qswsy/MzFXGbXwi+Ozk/lhFtL9OhitIL7BBGgGgUC6uFc5j/J6dU8wAWOZyt1
5uQqvszjETCCRw58s4vL9oNa6Y1Kr0Ayy6HH7Lf0hDZWKpxtM/ftFs0d89lQ9xDGE7Rrl8wwNRLR
pF1vBxuBI5d1gITCExxbNk48X/B0HhO9t69Epdr+OAYfiz2Wu5k9p6cTvi0IH8D+QZye0jagMOEW
7dJocDD+GFALI8gLdFPvTUw+uAcB4iLD9NJSO6fcgEdAEvdRTzpEmHTfFJR68E7JW94SqpBo1dVY
iK3K1ywQmKQDsKHxTH6B+9gjoYF70B8np+PyUON30eOvNxo6L5XxCVrueahZSm3A+hHOMvoytp+U
Lp1Qcc/0XcB835tBeynsimNMg6BvlPZxmGGKxMGR2VC8V7XxAjKi8up+LPd2lkHuGr8unMI8Zzjb
8n5g5uGjdj4ZxWT7YSOA3HXLJrS0D6Pci45StmgHkwZwXuHmasOdGaA/Xv2xsQYnArM4vQDYciU7
nGVQk3DYQZLuYPxDt3cyCROMNt0cnVQGWKSt64EJDJeY1GFzRhRifgr0QiFR8eoiNTitMu9mO/1U
yrmLWodwmsjdl5gJV3XL99iU31BidWDltSdRlBz7q0NmuqafhF/BkrKPxgE+W47suBcPsn4yK07z
7oK0DEKeDW5g9qSofugpui80sO7ObqmykqVgAtabfobHnRn6xY1d0uB684vmRrTTmnk3RyD9xZck
MTDEkp5e9025i/ToLPo4RZOw9L6r6hfCkPHWzHiVwth611rra4X0ZtPKV9ciRzpKGvY9yigDFU2E
cRknCwKzqpx3ZFlvhsw+pYhFN307Gx5zxp2R6iOSxO9dqwV+GQsi0ca3MY4IWWMpiAul9kkkn9U0
+Zkwqy8mWi8h421s29h3xYPAKLcZSJ/YECgBaiTdMrKO/DL5IKzqW6Jq60Iz+brQF/TYLyf909Wa
t7APTlBVd4RD1HtF58WTLVbBHDZJoPcXurOzr2EotaPRZA9JEexKwjeXkB2FGKtj2OJRehu7GeTC
CEpuGZM7R4ykwn/KEdxTOYLgEz2DQAvLrDWOK9gW8YxtFkShjsNqI9oV9qRv85DpQks+kU0uYKCN
mP2n5oROqkHKSK5Gz2gjJjHTTLRtrknuUKWeIKwEh76FLdRxqlQ1dtVxxgg6I1wtsw7YKXG7UU+P
qsW34CjxRY61c1QGEyqHARzcmTxhcSkD/ZrmnTx0VDx2AqB0GFHSNkgdYGZUd8Fal4QB5yZUkFfd
0sx9p2bQ85N4qQakagZ3mt29oB9fdoYtP0bIYZ6dcC2b9WVUVA5920WQ5wnuleE1r/Ivg2CJitFR
i4HJXJgnz1NUj14R0ZZZvWjPpFKdOIvN166mNdQhd+VyEpKcy/g1laJ90hHEkFg2/lgsBAfIwRzD
eEVY7V87SFPEuX5ZDKyNsmUBi83K71YRUtvzWf/+9PZ1kv9Me8TCGgFhB1yQBHx3bDvrg26rvc09
R/oGX2WrUqDWi26vEE5I0a3SEXgwUeHiUFy0HbqH+yFGq+wRKdXmpn4MVkifNasYseT6FGjGHtwH
VZces5Kl/eF2mFQwuXZZOBEabLfDYzTiBarHz8JoU1AEdrMNZfTQOvIFiiOzWTUgxeV4pw+rKYkV
+WPUHmxsLe8jLrc6c22IBFaBv8u1MesAg8oxcZNMHSAp6icWJmatwPKaD9vB76MtNCysnhVNt9CE
L8V2pf8zX03v19sVIkiKgPAZ7bOJsHN8MALnqo2o7TnP9ps4rI4rDN/v9ZgjnTgYbTc/BVo5UZxs
B5FBhrLqD5YitBGGfTVVfgLw/8Y8447EsXHDFJhBX3gnnXMTm19HQwH8w8RA2hCW8opLu1L5NkK2
5AvxFuss7Xk/CK4QfPqIg54ytKObzqm+sz1Ade9OdZK02I2WZa9WwkxVUNFp2KShprnAEdRd2tnf
3Uq+4kF8qiviICkQP3oCDcnXPMdlLhBb6v0+qUPUYYSRcNGzrCxVkHuUely04oEwo6s+k9vqlA6j
Pm4hWegYtmvC9WZhHCxyDFZ2fUJCraWh6emIMeyc4TUHkohcKvTGPE9P49gjREahUgMbLCI/dawo
8xTe/H2YpWfaCXcm9q551hAZDWZ1gjLeeYgOe2xjsAXlPx4Yo1QnY/2W258hxoHIYEyFr27iGSgl
W6m0jyrPIGws4X3LpbS/fRXUiKRz9R5jsPXrNoMmkaHZvN0cdgwh0xRKssigSyeeHA1bikTiJFb5
XQGyU8sYTBkT6SQZKr1xgUbkUUNWpyGDrdqaNivV+rK0CV5kTPYrvRIdbd76Z90wk3vvIMTYx6Gx
D4f0rTSXxyah5FeWwve1PuRgvnhT/vG1zgclmDgdby/x9jAXE+/b7/ezPJi0048lJ6POSNxdHW4a
nOanxCXRGM2+7eyIq7uGrUwWsiRp5nDarI+d+na7GQ14sWgYmX+vv/vtR8Kr+vtPX/9vA1o2viyV
9+ea/yTTCiZP629sOX2xrpC8D7evi8htdo6cV5LMO4kcZ6wjgz8CwN5bfbMH4Brn7LXTiLTGpJzi
PIYfgFfEYQySpemuuve0I1QPrPftld5WkduXZWMsvlrPTc26qt1eOjqv15rdii2mb0+uhHRjD+aB
eUt3KIJyqxyW36jHIxNgiuzawES+lxCcjWcUmxnTueKE8KzYka39xKSiQLFpHiKmjYgpOtaE3HWr
QwQkVlgI4Od80vYG0zy4eIk4izgwz3qDaQRB6Ai8DFarCFEidI1DXC65vCkbPXqp2/+zhA1nmQzi
X79yTZEotCdLM+BEIDC1NROIFs3FuTqsFcZt/U0jCTi2aO9wBqwfIUQCs3apRok4xtnJw+3Z7eF2
xYlY+1wE3F2UEFxmEoteoER2+P1Wud0v64O0ZxbMynH8GebUqb9JzpJ1sXf5x56CCLUBp7+qN43A
L0AYeQlWxJOKt2ZaHqsZt+VUWVA9egm50LpTdAp2Yu6H0+3BgMKC7oNb3lkFlkZVK655Y3L8xG3o
GwVtSL+b1aZbTnFLqc7hqvR7sIHplMRntKTVRkdnhBeHC/L2UK3X8+1ZFGvNoWPwqjUrEtm6iVdr
tLDh+rCsl8ZHb/fssnpfGqewmoxTb38VBbGzt89BrlDR3z8RujlKah/aYHEUtAllHN35wlFvubRk
83hWmDT7UCxfJ2k5GyvO72cN6oZYH+o42vWanAkui14Q/BjXSc1/+zvEz3vUn+oI0cW6ZIEcvIXE
cFVxYMrpSMB+oNPFKHt/+4ZinNqztDvv9nd6Pl5aO/gcTUJqjFrbm80473FQdJ4cQ7h+IaKlvcGN
5jUoru8G0zgMUIlgcWU7fWhKFqjAiq61RQ/CmrDJjgTaXaYS71g2PNNboIPbUCTJ9UWLhhlXpQFO
ySk0rtHEsVQb+FIzl3eXZIY6MfpL55jnoS3gv+XX3kUcz9KPhWn+LHs9utiypYdEww01M3DTuEkO
ClHgLuk4PY8jZGWPS1y/smTK6wBlCakEAwUTaFeU1gsB5FrqyyHbdRyxPEdp3+sQtXiPflYr87MK
CkgufRNg7pqsR5gzCdyQ/K2a6fZYUIb6ehm3VsXFoI/qAz/pA/ZPug7tkOz7mhpbXGJVLdvIji+6
Jatz70a8mYjQNyiyE44nUchcEwi9L6SRn/94cCZCAAy16NAfEXQ49i5S7iONWwGheK6zc67PPkTc
jhokHBC+stWprtxg+pUn1YJ2uj1Df7lFoG4fBBblM9Ky7PcHR9HkdC2Ks975Nc1OvCFrCGwdklUA
k/Kkox083Z7V65e3Z3/8RdRW8kSgIyowJqZgSPgWEZlUfxVT/z++7/ZTbt9s6vFLS399VwvQqIMp
7ZMsk7bwbk9dR9cOM871TCNjsBH+7U//eACg6vz+j4rGpjVpQSXUB4MSbXJORdcJ5E/rTkKfHGGV
UKdJ4KKHOHwgjnqTURHOLRfnWIvQG5runeaKyQ/QUzTGe3cMIogu3DFuZWzZCvhcWB5DQzsJNs5j
xapKqEt3yjUzoyk/2r4TpuNZn3HIJyNpcjnFpB6MR1OyrnXwl/Ch9i55rPqHFQlu7/Zb3GW/6K6A
q+5eDXBAEAW7XV+2X+KUM26q3G9juiqdDaAV3FW0W/u7Ioh+ZqQ1ASTNIt8YK0ZvzVa2OdhVepgn
I83e9PGKWow+Bp20wW7URpPZxyTqemvwlmVN++E6zLxVt3Un40vivpq4ZPBvmInfmfNXtmykVm6H
tHCk01U2z45i8AX/mc5Jxzk7dzBkmfs6ir9EAucGzQwLWh9ovpKwYkjAgQH6oDB6NllWPOxXXttC
IOos2m1F8qDa6BSAt2HCFn0Z8rc4H8Bli3tj1iCIi/y+lNCbqjz4GnTrzV5u8dFsWQero15MdIdq
ioUl8snKRvXtFFjoaWvrDX6mIEBAL7PuvLZl16rfMKpPADYMv5yDXScPxmxaG+mwlS5Z987OgIFR
3mfadGKO/zCV035Motd6ZsbmZl86BqdcWIyzQM2NxZfGCaI1PwZmVckVwEq5d11EZBwdat8IkvuF
HzbQXSwmmCNlB8+tKukY4wJqtqI1zw6LYmh5KG8Lb6nmuzyVDPa/tF3cbAZDPmCl6riDiQXmgIug
B5OsWMS1DoLvHXa6JK63ZY31RU28P/GP1bfi5NGuLOq7rGSaQxC0rE4BcxIA3Y91sOl6gmK7oMDd
5Hp67ByjCb+EU9zVQcJIYYh/INzAIbrtK2NgR3vExgzJDBmhW2LwrHQDmkHjazOWqwhRfb+hG7Hp
1bDXafmVieaZbrW1THmhEVhyVBXXMRiAOFF+GmLLFOJC+9yU0132qcnhEOPHIU7xY6rQT8LxTEcQ
ezJ8aWz9WbcvgWP9JDEebRiNMMmBdKS5xgD5WE9ucp41e9pYNlw0oDgESK0Pt2e3hx6aBQnrrKV5
lLxVi75ybSguU3OJdogQvkkwy16y6nMnN4qYrEceRtkRJmJYc48jmldt8tjXB1dRvU0zuCJRcNvb
jTuuxRlft+0qvCypukcJ6z2d+slP6DD2o1mvyFrqxTA1vkfUHribZ8lRiDnces6kV8GHiYOiOTXr
g4xG2lLVnHB3ts02Dp27HmbPzaPUhwTF6oiJGQoVioYCZeHtwXGcxzZfcFeQKZ15N/E77CCiz9rp
3V7gDWbYJf2bXH8YqoMKnHkfVcEqJ4AoRdbx37T8033S5tmJjitJ7OvDdKvQcrTBIC1oMOU1klsZ
F36SrGJ0MJBebepshwX38C0FV7MFHzwDOg+VAxAgADAsweCAcFuiIUXIjRMbey4OxpHkGx5yjjwn
8Was9Xa3aM+q4DcptHXLu31TkzMwiHBgRTLhrV6h9hzWMBTcnk5JFRynZqunGYGVKvwmx45fJ48b
DArWesaafq8eGQaZeOc4FzlGf55Cij3Z57Ti1wrVaOeaXaPkPPPH14VuHcUYdnu3G5n2/vHf32ID
GOwx6WZtEVwAeWoq365Bs7magGey/tnt2e0B98Wl5NanPgIxT6niHCYnwv2yfDfMtuPkWrzgaovP
7AU6LTiaTLecjKI0Aq/o+1fRxrSEId8fGspfuxf9iVYgymDHgAIQWwyBbJ3daH0IF27YUJv2N7PD
7cGKnK0KtORAjhy/IeDyYpNR8tAJSCTWGwIBCIqPd2hkv2YayyLO3AmfvVM2m6oRrNM9aXi3cAJK
XY4bYPe3bcuKylMK8GwN2Rg79/n/xHr/k/Qc0mtQdP4bsV724/1H/pfsnN//yd+1euZvClekoIQh
M+EvWj2lfjMdXRqOrqSt8/in6BzrN4FOFy2eMEzbdlyExu3fonPEb7ixDEjXto3PA1fK/0arp/+T
Us/kxyhjfRmUqBJJ7T8plhOdqIfWMDH75ODWpJoSjAzumag2BsbhTs8rTLE4jTAU0kecMgcj/ECf
80/v2cO/JtP9P1+Gs4oPeTV0ShAg/kUwuOirC3wBP1ZXJQC7TKozAZPvTit+gv8l4CORXtxW2haJ
ClWKYBmG6G0c/sPL+BdvDdJo4kkMUxqug8aSj/7PukVl6knrDkZwEI1ZbYKMmmbWNXmk224MznEc
y9fUDh7s2H0ld0vzorJj/80lkZkk97bGMNyNxLlu/8PLwmLEf/wX1baFeNjWLbHqNzH+rB/jnwSV
U9pate7Qx3aGGUyQ6Et8cfW9Xkbqkjs4FKYJY/8te7xZJFn186RvpgQFjle3NJYHApK26DTtfdCH
p6Eq3Ys+Zc3FcThAB+rSSiislps/jKU0L/M/HrLKaThijOmmmtW8LcbSgicTTfdLHc+nWAPUWufV
GVDO2jvVymuIIAeGuPil1QqN0aMVPtVWyDRkGvezjQRHW0btCK3m0w3QWJpGK3zqnG3btQenzq6B
DmLFFpyKhibtriJvfw7AQqxlrDhv9sVVJMuzKptgp80fQYjyq03K3dQxsT8FA85DDJoloJHhHKZH
XWHbG1A/gAbc1Vp95yQ/3Tl9oPyPzlmK28aloeAZZIKfCzl+CSCBwHTr7W3rnoWW+4kkhpZJCsIx
N+k9yzkoW40X2nvJkcE0hhG2vnRW5k46MDqyI82mA07Nzk/zz7kGYYHnlmZY5P7q1g+kiPDYxN9y
Jib7qevzDSVkywgAayciALpe5slVBml7ndqPg46xbo5/Fbm2hhvY29ytP5EUPpQuQa2oaxIT19k0
1I/JM9zN99HJEdoMRbMOBjcNy8l9ipRgQSnDdzHdCK3Zt7A1+06DND439y3x7J7d42/XkMoYDcVt
0Bwc9Auke1rPOgNqIJrAXHvAFOGAv7MCIG7lmEGkjkkD7dpWm8LsVE31u62LXeA86EzFsb5ouwrm
FuO94Js7oc6tdAwD9O4eu6m7c9Lsl24ikO1yI8Hhvjh+a7DJiXGINoXzXa/w0aL9cGHs3SfiPRwq
gI7WxlGoXwHMcwNMYm+k468J/INFRjOnF1ffFzn1WFIBRHYU9RH+zyvm4Bb+SW88mDlqzKyJuCpm
OCoAV2H62B9zqCM0S4iWKefxE6ERGVI6DLCsRxes27Twca3nez0LCQWgBGQyWFnXImgu2G2DTVy3
iHzA8xzczDiVuIU2kW32J83iwSRZjSJmfSqS8c8PeRdZG4zklM7/zd55bEeOY2n4idiH3iwnvFPI
ZiozNzxp6b3n088HRFZRpa6amd7PBgJA0ISCQQL3/kZsIPr/bYrSeYsgHXkVuOLA0qxdHZQsX0VX
H9S84GVbFm2Xf9AEjX0ZImuJGCz3WDbIvqUpa7U1zvtYsUReLD9h3Mk6DJzMa+CHNhql9HViRitr
pj47W3NKX/Uw1+Ztq1RMdSOzaM7LQG1gnleIGKbcLIvC00KSSGI4twwYJf6l9TpXUKqSO946b6Uc
FXngD+fBgMYjdkIPID/Jmixmu3NR/ZW7vrmSSVVxHCLN1jZECcwK6x05fLk2N0DFhomvuATZO8mL
l4d3ZK+sVvJyeYQwoQYbipSEipSn97MzTG4vhdsTWblvQ0IqVjf58QCBxCo1qM5wYt1dH/sPjQ8h
d1D97UTOth7r4RSO/UtkNj+y7r738dQGt48Tjn3KUfl5dKr5o2l0v+AsgeAoMuI6YNv8Mmy3GJxm
B2OGi8XvQj0qPNhXBNhdjLzrg68GT6ZiI2gShfGqd+KnmKlpbBv3fqJ6qCe2j3rgevs+776kqbeF
R2VAOqzRx/TSnBBlae8117yG+eRf8vyLprp3YwnCqI0FX1tJBoSAy5+IOaRQXOtDbgBz9/Ua3JIV
p6QXtWcvB09Q9OVVGf0Qe5P0aCLL8aIDE/CV5nvjTNuZ7Py2Zvm9xhk34fFcIfSNMClCUCyMQwA9
kUF0OvNiizTNBBx8wjJlmjEmR+HIbyN0Wge12Tahp26LNOtYySFgCyJw60SZzuMX+oql/az4/X6u
uns77IpNBAZ216LvFtgXO7JR3rZzQfcXi+dWvLSQp+psE0E1N9gRMUFmclWMKs4LCH0B7I2mDXIq
HyZIaisj12sMJ1zEnspzM4bWg0MScNAnf6OblrWLuh/wRH+a8/ytV+sPFsHlJ6V3qoOueAcPniqI
mKi8z1NMoQzi42QZ4+Js/mK+5618EDRFC5S0DyFTgyn72og4qlN3Gi4RUbG1ycat1BrEfYL/G0xp
Qtw8ACyUpFvQeT36BOh5gom1IfhUPfFiv9s06QPQTOiArBZWZRn+ior+hCjlGX7QD41g8o6MzLas
7qsx/BR5ukGYJQ6FHO0pc7AjHCLj1e6+5j0andBFWPOl1XjA4OhZ64x63wMnMLTIXuWa/U3PkBIe
4e4jFFpt0dxAzNpLWzSyUAcb71IE3NZmMV8B0MF2Rbba0pFlGUgBrVVWfp7KHaCT0WscA1AWqiuW
fgEJvmeKAYJQBfroxPe2Hk47NWC+aSKzfdCLnabr56rrx20whUR820R5KJjNHPvx50z6BchyMIOy
RbinHb5EBVB9M0C/IggfEfL8zk/82GMGjqFXtnVK6zKDdU+cnCgWGuFhUb/YFuaPT65poXfXPmV+
R3C71r/WrNSNMM+2CmrZq8gNPxkRaByVQAwYWPDv5X08p0gS9sXZQC0Z6jS6DVgf9wT2LjgRPqih
w29vfupt42nK+k/AnrEfAalxxpN5pyA/ttbtB2Z+x8QKAPPBbVMiMmp2MD7Vmpnt7ApGPf5xv1AQ
4d7Sz6je9LwtM8C0JXZZmfplrBo0bL3yu5kn+EU44EazDiRGFfEWS6LnwdOBr/e9sen2AvlqlPdj
3Ji8oWAkk9vdIl6mrMajmrUnPXMfXKd6YB0Lgl1B+ndKPo/+cKeazkd437D7M+5D5VS5oKvmYXoY
I1LBweQ++iS1La3HeQmAXhlBy6wDtKBdxXtyfJenSxiSxUf9aHQsXsI1EvBWoR9Kp3+N1d5aCw41
5E4wayFROUwbWqFBVRnRxbazE+oGOARGh3CcLnYLSNVS1EueIuM49925np90zH5I0iAtHPjllxKo
96oztY9xGxAQNo0X/NnciDhJ5Id3hNdfptj+6Y7q12lEDcz/oICNT8z6ajGlDePiOfCyeuXH0wWQ
8Y98yF6LElCPGh08kH1gjuwMJ0oj8NKrk6amEEofs2ta4ccZ5ROrKbFF9t02a6nNXMqetklRvlS8
ZBDU0T/JUX6Z1duyQ0p+4vV/VZjEgHzltml1F0UXX1N2cZLl1zknO6OjvYXXzHQldr9tdSXbprCe
V4mNyOVmRrwpqhHgLfQ52DiVh7lmRWoFBTWE29RfzqEvquliBJWzDaP8qTb9Y1Y2zp3R6s7doDHT
K2aIuk5XryBo63BGeKVBkB/vNOUlchw+obgSU23nrd34+EoBk1gn6LtuPSNZDfXco3SLZ5Qa/Qrw
grrHBIdiRIvb7PuvQ1gTOk0wKLSKqQQSOPp3nUMyrOf7nvlbFMih6W2GIbr+U/cGDK2V8YtSolsG
i5Ylko+1zegeM7V4aCLSYnmO2JGVbCp97q5uBmFIJaysKPZ94hjjaW6D+0E3DF56rXHVQCY5fpre
fVNjWCAwDI5qYR/1ou9Og1XfmYPWXINRfUSnWj06WZNdSkDToas07Os04Lz5Ekt4srsgBYGh6kVB
qkKbtm7V++vS6o9TjaZ6RqRIGe0z1i7esa3K7ppgxnMdEU3O/eSKUjVK61P1LSqCk2H67dlD0vrk
jfOT32HlAKLTJPRHzjZLfoU21+glewPZtK2bcWclwM6vgwX9BIQAk0brtcp57ltot2k6yjWt89m1
+FbSGvVZVhz9Va/VY4/IGu+l6YSww32aaP6RQDhcXyv3MXquLN79yrbSpmlD4LU6e1N4RFh+uJJB
GNCUHn4ObmPuSP0xN5g/pt5ETPEQD5gW2i0zFxOFCMQ//PbqGtE3LxiHA5Ca5EJ+d5OR9D/6+vzD
LcYHy/uGbiK3BYl9KZAkCqVwEPPpRbXpNPLecpMRdCRGK1Z0RAdLIcQka7g/EUBb2rLTLGscA2Q1
lNtZyL9Ner/vhDqA/OGMxF1XDDAm+G/bIv4oa5EIcv5jUw6pxR6ytuwrd1uasrYcyjUnnlUp0XN5
ZHkAnt+W0iK1LAKWighYytpS/GOfm5sdk8a/2a/iwQ8xJcHbG2HZ5VCOHgPNXdpZRfxcNm/HWk4V
oS/5eySiy5lPUg0KZqs68W38m+2BiX3eVh4lcW0gncvx5fG6rvuCZCKKiGRP1DUJkuaUVOjYilwJ
/HIw9EDHPqRIOq10kjShkqdMPI1U2CXu2yKAGac0HoYHU7PWWeId46DBDTRB9B4JW2iFXYqXYpA9
hHHwGI1OsKpn7uouxRDIBphfm0V2N3UOwiH4Au0q5CPv3Kypd0rYNCvZ7AMtvYsUgTEJEbAdygHb
ywbRE9UysUhkKQ3FU9+a6WAhTWpDnMpr7YgWgHFx8GIgL/TswBkKTQh+eNxeYnKslzKsw7UKFRFx
R1wrh6Y/urV6H5O8a5kWgc+duLwVqFsSIN7BaefiMvWnDyzE50ufK/NF1txaZ5JQeLxpxQZNFLnh
EoH342NTRb+HBbM2XwwbDdhEE/LuyECVXMlsfSZ6n2PHTMB4nlgTNAkaQ6Xhb7Cl17ZqC0IGRCJw
JD+4tKLQiF00MQy/uKpIggymvUmvpoKrGCsVpL8q46wH+J5BQ9fA0G1ZzvN6maEs8TQdL1aQvVRA
IHguM6IOlOGSKAg+T0gJbZsUTwHFKTOW6SkRhjH66KBKdoc+V8rcDQgMjmDfQ4D4wAUREfCa6oBz
8jmbVeus9O3Br1gZzqlIKXtxtrfH6KtfjYLsGn2qPTvaB/AqLyo8JdwdqcnCGFBZQmdhXutQGFax
Fe2I/Sgk8S/9nOigpsVQcMX5jsgMyAAXhYsKq+uzZWgH1PydDaID3z2W8xfHqutTHrRbRbQ6caew
viBOadrgIP7sCx1CK8hSNv2A1B2z3njOzIu8sWTN7bGuji20uzpNn5g4thesVewDqnuG4F8Z+ySO
kawx9XKDuG5iaRe0CY2L3G4PpXFx20MtOK6hzkeJhmEbqMWMmCUryqlozwoINCSCYFeN/Eguupop
F1lLA1h5kRHhn5iVd1F2cdASPkSdpVQbw1LyLcJ3r0jDnmp4uVu9Ij8BNjcBuJEmF8NpP9fG3jNH
bSd7A+QgEevNiPAUbnxx/hwph8vCcc+x3b0Qj06w3yUrb/SZt0HbCn0B8X8PMxMHHfE/bMVNLwut
iwp4jBrm003JQtCKz3M4/C6UKMDRVLZvVUWJJ7FqRwZMASsjBuKeF5+LuOv+MlBukkeT22XTUVEP
NBIDwxSxz7JhOavsW5peW2Hf1zHlXfqWk5YGChRT92rEgDtWdRglby69DGyWAMBZ31zfcsbl8ip5
5WlP5MwnFwAfhs80cMN5JvDYZdxy2uVS3l2tHPLuMuRgOQ490O9pV93VyCfuAzNVee8GrArK5Dnp
nIs7AKVEi79FTjvKHwoCzgejND4Vqalc41rP4QoQnmSWHq0T9PruvBAUB55pV7/wMHsYv6u1Auwb
UNFqhNK8ya0UlAqqc8JH+SGwZvvArD6EbHAfxK+No+5TYhZbvU6+w2M0t67teTykWOmaBWBrg1+n
CcNvVaJBINaW4Rf4NhEcXfAkDcyHYZxPZqSr+6zFWtqG+2l27mcfE3nA1XiMsa7ZE91gOWpAvaQp
XMJmPC0apoOWB9FV0R6CGcsmNP+/YKLgvvbh17INd2U9avcOVO0a8KNS9495z3MW/65uPbF4WiNS
iIZxnnwOYUyyKpqHC6JNABY743tnNt+TLjVxBUfFDs1VGNJjfG3N/nMDYS3D13WnoH8WJs051l5Z
p1nndEq3M9/Rlue5v/ULjZAqTMIzdELgHKH37FuqDn4f8LGC8EcRjqihT8GZeT9iM3a5m/H9wo7F
/GaVQsVSHY45P8EnvUhwM57CjIxjnew9tbA25dDcjzVdeYFECoT5tWY2OGp0NlirRv02VM2XVrW0
nTmxsJhNgxzlpzm2guesSfYIoNg7bpK7AWc2sCfxQ1/hqe3U473S+1fc1MBgaaV5Sg/zaCYswZRV
19o16KwWJQQU/slr5geMlIezhXrtEN0rrd3sY9U/FZ5pXwDLzRvMCkMC0F15bb/Evo0PNfDHl9aL
Ti3hy2PRx+aqy4H1EvyydiGZVESMCmS9OpZLRWZiN9DMO/Lu1pMWBzvoysAaC/tuUAbtzldxIS4z
44S4MRQpWHfnKhp+6nkw7SmMLfNstPvbodsSO4Mp6AGf9uHRrhq/g5NjBcqRCUkBFU6BLzZMWzUD
AR87irYLTVQTpHQtILRr54JptnGo3PQdyXSrK3XhXPzLhOh3r5rCO5E7ikibQZBv2KdT0O08TMF2
IUirbZcO31j1IS9h4yCBVNyxylxEI+32lpb7f4WW/0WhxbENEnD/nPRdF2lRf/1RvFVoue3zO+ur
qfq/IAIjUGQZNq6bLvm63wotmur9S0Xf0DH4YizDUznTb4UWU0OGhZwKe6oIHJGOXbK+9r88T9M9
10bWhYyx6v0nWV8u46/5RNV1oEzB60Sw3LBgZ7zLt6pZWKq+MitnEiKYUARddRoa7DZJ1f2u3fow
qklhuRIDwBBL1OWof9s2+vDE6mmCHCCOshxPNmXBo6s6QQuCjzV4D23SEYVthvQRZl27ywXANmEy
m6yapiFkjM/mWnaiPQSsWxTlJMDRt0F1Hifg0kW3HJWK/Zehbw63jFk2y9qoMO2uu+GzSG4Jwezf
B3h31gEqERifPzfL2rsxtytrFAfWBckuVN/+uK5ca17VuPcwNWiPpFL7feMjLoCvIygb007U9ZAI
zJHslQXCT39pJ3DpTnILAhrI31jBUe4tu9Jew4LnRdaXgbIpi2Xkbbg47ZsT/N3md31BXrg7BN9Q
ughWHXCi43IkWSOPfueoFTBXAbweCbbNa1mVBQkulNv+LHQsxYgKg526dXaGaq9mj9i4/Jct3+K7
L1U2c/n9o4Uwb8C2o0pil/a8rk3ID5O46RCaCAnmO3CjQ8GFkDdhkZUYqmsl9BkxUPbJ2m0/eUvr
QOp3Wqtd5X2KvQ87y82Zpp0rI0z2sgWA1AWvywvjzb6yqg/mg905w062lptfNm8HFRdIHBwztuuA
JpqYnRCik1VZRIOGCCWOWgLCQ/pIoHkEkCcRRS6TeqJmOi7BQcUo1pGQgHWKNKwPstqi+Vxge3aE
75VvWjeHOS9oG7LomrEDpAiWHN3Z6OCQyZf9ki4ha2ri84qr1b1kgSDC/gcVZGkbdWFsWbl91gWN
Qxa2oJvImuRzQDv63YTV8jpPSCbfCCkBHDcvNw+jJFIQGuAn5UYhInG1c5A0CUmkCCR/4k3ViB5H
C7guyq8ViZmUNF4oFL4zWXUlW6wa+6OVPdiBZ+0qS72THwekFaeQVdfqgOGlGerwBWaQGPU4enav
OMHaiYWHvTmRX1ou3wGxiqysSuBd3LaSRCD5LbIpC8l5kTUwkHcgZd2dpBS0yFuCY5tBqa8k8ydj
TbObp+ZR/hdiNMJvXB15NrVTmEuYEBy0ejxNHmLg0MqCFTMLJDcGclw31ksQCQKMBVdzUyZoFaWJ
7mAWhZ59GZXKaoobQP+369JmYHZhzB1a6J6zlhclvxOTvGsnRckF9UF+Yct3hb9gCXUm9Wce8kma
fSwBWyLrKJqpuOZJuLLXvmDsqjogM+THA3H3AQT96I0VaqLmTJgAAswsKDVym6yZmr7VzTQ9yGDQ
ElfyxpIpolIBNaxCdIg1o/vhSlifDJUZiYIgwhJYy+f4WXOT8kbuUnq85W9sKclnkSwWt8kibqbg
IvmHmmCsJG0w8o8RoEPJ7gpqFmK2SFNb6NOohH0wqqWQtaWJzileInP4S3Z1XfDZhQ21DYuOW0IS
cFxkl3ZGMN8tnJwQuYY9sbbDmLivpUk4ZPmw74NqIwTVlT5i2Ll8QvmxsRIBTCJjgmWr6SRhLjKM
uXxK2ZSfVwY9CaTvRrf29xHyZWvV7KO1/OTy4zoKDuekRkQpOwohAu0M+kGydjoRIev0GAGo5X6V
N0yRIKVMCClZGeh0v6WUeVg3ZaGhwRjkZy8L08yuFYGanU4KHTAlr/ilCOCrrB0LZIH8Vgq3GqAR
9A+x4DcNAghqite2bMZqQa5Lti0NtexiRuzdkxOCTsAAZKG6OOUpsMZ36B2gdtUb3qbUWyR0xT1v
k5wijZkU6zhDMRamy3iSfaz7vjhFi0hxx9JeFnaaQO4sVA1FBCbhxmy1hGB4O44C1itrDtLs5L+T
ejzWzrM2wIh2ctcmdDk3J0L/I7cDoh3wnyj6kTyUYEIRf9F4f2M1QBxX3OC3tlm1sKIQx4blrm1s
GaOWX7+MTstixrgBi0AEMkiLCsbWLBiAkqcouVitorLsLcC8t0XEG49/n7y5ZW1ptqC0t4XKEsUl
b+dMs3aSRRBor1YP+30WPDlVPDpl4UQ8T5c+2SxIMLG6EVvkGLl5aco+Iw7CvT7ZZ9kyeUMTWRSH
vlVl75vj3KouzBq75blHMkLZ1U11wdD8N4xbRxzsqDaPhY4jXtc5KFtoyGX1CrZSheWxhEY0baOX
3GepmEoCmGdipOHFuzJF560qt/NQucdgBwBBWpOsFmiWQXDxCENylbIqO2VRSgCMKBRmzbw0xO22
7COb/SN+LtHtIHKT7JUHAtPGMXGK6VdlA+Dg1o7EQZYjEaStVnpkYaHFBIWwvNhcyPmMrIZyeik6
Y1GTzUQiU5a2HLg0b5szOW+WI+VOqfzFLMeU45fmbfO7s8XLPoQ+in3blbcrkPu9ucrbwNsxnAoz
ksB3sdDAGuFUsKLnNT0wMZBtH69dqPAQ4mSfLDqxdWnOLq8iOVjWln1ls8NwHNXZlWyYAanTW1XF
tQgkvTiUYorXrazeepfjLKfijSh80eHhyK3yfHKXvxv85ojL5neXKHd+c3zxKWTfGPGkcKODLl4+
Eq8viwW+/65pTJm3BmZvAe0G3K8Lqm8lKItLYVrkg31r+iG7UJbg9e6Jqdky5F1TbvjHPhwPEhSa
EpWUJycy5Hzh3bFuZ/nb7R2iVuvKrtB4kFf85weV1y77GvmQktVljNxcG7GIqf/5UZcxlkaWoYfR
gX0imclqLf+DspD/vEFp+codDe8CJbGfyzIn1JKi6F3ISV7W93dhgFCDdE+xxKTNkVM+2V6KW2ed
a2BPKlzO3g8Cz1GcboeUB5FtufutU7ZVPK23Wk50ysVGg3zwsC4HVWEhW3tI4gOfUhWr3VY1iV+3
joOtaUFB3lYlBDPTUCw0B8RrbzTn4Vkbm40zVc2hNxFj7LRa5XnFb0l6q3RyLintW/QQV8K1WwtV
JE0luNR5oERByJxkLawy61Yzo94hKO8iWvgHN+NGlogRhVl7hl4jlhVE6lo5azrPfyxdeOOMESv+
EPwoiAHx/g5EITttpVHWvQ4+BPr+ky542qlKVhzraPekju207zvXOo2i6MyiPEbYvUl0IbZ7LU9b
AV4ksYdIirav1Vw9taIYHH8+NTWh9qCwvknqhHTUWArZZzND2BiaQUbNRZRamathWzSQ+/DDDNcY
+lhrrYo/zTWejpl8HbviTSwLBNn6Y1G8qjyCeUSIFC0m63xM8Y+RNVnIDSn2fyhd+PjBCQLMrdDT
EHIsho/y2SjxhBiXEn6QFJ9bVfYiD3udcCjZTUPYn0Bwe0yaIz5vUE+H94M18bSWu8ktsmaFpOH4
Mooa9YylENH2N025QfZFlQamwButTZ5X/cn3SBbaMeArz0C3S/YtG2RtFP8qb/SgQonZvPx+ZW0p
EAb7/Z3LPtlE7Ye7Y2nfanP3GM5ThwuJXC2IA8oN8oaR+wmWVGub2m4Wr1yJt5TwyqWpyFdmKBd7
jXjxVtAmfkMz5VAQKSZUnslbvxmUGhG2fO027FmqemhCNodR0MfBe/OPhy7I5EgrWfXaUQPVvA/X
mC0UMPbK7iILpHWF0KmLHtsI6DzQyLLLokOdiUmE6W56tQNkJp5rlRRdWJ5hmaaO+KWgztWh4HpK
0W6Ttk6SKKUJttTS7KROwdKWNTlGjpbN0odjL0OQ/x+s/V+CtchcEt3852Dtf9URHKq/MnTkLn/G
agnImhArLCwGYMGYiFX/EavVYO9oyCggZK27hGrxWvlDTduBoeOqtqu6sGf+ytDR/kXE11U9Qrya
5Wn/kZi2ZhvvY7UeKB0Dcz8CwgjdmSI0/Zb7kVUOIdHEHi6ugeFZJCUQRDGOyXzSIn0+6aAF17l4
kN0Yb2LhIWlvvqyJIprT17y1Way3wK6QneNxJR8essZTCJBTeHs4SeS3fDgtzyrZdwNLy06lSrq9
p4dHdYwBQRXTS1j0wbz25MIi14L6k6rjQhq2/i4Wcail0JqG2IxsZ/INDqz0VWLMl4fF7XcPc465
tVWBFghg4Wzkm1EWsG5Z3MvXI0urP6p66n2PEr3ZvjE/u5mcyZExovmsRZN42sQ9wDY0rIG3yP+Y
O6XVIcEUKpbgFdl32zxUGYKXENOhpfNcwB0cvRObCdvSZHbJRDRXwvhUBSjB8eTO58RSUVGkGgwz
wTxZlYXiaS1UxcoEWZN3qliPIcAlHoNLQSaHDx7Ix2IiVgSWeNrCxXKYJzBzC8Uk0OnjEoUI0G+s
8wMb01bZLQcso4Za/2gNhoLJRtfupqp6mgRJ1hDrLlnT/qxFYHxVhAr/splohY+SMLO3nTJqL75L
hCdpRfxGDpRtvZeIomXTcvQ3x8wNgQua2grbyinTNu/OXt42i7PLS5LHuJ1JVpfrlDtm5R5Inlhk
JQK24uJuI2qK2eonw0ozAzkKqrJTFtWcfoGn52+XLlnLxG6yZlWsTPMivo1Y+pcdsPfM8PfaZ4pG
rDt3+c83geC23uqyeykcca/ctsvOv22/OZSsRtUQ7xLLeFl2kbXbcd4f4s15/60aez+MDGe792d4
c6RUqLpove6s3+z9Zvv/cPFvdnhTXS76za5/u12OfH9p70dGNkrXZmrsHEJGa12stZbbW9b+se/2
u3i/OUqN/PCuUyn4McmfzuSkuGu+O0PZFLW6VWYRWzXrEbgSj7Rln2X0u8PKDfb8SPbDOsoInIyC
yZoM0y3Nd32F5IDL4M6/VeXQJai5HHeJ/Mnjvgn8ZfJwcqQl6dj/89nlwOU0lhm+KN2As5KIpOK8
bvefZLWPw17dorGq7dXB2cuYtswHTFLdSka7Zacs3FSHD3DbJEfJ3jYaLJZ2c0WcoMJdxmyVuD/L
TTPiVfOzrKqAyYr7N4fR7QAB8VJLNjfVq9uxFDQH4jPLJH+HP661mVLtDvVCfADt8VtUm5+ZsoKH
12qo8pm+HuvuW5Kip1G3iO726Y9pUNcZRBuEAxt0PktUUgY3OsPMKbfpKJTHY6xxToYT4FpB6DXn
vYNCuJahuwyM+s1V3j7GJPJRU1SHWxm8JPePVJR4zi8Bzb/ra0QY6M0QsYccdzvK3zRvYdJ3h/4/
HIYEdbdn2nuQR/bky1ae6VaVvfIwSD4SD5Qn+McrydToFMIf2r+9GgLIu1Kfnkr5JpOJHi8biSqK
pUErPsrS937MsnkZs/SVlQ36b2n/3WH1vmZZIfdeDvGfnUYedjnLchjZh+/D5yxhTUcKidCxeHUt
8UzZJ5u8wR+0WJ12coTs70Ox5HhTlZti+V6V+7w7omxm8g0pN99Gyp1mcVpZu21f2rdjhqaymRQL
aT6tJahbKFcL7MhZU7+EpMDP4ZxdikFFqRPvWETzkEtp1MFYGcxIAZE2m8JNVFQ4jW6dmoQR4rD8
lvQ2fo2krNa8n9utHTrjKkBge4+Zx6XxvOLQt9reK1UUqBP3i2Ei6lpG5DK/2IqLAHiZHZGBBrbk
I7tqOk9I70IcIeGC6FP1PZ6F7jkzDDyHr64dABCrfERaRhe3XJRS0qh6UR3F3IdF8ymNlO/I/kT7
SUO2qpitazCoLrxdzIqt18bLofhGgMesgXxYEoIDE6ph6kAEKcenrJ22mPF9T3BoYkpso8uotGvL
H3CLSXZZKaz9xhS7KMc8lEn14CvRrwT/6xUrDhXGnX1hiYDazODZqyZJvk6pKyRHk/wcMSPfAOY4
pbr6mhnJiEFpeVGnBkJy1YoE9nM/FPHRqnZeWBtrdPY9+L3KuDVbHBD6IXqytVnZ2Cgcrr72eQH7
oEMtfVJU8Fd4/l2iYf5UpNFXEMPGVkMvuHnugvKhMkkdVAf0GbNt6YjnnBXu59oALDf1BKojNdlY
eEph8oadjTNj/vEIaPJQ2SgT6XqNj2GLqxxin1+KAc6jiyIFj0Ufz5zQeNSNH2nvGYSOwv5DihmK
m4TTU9balzzCd8LycdgDoNdNj0EWnGKEs+Jy/FVmGtF1ETG2ShjD1lC25NsbOLaEold+HkbHdmJr
MtV34KpOQ8tDtVKNfGciqJh1mJ64GUJ98Fi+x1DeESvV3Qt2oxvPRrjQ8oroGDr65z6EelRnJEYB
T1W4Qm7KEhtFWJlmgOCfsQYcytyf8N6ui/hY9jwcx8H9jHRKfN935fzYfXKfhVvgHqFozGwb5acC
ubTKy10aqh8Lwg57ZBHREkIZqZmNBzQv10WOXBD6MshQobttjUKhqlv3ZYg7fV7na3gT1SoHLUeQ
rTlWMZSmCP/jTeXWzias+o2C3cLG9zFEsrLqYHjt5yDpfpUApzdG1XarLLnv1RaFvqmx7i3tjMZP
n3j+tTRaXIMCfz15JNrG8odiB/5u8PC2zoTKc6F267bTTl5T/sor88HqfG0HK3CPrlmNzp85R+Xe
Sx6qGIq8BeRgbTeIUSOumWHZVHq4YuCQ1hS8ou2UlY1pwzckK8aPZ9aeSrDsK1OzOY4fIXs0fG7n
8dEG0bdtInIvnQ7KQewxoT+zCdXpLi+ah9wPSlgpKaCF+dw6Dgri6it60pCLTLA/cfzYMdsnlZK6
Z8zeB/xrUNBWu+zB002UzSftrMcxubSKxZoZaN9HvD+2Ps6fayuYyocxt4/YxE6HOsW0oHSxvhjT
7rHkVwV2I+t52xchbhVR9gDfGhFnA7XobHI/zEPPO7xWIax1frtzjEDbV5b5ondjdani9rk2Qvcw
z6dsjsAYTnU5rbUCjb+OKTTWvs0d8mVZGFr70UgfCOsjhpaYEy7D1gewoPmunqdDP6CFSPAXMfZG
E8hLPHjRE5vj/qtZI+E2DgAAINzNKDyiJw03HrnheouD3L6zgnGnC0l5btQP5NmxbmwNzBUr3Cq9
6YvBZMQ2mpznaZmuFbfg6UbMfRXhvLINQFk3ZrXT3DPq69UR/bhVZ/WbyeKRYNXox4Zd+lpgIWEM
YKVLrmyDGM4d4obIwvZtBese/M+MhN9K1cZPbdtnayseDiVf7krvw59ogvzERuQu6ueDHY/Pfg5z
0C+tvdt6iH9Wzq7UgJa3Coa+Y9G+IB/GTeEXNQHzNNy3hvGMUpSJt6x3zCMXWLoyTg8DCkhCVmLf
Q7VfhWGa7NrMcjFKNdHrdspdi0bnrshmhGCJulfj1TfsT1CK8csWen4Zko5FMX/eTLn+VDnlR359
+PrUkAoGT0V3h1br+btiMFmPJkgpBXNwjvUKeYBGX6lT3q/HLPgQ8TPdd8ZXrYATN7QIiWkVTCsC
T8+j7yUbp8cCZWrhlsaot2uKfUkC7UXrCBi3Xn9RrS9e6uf7Ug8PXmsKZYIUbYE6ezZIU64A4AZr
JU9Qrse7w/Za6xkDsb530UK9t6tKOQ/8wPilweaIo2nlgu2oprJbNZl31qdeR5eCIHhgP/YzIhNR
yW9y8GG15BXSJaP14HbttRqTelM53HsDSs6ouSTHpH3FRwvBI6jJPo+7thUi3TFMNjQpvNbzdgWO
QCvLLqHfJvB/WyxPtsykj7VIWOhT85Cg7znFZvyYBBZmKrD75mkykQcO/Q0/PCRaHSBuAqxsRjHi
9/tibsl69UhykeHdT73/cbanYm2O3sdJV2fINbgQgDpZt5P/te6sc084doOTMPGtxP6Z1amycUas
rvilABZmJbAKSv05HyMN6m9Ub1MHXUyQcmblwxYaPW3XhlWyjbUIpXVb/1y5MKy9Ggc1pBQr9DBx
Ip5Qn2MJX3wmopYd554ZEX4wO2wEsEGddraWfYDji1oFngvIQDjgxFOkx735UrkgfBKreckRzF51
xoyqlhFih1oMgIWtZFVpkb9u3FzoGgRbI4/v6ye1RWoNWsDOiRFrKPhtOAky9TxIID/0XwkyY3OP
mkuE0ozhpFiHBxjJmIl6qmCVg5XWT7jNT4eoM5M9iPWPfhajExYrV6czv5n9iBD9HJxUNxR3BgKw
uooN22Rfi1pJ92Y0rwp7uvjiP11q/RV1KxZLJU++oQUs3Q7b3MVQ2XCjH6UWxWvSG4hOwQSH+WVC
pCpKdAkVT0F/s9x3cf7iEiDqeB6jdOXtwgZpwzzGPcy39G5rQnfsQtXeBkaJWKFaPDfMHKrKrjdt
2z54RlWvgt5An1Av7y1b/whF8Vz4+9Hu0HI1MHFy4rLZoHSdVclzl2gXBvG1GQDDtHQ9Z8El0vtv
JXgHsmjuLlehHyKsdKp7v7poevhkjki2TnG7QzTwRzJ+tGFYTvr4K8VqZl05ir7KA+3YCKECw0wc
/Kqybpshl7AefxkTDxC1wkhAd8wProeXsKGGV793Ee13cWepHNTF8zz2SAso0Ro/bf9YMYVW6+KC
qR9u56rZHIp+nToIkjqKcexCGGkdfEjOuJ67OgbJ99/sncdy49qWbX/lRfVxA940qkPvRFFeyg5C
aQTvPb6+xt489zBvxn2mXrsaQhAkCNGAwN5rzTkHadJmZaj7yhk3c0GMJOe4daZ5/p2dx3jRyd0m
dslMNISoLh9cmEabmCwNRj6kK4e2ffAr+1iVuzydor1nqMBvcZEP2rH15pzxfLVM43FR6omy9HAv
b5k+gND6NhABfd9o4tSZ5gk2qnFFaviPXMVGBKuUTxxLaOA+M2MrmdZti6bcTlicmLhkj6NJ7J2S
l3eBoT7qQ0aMp5o/WV33M2h6XPGluiid8D2N8ay5Y6ifFLNaq5He7cJsXM8VqcFFGANMcKxz0h+m
cVYW5C+911HoIbup7HWclCeugwy3EF6Gbhkvu4IuVsRAoTTDUmQHkXAJpkSzoAU2leD3qd/6dvqm
QAYMjK4FRlA8Zp4bbdM2A8xoBbtOBG6ruM04582EAkbxDG1bv4/t+oIpqt2EhrLvEie+K+P+bEU/
a1c/17A03ozcWabRgeRbg6BLat1z/GuakWK2fc3gyLNC1I4zxyi2JMUxqZik5oIhmkID0w8hKmoE
MxIoWNgRtvkIXvf4oOng7GCCneGLI3pqayrdUEkWMUTFBZEi61ZLqTQMxHp2anKM2i7YOvW8HoLp
zq9DdZMH6VvYzcE2r2daaMx/8OeVLy1BE7oJSa3iAPO0zlqlA+WOEZV2k4Sf3RQ9q0Fhk1E7fOkt
rjKv1/ZEtX/ZwQvleNw7zfQ1kI/6aoVVhy2+FAPL0VgPmjMv4qLp7uxVjF59F5j+UWmCU9n289rr
1GDrKneZN5AE3CR3VI42kWXgYh6bOxIIqiWhmfuAqvCOGv2nVWCqHNqZvjhImNCft47X/SrdkvBX
fx2q0Y9eT0A7mDZFGy8igwDbRJi2P0UM4QaOzdGdrAWwUaAZNheF0vF+2CAZsHyR2uDdWU5DFrLN
FTNt0VgHD26dvBbEeQ6a+2I2vUcK90TgqzM9kxXMt9q9aAECbs0n0sBRk3OvNifO0tESUuCBhv46
1YvXwtQ/w2I4YVZeTEWfLic3X5RJNJ8LBTRLgtNz1xMGt609vjJFe6hFSoUaW/6lJOXpUvlHU/HQ
D8i7BvSr9Zgmd9f7NCfA41kM2f72rED3Q/xXI/YjsSf5QD8bn+3sjKuq7VdGOD811VOTmsNl0IZt
69Q6CdmA/oY56ReDHce8kOBFKftAWfiMYuOqc9Z9D31qjI4YBJAkWem518bgoRWLKfUfiCx386w4
OsFA9olYUI6cl2iKGIkWzl/35fZUbbEo8ZP/+75uhlIEo0/fVq6ygAvt32di0XEwlmRK8KPQOeVD
Bx0zndApsaA0SxjmhINWrgLCMC5x7UQQMZvrXbf7G9t8ixj+HuRdrlLpl7Qc51U2gFWS98mFofv6
ntQrIPZik98egOBmMHy53YMHk7STqcj38h/LB/xwWDAaM1ZMTsuVvEs+GCVqTjrk9CTvssAvnB1H
WQ1BGD9QKyxwwF9aTYsehmr8GqPK3w+acadOcXoaR8u8yAUK3m5ZtLa1ud0HmDnf+o2RLhMC7hQg
cb5xMpTukFiJdYnEQm7cRTbtHOCdU9g29PxdUrz8FJbIbJUujluxXhdztalx6C1LuR6Wls7IaLzE
jXsPvXRe9ygq+O105sXzEuXeio6BWDGY3lwXTK0+ANvOh8lM2WMazDTWgX+vb9uNSe/tMG1X1x05
pCgcST24gC7pznAxVtcjiggy7Kukvnpp1twXjL4eTMUNHvS4eCr9YDzKzeTCrgqdYPC83MlVua3m
EgFoVYO6ls+S9+mTnq6UIrlLO2A3nhp4mJEN74JGdj4YRvct8GvvIu/XQZDeo/wlxMNVeR9iM7+b
8GPo4Z3cglngRUVGT9mG46+YonanBJ59IYzQuZR5WK210CUkdpydi3xAa+Nmr5Yi3EtsJx8IEtU8
E8EBizQRHAsvbDdNRkxbT1IeCT/W6bZtWFXEDSWNs031isi5iQS4GabZQ5lb7mo0p2RtOD7hvk5b
ITb2qL5BS4oeOrEw26bdU1PKF+E4qlde+f+oCP4vKgLdUEXj/X8vIzj/6j9//ouK4K+n/FNGgFZA
NQzbsTXTQTIgyNv/lBHo6t+6ARNjmOqSaG6iN8AFJpxh/0z2FKGfxHHyuEkCpqXZ/x2Pl2aZhIT+
HhqpEirqODZYQYPsSN2x/hAOhK05kgZYGujj4PaKQoAjSgKBR3EgYMa/jJSBsLOMkRpjgm4mWzwJ
rVNdDc4CCvCLX4iAKlF4sKlA5KIUARa3FKWJVhQp2pqqUKHXDYm146cW9pvQH5p1J4obeAJIRGiK
fa/Mu7TT8g3K1xeu29Pai33a7lp+wZpqbTUXFSjlk546ii4KKrMorYAvosqiIhQTZZea+gvamepU
U5FxZWlGFGmQzAXAJSncxHoPYEdRD1ppkRHVjc0rNYxnkCKvdaoWb4aHoTUfz57rN3sP+ebK6Bnw
c5blsm5W91QPKQCLUpJFTclRvGDt+7kPT9vRjohZD+Ams4tCLcoRRSmoIYBdbTBlapw+KAxIW1HC
yqllddS0YmpbHjWuQhS7CqpeEdWvWZTBBoLHgeAMB+Zm1GZEFW5U54dk+ABHTL6kKKeBJoCBQIXN
E6U2+Qw7aLmG2R56cDePVo7VeSvAlRj3RMGuHe10WYsinp9cLFHUa4usWeNpGqKtBstmU1D986kC
dlQDa1EW5LpRLoIo38xG7m8886etUARqRJJ9aNhH8A/+Ge+9TXa3KDoOovyYJ/doLTrIbBQmTW/4
cprhYxQlS4XaZRBTxPQAd0ZYC1axKHDWstQpip4zEBVLJE5YoiDqOIjvLSZF4UDYYkpyyLJQmVUz
lc4bDAmt2x/6LovhqQRkZ7ZqCHna6JCCa5eyBrdMZEO8dhnf2ekkQJsJviTsP5RMDv4liJXoLk36
eiU+m4Jp8bPgVaQarAncYJt06PkdgIPdBkWe4B3Q0/RSVurRt4r25Dy5ehIwOCWOz+6+LKaRdyju
vufMOphI5QDXYor9qRsOB79U3wKTUJLAHUw+Hv84qx6skwEZqBKQ60/Q1tmggg0tuz4aSMaKeTDe
ktLdIJLbRYS5HUcNNQTBuMcYhcUyJ6plpZk5OQZR8OLZA4KeyuCwbVXSaDP1rIdjsw0bPVv72tjf
1YKSDkhlG0aIO3slGVd2ZaQ71YBZSQly4Te1e+FVE1tKQlwwpNYaHhMVliR/o4nQnNyCYn9jPBtp
2JGilz+lQf6iqgrq2j61driSIB2Nx5GgimOtKeUedrCzGYj0we8+zK92FIH6C2rlUzGiO20A7Jmq
1OtLjXOI6/c7TcETjd/1XEfdsPXB3m7ciJx3JysgWroF/M+eMCYntrYYrmn4ZO4pNPVsJ05XeQWX
FLJXMCsfKu3cVnW7X1VHXr+j+qeZIucGXJG1CDVQEJiTELjqYbFSlbYgyMUFIeYXH7pVArSuwMIB
TQGn0ySQcNyWSMTJpuCojOk9NbxmZ+Nw2Ee4d+6MlAjELoftSIW2X1mt0q+tptFXYV+AN7FDfeXX
ubNW4J9SD7VQt/aAfeMM7rTj+69ta8bPHSWrggzcZa9HRIpmtnsoVDKCg2a+8D7byeCT0KeJCi3Z
HUWcncLUsq+LNI4Js/L3jWPyc+MrV6COLLShbe89Y/xF49R6Ak1tgvFt1wGNnWOHYd2ySDuoVPvb
pJTm1g2yI+d+ppemDxxA84BZCqnPTVzTySbkbV3euqp0pKzn+vhN5iMfv61et5R3OjJ9Xz702035
0MhAedOM2kXuUm4i75ertz12Bp4gI9Ff3M+bjgJ7PaILKc243rzJLuStf6e9SBwBsJIP/ykBuT3n
9i/kLuQDIp2NDEUk7lcZiLzz37+CqxhEbnD9d3Ivv928Pk3+l+tNAzICP/eUoH/EJn/uWq7Lffzb
93rdhXz89sLlc0ZcecvRqevlbb+37Zq6f5qsIN/89i7k037Tudz+9W3Xf27+57uTz/ntld7+4/WZ
v+1e7hSWMhbF2yssy15fWQ1VtVpX/kVwY9pVg9ZGCHJ+exFy/7cXWnrmvkwt0GDa+BFYPaAc8YTr
ViPVqcTv6ZsYycqmXAorW/etu7jINXj1gQkOLCL1cywfblqluEyb+XcJ1O2hlrbY1vYVIDJIvm73
y1tSDCglWbdHrxKmq/rpNzkTGDOCiTFNjlVSHZnJxCpS9KgXni95U6nQp1/Xp0jhqKcLsvrtTvLi
+n1SvF03kQ/I5/nhpG1GdSD7NfI4Dyg2Eu/MK7Q1YkdO/Tg+Utc7VsKlI23S8pZ0Jhud0SzNNiUg
FdwgUZ2R54/b20/0qsgr9bPe6jqfb3GsvZnLVcJ3xhg437uNt2ya/pfT/OJMblIInb6llIrgIgqo
xywWFEj+WtjC9v3vVm/byafxbZRAc3OqOU63G0fSxZvG2ZuwESN1/C55cXUNGmPhzeRImsbw4Wf2
E+wO0pip21Ln/Cf4Sxp35WpFqKJJ/PhuGrYGQ5yDxPSpHlAjz4kb0OTgRyVQTi4agZZzC/LEYLn2
AbC8gA8Gtbkn1OaSWCZXS9Kztr0AY452eJSLoQCwEUxczYteU4oFV2BBmbQxhIivVFoc5cKZCRIe
fKIYhTJo/HvRQWQrNWtYk4RfFAvPR/huj/alHproOIkWw6TQgRpLd2WnvrJLx4Sonjnfm6bnzOQr
A6rvRO4bE3y4MkZM30fXjIPjNMZBCRT4w0OsrkJp1qz1jBE0mii7r4jdtu/It6m4nPFVxeNjRqrX
PgRhr6+NxLQWtrAxDqHt71WCSYS30FNCDejU0TEHKmbIfGivcyaXHtOrz9O2VrVhFLsr1Y5e4SIV
LpacectB0uAgS/11y7Px2jMnuCPuu0c5yXfAkV21O0Ip0iUDgGkpP3+JiBtaV4Oh9SjFaKrwFV0t
r35q7DCCDFv5GqQx8gqMxE/C8ScWMFMZGjDMkxInCXezKhrNOywBpEoIgPhV3yO0SlICJBckzrp0
SDPzPCi5hibRRBUlOYNXeqlKL24Xhx69LqxE0pJ9c47/cd8E9GcVjsG8cMXZ0HMwdirBpmEUCBxR
eMGk8/O3ddsJozXzMxjMEqdyM39KwZ9cXIF8JaWObCabXB5T8u3JA+5PuqDr780QOKtUNf0hcrrd
R8VRX8NbfJdYRWm/Z/6InoNQUlz8Qu8t7xzrsl/0bUOTVxw98hCSt24L+RnIVa6VDFdjE+QAmk5D
LIK/gXy31SlVP4YgSJckN12uYkFpO77eNOgaLnrXMpeT8K/8YUH+Y7UQoZVG4G/bikAN6fC9LaQR
XK4GulttOSwO7mDg8E0G/VerTvU6N3xU3WIRwkVbjz7fFxUZf2ea+TZokGtECWBsod2TH50Uy8lb
8r7bapvmh0YnN9C3gDF0lr3piYsSub76ahqc+mh3NqH+JTzDeNBxLwWW1mwnrnnyDZFvztQJWRaS
LRq8jch+0wJKYboy6fyyiBLQFXMTm7CqVP0euBCIICh0hKOYUComvVsldJmPoxGfgih+HoaWbmNT
pmutpoMpXyyIDbobwu+fAy655jNcfwUgv/qc0ng6480aqiA4dki/apgPO3l0tAatAyCjzzJ54fpN
C/H/7WBwKiM+mPRr85xIgUBd0V6vj2b6OWqFcfDq3Do6YoF4G5g9NB5aBDW2BHFV84boQGM8Dzzv
YDO03kVquOnD7rUrPWUT1GmwqlKS0Ks+hOyla9Yp6tLxmpPWmnm3dZryoUrIQjBnR+F3nkI7tGhp
TlXXrWqigNFNYGPtnSJfN7Oe7OhA7LSy2RuxTtMuH7xlIi1ciAsOpi9SLOS6BvCcah6XWs8GlZ3n
CN9Mza1AgKOWl3wqqcVzdIOZaqe8GlC+ydw/p5nZr53Gu7hxzW+prp8He2sw7V1e924W3J0mvruS
/2eYC5Ri6inLnVXggA7PRghrtO1JoyRdtUGicTO4hlqhbCJ6OyW8mr8ss1cvaxyOy7ppn0ORcjjP
wQvIalwaxIofG/P7bCoTHrtAO2bkkUcMG8YcSGlU9S8WTEZYkoQnEraJuzqZm7V8YbkbN9su0U+F
V9zX1AXW6kx4vPIVNuwU8cQ7sHhSa4d27QeDvuldmywUKLGBOFPKRa4oxHQ06i+zIZTBJR54btQn
16+iXX2IhZEiFQt5S+YH+sJHAWnB3jv9PTnaMbEvYYfJniQxTOEtObZiA369+8T+dPq6Ix4St22v
+ivy7tyd6jdcX8R7C8seCQRKsEUlnB2NWPTC7dFTZFlRYPYW0/xWTPVrgBeVyfasLXHn8/HYyWsb
2ul6SvAPkts+3cUtbVEDkp7bcnWQn04mjd50QwhsJsITdiEuAmmnl7dcN0KmervTE757pZmOmaKG
W3m/Ls6y8tZtITezb8+V63Kv6FjCbUl2jdz4t+3kTVW3E9KA7a/rc+V9WTzsI1rny9z6kaj0vwvi
H1dD0QYkNKIfbSwII1ky33mzljwi1ZtJ/H2Ma5KCDT3XAfyJEpoybQzfaFByjgtr8r4HQ/Y6l2S+
zoJ+DFPbpqPRKxxylb0c7fIt6PJt5mprShbmug7RmtR5oC8qo/dXQT0ehyytf/gjUeND6X0rMtDc
xYRoy+9JPzGbbqBhTE1SUZPxMPSz8jjr4Q8t3o4Qj741hqvC7x78eycMargyCsg/ZBOfTh2dUGfa
Lzq1rx0lpg4GqtV/S5SjfHww0mENvCs99IDjnyqte7HHefw0wybEI+o75yoom3PedLksuXyGevGY
6z4xo2kRIF2LLNCHMOxFPeazIbRp7JLPxkvSTTfbJcG15M1DLzjLvfKpcagDdrzzomK4t6gLk2TB
v2uBmoaIEZ6GsgYKatLuyYToR8WKdSlUpACjN39U2uhs8tzqdlXjza9DSVqzeJNTOyjCVWScyqbS
Lsx++EEwXr+4Ng31ZkLO7qu1/+DMkXbsRqgu8tUCbVjNnp28Z0pNM3ZExqsRxfhu+RQcxavqpnBc
hbGtHwcg4Q8WAqDryzUD2jtRGxmXPpg0smmn4LrLCe1sP1r66wROl5C7Allx0w4fJJBdnxkSGQq8
wzAOjeWg8ejHb/JfqWlkLbLAH+/1KTPuZrtFRSRegxYWZzdVqxcqg8W+Getsg+Qq+LTwv4r3TuCi
iUypsff9oHaQOudHucOhtLJlb7ntOZxK1DCFC2RIfEeWm7/oakgq8Jika6gQyUGzYkwB4kG1OXqh
PnybbcQBiQ4bSkey8IKp6yT3OoeOtpSHWOfb/r087OQTzUr9QTVafzTVKToS7EfcqXj5mOOWpKwX
r1FhLzVINriyShMBa+E9QA7qCNo38h8IikBahvrbSKdww0Q5OIAWHh+CUYGLI7bognxv2Ur8rkRm
vDGnmmxsTkgPDVQMfoNZ8SMaza1vRdN7F+XeOjSqmaEa1VGtsHce6v/rfjLsvCMdvg9GW/o6DkgV
RnrSXKbWpbQp9mPBo4gHpf9ILSphMG0yxg95eKnrIFrKLTBooL3o/Y/Gc8o1Au/hyMRAu6dMDNZE
vNoaeEdTTO23YNL5un2dC72bVfeqH9bXfdgoC7LWcr+RbeTh4NXiU05i0zkNYQvL/9KBku/nufl0
G8tYxanZnrIpUs+Wj59X/peRcwDxnZ9pAX0zHxXj1NhheXaaGlW0eCtev0NHl57kBmrZYcFv6+iu
bR1PcIb961YOoKN4cr4Tzig0xk5DqlQ7cwhqMSX8Jv2R/vWCCg2stTkYd4Y5FHcp/2uV1IP2nbrm
9fVUiNE7RUEzpNT+Cf8yGhB4Mt8z5ShfjzZDNsq5tJ3LvlZPnR+qK39O9c8eFo94wURfQZlRK/Pc
alN5MhsosqCs1XPR8fX06DAp3dc/GZJTihxa9dEJwpJr29zssjnvH2cyCha9Zlc/SWlGSdOZn5WR
KShZ2EfF8XnMeY2kkUbKq9IGj9e9eeFT6RbWq6+kyppuVnKE9GueOZg8jnXX/3T5suSmiQHJJOui
6tEqzH5XJD7scESvj8hcuusmeTEuc4qzn6YzxIRYVfVZ18zhiG6OjNe+rN7UtLrIvfHree5ICH+l
tILWk5/EoZrd8H4gAZSRT958NwjrM8U7NpjUIuC3lQdtmvQdgydlO9tG/OQElKRzRvk/M45K1euV
b7Fi5qsASnETnDErmMc2cMd1lPHzMmcT2QMfj627r4STR69AIKvNGIzaAbZmfT+SaYFYqhQjoze5
5dz5hIz2mvYw+rS/h6lN1miAjmNXdU9AN6BiiB1OQbouTKS5ilCw9V1r3Q1qEJ7GDqpN56ONmjuh
+hDfXum9q31nvDih0m/m3CX4TVXVe80hYCKibPND6+/kB1Qxk1sE81w/9M0AODvsp22L+PIJ4S3h
UWJnPiZfl3bVN1/lXO0CT7hzdKU4+aaWkybatO9aph3lplTqPqMw5zqJUfAIEQHOlTIWJJN67oM9
ZxPFV8P80RFDonu18pF0JIYPbdGccksLz1acRCsGke33zH2AWGT9GJWUiyLalnsjU/VDWZnhxoeq
8FYP053cV9iqX0ocxM/0F5wtuXTjrpu5dDsBwmNetfWjjzyc/b727llzv57tcDyKYLR7cAQqVURe
j1zI1S7wlLOrcjBp4tQknyaeL7cwgsP/OOz/XxiYDhzK/1NrHItD/usHGdFd+y+JqPJpf7XHHe0f
Dg56nPK6YRsEomKl/6s97hj/cIiCV1XDQeDneLb3L91yy9IMwlVNINzSm/9Xt9xU/+G5Hl5Bw7q6
8/9bHEzX+cNlb7oOXXIomPAVHUtVRcv+d5e9RZaVZ0MLxDmg7rCtB5QDq5MZobwMycNaWm373ipf
SW08umpPGxwp8zpnbrBMYpupuFD7RUoD8cfN3xCo36ut++z2bkJYPg2ovvoau/TUu2aDDtSmu4qE
WI32qQoVySEidDl1Jlf2wGO198dFCr47n0QMqo3jJJ9fIg8W0aTNZy1UHpjxInczHLBRyYvj6Q/0
N8mPCQZOKEx+nYu6xsbUkpcFyg9dKWZyXqTwZw0D7G/tM9ZyYtWpEqrji+/S+qdL9eBNj33qPdeD
tVJmUNrE4IW1fbat+Hs3ePdcS+8GLmNji+9arc+JxpW5bJGwg0xUl1zB3uewfKbp9oj69qNJ6+1E
bEYDHRoviQPsLLx0TvLV17x42yrf0yL6KgJacWPBx4yU4cEuLRolGrlgfE5JwGtmovtuFmswQhsj
07e+3zAWyc+tB61bo81lcf724ve097eBBtWYSSn615zrQ7yua3cfgd2iD0q9xuApsW+VC5p16wD0
4MJJ0dnY0x3C2HFh23yrZrJzTXORhFm15KLbLFJqkaLLv1PFJUSHpBjaILRUd2+O9jffaX/4Nc/j
9EtZJGbMPWTHKM+sZejrkB3lkYKrbWHP3zRccxRmyk0SkgiejMHeruxI2EQemC3PfJ36TuyYhh3Z
/OLb9hvlp8k8aeJzKFMDne7ovsUo73HKjO6KlNOHJiDbhgzMZYaSmKz+RYKEaG8NTN/6EdMHBoqo
Gc5dzmzbQJDcVXXD/NTmi2fmT9Yf0GSnc1egxL8ayK/rNM53RRScI4dDh79ty2hr0TnCsFI4bzXd
+aOXBj/8FP1zW3vPMQWbVRSgA6bYDebJCZmYNWocL8MsnjdmC2lAc6aL0ms/9PqHlkTKo974Ky31
wkXQlSryxVXl2T7Gu4M5q8mmdhzoSszp3BojYsNrHSxn3/uQ0WkLyB+LD9N9qYZcHyrNXM7qV+n0
6kqbjAdA9REDJu+5GoM3Ui/OScT3q/EBqdZDH2Fw07XgoWrzaJNMfroys2YRVzlvs9wEMb6SyS/H
vZ7+GAXJp8wBPGEegdaBUP2RXL12SfDHGbkg6kjKc13q/fJJpYmyx1LHiJdPWyBQX7YP6X7WxQ+v
SvYpld5FZlnncUq+Ri+h8E+ACJ2p4s0adiGdMNxP/BLUN41OFsfoyBBCyVdmfTIHDhGnL6Cfki28
CPIalsEQvGtF467aAtwExW6Pek79PsQ2ULg92cmodlJ+Ygo/uiVd8KrMTr7B4RABv/IwafRlsgu0
+TAn3xPyOxM3W+oVnzWGgi9VC77MWluh3MUg9oyRcaMl2sUNUVy7Dj+auidlJ4SJlRTZvjJHcrAy
/9gaTrJOQx633fi7oQFJ4tzoLobKf8/rcNp1fIWO6TzrtaEsXbNb8wiyWdyZaAdHulQ251Nm5Mwo
Qgxz1pCuPad5dxL+r03ZEEDPiPRhOrmcPRPbiZdDeckpKCyzxtU2VTbQ+Umy74pot8dtBc+KE4vA
oy1xfKV6Y63LoFIXpG4vSjW0N3WqPXZEqixjSgC7rInRxIvS+QCJeOnp4jfblRUObuc8xpwsi7r+
1AvvS0esu1SadNWE1bjyKwSDSelvC1M5umAit21gXIQIsabDsjYq3pAXvjb429eJU9C8GQy8m3Eu
gEPNqmq6EK+NucFak3MxQNzCB7GwMvcu8I8qE+qFFxlPlEPXYwscwJ1NTHcJ49o4+TIoiSwh5RRU
QS2aEnyDvWmhCA3sbtHnubMIcbapnbUrXI1KobWo7tRMsL0gES6o8zSi8cDpLaMuxgBsHYRqvh38
1lwi7Fz3Wk69Fy8LYi7vQsr5xjTulYyvQvHzk176P4iiJUcJH35Yxj+7PH0yBr6txHof2iFbzOh8
NrhFvC1upe8lqlkK1tZzz8V3aRtU1hjLQp7VA4wXHC7iXBI0+sNUJ/Eq8NpHJw2f1Lr7yRjxpbZT
HS9qy8nCDi5O8lMe5aO3oyMSLuK6Jw56O5hwwrJmwvLvFPfQTTY41znd5mYNuAg8vLxgWSFfyazw
Qgul8Zd9g8jN94x+iTH0u9GDxJvaT6fLv0Jwh/HcfZCcWoEuSH+qCr/FzMDBFOjZNjN1ax3BRGL2
2S9duDCLVA2PVexVdCz9rTVa24qz/eR3eyXAt4Vb6TwP4NUIGvBjfLiq3+vLKvTXXWSh90Qz7c/q
L9VuX905iICMTQ+zwSB8zquPqMOtUAZcjBQNoJ0xakCebWG46kGCqmZ6Bo/E+8pdxhdx9qkOyRvm
poM20zalDiCYgaWq/iLPIV66/viNKThhNWYaLCmdmKbZY1k9WcNH2Bbpqq4BNvpaRfd8BNc02Jxs
vMRGOseznbbNN1qT71D6qivakkuFWLmlE2jtuis5+QyO8twgUF9A2TTQVOgPxO0sK4S6m1mcIOlm
hsQJcCVWDYruaX+sRsr2QTxT2uNNDB1qlzgc6LmaDk2Ns+HwvaYC0+mkBohBLof8eIxFwYgjFaOv
OMLApdCKjQR/J1Ce56l9Jx4pOYxFZy6B94DONB+o2K8ija4BEsB5ERp3Vks9NqHRslSs8kkZeC+h
d2c0hAQSN02TlDnnqRFJdUzhxdAlKvU7hwCjhaNr52lW3+WR4zHj5QioQRzCVcsVe+2MtH47LnEb
M6femsw0V2qluR96/y2Ks11qWlS/z0RIJRxIxLdZo9OuxtC/6PMQQmKFMRKqAIO0MlwXTLHrKP/l
DhoaAQuqR6X6n21nUWPsw3WIlXvhLDCSvWYFQ6VEYZhlJ4RS+/j9KdTbJVjrVjMf+ciJP7Ht9ogF
7a9FJThBNVUNarY17rJ6bY+9dzDoOrltqe0YgX+EFXPKJGhXTZPJwfFwqGt4X0ORvqUqBUGlEXt7
tELnM3AsBM1lqWcLIFXaAb2Tdriuqw1017yPEXoibT+ERXofxxjdOoNKv2iVlBMKCSkKKpxNCwZy
HXUa/gWRmG51ancoRTy6XJWLTjzgAzVtOloB3wcNrpDMaKZRjXpxGkhzifTwmGTuvWlPFpVHggk9
pIOLOtZseNQU9/Qa3Eu7sV2ykWfS48fGPGtZSKxJZCMtS/BemGYVa8s4QWmX6RiqzBYCpIxql9Hs
Y5a+WDW+60o+QDQWBOMIPLxWBe1hbrUAFBDBXb34PoOAX5I/7yOEg25XJ8cwP09Jq65zndq3DUXm
5NjtqexoZtSpj9ctw14DJAC/CUSbm3jBM401qOlxZysthfMcFMwve8z9J4zpDMC8/kdRwPmmw9uf
5oc0tM9lBZrRSIlr5L+82OG30g3sg+FjoSHreE9PJ11XNQeM26jjgUxESubyZuLoDHHs9EuukQuI
1aijAqSRzB2L1MRYNB7lLRg8Vu4ERwd77jEu0NqMuvMB0onCFwcrljf73VHtZlMITcIQJsYB2rvw
6f69ro8wwuw8/Jm1k34ggMpBhSFvmgm9XsySGHT4P0pd6gdN8e2MIAGPbkcTrRjmiMq4i9M0009k
kivHGmD3IbByMhZY09Eu1kyzoK6Mbl+uejdVjnLRiIevq0P5akS+v7FhKK6ZqESgY9oBN12rrfUB
yY7q2P0xU0ncDh0GAUkeDSfbD52FoVvCHB6cJavshhCTt3wTxz/hMMaiElgxuUlX0TBsyHEjxHEt
74EqYh3tnC6bU5f4ZBv1TjOsO3+I+18lL7Yc1fojqf185VqqfR58whx6r+uPQzXYd5OinGKR6jCb
w1PUNsoZx/QxH3TYtMaQHiun056VJvdWemEHW7lqzeHZoB6/dgbGZuWg6s9pFGunZhakyj7FEUz2
2Cb13GBFhX/4VmI4c0YneUgsPSEBePzIOofg+M6z1mnOAIGgeobneAiNjk87dOzn3+oLlwKeTZH/
rxxJdRHlbfOf/6GJ2fj17v3P//wPS8zWTdug8mhzsLhkl/7rbD31FH2mO9rtgPnlW91fi7lqlEz0
3nJKiKAKFtgRV1GPFteMuHr9//x/erh0y1xQLuof1QKPbvrktWW3a5zxxZqrc+0wmGQiaETJTwb7
etMQgWCHB1+b/4u9M9lyG8m27A8VcsEAMzQ1ZE8nvZN3kiZY6hx9b2i//m1QGStCLpVUMX+DZNLp
CicJgga7956zz/73z71Es/z01nEZOJYk99n33jw1m38DD2/RHbKJOnEpGNvOfxyzia6/nNazNA/M
MsL15Vn/1xfyB18I6Y04NP7ftpDNt+zT8Kn59s/G1/f/5q/GF64OiQNDkNDGQnZhSP7V+FL0xFwu
oI4vJL+gJfUXXdL/D+c2TTHflnTG7KVb9pdLxPuPlELw1XYYBtqUK//GJSLdNyYR6ZvKEcS9myxB
C+LyzemUJn2EX8GvD32KIZQl8WoWfb3z0CsPbJWv4lwBVJRsqm1Mrgh1jN7ZgmkuDgILxQY6JdHE
VDeYF/JwnRgtkRRIxXC7IqxISW1VoMBWO9MlHLZqdXjqi2hrIt2mWkP5NJSWPrV5A5cxOnctmgUj
/Og5dMy10s66dZzuFHsw4G2Dzb+oo0+m73j71mXlU1N+ZENG30OqU4qbNTIlEdteuMXJ943ydN5L
Rtc7j7dINjE52UX7Xo4kfFe8LcH+tMs+0i/zgI90+3FcwDwTXmM/cp8n2wy3aRQQY9sYWwRP6bZh
8LfFdUuSXcD8tVBkfyn1UCbZyQypqoxO6XUfRPPJmTDkznJfuTGhekIF24lhjZcDCO/MGQAtEwbZ
pndWGH50gkw8eDHd79Q7B0neQBghA9ecHruSNqBBFbTSEWIPm0HgWiYusD5cvas5ND9gsEFVyBZ2
ttTDMFgIk2SaPgSh+wHGTYOSvWHgPOg22jZSfJsLdyCNrLoRmQUEAb4uBN0W9ScuiqaNP3blFiwO
M8AU2UmZixFhlYbvNEAm0tUOyrLJxGXHOfSaDux47YpGxeLNudQljuCz35mWfs6tENzUyKqrwGng
T6cnGn5VRhqtiiCPViKy7pveYnrctWvMh/hiuogcSIzTu9soxW+dDsPGDNNX2AObzL2ae5M8QkGC
K37tVS6dR9w5ERgGp163zXTiCj3v/KT+CpFFrVQ9uZvUAValEvJgeSLHxicXu/pal1ycOsu6L4xw
hQL/HPTdtQjouUZj8dBTbq/jgJEd9OX1OFTJYpToV+wvj2ii7i0PMsSUn5X5ualyTCOUFyi+sGwz
nE8SPpR0Cj/SyTou8+XKgO1J78e279Mp/Vgrrg5uWT50KdHzXpE9pzSYaBLleqT1hzkooKe6yV3j
0Jl0IGJoJFVwi/SR7Gyi/1y2zWnAO+87OhNKW2sG1SvQSmKX9ySIGjUdSPzXBBEygQuNapuP0Pk7
Okc90h4UgXQAq348lMMgCZN3Dx2lOfjTYTwS271hhEuLgLnunnyVCtYSXvQK8UychI+OoHguNByY
yMxfE492GH4LGF7b0he3gTSudBgQ50cK5PXkPXRNO9w6TX7OTWfvztWDY0z6nRFkO58QvEI00bON
4mwc4leBlSLP6XwM6kAb2lt5Stc0mv1DMj1MlAOg9ygrZcpFPbp2M+hC6KHW5djEe51VtND9qly3
ecL2K3WhTAC3x9BGlxAwwMaBXd6mLDVp08fH6nNDgO+dusHsQhVgw8tg0dlVy9pmxOAH8Gslm0C8
TAPcOsbZ7/IYX68FWbqnpIZqZXkrfdUW9lqgud8ETlltpIHjbXDq+xo0/Nmex3hlsU9c1XoKGbkX
SAfxlOzzMixWghDVuUeySh7jgdp5Dayi3QUp23W307RKI/PW72d/B7pkqCGVBXH0UEb1TGOteMB7
jIZc569ZEoi9nhH2TxFmtfjKyCmxhoegTdAS086Bni0MbH7izq1FxiR6IH4Rdldy0gvBx7YjZ13B
Q/AC8wukjniTW+p5toqHOARwjXUdVhpihpMjC/eUjKABMHlvey8Pd2FFklRGUX2qrDnfDbwAGFXN
Ke6shr01eTLamL/2GJGiADnQND4nQnkrBucABJW3t0OtD1MX37tjO+59UWI0CjyuG27jnCyLdLOq
I7A+f26Whd9COkPACPHlZQb1PzdNfZjL+CRJvFmnQbJMZer0rLJsLVDnHjOv35fpoPadh7uv91hH
odTNS3O7wVyFBSq321fLpSleYUU6wYQ3TnHWqn3YW3dGodgp9zEdLKMA8JGB/oXWAcc34ekMWo6H
YphvNKMToj/La3uczBMCWLXhUGD/ZrMc1T5oj8J+8XFT7mlr+aepB8yBP/O6TEwiG4spgb5FmnKs
sSpcXgVyKnb1y009v0Zu4l5dfqDiGA+caN9fJUL+8ZR2OsZBxHeZyqefakVhdLlbx87RY2rul/NV
6NiPpYmclHzQw8Q2klgy635cIPOMnPpLxbVIwS/3iqXqQvFH+y1RJga1/jVXtIRLSMErK3mPCQxB
gpPtsxrVf8McfGVO8i4sJO5zf77OlrosJKDmKOgkURSO+8GYr+uRLuv/bkD/f4avQvBZ/W4HuiOL
Mv7Rmfzf/+a/O1DPxJgsPMpoJdRll/nf/afn/odRrKOWZEkSJe1lJvrXBpQoSpNKE18gl3OkyMxk
/7sBteR/FDNceOSmw0jO8dW/2YBa2KJ/KGd8gOfSlkIpvgS2uex0/zl3DQcMsF5VdgfsUXpT5w25
r0mZnNqqvtWsPZgcomgfg2M+c2kW686qF2NdukmqO1nNEYFO3Y2hU3ZCFcQKkrmL83J1rIH0rfyu
aI8a8USr0As3ZlHv/aj/UzXIsfjnW1DL0JiJNntxxsr4Ft6EadZ1OLNsj3pv8lFxWWayZOQE9QZs
fAvLQt9XW6vOd79C38z+ZSX6/clBxOMlh9VKMfzj8WvspBesQXrf1BE73XKPBpq27RTBKhHYGIPw
tnIqY5XWxRorSfe9Lvwy/t/wW3n350r88vx8bD7Od86xn+j0sxjTapJSo+Rs75BBpRsBgmTdFs4q
d4EsNumREN2NGWNJ9hS6w3+c6796/jfnz/fn591LTm+yTL0373/sdZdmioOvlI7WTALehQ17Q3tC
BWeSp8vlDhkrsK8vDc2d9QCfjB3k3qPhxsVgZVeN8YdD8utXxOK+fLmE/9Z2r+niBnal9d4oWeJF
MkbbQsj6/Ic3/kawwBtXBAIQbOFJx7KpI3/84NvQs9u+DihcZkGp5QEuB0+dPFfBsE4dDQAsLIKb
uaUzbfXi0BFxfOc2pDpnbm2d0dFE+2x0nFMSS+/ftSguL02wPlgUrpyScjlCXz69i4tw6eX8H1X3
lh0J3e3b+qsbMANwjOgLkA2Y8cFjLE1z7QRJ9Ycz4efDrizL8mmwEdkgfipkg4g+vmeX3Z7rrOJq
72frCj/29veH/VdH3ZKW73suiAd1CWv4x1szvdZKREr4QRsygYdzU4FaYQKR2aL+w3n0ptFzOYr/
fKo3H7AjTfI8VdbtvYkhaZeRqNUlXyuwWBCLkCZMzM3jaLr+/Ru03zQELk9LPLCjbPoSnMBvFuQp
SmmFD3yhLdfsVpGBac7PzZOO3XzHZgNfu38L6bm7rqrhUbsy2U71YjAHIlThxd+wZYATlRh7Y3Cs
Q5q5iLk7NP8O667XgTSYxvRcKyqyvvP77cLUbULQgEZgXQcTSoaiCV9bxBKHKb1rvHJah6kiO3yy
4rMHhUbfi874KGsVH/7wzpcD+o/O2vLObVO6iJSIArF+Om29NnQsTAYaKItOd2KM721d2ET28a6M
qL/XJiyqoTe2bu8/AlvCuimBVBa9C+xQ9fSsHzLEgyAtfYFiQqzQUA4bm4jOTRgziyawAVhmb+IJ
pJTPFDJmdz5U7Bvrmt7GbNlnZcnkemy/xDk7ULgC5iF4z7gLmlLSnQ0refn9Wxbi52sX75lr17JY
Kf735qua+JmTzirTe8ZHOeiOmTZy8m1Ep71qh6c5KVNa9uDuCLsbDwWkZryGr5Pf3pg63lXQFc5h
+bVI+X/T/GCRgblpKvEBlJcA31wy+yYv3ukUzQLtwGTL3Ee/Cw6++TkxvOgpHzXjHZfrpFF3KDNY
zUCLTov9BTWTzk+535LMaPA7meT3Y+/dA7B70t1ZpIh1iEoF5OReW9qkRoGRuEgFQ39tw/NYxQNJ
1l1/H1bDE5qVdGQ+V6JU3ZTyAQ7LExTahyZRQA7QQq6dokPECQCjZJucFoQGS1AFs1vZm9IauI7K
+BldiSeg2WnmmF74hIsHOVN/S48FKDXVvTcNX6bKqtYG8N6tCOucYwfeISX3+s4F+pwbh77qHqVJ
o2gw9G04xKe0lflurJ7qmIEKpKVlqpldSbPWq2SG2A2VBGNXb7wTJSzH0v8SNepL6TZ3Sj46JdKc
vFYfLeE8omR97+ZETJIOdcxpRyLssR2glfyRpsfEEHo97kwKZzAYtMdFjZWw0bdAmP9wVv28cHmK
XiflGpZTx3XfrCBQFlRH1IDed7i4qnzcez3kQRGPj8FIsw2VwTrIINn+/lz+5bMCwaHNqtzlQvDj
RcdvODv8OeWyaz639nDfldlrh3oNsOBTI9OX1Hfe//4Z304hWDCI5uFKIHzh+4603vRO29DvCyPr
2HvJXgMtzFnbkofG0O22+aTchYhnnuDSZKtKzXe/f/Kfv7hYHa1le+77C3fozRc3hN+bDH3J23XL
91hEdslkGUc5pwaUOMZm+uAaX42B2dnvn1fYP62SPLF0PPa5tm1zqH88zjm58ZSmHGfZuTcA+fqt
jUeajNdpPDII+5RTM6xVrzVTufmmZfFc0VH65PTPierEn17Nz1d9Xo1HA5tmuUBG+ubVICabhQOd
kvYtuyBzWTbCKt36IZlxuTfxzRxacdMyBGU6Ut6mQQD1F8NJHg2PpcMwVzHm//0Rsn710bAfprEh
lC1o7f94hOq6RDnVwx60EMKuMyT01RKIRvrqcxVOryi3wcXXIOcpzkOuexmE+PLd5GIhajPxIR1F
uDowZL6CMToRwSYkUg+akXyuG22GjyKxrnVsokJLRL8H0o71Pb+uF7WmDMYtBuzgD4f5sq358dLo
KR8BLhWh7VOrvdmLhNIwwJPZ7R6CsL8nYDzsboQbQAXqOy7KKJLWWAjqdW/LfJVgST/MAKdXmVq+
+IBEN63pfLJmti4OTfh1ioG1qvTG8VsfYJ+9cYcs25kKwVEaBlBSpfdowhhcOKTzhYe2avyzj0bi
oErecCiPoc1ldSRcOuQYlXGU/2H3JRnzvNkN8JZ9IWybWSPL2fL7f+z0AtH4gMGHFvh0u9ZRdIiw
NCLQnw5oDs+9rkkYiPDtDEa27gry1svoFRfFRkVs+PtOGge25+ibgtHZUADSerEXJlY/kSuSlO/z
sYaavhSzOAh3OvtseAO2sMy7ygqBQWBY9j+OvckrZF3WBdRt4RVx+vTKC2EJVwG+uAi709zmSyq4
ZIQCO3Bjme3DUDpff39OX3Z9P50A/zgab75ng84GScxXuw+JvabFPDVra4YbUBIKhqfDy7esC9V6
AP7giAVJbrVkbLrqqU/07e9fi/rVSs8G/AJLs4T7dunzpl4Ok+ravZ+7/X6Q3gTtNH3pAn/r1GI6
xwo/ZxV3SxplyIKQidt8LNNb16+OvsyguIvmHCweOlX5mlJ1Orn+omycDSxIyx4ngTzEKOUzCGPC
HurykxZdf/RD2l+gdj1oqvKRP/vYeF2ymTFOrEED0eBFZbXNvfg1K+DNB651q+k471QOlLxSYJN9
lDz2DGUDCTD7d/MYWSxRnu3lG2V6/m70O/S65ostg0/CLZ+cLuHaXvlbV9cvHbBHu47ic1yDvWjC
r56A+/yHY/vzSe+Y6KYB9yvHpKXx40nPxBF5RcJy6sn0EwG+JUJwEi4I1rD/UEj9YpF02HAzGpUu
f9VcPuR/fL3aLHXQsqIyqsLiNakgPbnVgaXzziOSG98Js6IcNa4s5OPv3+Ivtrz0wizPt2DwIR94
WzjXAaJjN1Asz4Xadn2CmMwb5THV7RfLRrE7e8HGtaAHOyDHgVuZMc5LKnkM34sBHGSV632Vqov3
czU6a4hYCakeu4C8gj8su7840QFEWw7WBDYXFLY/HiMdgrZFKdjuiyhcRgKnsk0+9WZ2Nxpqncfx
a+uWf2pmXTYtb77pdPwsH4sGrTmGzD8+KX6pdiRAo92LvrtBoMeIA+a6G29mxz2HXqDXltNWO8O3
D3QZ3lmBd7RaZNJkBAUru4Rvajd6E0W63zUBG805nh5jgXrG+NMW6Od6jQ9ScenEU+LKnywbcad7
hQGq3Q9eqTdm5QJmS90I1X0ar1WUvP7+xPnlGUuJ5BHpqMyfcIoOcT9hDlqQAdn1oK1rKXlWq3Bu
WJztVcb5u/ZnoPfGn07Ynytyz0Higwhz+UCkJ3/8RJJWhKWQVbvPZ/0yTPJeuFSHyI3SdTQ2t5Qr
jD+oP9MxItQkJIU3US2wMoM6PAjztZe3DuDyfmfiRplnBqO/PzDi56YIL9CleDT5Mnvq7aoxTB0S
ojblG2XIT6wqjEylJsauaq+pG79FMbvjXno7B3S7504PlQwZuc8IjhrYZ6xikNY5hL9/VfJXnxc7
ZD4pqltPvj2RddgHWLxNTChdmOzMnAERI54jrKcENAqb15aMg3USh+Yu7M2QgXN1rCyaiF3iEQ+S
7wtLxQ/2OH6Dgjs8dCK8j4K2vQmLk2/Y86n2opuZleZc+3W3cQJV7GM2mjcF1wU/gVbnMWyLfQSl
c8VlAnAGPhFzclDS+f1LW18XFRVCPNLhObZaf8pGhSUwAyZkJ+6zVYdf5zrepr2I9kMRjdeZ4LJm
NzNU9GoD7jz89ysyhirHYTF22UuDH/1hRY4ML55U4dT7PlRrGwDntpM48IaiI6CyU49x1N07RvOa
DH9sYv9ir4U3jHGY6QrTQ1vy41MjNqPdD0UAaXDmHhKzk4fYCAKEXXa69kpHHIemucLtOlxlAf1N
264VIfX2v6+pqKUUWpxlGvHTlaHCTqArT9Z7bOS3jcx7kl1McxsPRYmtRXwavQLVb1mcE2m1fzhd
f1VM8uR0cyliXHr5b77l1sz0GbFyvdcuUPMujPZAtT4nVRie87C2trHhL/kk8zHpw10V1dEfvsW/
WGV8k5afRFompPLffPzslAqYxareE4JIhpJ/tIN14rUtaUW5BR7lj++YUugXtSR7StP3Xd9FaPW2
lvRSWXbhDHEq63P/c2ldXB3auRtp2gAvaR5I6co2Yqz9RwOcLqdh8BUxeHRyx6Deh4Sv3CXGpyIx
Cdlb8suGOI7W6WCHd52lEW6TVR+WnbHWwJMQktjGEwDYdTU1Ch9Im54x+Lt4M4DDm0H1YEXZSzv1
E1jVJvmkR58BdovFKssHpghECvJtp+wlbOSp0NWwjas8POTWCNNTys/AQtQWnWXBN73DviGWPyRF
8Cl1jX3Sr4Vlmu/o5hiPMmAb6Q7qOfbT5Ej7K7gOYnI+Sjwkd8rsm/vZCrAWDfY9gw04Bzg9vA5Z
a++8ePZzN4vkW09fn1gCJEzxo0sFcV8OyljceTjy4MNAk4kC/13i+iSrhdMp6uK7GV3Rc1uImFhC
23+PXACth0vagLakvC387JmdTHcktn6+GS0TVQ24WK39jxRB6XUlxuTszTjXuEIWz+OUPJpNiLFv
QLAAamX6ELFvyycNKaNUGWuHlW70bMTEN2UDsbJd+QAj9osVVfMXMxX3OCY/6Dw2doUl4+vJ7eLr
btRfq6kdiCMaMtBYObhN8OpE5EiwazFJJdlKZ3OzidNmQkudjw4ODMSumd1ezVhNzozcXgiR7PZi
+enykBvNHootmRNQ4cY3XNnjG12W+mqiTXJ5SHiVutKetc8WHW+y3JSm7L/fuzwWIGho+ybYIy3e
JamtzrQenfPl3t83cF77bTXQk/NUle9wDnHZs8oY7e4UX4cSWijBDTXpLilUnNHEIuCDKkWT23wc
nZLqZQYwFYcDavbl3pzn2TYjQQ4cXjjfGmUz3wJJscqgvr08wuRvuo0zOFrenB7KxjnrIlB3f9/U
RQfDWFs3bt5GMBfTEU8pxTkAkJE9biWfxtSODtrN94Pu5pUeAon1gZLqCqnO88QnsItcN9xmiNge
pAdbeSrEixGVsIIiahmDbbJZVcY7rALGu7Gs77F1a7QOhXEnGnrHfqz3ASCGjQpV8BhGwFejdsGw
Lj/mbPGvJ0wBXTsem97ICYdy0+FuSXgZJvBMOom7u5aAJTM5WW0U3NeZTxgNzNYj3IBgLYCG7RLT
Se5l2Sf3NJgWEziKD+JuaL87fXSyzbg/Ef0J3Np2/ecMDP8esp671TBbnp2kNdaF1Nh5ZlSFED2e
JyloYYT9fF0YwfxspdB4UOLe52bTPOcADnlQAt46jh3OeVA/pDJV9VNImvaDowtgOKJ+qsFxbNoU
jU4128nWKRc1JCXxrdPG9u3lHlvXgVqDHKI2BtWs2SMlk92c3XomEahOP16U+q6nHXLFMofzG+uX
DsqbHmbWmvFas8eEv8l5L09Lj3JlpR6OLxX2u6SwxYOZL1yx/g4FWLv1Z9623wf+Ux8VDqZfj8jW
lCfuYWRtRjFU1wDE5tNYtbvWOgkwyyHT8+Be9z0s/VG+7ztM9nNRQNK37BtwagGSfSgb2I31dTsg
s3aq6Gvk4FeyiNujB2HWuzJU+bbHNUJFrXMCE7r7yRudD3lCxFeLkRBwotG+V+MzJu8c0b3c2pVB
47hIetSVtfehi65qrNkfmf+Ou7GZ9aE1wvS9chi0L487NrvcDA7juh9ZVm2vbJ8cBC1rogwxHYLL
q5o5eS6m+CMLSfYRhhv/PH1IrLK580TqPEfJzg7j/Hnshu6e1KPraHquZC0esYmUt4g2n8KuCZ5U
PKc3iTa+XH7KZBxfF21WrPKgRMVaGHwa9F7vuchgpXOCBywGwcOkYYOX0SxPGSPQTZVYzcEuOg3k
3M8PlSWmJz+AQhzHlc28rZyeMAbho3TNz+MwEoJYJu0DeB6SbGX8rmn79kEvNwLIGqZpz1qHYUoE
YQ+gqSn84WooLGZUy49Jp5OHuKg2zmB+9POmJ4tjdA+D479H5JdSrzl8Fy0SlgzpHkSYxp/bb3zQ
w6E3Bmhngwcz3HGpxwE4IpG6YSyXr4ox9fZerRlTDE29ZcFzzsrwqq3SEL/HOJxuQ6+ebi/3+oiN
TJkSzTcbyW4abeZ5I7LXMa+iWyd79iHIIV5UcEzs0DqZJMAhK6Nj49buvHEMx7oie2tY+bU/H/wp
d09kwW3SKrpxJ7c8hSSJnmSVm1vE9v5+mAgISlWxY0Tb3ltL0KU9SvdUW151yh3JWerO0e3lYldK
fhslMBJpus43lxvF3ECkvrk32yY8S7/eeqGwjjIIPs2xPjkRDPSk/lYa/RcnAPmT0WdbEHh+3x67
LGp2VNT+pnQBi0hkzsLE6aMKKGGEd15Z03xoKCNWSsZbo/f3tl19jdP0XZoGKFKzaRfO8TdjavZ4
PlbKWIDireRVsO/riSEtXcIHsTys+iA5Q0h70SiuA6v5mvRnyXWcAmY9avkBA9w705iyDe2ve7bz
m2JEkuKmFtf8XgHIYw9p5PJMJNyLNem7eVimytVt5obLVZfJUiBRkmDicdMXj6QcOasvlkVwKhmr
o3WFP49lzXhFJneDHPLrrEeUoXaJ6Q4bUeeS9Iavdj2aJEwxCkUMGZb91u1mENQAbimGkitRzs+E
nd0BW4N2nlXHtJmP9pTd98VKdpRM6DqPYyKLVTIKsP3zvo2NLTl3e4AAG5UxcnSnb1Sc9+Cth83k
NkQ4VpIOZD7ZHDa2rIq3VRXslQlN6nWPOad6StO6XzuJepdIeHhdKyFz9QG7AkW/Frj6po29L54g
5yyGDLOaM31f+ME7Z5rrDWGEgqg1diYGuao0GV3C0lq+nt5tlnTedp4HDXouP+oWUJvt9Mwmjdt4
HD/Fs7NT5Sw2ZjPxhmzxsajMG1olWEbJajGtjTtTe/rt/DUaYjSovXXEeUWAoWaoUhtQXZoGh9pk
1NjYyd1DEVKu68q+MxuMRK3KknUvknVmvSeU4GZqEf70ilM1zbNqa6UJgQJRfYMls9iZo2gQA/Zk
sxk9it/SulEGdQQZEfGu7S3EinAWkX9+MzTWqNKzX43CNteewk6Tzj45XfO92fpUyEKR0uI4WwlZ
Zp0WOjykAV5lGv8m/m1iIfrY6LaTy9DCma/dqO+uxijCn2rjORrKsyXiJz3PGrOYuqIT+FrQSg5J
/my7/JuXJK92W6akIBT1qmNnARKj2aU5n7Hs22entz/WokJgAMtMvZO3scEwOvSx6g9YEkbTb1ax
hcvcI4QsMhSepkSffG9Xpm21wcOfXfdBuJst5xMqjnAFEhTogENOUN31XHaFsxHJQgOc9NlOZLZJ
zPG9Eoaxd4fhtql6exMz+cTeN5y6kusS/MBjbsUgqQvoraE5H9u6+1JwAUyqKb4nP+i2X8IQujhy
N0VdoeQcphHyEvfaxUMb+t0RRug17Ry5H+awwuVll6fYpcylz6hEVZ0yTxpIQaKTX4AYqk232WKe
LzbkOeQrLyk2/YLS9LqwQWXQhv26VLTgLw92iV2fSPU820AOMah39UmQjwVWz6whJEGktqhvKiCE
lbXHZ3ntLk9Yy6n67uPDCqD4loLfGxsa46X0CGDltUf5WOxsN/nCaCA+JURnnRxqd6yRLXENSPxZ
rmB8YmtvT6pOJPK+RfbRjKQPxd5NmaYHi+yAbRvkn/uwKrZumEK17LvyRKZZdUpB6hMqgZ3ECIzu
FCl3giCn9hHDdtTtwzHHI8oQaPkHFIFgIx3kzU5rbDy/O0wVspFhIGzEdq32dLlhLrhzW3LLGkPh
9MxjYraURKKWAy7KIFut64XXHCvjpTEIZWyXny4PUYKf48JNtnMD4YNklNOcR8XJG+ePnmKzZHcI
y2hEVdvOcWq05LMuV8lylOu2LTeCNMATL68gDIPvPPSRY+Jx4V9grESVZKcLllUMpPOqSB/Sgiji
Pih3/BRcXW7K2dW4icVzkYU5y4kipGX5ZZL5LJWXu4NKtrTp3ENdTOFpSlPs6Ms9P5oPRuxQBSH9
b6UYDnFFxnFTS1hVTf0SVe24+/6jEfnZiVOqW0ub4F87osoj4RycREKOKzdkicensXyBdZh/f9jT
0lsVDpzpYa6yYqel3VJrBAgAu864aur0s6Aw3TLM8K7srs9Yx/sbO4XwEYFWq+O9h0GbGZoJitPj
ugY8ottk2jYOgk8cj0OcHgQV3NYakKbPRIDGnuldE0rFzVilq8Q3q11tVBZf8hTBRus2u5BQWk8E
J5p8i2cARn5THBOnNncqUBTXYO4mg0SVIYXEIZk9GDW1apaaX4YO6paAi05epf91svRu9KJxS7wo
Z5OGW+uLCKDqwvqFLwDl83IXdGLZni6gX+fyqB9Ck11d4N6XRy+waVWLZGsHtCqMSWxn04y+Q6jt
qBB8KUh2uDIdqBQITpa/f7m5/PnLPYLZYVv4qff9t9+f5/vt5T8tDVGs8w7C7fcHL/9RdXm5f/+5
CpfGBqk+roaFOX75D8fLi7/8m++vRE3Zi7JmMuKWl/T3P4yCyNmOo3wprT5mz738NjXUoVUjl+mw
ApKMsxx2N/ey5d7fP17uXR578++QcoDG7Iqny+OXmyGEu4929q8/RYSAgs4Y3V4eIhVi3jZ5+bnV
BaWyF+Bu8QEdX378+2ZOKKSJQePTvtxlTSeS2h/Vxsvsq1KwF4/qVq19SCSbpqzPvWlIAOiOs6lm
1e5SneT7MRekx4yutzKXWeCYTBIchn4dE4FFKBQKJKjzhQsRwngW533aREek9vMGnoZ9pyfR7oj+
Ha8dj0q8Ysid5zRnmtYXe1npbAUufm2lwzds9Cao4pzxqUfCIgCmjmlvbH72KF1uI1od1NkPufuB
HRvROizkmIhnF+sLiU4mlNaVk2bf2lHfNMq6R7CC7HOMs00QBS8lHXvCb2djB5b3o+/eKWESx1R/
DsYwuwrAH2/BGVD9B/qJoFCeGjdb0jsxthWS1ZvZ2Zu+eig04qJirg+UVnfzZO8IHIBEhPtpNdA8
sYU+Z4B31x7+pbWP2s92SGJIoVrZA0PguPQ3DXlU697F7pdn9ef4gXSj+1gG1qoiJ63wwzu7HO9I
hXvVUm3zHJMW189vfS+CfaQpPDxbb/pWXiXkKOLuYooworCgsKNZRI+FjljDDklTlEKDExA+z7ld
fRi7284s3gVpPeyb0ANlAarsDqjO575Iom3q1V+rsHs0dD1tO3Oo1nExnsIk+pQnOyNvXD7ZRZbY
gdJuomab16Cky8I/hQ3ahJi9kSgGXFvWN6cIxIF82wj51rsQkMGqioOzgT7lJKbj1JeokWzz7Psa
SKafYDbrynhj4gbfdHEsuDzfJNXXUoZAsyiBd0KFMDpUSdBtLJxVb/bu3g8bnDDYnBYT9Vq02DTa
JqWtJdIbw2jCQxvM39A4pjeuBK4sG++U97iSyPoe7m2EZ3FevRhZ1cLsX2KYk47djqyhV8bVQfXS
PBKEfaD19ExqeXJStD6wqQBXgkpFbqvM5K50k+DQWtUnqtt+wwyn3Ieu1d/Gzsrs2PIVBmP5qtPh
uiCcZNMz3kSQXjNRzF0KwpLanRZYvm3oDvCL+JGCZtrHjIlWsI/aU9Dfo2Py2ZmwN0BqcHIa56m3
IJuk02oy/oe9N9mNHFi7a1/F8JwG+2bgSfZ9KtVLE6KkktgGGWwjyKf3yvp/2Pde4MLw3JPEqTqn
6qgymRFfs/faJRIXc5UPwtjPCOqXma7cvfArecJqxU0kJHUwCT7/YMQzk0RUUekH/jlu+NnJViQi
tKee+VAXosxyRdgupZegTlfhu7ZkeQi/inpor028zWPyU2fPvgwJE4ZOG9muMOuLaaH+GD3yeLsU
mHY+jWLje120RfsardLC/VQlTJjOxQGfZtT7Awtc2orlbGVvjkZcmlVksuY1jVNaU6S2SQUHpSk3
BgmiTD8ycqnw6THGApdSy+HBs8t2nfKXAPrM98PQLVyTrKUhK8P1VIEaKUP7UtqshUkhpLTHPAzB
nYO5NP/cNWCS2Ifc4N2hr2OiX86/Fatko84+jJpcMKVdmPhY4Kjk/a3wkWthLNokXiT4GvHnI92T
s2Kl32kWb3TlNWtK7nqVZlFwThUIntLJGrKKkHN6LTtp5n4ndE7hSiLY5up0443b6mnXEsdO/HBW
rGJb/c2yerpxAiKEGTEzto0eDlmRN5tJESHczsLfG3RzFopvaAnpNSEd8miNFGCOab+68K02Al/L
HrOxRwlkRDsSxY/NkCsAQnn61GvnL+Evtbx0OXscY/Sc+yQ4f5hrKzqn0NTF7FGbtYKv9v1bpJxG
7RttXYOkpYmLRsGOMtj6zoQsk0L53NxfMNGmrncIqj449EHkbo2mPXWRLM7/8WJzNvZO9Bs3KQUW
S4i1GRG1Sb/JLHUbNOkJHvN08gjXDlgHBqwAGQ5iJPXIZj92COePNJQa5yH7CwjIIL+cKmO4zkl1
rybtrdcm+6hlsmJnME6lQb44qOt1FQQ7f6qMTZs1+z4eWlLN/7gW7BLpyIw1eWqvXrux8jfY6VgL
63g5pGG6Seo2QebKaW1MEG79SO1cc/gzVXO6D6Bt73uxNGJivbhX7DW/uw4lmHU5wG4CKp0tzaAv
jxkZTosqzTZ+lnTfSozftqnJxKbYqUyCnFpdWdSJ009tO/vJd7ZTMfnMQsOFbg15QuW8HalgHyzA
RDm9DAAxnkh7ANHFHfSe2QnBBln1Nvf5OY1ZagAYz7fscgweN4weYqhJCmHvjPKqnZ67mFMWpyfc
Lzf5YNjoLSlu0e7Y1cLQs802J2pBfm+j1r6HG97t4HwzI/5Oh+Px2vD2TemVMlVtJMbaBW6ofCkK
K9h0+Qsjb8xH0WaonGs0hxHK2qBkpJ6Vy0Cqi0rqjoohCtdK3HussJwOUWksA2PQD2l37DFf43wP
rwUVYFIa7a115HdWRDx07licddG9F02ebSeGL5t6GDceUzPA9iA4shphXDsRI9cU1jl16UJq+Euq
VndMLwyXkkN7RdbRvFHtiM9P2+uJSf3SQ/18hfi37pzxkYh49HN5k3LFUj2MMrPW0weWDvEI+54c
F7BZy6Aip6Fm5LWpXQRsELDB1w7zngy5v8pK5BLsATGNUcGCp3S+yjKyt65qOWOZde2sdibBOlBw
BLt2z1xm2nt34k3XBniSZbzHuDqjitJfhkcEXtPn0UlHUbIp0VSixrJZtumI3HR0fxdGAeapIF7V
Anf00Lj0sPFkX62o1iHW+zp/uIGKgX/IenWXeGANOG1NUGq+tkF2h+2DEz+OrSOeJEERJVEpD2gU
qie08cUmxNy8soYPCNDy2cvz4azT7IOvW/PcAyY6ojOpSOL5tcdcvGfD2BxNaUA4uf8SZZxY9b5d
HJyx1sRTM2NogmSjtLJ+jaw8hrJft5FejY0XvIsJ/yYiQKYkAb3qVOsrDv4WewMRjwajJC/O851t
N2oVELB3dXibF17uin1ZUUJO/EXbyChhhqefnh73ZR6ON+mnyYWd6aXXUjxn5bBjBGUhRyt/oSiM
UFjaZOMKbPv9FQdqdWrUFwOJ7lzk2LT6EmllWkUAfAAXeQPYujzTe9PqBr5dxCUkBnSZnGUW/t5k
KxD1sNui7JwakxCmUbEkoXmpkjjb/SNLxpQpHg/uwbS/s3AgKWjElVwm1trNYhrcuP+0nfri26K+
eBbjwhgP/N7r5j1cvI3OMCsV07wxZOo/jAQDupPj71na7sZePXqu11+mvMWWalvjhpDheyYFt2sM
YBDtXrqF1hKdyoYaVlXvLZGJVEgkwFdWtBPS/gp609lHuXPWzp3XQqi5r4Z2+y/UqWTftHA6UDhD
6J6ETn6w1jEQDQK1LvLZh26jtgSK+vs+JT0zKfvhTjQagJ+5XLjxVDJP0C4E7A0QV0gHrcqvI6eu
lVneLcugE5ixCBZC5u7GrpiIGKzAEJpMaz9zHaKYumE3g33aI+XZzwQvrcqwRFbFSaFaf+Mwqlp5
tSn3beFNCz+eXtPG8o6EAacLYd+JZVpEmypsy6XuMvlklWLd+YyUa9QtW+mT6cGiKsMcLji3GI8v
7KabVgGLN8vs9pxIGumHPzL4GNPH0E3JN6xXnRf9WG487keHyXDneIt+yij6yKXH+xxyvRDts0lC
rlFTuMbadqEqFORBiAHi4r3/PM53UEJ+DzLXXvZpM2Ldu2H0ST7DeCbp0Urz9CHRmEXKAX4ni3ZB
cUH8oSPp7uhoYdwh1nZ0U53UBC3JpvHLuwJBrtcSmZJtEWGiOPf1Pi5gfDZdMG1UFYEOLR7yvAku
LaETiE/0i0naV94ab5ZmKxO0t3wiYtlw9PdErQhynsaT4dopzON5XSDH2fLBxLvWfSPlJV4bWWx8
+upvHFT+m5V/y0nE68jT08kNx3DfEjhHgGjMpV6k57TCAWO51YsgxPEc94X1OKpnWdgYIJAlnNM8
LC6i5yRhlL8tEJzcRDowHioz/zyWFy+kl0tCVNN472EMi66/xVQwv1PZBhcDpqA1eohXfQfVaGiM
xOMwXhg9mEuBmHET3V86N+lBqoIPpGyMLpF5Y+0FON/cJW1d7Np5fpZpn59YUUyPrTsvjdmg1xhI
MGs8973p5vD274Wx3S4v7B9ZOyzvzJIMDvLZl9TumIGS6XmOc33mPhgf3dE8pHb6qRgTM7Ue2dBA
VIZ7HHVn6OkEnWqjXaEG4m11qlvtFPjrA/JBGzWwY59LZ1mXaJ9DqcI7e0AylYtb0HirwdtEaBfX
LgET68A3q80AZfbkpB3ZWOF8rBgUrzPbBClsMvM0jZF1jse6ufHSrTXF6lagG1EsKRsIuie8o/oQ
JYi3M6l+sgZsLlne7rqRlT54NKx1lsFuTxtstSIBipraycYC1KisY1Em8qnyMt6lpYNp6TSRxUTU
QbppSRxd2JlH/R4TB9aTj3vKwgoqqJNBe23uE9AJBKZ8Z/nOKeLCotV5LlZ+1k9Xh5SEJfuRfGOX
8QBiOifecWIZZHlfaFGNvZeS8q6t7PAvV/bfi9GSTSQ1b4ysM3ETU72GOWQ9j3zjD/nYDbgIzPEw
ZeFHFSc/BubNB8AkSCUruUdMVS+m2FGUjJVcz4UQRFERuFu3Nptj2H970SdkBokG7Nc8NDtPKvJD
fCZ306SZvab3HT/AQs8jYyfutr2iOmyy8H3uQAQMNbJ3RwHIDzLJUqR6xxjb80hE2To1rK/JNal/
p1IdenribW6FzSr3xc2eh/Yixkxf47g+ThOsEIJAvE3FKbStVAGc1IeDAxPobeqAETt9SeqxgYAv
DnNKoVxBzGQicfWSP5H92wQjXIZaoevzy4/awB+qXZ1/MFeXy5hHTLn+nsba5/TG8KdSp0Ey4LSb
VKhnYeXtGUDK7IlsO/i9vwg5R/dYYJgObIt+JCjKtp4rKLmrOLKdpQogTHp96G+yoh/2eQEruI/M
5gLQQgQ/4QA4LW1i2BHe9Oz6wt0PRH+EZodY4Y4NFhXMcdn39B0hOoEBwRtSmx5UH1EnrGvnv76L
CrdmOU73KGvuuKnZ1ka/ZD+B8B0zCNQXuYnzssWwECBZpysq+gJRDiI85loztMEKvqDTDtWqyKw/
TbzuLPIAcXrs3F5G21JCjYujeifdiXypGiKhRGdKUO+8GyspV1oieidDWYUJ20+59d3a/VXmHv8I
fGtzQai182BYFrnMjbGrzXJdlAyubM38x4+HcyuMDy30d2IzCxED7JpqnjQpQa61r43pOo/Eckij
aE9W3Ycr1FSChSZL1AbqTeXYGbls6f2rWy0LLdqNo9/z2qZMCQ5NLzjv3WbV+k3DVR8k0KtySByU
U9mk1rWq9K53cMj7sY3kkpEMtQT6OqngXLPNFXUeLoo8fW8Gg0ktM36aVPQ8cqKV0+GlbOfpIM1i
W8RTcEy8jWV1aMdB660CooP5XKN+Z0SZvejrytkSJQSmjzvqUHv9X+bh5jZ0mm6BUVqtFUu2sqj/
sCbzt1PiMNYysNZQBa0TO3UWmW8ehQfBVcPTe2wYLk2afe2Ae+FojD1ZWlX/2BQplIEi+Rcx5j71
1Z/AdkvIPOz7ejFZqyaV3m649/VkbRHVlzm7CXvv0shwLXiMwvHc5ozRGypHEbylRhQyXpTVtrkH
STRyJqUqJm6I0/DIh6XxNbT0JmbjXMfKOmC/I8DLNRW1LCLx9p5khBHKXZKY55yA7Mx7ocRDFPT1
qarg6bRd216CgJrT7/WJQ3he6LiIrmXGHCRjtpbljbfQXf9MBUVCZeUglklJYwvtfOXi5Wf5SfA4
3ODtbArkFHoRNnWwAlHcAmudny02ZfeJVHCw7FKs3KGe6Kl545ScaP8JtWfkaT03xdwfOOEO7uQX
mG7Un0HZ4D7z2lh2DuO9dO3GUbq2G8q3pLa+0rIv2XJUfzua9q2WBMUb9U9VdOkJiV1IMmT+V3n3
URcgrB2pPUsvVPXKxkW4ccP4y7ara0zgN3NbBtmTzZ6sSzH/DjzVkWH6e6tKvaUm/2Ip6rJbJr2E
VUMi0cLGWriE/ONyzoof9rw0WYLyJZ5z7u2RYVFo5AwWpD47RO20PmCdrHgL1H7q2+BQWL0FBjrn
0wkbtqJQ7tcY+Anbdf60QW5uSNSDaSX9HiE/qMtsHPZNlQ806Bwl1JG3Kv61gra+ma43oYYIwRvJ
PN/6Cd/MAD45M8eIhhqBaoRtJHHuF6uI9kWpPvqyzY5JP91kBTW6beSpxFmwzP2aDeFMPxx2yLAU
6aVJTT2QlQyDpsL9ji1GNG7R8ykDiaoDNS58T5PNOEbOwQuNL8LYX8x7tDsjR+6DcQqJJ+Kf5+rQ
xz8C1U1A3lwlrByv0ZTuIJWLu8GWcLMmdrYBy5Yi9UnNDeuFmqx6D2G8hPzsYVp3P8zJCOETA322
MpXtA/dSM2SBk1low7gllgdTwo54Amxi71TZvjlBrA4Y++qtnE1/WbN+0q7PQt9pJCoSybnv9tHx
3wvYq7+S2Rqzv6zZMLzI9uxkyMqW7iltnS9qSvO7bN2bR5gLsVVNuLHS7ByMKud+Ha01I6FxA1SN
7/Pg8gF3cUmv6e+Yt2RveVQDnB7IkrgnIMv7eqxPnnvkrBRMZX6wKwDuRVceEvh1+0p7N6cC4GM3
HFpz0bDeW3JlpMlI4GOvv3vKtaEN3+KypThXkIt14RZLEQE9B9X1kgfVTgwdkPSueJaMhLasy1B4
jE5zEUP7TFE17bUpkBJAPyMUg/FK7+zHqO0XGMFBnBW0aTKFJ50pl1wEBqZTiMG+iQmi6e30QA4S
mzsd0xs2HgbzrqAVmHFhWEl+aAAanIDbbu5C9nWlk/DWpTU4aC3NDanGnwHCNaCkCcZxjfcA69aw
JHlp19i1c9RTQh4WvVifM34rwCIwaFDWpnXoaebavEffcQ8GcisSdjFTYUBzo9E9+9E9szai1cFf
zmccP17KuPQ3eTTYa5e4y0UnbSY0aRWfCfvamdqNDiW19H4scZn7koS4wC4vKcj+nU6AGXv05Ub+
ONVBhd5mSi8RlsE0xz9hJ1a5FewpWUHpbj9Ll1bZINy6c5aeCSvPIU9q31e92pBiYa1CCNLYQUZG
mv57yXflQVhTS6lAShwKqquQxkVM7bgHF91doiQBfUDa71nxvUxBjB88AeYPODcgBLRwaXFJe3dY
dqWXnYpY8vGMvb1tq5LTqjLz5b+DPxzpJgMDSm7d2/aeu+OSTZSKZiMf6iS/OjZD39kdiWPKxyMf
ZsAj1HOQS2nuZDGcmco3y7Zp/afYZzmRtvZTXVGjxArx0UgOMeIB66vKZfWQBd16rBv3I2TQssQK
xI+Ev2NdNcJ5NcddP/70snefG8fsCdnsn6sO/RT9MDkhTlK+emX6U/v++FOT3OcTWriYW/SwBF3u
7WyeTqPhO/vO1sU5tN3tHGn5wTVYoUEkxKzw6/QwOMStRMMUXCBFJ5s4qcVSj8MqsZpyb7BKjzP7
ucuix1TMPEQm3flUO6AJRxyCKDmdS99yf8R5713He5pBCoigZpR3be4vkylK3LKtfnA1lHJTme7L
jGp8kapXfHLRvccFq6HKh0k6etdp+StI2FqGedD4NP0IitxJP6jISi4knArWDY9VTOfL6CY4esw5
VyFmBsb3IDJt4sLXRjIEK1prb990bYYJAG/bLKn7W7S0+R2b3jNypoCnqbOVgY83KT4tz7riTja2
2DbTjd0icuO4/wysGbC9Uff7rFZ3dnBbrMlVJeO0Srudi9fpqRDzLxmRyywcq2c3GpxdQx+9KPgu
z+ZoXpXm+MkD6J7mDJ0dvG59Fu1d2OKGA6vVOT6KVrJlmbMThsaCaLFT0rLcrgmjRUAS3foyqa/K
r9tDMfLU4RjqjqEfm+fRrbqL3ZV7s6mfHM9g/IwzZx+2LQVN7y3tgIrLihLnhfTWR4b9/WEMgYFj
EVhMdRI/oRF+dVUIhLBoimMDyfNmk9i8qEkwXgUOqMqJad45ymuGfzYGXZ3a4sSOlh5LjjsRWdNm
yHv7Vut/pmBv1Qylf9J+0l0GE+wzZ8aqG2p7Xd5vEaNkdOsnGco7tE2KBZZXzjVzwaF/TIzavEXp
ofO3mK3Kb3Kiq6Wvze6hGx/qvrwn3rkGjWdhvSNMxMBttQjMWTO80S+O6hxLN/xw8r5m+8OlaDH+
oToM2C7BXmVmOfypdI500ZfuQVjdJx2BebRb7oQoc9ZgJy+Bmupjj56cT4XDqSjH9EFpWHQhtZ5r
pUxI7i8hCyqQG8Mt5/5+wAZxsxwyJGGEHNychPM8t7LjOEXBsm/wG3WeAhqaKJ5aXpKeftuYldqV
w7Adx4II8MjLH2OEcb7ZrAPORRIaRhCsDDB2k58oRjLioAxsgTJyktc2Y+yaiC4+8alXOBgbBtBu
UX2W4BxZqgbZTVSDDWDWHV7ZbSPTuzHZ893iagsEd6I/yDCQr2K4d8/QBdpxZ2AbOruJ+RKz0Pyt
nYYrMPAe/IFJ39iZ/K1x6FzYCt0KRTEU9vG0nqBErepBXEDuZdRPtOjEiJhnk1n/IimGpx6BMu9r
lb2lDeOdJsQvpqZ24xJyQ0drLT2K0FGM8iyLEm4oqkz2UBGHcA7kshX+H+Du9Tb1xyfCI68t+PbX
oaj0NvY7mraY/5vWLW/eFIZH9vQ1m2CVMycp411VAv4Z3Wm8KdwlCt/Bu98y+CyK7GbhNmRRYvsL
vpO4POI97r+N39n+3wGfgh+vi5rZ1L+X3LOCi5u45hkaE/l7Bvug99JtCLkueeCtojLf+3YcEKml
4dFRyPuGLg22pTGKM6h/tNueN7ykPNwMe4tXxFSEu3r3lmpOgr0kpHgRqUh+TayIpswyT2kO+kAC
UD/YzjzQyJHf6AA7PzrC+Q6RCr2Qt2JTDXjNMgjCFk2F0o9Af+uj0cc/BLXqxywmtUhWCBWif/Oq
Co1pJVOH3Q3jK7/txCmcfoPA0HrlOCg7gcpYSwh3w7bp766DLHdAghNFktkjoabx6Lw0hE78xy99
yX0HLW4CzzsOO5NgiVVZabGf1IRZQCSf0+BkL6V8JBSwfh3tOHlUjkJzkee3SKXGFfDBVqbxM1Od
6dQ5UXoUVhTciipOX61/u4hBE11MIHGE7/M5LedTH3kB45Riei5qJm2YzI5tiQiDNschyBVLVBK1
zfscs8LCXCCJYUIf1rbMHCLUbIAFBlJbB1poDxF2dZeXz16rt51QIf6Ssrp4Ez7IymGTOyE1X4+A
BTdsd1FUel19T0v6ZdQQbhsQytvIVs6eipyvBMXGQgsW/PFkcMxQ6S7NXs+bgcjVBbX1dPYp+Jey
ViP1nWHtIsvtr+NMyyuLxH4l4eG1H8LhkR/sd2rbaDUjD1kPRap2FTK0RdsX8QnZd79mq8mCNW79
a4GiOCyW/TgQy5ZQ8Ary2/k4GRAmXceDNDgb0o7vV7HlPNDpug+0lQOWH49MZk+ve10Xa/dt8kTx
3CRG+0z9lixMo0y3nqQ+UhU9tpr7+eLBuGVWHrwNjjm8ILGlxQ3EdGO1Y13muF4NRZCfsXB4bCCn
z9bvrfO/F2O0WPbggWR+we+xJtu1TTRuw2w+8lmVB9R61mPsHTLSam+yi51jLDRnmkVb4wfO82w9
9UDy36zvshsuoY6S15SonStEkTftR3JVekGNvy1V13+4XhHOJxywcXQAeZOTVM3cYFORtsx+g8Da
gZTITUd22D+iwZHob25lp+uXoJfth4EA9zxCe6lz6byhk0oR2T31Ix1J7lvQRJ2xPadddQ3c0bjS
MCACSsHK1nPeHq3EOHSSTx5oyps/W8POHQMQisH4QWdh7TGOOUdGdslOa0tsIo1npi2JMovQgTI4
KVxf06qmwdpO4gaEqR3jNmtfU6biS5bdf0rXTl/m4cHvU8jLsafWczf8jLJ/nKQVrrRbk5AZeIex
djzgcclLEjXmcRA9MPHJmFfcE+FW2STk/DMo/1+k/v8GqW87/h0z9v/P1L/UbZ/+l9Wfou7//D+5
+v/5B/8Taxr5/w1gGSeXbSFF/Q9E6X+CTS3TBbrvg7O3Ibndqfb/E2zqRoBNTT/ivwYYgNkPq3FX
D3363/+r6/23yIG2yt4BtBE7gv+jREn87/9vRy3rq8BF8OvY/IQeyZb/X1u8y0gUR1lgnwC4lKY8
/HspmbvNDJbnLQQfe2v/Q+pLYt/GwqZs/V+/Nu6/Ce6HsaGBZasbk/owtdghlh5WaHEfkc6RUSzK
No7xvKJQ8VwUE9SKJbrTwIL32xYZpinujOGu0/z3olRoil3mjAxlpiUWs+qAoAyafwY26PDv154d
H1m0pdshEQn1FdPnpXisRsQeCBRfiU7+xHr9aCYEZVbjRUuS5Io6W5Nd4+3j8Qo9mfDlnM2+30hE
nfOzQHNP8KTYG8peRwVKGH8q5CZPQwudZIit2Q1vCnGxG6fDIphJEiwkvsho6ldENw5rHbu7Hszp
Cvsk9FeBUiytmu/7oH4BPuNBOv57ExaPXZPcJrN/Kz0m3rbXIFAoWYgRp7UMqFq3Rkbx4Hvxqak6
SUZP9OsTYdAKbiEvh8SThShUZH8mfHGFtvfs9p6xNmbvrRHTlQHsvVb99KRfMk4Xt0qi5sepu5vN
Rx835yYcPscIGwE0D7ViQstYI5+397+wx7KjvfTgZhDdNMtaTwjkbErfBZQRi9KMuVmAiHZBSo3L
4vqxNriq4xrEDkGQbu6c0r76lAnvqg5gOlB8sRa25mOatR8yDJ+RcT5ZDZ62DjtgitE3DEiYUjnw
Rv8cWSwpi9zGWXWzkYIZHfF9HGizlkd110ymSfO36RnXsdv7G7p4y8C/l8g3Sr/a90p9K9V9hw6u
ZDH0m6TYpnnFMYp6tMOhkLC/MuQGq6VeRchBi8DftybCz85KkUBX7E1rt/m1gQkvJnOet+kwMR28
RRByyt768Uo+rVI+i1GxJakma5Gm3q9I7hpPAKV9ggsk6PXCV5JYOf7RBgLZCOrU4m4bXvtt+gnt
b1oEOOg2rd07m6AG28OGUqnoS8IHX6EMvVbVuzKppSOZtVCpCBlD/fVkvRU2b1VkCXxorr8hxhwh
ZrS5P0/SrFlbhIz5IGSXZpcCPSofsnKP4PNKqBeeC/9gBP7VZvbA4tzD+JMZW1VPMeD56S903EuJ
aI0pTH4dIBpte1Z+y8HjT1rixhpwYNlcvLZW/OZU0aUffGOJfHadZMTJKcHsDlX7X5rtB2M4BD3y
bjQ/RIWG+Q5Rb7F0w7TmgbDuiVsvnqIIr7t2Vdzpw2OsFmlbPoUmQiAPozlwkiv8AaKWVN2sbCcj
ykMtm8ZnM9y5D1WAf5Ly/+KVzU4kxRteMXYMbIidjrJsoim0s3Mb9s+qUMWyRBroVjzJvt3PyLrK
Vwwm4aJjs8Nut6xz9igy37VofDFJ9ezJ6JDWcJvOxOWgdy18Y6G85IZG74irHIf60uNNNSuW42Fh
A26T0y//Bx8icx+MFBxi0WZfLhka5ijWcdcyHcq/+M/ZAp7aLjSMiPKDn3cvs7HYOMx5siZ5pMsa
hy2gvHlR3/89LIP5oGyadsct9NJ2RbMEBrGCDiKJLcqvnQUmMWl+sXrukuhSRe1z35qPEVS5JUle
qKBy54EsAjbwJULKjnCJ7FW544YwQbwe7PoU4NOFWWNjrqbHYNiW3BI8Xvnn6LA5pib/7e5MRuCO
cpEYmmbIfIIXwknmOQ3WEPVjehfcxEwDw2tXZj+xpWkrSvXYO23KD9k/W7UzLNwJh300M7NJO38d
zlwpRME9UVl9s7Z4NOX4qSU/JLGvF9cmUqI3IpgSahUG7kMaVahtFJabQfwxdPtiKec+pHipy+bQ
uVjmceI0FtLSsTQfYy6BYJyIa6ielWq2bpb/6qQiHIBRrI2+aUi4TfreJeoDvVYWIWHAGY60imxV
bGj1xQBRzz8QUSxCf4jfSzvES2PGFoN8x9yVwl+30D+beRl9+zlnxZA+5KH3PU+uXusUhymakXOE
jm7tVZx/M0mHtIHuhQTGY1JWuyJHoZGZP0FsH+4ghTWu22GdusEptkeqRnUMJou4RzE/ZPFw1Ga7
JvQQ9bQnl6YgLcAu/6RqY5rJoxmjrBR4v5y9LsSDi8WX98zgHpTeuh0iSATu0u6tbVlWt3IsfxLU
RLPfYQEd9Z+QsJFVqOuHsWGLcf926bnZYFPG2JJiSvHweRBdc4f2kVwZ4ZrBrukgKunuC8cuYgDW
3NWc46rABbSkXrmEVfw9VnO17Ky7wHn+6u3kVevsMQknzL/MV/qhcXaZX7KBC8z3Ku7Djeek/cII
Gbk3yIyDYNzbyFS1UTxMKeWEIm+X5F7E2vEq9dXW9OZHSwx3YcS4gzDAaFrz9xbu2awgHed9sVW5
v5PMxNGxvWndpsv70x7ZEmtkGDurJMfFqu0PqKbJMumcL+G0jJaSRZLloNreiefZBZP+Yd+xNkRw
LpXzIi18BZqdbKCHjzyI++0cqgMJdmQJ0E+Q0PnYkOxwPxr2fbSzujBdal3fnNp+RNV9hKiGykrA
pGiQbrY+4tE2Xtr8j8LqOWqiTSeLP65C8uln+auceRDNnABYXxw7wxxWgSc57+4ahjpgfV5hOmRO
y8jJ47kZUe+0Mfo5EurTRVg2754SbBQ9fl+aPLlVPMUnSgq0lya3G0+I47ZbtNy7+5gMtNdh9PmB
8Se8RFocWwU/Lo8+Mos0EtRkf8m62ZJti8FQGV8RaCWE6FcvT6O9KpxzT2bfomvKz155JirwfBt2
DjRCem7TLMyNSppy60aVjV3NXg0DITAyq559yVfcF80fx82fSRDPMZA2P5BMkDk2L05hRutcqnRR
MRSUPfUQOnG+Ds5LPfJ1RVvyGtQrT4YvGUQTrHPxW1H46dpL2w+iUK7MSiTW0fzRF/EPUxJk1RHl
U5DPq3Z68/vwEOPowLmScd4oFolCfzlSIlVOzIt0vpBeL1xVspyVOOU/xGUkFpxeny11W3IiCrd7
ZnmBo1WYb4aBwtAZeRJiM9mMHX/ErMM3dAc+xQ/SC2SkC07Mg+tqOMEDu0FGPvcJ4BNQj28vegDz
86m88C+rIL4+nToVXWijsc3PUyrIwKtfWO3qxZCaD12AEj9nyx06KUuS3mewq1DoFdpe6DC52ni1
3HI/mBn1UZF8lE7xlTfJH/bHl9TJH3s7v1jMldF0R8sKZDY5oou+E6t2Zj/U2VjB/VS/ThXxMGJu
nubQ+SQr9EhmEV7Ssny6D39ri39jp+P/wd6ZLLeuZFn2X2qONLQOYFATtiApkeqvpAlM3UXf9/j6
XA69CN16FRmZNS97z3hBkBIptO7n7L12sYaMksXDzVAEv2BeTtscN59VGVx3CQ/m8od00HxQ9FDF
2mPS9AOHmUf4VOPZ5+JV3vgMrPlTyBeeBEA2RBErNwwuhQWKcsyownhWmnzmmkZ+F6khmc1Ny5k+
pE1CDWjh1Hae7pwJKHGDwJCAIZwSq8giGYfzvBoAuTc2Zp9WBWZDT1J1g241hyjs7R5FV4BRreEC
N4Xpna/gVaTFwwdY6OPIPXoLzPBBOEhQlNyndzXl3M6a4leiFcFOVB943+9ihdSENA3fRmd4tsP+
c+raL32mEaAU7xhf8QapbKvQj+86BaFi2mXHmhJJj6zX0/zuDi3LfrKGK632T8RiUBUI6tcuaAil
tuod+kWgpWWD2hYszbMeZye/qn6HLbfYSUtfB534Ks3x2pEBPU2LWw25xdqpnY+wxSio5sO1piYX
FygXqgTx3qZi7ed2J2v73PDGNffxoiNLKhhqHBciOzhC0feTWnH77+7Nwnk3YuSQeursueCix1nB
uiRCSjUZ/3eNvYKU8cEF584I6Uz6t3hz1wnihbyNt34RJvRlYsgoSXWLahbmtVvgZ4PNacWPo5k/
ULfn9o+0lga1m834iGgCrUNV4XiJTYCZjJQ7BA2Q2A8RsdKwlfTLHNoXDLMXvaQxhGPn0FYjkyDw
cZGT7Xq9I1JzuNdriptKX3gdKnpHdT/MYLprjNSiP1zdTIP2pJbOi1/GV0osuL7QAlzR1CFIHYVm
Izh4hwz+tX7oCWf12kR8To12myjOvh47xgO0csKcK1TlIiymqUbUOabJiNgA1TYvtRGtk1Z7gvS3
FY61r3ySzfsh82I7o534EA/YgUUqR7VmtxpEzA0wGmAqwBdqEKxExtit8Zl5xsQ1Ci+Ws/Jf/EFr
Dx1tdC0I8234gApD2+Q2EONmcvyjyK6MgWo+2t1HghOeHPoCxWCfCcJcBaUsNKdfna7utaq/yvVf
pt5/RaH/GczDs2tb710ongKT8bbrHJl/35il/btKylvfAaCCKG4/hqW/bhghhW5hodD4iHUSdbTx
ijSUUeN+GfjF3ilwB6T+XjM6etYMFsidzQF1IPaLRI6wtygfmqo8tjHmnyRnUuuqVb2e7fQNyxrK
iHAkkmwMX8L6YiYYH4OS27yrhFf4ce70mbAt5BFf2JJ3XfAgdeO62H7QBM+OoxnZXu6bqzD2s+Py
QD4yZYZlMW59uqdCQ84nX86yah+WHOvjnE2Zl6OoCnz4F4u9dHGMusElRGxJp7qvtm5Zfi4/l5L7
Cq2FAqbb6v/43YX8eNoH8dYSdfD9ecu6sdSJeqBqSxu1K7+/kyOLHn2vgX8ZiePaqnr95st1y8PA
mdbVedNvMCtjGa0GQZ56ZdM7CJ1GKnuzY+BGlBRCNXjtMcdvXZhDODJhz+/apLlffLAiQYvd9TDg
v4sxQ5QcMO6sWlmgSe2pXaENJypZ+neXvxYpgr6yrAbCoGVlx1bWYpYlqo982LLoZmN2tEKAGwYH
LSav/OjCTgXOsizKh0KhbUeTp9IUQtTSIZnXy5+VNoo5b/9YXH7anigVc9Ya+fF7cU5lQIGIvOXz
xqZBdNzIYd2vGa7HsuW+t1KklCsAXhN8FDbIslWSVhIHW42qi1y3bP/lJ5alZd334bA8Xx6MFH0l
zRavMt1NO3R3y6aAiMWO/TE0LyuXh3ocmH26KWFdclMsX1Lva7YPMkaSAVrKHXRt3ltgKE6Tht/b
10TvO28V09hlrg8XAME7HrRDYIS7fC7mTatPd1xg86MpH7JY2Ps5mHdBULFbVeZAXkAtGMhrkhf/
1wf/8R2WRShj9IN11PzLV/zeexj4GUP3xG2N0k0dyipaVyuFJ2Axj3dpmkTfG3ek3JfIVPF/HNmO
bvsTug426N+3IJTfc4EtXpmb3bcfO3bCV6UDdfOzhTlFjqTD5NzjOKqWr1So/U1WD/1u+S49mLBU
zOquVK0e92LGiT7oCg4nNvDye5afXJb+y3VuV9Ly53azWY4EXCPUEgrsuPJ766OwPWnf/Tl85BtE
NfMGk2ExuHNvOYLHzhq8iYgG5MPY1ChL+Y480/7LzxVFevBDlLluTvTj8tnLRy7fdo7RYxQFQ0O8
pIfv68o/vezL0591hW3iJK72i5vdt6sBoFl6QzIR++Hn8Ps5W/84RL8XlzfNlEE9V9ZB5MZeVjVt
aO2VJ4gvu++9mlcBBFSUVD9n+PLnLT+yrFueBvIoVHssFvSm9iGtjuU1cznYl3f8/PzfD8Hl+bLX
lqXvn1mefy/+7fXl6d/WfR+2ZSXEX5eeJQ3CSiGqlzShU93ToAWv1Z4AieXv1F2rWwU6UtWJkAHc
S47VMBuSl1UCXsjHti/53N7acUK50rnSU4aBagFKLgHxZ3hD3Z2wFRMrOyIfzEAYkyCouXpLjYjA
S89Q1E1ZKZ2nTLj9l4fChc5Xa7VQgQax0sbcSoSCGuCJKrAh0eEhmDzH4ZWIileW9//rxdzxacU5
+n2SlvMhFQ8kioanQT74ERh2QLVyURcFIGe52OlYTSLUuQMWe1TNlgCkIV8IAm4UuPh3aLU7SCnc
lpYHV942fp7+rBuNkU28vPy9uLzkLIf9z/v/zes/vzka7cIzaz0er6yxnnc/P/7Hr/tetOXX+WPt
90f/seLnC/78ln+17ufTl1dHYb3mPvbDvdFYgGf+7R+ty4Pjb79+rnNUoVH7+P3rfjbO3973x1f9
+TXIdMfVoDOXWt69fHzMwaWl6kuYY5zG30Dd6o/FMepAGWWT63WAqdR/tl+0sS6Py8Oyblla+jLL
02ZMdp2vKnsVPz7jJ9mCqfTxrwdyK1kZJOhVmjEg3nO5jYTyHsuX4eL/8zzJSkIw8oBB6HLdz5dh
jHxwlwMgkJdPty5reqPa7dKZsRZqSCuHDSo3uK3VMKmpl1HEHFPToKtLnZaxg0NCz3H87ulUyxCi
hQbpkZG6Zb5MRyjHlQ61Vt6KAvmgdsjAolx4Ni3nY2riCVjRPS+Oy3M1z8vj8nRy69eM3sFWs4mB
1uVJuywxktgP4SxlGxHqeXUGtsTUBkdvTuByXPYBUKO5OTpq1RzLfy79bV1dqzaz0AHGU0UHq0UD
//2AV7Y+fq8DtLRPsmKtQjpb3tCb2KvDirGk3J8RZZ7jsqSxYb6XlnXRoHMMWBqYgynODw0iDZ5a
TnkcZ5fFZQ8vz0WtP/lFgZFL7tul2yYprHi+5G7+6b5NJfRKZtdUjOW4rpIPy9Kyp/+2zpDjR+Y+
H/Fye//uwH0vLzu6B2fotY67Xnbnsot/OnJiuRV9P5c3MTEz9MrbyluacZFaoJFYFqeMjgjX5LY4
JlH1RVAp5nS5R01oXn/u0WVlnBfUZhmrdiDLIKCEdbMXXOWVOKyOpty3CFPAVS3PgylG+Z+ljxYu
kmPat8VwKou4xab94oNhOCJL//PhX62jAgNkqNH2oQaNdVK6vx6gkYZUJQ0CQ/+5bqqC9hgHVJdd
1Tc3GFgQo0XvRkBCAzVIOLpN/2xpgF7of7CfgmUXLYsdlxBfD8Kd1jQc6z97YtkxP3snrDUmqfaE
01aeaz8Ptrw4/Txdzky3FcU2mZKvZTcsO+hf7apO7p+h0EsvoNy17JRSoOkvM7FfzrTvXbSceU7c
k0I3DbREQrs69rKiPsGvSmCEqetYj+ujHJ0f0B2CDKOVtoqS8gNAE8RtuZ0Cjc2eOqKHESOffy+6
gd2v1ZD587IJEbG3x+/tLZeWp5rZM3eMaIDJsyWKdWfbJM6v5QK5nDvuNGL2WBa/z6VCRAdRUD8r
HVrTInPwgLL317q8MuDQQndKihuzIj3xxnzY0r+k0Ly8OssrhY+dD3Zt+bQcS5VZVsdCPvw8XZaW
dZai0HhgALEcaaHcDNBCyu8Yi/8vrfhvpBWSIf1vpRX7L1AO0f+hqvjrZ37CYh1T1Sg2q+gqHNNA
H/GPuFjrP4Tqmki0EDXItE9e+kdcLIkAf6koDPU/CIUiMJbLqY3uQf9/Soe1l/BUBphBkR8+//f/
Yo5ru4L/LAoupklEncwe+CMnxNVR3zCuTD2sSF9FXNEA7lbqXP1maEb8us5h6yaPUVZdqbAFJwkZ
dCRuMJ21a2re1OaY+AZk+9GMB06YSkyho6uBNyhxuc58e+vXrr7SJNawGbRbp1POAK+lCwVxEWfE
73pSyw3BB18zdERVKO4pNvpol4YMQIvYhLoDTLExKWDTp6t3o0Qt1jAXDQlfTCWGcZBAxrkBzWjA
aMz05wFiY2tBGKP8CLmpsG5KBZAi+FJ0rEZzrZA8tKsl/JGf7CnpxUymyEUCk66s6Bp8YtYINvFs
AOP0QjWCupno57wwXzWJmRQSOEmDYTfF6puZhjd+CtujaRiUwaicJKwykdjKsnBQOjcwOoSNOTrf
kmBHhK5taZie8c7FYXjfY0quqDcSXlOAZY6cD9Ig0VYAzaRTDvlAgjRBGyBLiWFrSsimVT52Ero5
J6dCQjhNellZA8iFepCE9aLzxIJnrqkYDxu6OLcKUBATrmcM3zOyDIYAAe54FDLwPwcJAg0lEtSA
Dcr/OqTQRGAynCuwfdpM69a5UWGKOhIuigziKCRulMyMfltLBOmgAiOtwAx0dQgrXNBVIW9rDal8
XIGP+sRieq5hmuq9v2mVY6ECAIF4akE+dSnIkFT3K6ezHRRc5DvrI7EpwipteQFSs/Hn+saGperD
VC1hq0aUwjZC4lZB59dYJwQW4u52lkjWOHPuhtZ8UYgUN+tib5hXett9lrLo23bEF8VXIJihJ8J6
pXqAlxX6a4bx11TAwVbY2/yp3isAsVp4sY4dUo6DIKtDkgXLujcR3fcV5FKDWltRUGjKzXg1jtAu
YDEEp8GdtiSpUY2RsFoHam0v8bUCjq3FfMpUpw/D+po68IRjSJOIBIiVhngXeg9bPU1AbNoaEN3S
LA8TYNqVP6TXpVPgU+58bZfl+KUaC4WHU0x3cUjJLKIBcN2p8cFMpo5ozA1t78rjwpLdkmXTQncj
VXR8GHtcckqMGqnBjYj/xT9Yrv88t/BSnAnQ6AhDrYJ95MSKeXL08brvDbhrCqFJzEfJX4J5QsMB
8UoEQdUJdXzf5B6v2JkVKSn7puvcrdpx+E5+80D1PTyEYTVt8m54JSHeD/Jt0lbOOq4wsIWiuG4S
lc5M4B4wHT/Go6GtIltgBcJkNMzzVaxEV0XBsTvimCQmZ34Je9QQYV9f5a057Rp/XAtloCEOV79I
4EvBDWUqOHae74Oy9blK7Tq7ue2dSPW0T2UibaFNAmujUVFhxlDRxgpR7BAAdspb+UeX442TxwP4
9Z52ZFR5AbY/TxEO+XWhux80TdmoXUNbPRyCtZmgfEK8Oj/g8+IwCt8jOEoYxKv7cXKSCxFQOKrc
9FjT/0SM2le8BrQxxjaNx1hZIaOudsJ+TkgyPZMDsEmxo+NqsK5qK/igcAGdu9CfIL0IT6pJVmFX
IRcIYH9yVtCMMDFrO/Cfdhku6ikrIBb21UAtzyk2o16+pJ1t7UzF7E4pNuKaCt88fphzFj1YY7KZ
NSKVxNBnUClwGJijqLaE7UnanX01KASiCYy2mJFhXyvJSbFPfQVwP5vBMtT1ttIEHP7evY7bnvrU
qINKljZozDNrYAS4rhLxBKXS3jCi3vXSQt3oyW5sw/quCLRDAPNnq5Zpg7ocqRf3whMKuZRYz7C6
iFrzmiB/hBLi77Ap7A0xFieS0Q5mGL1yA0UWM/t3EfMc+jnjrYr/MJwNF7vQWF8NJo2deabSr8x5
9tTmuHTV8TqGu31BeBKuHdf/yChrb9U62cDFDHGBvCsxuKa+wbQmrNpaO5r2qDfxUwYBeNfk0QmJ
8rhtIignrjqk20wtLw6HgU7WHsEp1NBIhvesqGdi0ef6trEcd6dPHfDSAPKi77f46WjjReGL4uj6
zQSnM5xUEzkDGXVYerJ90Iwvod0VhP4FT/3UHgcK5augxlFbUptc0ymLqLYqd9bc0HAOVMA81R1E
427timZ4NvVmPoOLuOsLKz+OVLj2Wujj2beHcKM5EgDd0CUvFPXGARJ7AjMOxWyssn3pzpsinkPc
Q/34HJbaNTe0Bj08+qWpvGGWk26xiWqeUvnNSaDdbnT6TckMhwBPUXMJi4Pu5wlX0oTkQvj5aWy9
dXoXQY/FwGC09YuFBE6qvdWNMbH/GLVf0ScML0CmznpQztvWwtLVWMU79xrxa7bNx0l/SNt+PGFq
zbe57t73OfQr3al/JXP60RsIqUGl2RuOJW925p0AZAsqhUj6zNozE/5spMLOFOI5DnXav2V8HqCY
HrGOtnO/Dw2COyaT0PuAomNRTvOp7LbGoPQIMaUROHUvTlj2G8MdEVdoFUUfbsZp1iVnDF3XOHtd
VNWmzkgEPIc0iQFRUR5UTmjU0S1aCzvZmZWa74GAEJ7lTAYbFmQ5wG+prbPVbTCHAKsSAwViCabM
KnN3k6G1O8J2QrvI5DAG7zHWw14Uyh4hIPiTmXtgr6TRGSmKV/X1oZolk4LbCXofcRojn9HJy4IS
SIryRXXT7qzLB/qibw7GCw28HPEMSJFoo1qctGVG31OYqE30WtHWqt/AZQWptKuLjC3j6uN6LrN0
nyKwSpSeCwmlY+5LpEeMTifWpWsnWyMJa6ToYkt4A1dLFMJ7/obwV1A/deHvpn2dXKLuVLfB9WBX
D4Gtk53SntzQwLxbk45RFAwk9FALtnUyN6TIp61XiiC5mPSYhQ2lJA8YyI0GzXCGIqqKg6sn9CWb
RoUyVHFNfte8ru22PiWF/RYGeE+1UO5jCpOnClJ/nZ78AKyjqcOw0QMOTVstta0o0y+GQ+4RESRO
1MRBXVmzMeZY46Y5679qPe+3rWG1aIiUbte2nComeT11qyPAsw4AQY5qXvW/dTPfaLbXN3n4jIxO
2wuUdSsiqBhjMQNc+X4PWNfqxy3jSt+LTMbZuj+Uu04vkRTmzQeT68AzSqv0dDgsQFS8aLBhZlsD
Wp6zo4npBN3IuZWHDKYki7zmu6GCZFDNSb1RBAhBAT90CyfpSA4j96kuEkdXr7kx9+ldZ4gWxmHC
MRsE16PNUF8f/f2A3BbgOCE6EyrjVejYu3LK85s6jzeJ09xiNG5uMr0uLrK3hH/A8sDePKB8eEgg
0QGYLPHMa1W1NkN7pGSIGs9yY/SAaetS6qoNhCqi3QsBD5BmkM0hUL7TdUpOGCWwhEe8DbGlujVp
upe5rl9c8ZqFrb3xSz317KzKgeCMz/Rfr6ZMf7EkB68dwnwd9wkAVOB5jho41LK5SffdTO3az80t
LXakYWp21JzxUmREn/aT/Yrzba2VWbKf5/gStCk6UfAAVt0ZdEIOI0MXJYu3OYbSJO/fCIA+KCgg
1t3kX5M6/QV+yauqp0pz3+0aY3He7TtMuGiG3v2h+AoR0VrRi+t0lykiyLRnuvFUu8jyirc+sg4K
DuAxMA6R5V4zNr0oqnnwfUR9fnsZx8GrQ3UT2NBG2kS5NhhEdAbkVXwW9dTs8JLsUVCvKwWh9Vzv
WqXdt2J+ssaGNmasb1R6WcDiXKLOZw9N/53RwB9xbPvd6uaNE7RXY1Pe80agnn24K/Xy1snEA3fa
FnjmV8/AG+pp88tvDLQLYUtggX+SUFewVbZsOAAa7LTrclNa1ZN8k47hi5BXb5xQ0sfDXWX6V05m
RZvc1O6RVp8anRprpJEpE1XcaQ33lE5EKU3OkSP7d2e52yCIaKbDFpBWJVAb617tdmUararZ3Dl1
ed+izxnqWypXkB2zhza4sQApKJoMBQhOlWF+CfOmMZBWyQ+sjMbT0CtQgTmNvG71+LFBzD9VJgE+
fC4T6lWikZtnc49XJrCM5n09kazaa/luUEJ9S34KwqcBJbRt+Aj8/G02QFQFjydPEPzoaCtsFGBT
dLKj6FAUqFbCIF9PZeQRebRh6kGDdGwRHqMwn013b4GzmdH2Ir1qP0iZiRzHIs3afeohB7a59kK3
+BkVC+y/3ahVb7DBHpEpN8md7Wv6uUT6PVnjh+JOh9l5NW37lx+G+PCyh7yL7uBivDbmiAIUGEQ2
wzUo9+YYemVTvCPBuOl1HVcdAxZ4i44IibonIRDJ4QMkS2OvBPozVPhrMRlerHWHrL/PWonpLS8M
6LcObOPVYEzrUrMRhqYPVp964aWsubnOtH6UzJigAcs6Z35gRpauA4WCW1xADQcWy9kQtzvQUoqe
3aDf9VAVMDxUSyYPtlVR5ncv9OUZU9oUvFfM9E4mhbk1WAcUiSvlri/lCanfVJ1OVom6IuBo2xUJ
GTLztkQhSEXuDpccG6Md7zNnenDm7MpuoqNIul3c6jurs85D3krH3UUlOKXW7QwqgUK5uDpX6NIp
gqJdjIhDsa4oDfzq0VKRjLIKBwugmmkcsyZ66RL1FlUYClcwHILSqmXeCaV7bhLAfaBU+775Irvx
ZCr5tSuidTyPZ/7SK5O7NLYEIG/Z62QbZ2VyzpZZfSXjQ61lNxWwhqbRj8H82KrNXsp+GN+tTMcB
mAwqy9BuXBE8KnZziOyYtrh7LDqONNiDjN12cYZfQOWemmbZTT06XgBMIcgTZ+2b00sfxsslM4co
3KTNC3rMO9SSbyqx0D5qHqv7AGu5VYVxn0FWn4biXYX+RBF5U/doBPV9mKQXF/SQSnESV/a6zRBZ
mdFtkSdywogJs/lNbtWt6PxXFYW/M77abfUUcIGbE7EtWvFQp+KzRe7B8e889pn5qGrNp9sq70E7
HXOEkIWvbgrXvYrB4IkBUlG2V2NSfOXBAmXypYjBIDsM3kITkhvmgix8Jtkqb9BzGypxLr2J/ii4
NgsyHfpBWY8D6RSzxWk/ZQ1COQfN0fRbHzjl7Er9lY/UpxJLjoBl0Kz23LbOY5ZY20ZxzyODiby0
ngd04lzTEPD05y4xtmX60inxW84+8d3kvivCLUj8q8ksiPpw832n4CNQmaNb3T0XDDRLirZRyhHt
TX5UxHgjEohMWbhvjMpT2wldjbEzYiKlXP8+jsNDbGr7QJ+uO4tDG7ud1d2M2CnBnJf2vLJjpkQI
C7gsejaKHkK+qCEozUkxX+0zhcaLozMaoTgGHThC2DVFT1GFkrmUIvGkCz9rsGpVb14iSMFM201S
XkZrBbPmVKW9pzlQKs0uuau4uuKbwXXo6utJGT+zFFEvqXX7gNBWaE2A3EC8TTlEkSpRHmpum2i2
yuup1o+VauwKzX6aS47qqQQDFqm7mlDQQhPn1r0t4+o2sfCMNmX+goB+Z8c1k7b5ZkaQR7YWbBj1
bnApOhnVLhL1LxcdcmUQiGHFSEszkzi0tC6R5WP8V7CoB4pHRQ79JNr5juqEGlMiHMuh3UPxedUK
cYtabyZRMo/SS9ZmB6GgIGuHSy5NkhYlfnLAtYSp0VhtrOTRHIrHXJSnye6vOiPeTPgy4yZ/dqf5
Ic60e7OEhFpN1+WsZKsBouDKgCC7ymKmRIWF45ywPjnQq/wZpTNwEuG1XExE7G/of+8p5wCNxRth
X1VZ+xwaezTezMHMO8sYblCDPofZRYkQ/ZvccZn9qQQ4TAP+EMAnnfGskWOK8B5QUcLQQKASJ5si
rJ+BpD6UOFFMIOHxph/ta0qPZ1o7nPZF89QyPK+j5tURwTUDYEZamEsagot6cWuhvt7K35Wr01VI
lSKfBMLKSLnVxSazi08CCLexsRz4YGY9Bk7sFdzwg2V+qcxoA7/73ej2MUeMk8zFVncnNKbDbc9f
13Gj0PLTqPdbGpdfQSKa1aQT2WrNv+oqhxmGl272GeL0N0LYbDelBLlJKlccYicbxyu5v6queOlF
/4Sg4TVr0jOAzj2Y/31XADst7/QScT4YFp37cX2dT5+pGfxGt7lq1fTNt7UI4Ai8btfowNMzFTbn
OMLypg9yjIiV36AVyLsnZlHC7BjRG/4lUOz7fPBvNb09OjGy3nisZkZYxX1b3yP+tUgdWKUK6GQb
aoo+Nl5iIknXol1DJRu/GdQ8i3z5XU58NdleFYcA1U1MChRUJM6wu/a1AfFbPlgbJuj3sfnaWMOF
mSsDprRgxDbdpvPBdvN7UD9crvr5ue6RCNtFuYcugVQvv6iKeIFhkKzGtt9MRvaZNNNx7L4CMgm5
gD+lPblnRqroHLIpagu0jSPiKqYT5AEqMQ51n7pC58CMrpnV4xN0N6aAxG4CGGv74qZo+uuCY/mY
4qhokxFHf9Q7RxNghJJF6jVVZ0Z1xbQdKtn5prpdgLssYsZHuKB+p/jMJFXIa1xCbjvFV69mrp8C
tSWhRM0OVbp705ITRgGES10zA+CumMKTahz4K9dC9dRNecBVbTowA1g5m751bWbO6ElpTd6PhV5v
AePJRn7gdUI2QcPggRnB+xyaya5qYqRLPSXzANylXYc64XXoqPVwSiQz/CEW7o2v0foeTONGDOal
qVE8uYbyhEyOEMQgeJgVuDB+/uRbZE9bKBShV3bKJmwr04tLwh5TUlqQ9GiMm3OXIFeZrQLJTGjk
rSRDAxAiBbOPP51MSfIcclIYuW/Vpni2FIPhD1M9iL3hyq8DZWtWdxaeCQCDcbvRu76GowEnL1DT
dd0wn3J0+rlZiUqzd9x9VTVsoWjaUWZvzyu/tN2NG1YHEkqxGqQfNBne6uFsdmRxmfZjXXYRuUGO
l9vsQpiqqg6ECIQXM+S9EVniCiEtIyHZw8GfzXvBjlM0SAjmBfKBIeEtLLFUTll3sLDiMn4ryXQn
t3IdZ9XBSCsHjrG6JUBxuopJf2ZvdLSfG5xgfuy/WgPD0yCCaYQ3EiUhYp9u5FAyEug4hejhUfXo
1awxWOk97hGrSO7TLv2K+9krU7fZuYKvh1mfm5q4Cevxd+Y43O5+QVBiBlDM69R4RHj9VIQY3MgX
um/kkVzXtEVaR0ayarDi8dbqoIfb1RgIihs5/Ooa4F7CwVZDP1v53J6yLtwwUwX0K3FjwG2Nh1Er
nkJMg+YN6dAnu8wvZe5sE41D1uqJP2n84QUw3eds7oWTeSINCShSUB/OJhEKSJdxwqRzvOo0ly1o
Bdhvx/ypxJ63Uqzp0Okm6VHVO7e4a5XgqjXCd/Ie66FZBQ1YTA3kovGhYSkwb2anfM/0ZtM5SrWh
sMxhEcQwEps75tdYmVsoJLYsHeIaxo8AFkQzPiW2lu0jwxpJc4wYJBBcgOUrz+yNGip7MzCQ15Ly
xgmcufphpOkAO24/jPYDTJ8Xv8lWIR3vuUwOprAO4Oge/UhQj1NIjnahCHLEnAen01Y0DD2dZCZ/
GD+ZVtG66gg7SFDWFqAahhQvkZrkL5rbH5x52AyqdjfE0adKxx3v8T1Or3e9nq5jwkQ29L0/1NHy
Emd4MiImJba9pTr0iGvkC9HEh1L8MnozPPjceZtWNGuTM5mSNLmmFOx2HI0hwWn8sZC6mV1USXxE
h7eLfUOASlbe7UA9NnF5Z9X5miLIKuzHM02uX4Jq4WoW41cY1rcRVb/BuaOHsqlUf6cqNSKYub4P
xvRBz7qLhh9XjcPboktPVuuXV0OrHqgw98wSiWygXp0DTmjXpSKO0MhphYj6QHH6U7S+l4wBuBup
UQf64uLmKYR+XfXpW8D4fm361i1e0P3Yw65TB36ZdhgFWTYiebH89llVrUur1LjwsvQeQn0i4s8p
xy1HQSNn3Gi2lNNt64Q1+1pxxVY3lBVElWCFLfZca67LHzJ5sNLe4MGPKPFtIhSiblOqMVK83rlv
SHsGyfYGqkyK3WfGMaRF9/MoD85rLHTTGlbUyVU1IB9l+QVV8jjRU6xn/WwW4W3U2i9u7z768P5m
3DAr8m7I8RkYjNTNFgbnjaOY9Sqr26cAJb1GKGn1CP7tEtu9s3br0BMzSohuLL7SvDpoY34Dg3Eb
aS1dWRNTW4vHmKqiQZciiqj2EsLrq3Z/XB4IcBi+l5aninz6t3V/e/q3H1t+4vv3Rc0+mQxaT5lk
dor7KC400n7YhHVFavyi7F504Tm9AlrM812OKma1yKJ/BNLL0//punGRI/mURWwpgW+lQmoK8ecg
C0iJxEE74kh10vKwPHVtuz3Y82Otdn1LXBwKNFjq/AKCScnKDHEtE8Od/iVbX3TD5giYZLsslpmN
aHtZnFvt4pvOuPtDRLwoZxed8PdSQz6t8IH5pm67V8vq4Fgd8qnla34vJlKztzwvpWh/oGRhS9UX
Q7j6OEpRWic1asvDsm5ZWl6wnQBdzs/LjXyjnWIb5X4xrAnIK1Rqlqws8ydyn1s6mlF5pIOGPcMk
mtBUBxQGCVIs2qnVcVn6eVjWZQSSHdzu3Sn7G18ZPlM0jAdRE7riO8mVE1COs43ofaZ9cwZpOTEA
AHMTDbgETC8hLnWVUXxLVS5xTkOtSh++ktYZmKXyQFTVIW0KUgG1adq4Ljk7M5dJw4I4lo2EpSWJ
5h9wkF2QmU3H2pw8rVa5uE79OalHhGeWPWJFsl9GqwS/yE2Q2TL5gNYvtZ/SY88kAIJmcYZ2g5Co
6aftXEBKDARQvOS3iiLKGB3z6GJfgU4z3znxkBx1029PYREc1al6rxGqeX3uk8pCN70Z8jPmlu7c
mpXLFVWc6DJgfa/tbWH1B7vqfYj3Gh+DMJzTjZ1ZZOQ3BXQuGZPa3KocpTkXE5TtDISTmeoqOAr1
1hi05txb9bVWoBqZQfuXOlQ1xuGrR4hu6bUKgC7IW+Pc64ZxntqAs98Yj74iLrNR/razJNryI90Z
Qu8my83rOoqEDAm4idrROdia4V8lus8ICK6vMr5qUJzWTql/NXqbXecF43fCtK7x6bU2/8bO6FMt
mNiqiUv5N6y5UrvN2zDWYMeNIr8ozZxf5uh3Ie1b/8neee22rm1b9ot4wRxemZRlBcuy9SI4kmLO
6etvo/bBPaceqgr1XtiA4aW1ly0xTI45Ru+9ddVEpt3ss+7E2Gt0zgroPUpcsSG+Pk6zfWgY6V4U
XpkuDXjvg8oNi4SRCu22jHwCv5MgJbA/x5BLR3pHj3QVPLKTHJQGraxy3OpLyxT/FFoEEyM2Qj0s
xc7kKSCZsWjckQcTpWo6uURcUzLK9PslfNLYK8c9Gfs2fsdx+5jfCbMngekc5Y0kksJ2N8x28Qy7
ywG/O1aRVjyJrATMqPzO805c0qZ7pQDxxPkkMlFCacJAJWUmx/8VZlxZcakr3vO1f/76+TeEVIEZ
aHMOzGZ6YEBSiK3o06timT+tPm3ztKR2jfIzSCJaaNUeqN06Eu6XYQDrN3zqpfIrttHrmAa7mGAA
9tGbfpBeH02AI1qV3gisL23BKm6GjL1ZmujKltOpn7p2kyaKqwriVmuoFCUdkjwDmKVgkLOQrAvl
sa0z6ryoJLceIOhDgWBqkEj6EFEL5kZ3VXN52cVNDTRTLognxpMVkj2m36lTCSA7lUEyOPkjVJ3M
7JigSN2rxbNKGOYAlYB5Uj8eSqkuaGghDIQwMpB8YDbaW3/vd+YYf/SCSpnKxlPU64OUIp2R0Bku
GW1TlgyWd9dAwvRRTfiRUrxg024Yo0I87SywPATKnEGauUAaqPINQhlASeMftYrvvqQIM1Lx1hZk
pBqp5fXEPrmCtDFNIuPuk/KnsbcjU0BNfS0YTvcHK/845HT6iGQgu3El6Yc7gVyOpT1IFciHDR4n
0xnS7r3VFezeJ+yJaIGq4NAKcrKNLDQbCQwjWY7toiPC7fEYqCD3IjgRFkKyaSfSYspOuN4LJq9y
mDHbjfNlpU2fd8hebFyrkympXh+dNG3Piv9qNRjpCLK9jGTcCqOyLUuJVDpNP5pSuCoaUKfSAQLf
SJOcmUVuNrcMxUec66M/Ym6iFvjNitxaETwmHIQB3muBV4zdjLyRyNvSg2I5AT9zNfZ5aECil2kS
VVTtHIZkXAyavBUjKspaXrUMwoZMau26gdSaZ4UjYWrHT13bykPioszJFytAGYePfpcHG4Mqzn3U
IpSzNCYKcSDkVEnLX9AkXwaxV9gh6V2SV7qoIutMVOqwDDWZGO5MkzbYmLtQkq+tRsNFq9epYQSr
RzsoLkm3V0nYl9RnaEJ7X63Kn6SUWKa7dV6Ef5LEum+IBMFXycGiOOvkjp1xgFZMeEhk5ELyIXkD
SACZIRVP4LCe1nMpWSviZtQY2cnGA1xBRYheNdCJeIz1Z2Q2dOoJ4bPvGtsyiwl58GPWeraBSIRU
jc2PHehK/jLQTrDl0VwaOmBCdrvZqaqLC4qpr06NfqP2R1GhEnTyeHf1KViy7qqHlIMF1gUFq4xc
jx0/84DhAtJqdBNrNOidNY3/iVe5JQQm8Bsdf91YWuQDNcOLFA6tV+oMH8s7usA4VrSt9hkKCiEr
7Cg53S8FyXUfd036LcPpRX+kMgyLyvSioXYyJvR2FVqiN/Ui93ZDr1CXKZtpeoRjETDRbAVCJhFF
h0phIQOaPaz3mpSiiatLD8pjwtbTE2RSxQlylb3KGD1LqL/lDgq4kEyvwhRBjiEtGQDhXsubxyIQ
pXOoUTPLcEgctD2dY0BxCBs1se9J9ksmRG/X0ch2mJWNlq6+izQkOvl9K5oqCY4FyjcLr6lWVyqz
M7RfWmh6hoydGkTqQi+qI21Za6mY0suDoVSlhadk5qUqTCo8i0gNZtZLOkPmHmd5wBVdiKsoxFmG
MCxdWvBHPFMTcPIkxOfWQ79WlPYPG9lb2mcdP1tfa7q8be9j9Ja0L6Fa/wRD91qiPaBQgzDYi3fi
Q8RFG90PdFkgYwUl3WcidlltVDITSMe6B9JXJQyEMknzbqHUf3M6wDZFKYrmGfIK7FWcqa/dzH+N
AcECLeAjgIZVMxXrezPnsSe0J2Z+7GMmyZbZKuaTOVVDPOs402aF4Deroc+y5ikugzGyGXju+vFM
qY1DeLWhKZq7EYSt1MOyFWeqLXFWMa5MSLdxA/NWNGrig2cObjMTcY2ZjQu8jRIGlAot1wh4Lt2X
ZKHNPF1xJuuWIHYJRBXW6kzdrQk+dLsnijedqbxGw7uPZ3ZvPDN7+/w6zAzff16ZX55mwq8cvioz
8TcTYf+CLUk2elXyqMIVNvgtkOB//ojmZFGpEIRhqag+m2yGi3PxB2V4mHnDz+/mTLQlKZHeOAOK
H09A8fPbqaLhnM78YmUGGU8QjZ+vP79ATMr9CPAxf2qWIijkaKYj1zMdGUMLgDmAyfpMTh7pp3IL
ZitxpioXM1/5MZOWsyd0udHhL8sGJGZ5ZjIbM53ZANM8zrzmcCY3s7hvwpnlzAnaFjPiGcR6tiln
4nMI+vn5UjzToFGWELnUzIjovoYWXYKN1mv40SYgaYLf6s3zSzdTpocC3rQBeJqEYcE1qjm1YqZS
9zOfOqEN4iYzszroIGQCsQ444+gB4VqbM+Ea/kvvkmsK6HvmX6MtIfRqZmIDjviSAkiYGbjsFmx2
O/Ozi5mkrc5M7XimayN3FN12Jm6nM3tbE1HiPWYetzKTuWUQ3WxbMz9FRbrp2Z442cDgIqpMO5nZ
3vS3GU/NvG96C8WmEVsUHYWM1XzGghM4XW66Jyt8PsqEAQMMn0niOUjxZmaL45wHpacRyyzN5HHj
CSF/vmgAJueSoglOZAM7d6jl5swvNwCZxzPRXH3+wgcdN1jn+Uw97+aDEAwMDHBj7MqZjV4BSX++
94j20+b5XUPio9vOVPUavDoR+I9j1XGnSdU3SSPTymLmm8xM9hw4ezNT2kVw7aEKt72cCe7C1L40
KW/gQSitzAjehWawLbLaxL7YgQAGBV/OTHicSdDhA8q5EWA8B9onUz/ZMdYuXNP0cclsAkFDKWXS
TdKHwCWyoLa1HoBjwBweL+HDV4/q6d5T641WCehUvyld/RalCKEFsfbTAsllN7Pu5Zl6b0TR3/9P
mswaYEj/NzuEyu7q/5Q0ufr5DPP/jJiU/vkX/zJDSJJEjqTCf5LKmElXpf8xQ1DW/Bf7PUlTZUs3
DVwJ/7JC/BMwaREsiXOBR6Fk/Y81QpX+y7I0i+BJhUgXzRCV/xdvhCHJMt6H//BG8EwQgdnpumUq
EvmSpvi/eiPYopetZtz1vTRiMMPD7vThI6BfO81+2UfCvicJmRI9v+C97Hw9CBEGGNiJpEeNHGv+
9vklqpFF1REK4nZufzy/TEJYY7Hgy/OP+RD1ZB4loZ/08mOpzBa855eWyvkfb95/vAbYbgG6FMBm
wNji6T56zB7N53dyPfAibGICSgxCKJ42zCIyaKY9v72XcIj6zgAxll+nUq/sUKjQkc2PAkNDHp/j
aQDlTQFV7gerR/gaEt9nmjxTifHhx6hzq0W3gt5vzHQX1jNzbGCwYtETUJqWxTLTRSLBjVU9xl9W
prPjQiW3DhmzMdUMO8LxwLGUcn0QNF6qGlDjqmDw6A/K4jQGColvBu8piMxLO1org0jsB5KalSJP
jKJrVEbavw2Iz2/rpy3x6UVUpAHmklAtn+/zaWx7fkdmsrFCj1smZPI8v0gTSZxiTw5IV+fLRzUu
n961uKJfTHe2nKmL8wwzKaD2STrp4p/RI96EKM/EpjZWMvEbBTK+VRD0JJ0bw4pE7nOaPkpoUJgE
ZoMp62y2lnpFBZaBYe1pbPv3l6ez7d9/HGcTnJv10XEwpdZ/OkefX/5tJH0aEJ+vyaasL3GczvGK
/+m6e5rwnq8JE7lwQ6rS8u6wjj/fTxNF3RwyKQvL5AwNXbLRsBiMJYLIKY/KVqrRDNvlRdbORuwM
P8Agma+jnMsbRsU+EOJO8CUGcnbiY7F3BCctsBJ8NsA+hHNJGljbnvjOahcWDOC3DrGQ7Nb4ZcQX
jCt2X/t3fVMbm1jalVzy7/Gf5DKKuea78OFFMA1QCsYrQOw5m6waSufA9P0n13yTcfhs241biGZ2
gbYZf15nE7O4GbCSijZPQh6ScIpX05d4IXOQ+ZeKFunEoNEA/kquKU0OY4PBhVkso28LOVzlTvHW
UGEkoR9cq5mn/0YHeruo52Rk90gmQEA1dnbOzkrk6296y9h3PmyMXzR2wSqzLPehrpN+EaV8VmSW
xMzBhaHZia5hsEvDqYJ9QVbmT+qhUuheutfHUX8jU9EKvGbbnLEdcCTQM+PiaRdq6cCai+XdOGt5
7McmPxKPWJ94Hdy6bXif8Sqyiw14kYGph118MA9nQJzQtuho97pI7iPCFBiXOGwJVbgF9tAtxscB
rSaZkuMvoRx99Q2D0GDrR9MpXuWlM32TpxQ3jMrx+doN2CSsPJYjfhbI1JF8JF69J8abLGkiuwJ5
jZSmPSnDJjvIF+Wa0sHXWEMIMbFBx9dHBb1W4BTn+xoYS+WJmadQKBNAxb15KswlOkcGLXhQgVEy
D0/OOuAqu7lmX8Yle7O85CUCH9Z7Rruxqg+omsYSUY7AWYQKel/QeAGlYbIidd+G7OBSMxeP3Zyt
cBhLN21c9NTmq7IV3slZ48Nw2aqf6u/wykAIX84akgszKKeDuiCjh3aTn7z2A24HuOTfcw4dYLDI
TXeywkqxVN/wbtCVCuz2GOfnblu+DQf5xrivemckBB+Qi63bmgVtOJvNVYLkzGHrDtWZC0pLfJlB
LDZoY0OkGuCk4FZtvMdKRCf1imjkwZlwyAFkSktDRPKaoxq60x8oG4wJtuxjgDaceK3/Wd9sJDb1
r/oDnenz8WMdWXfG2tPPAZJXGztPOl3IzB06m5BcMd8UB1Lt6P9JV/pK5BGtafgxbcNIpL5ky/uq
exkzyl2n1xkH2eCFPtPcy5OlyfWQkijghT9l7fdIjt2fbodSoNuhbNKv6hYrIGO2bme5zJZSF0MV
eVlsed8fdzvywNwUDlJKnEgucKJdM7FXY81AXLQ0/7LJH99ESDL0Q5r3Wvlg7biPhADag/6jMnMz
ThpcMMLdaNis5M9xcvI17ScePYTNvg4kS0xe9YEkEN3iTxMsdPhRNvqDkxS6HPP6E9GOL33lvyTr
M2Y1gVWADOb3L5k0Re/jRdsGBO5zGywCT131NCpQSTva5fExlU7v5wtWy/7WRf60Kg5Rg6zUru4L
zmVYu/f7XhRXxet9Ld0XWbNMDsI3AmjOb49TN1lz72WvQ+jOkPGHw+8Ztu3bfVoh+BHnHqJrCb7J
58htsbKxJpNSqrUO9t+MBx3rjrROXtHpduiDBC/4pIkT4mGAUA+pnGlLhMvZ04/c3sd0F32BlrG+
g1NzX2skwLOAKL8mfhtZs0OUe8N73l2ichczQD4zNB4Enx8DkBGJ/ChsDeFWj+TuDMSAbatvYu3f
7zuLxtJ4iEeb6IHgrRcXaf6mkbZRVMt8Tjb283TRSG+AQ0XxWA8vhvhHvmyLwAk4JKstAbIqzjcv
TX7TaClio0DrdhzeC7yh6D/Znpyn8727yfXvLFHm7sUuJhu+wi1EMm1t2VFW2Hp64GeogWWLg4ee
k8XCCOclIwCVDMOcrZLFmXGT+y2ks4sJEn8iLrW/ZMV/6F38++DxwVj/xQW12Tr8DuhY2K9oLY5B
8h6rO0ydvN3GmXb9yrm/V2v8fQ8efRux9HE4QDAZgu9O39LcidNVRgOw9VE/yimZ1L6cw9U95BWN
UQ/nXtcveHvMkuvRBb8r5bsYLxIicxtdbePO2037QktjYBfOMuaq9dGIB6wpm/jDWitrIh8341Ld
Ky/Ty/1irrmiU1vaCO9G45UsMQQT2zhm33kLtIJBBQgPN5w5jfuiJjA78qT7EqtlJp9lpDzamjDj
+ynx+tfcR2fkI7VPIN/5oEMz9IHNPh6wS+1o8o8bptL+G1N7zqD2I4Xfaujf5eUwj4vtHDpc5ZgV
5Rc620C0p8dGPxFY+6g37MqJjKK/LmS4tygiUbs6dIBB1pWSRw9bLhd99DrlfqvtpG7Zqa6Z7HRo
bpkjF16QHDEOkWsYC3jG7OLEQnSZfxRNpBcyIk2qW9ta4UuGM3kRDmq5kKBl8OidA/NQHtrR7yM+
yhExfDampGwk/5lh0UbGQoKlrXVjfYHakXZtWSJk21jxmwHrQ0b6QSSm/fhWr8XO+iB4MTvyKvbP
+ybcDDiUqTQc81oWLm/pJLNntsftsDC/1Cs+lm1yGsnvm5fT5k8w3GqPlxED46Jp3W5BftVC8bJb
cxQW3XHyAhCd63ZVv/Qb5aNcHnVk9L/VbdgzQTJfCn7G5IUbdZnh83HD1o36XerG7yLSoNeKrA78
DBuOEY3YEYm0YD/O0GRqRIWUqxZ7hRValC5+Uw6MCypQEjKdDLenX7wQv6wP8doiau696oKLml6f
n2CmPo8baiXeBYg5IAwLsJjgBJM1226QhkfAzcfx2l+rC8efX/ZoNwUmYrva8+Cg2+7kq/q1f6UB
wxVbuNA4GlxCyZ4stDfpMv2GA3GCyzTbMYsmptXuC5dAZlH2gu/2UHyq/pzYODdmuYZcEUH+3TaY
6J/aVXAWXo0fLpxqIV3E5ooISXuTiMZG3tk4bCJ08WpOZ2iBsLa6z3kQ/oaPEFVB2Swr7DD4ivMF
wOByYyg+SvI49rFmbytSKkgzZYWnZ3SLjo2KTNOvWy9ZtqJPAr4Ynx6613YLHSN3ivmGtrSvfMId
AVApfXp1+ZL/8Jy2mKmkvvJGgGm4yH+YnS+afdtA2XPk+4VdVfnSXMSv1J2sdxPeox9nPpIvxoZ1
vUP2Dlsv7aluD92pOlXyTno43UnJF1a8ij+IUWRMCQ7xMMoOSJjyHH/z4UvF61/4BZjEiGy3Huvy
IJM2jSURwxX/3tjLIvFh65YsjBf04/yvOdMEaZmd1GZFSnuWIMFECWRHN2LU7/v45X7lHbUoZ6eH
kwUvXb7oMsLqfLZN1p9GeT67qpxChai0qB5no/ga0mX7U2Z+3r8njK8Vt8Xo7lNNSC/9imOeoszd
9oQcusxy5zEE5kq7UshwZ1uG72Jupio97vECWm8umevnFyPMrPXsGDDN6nZXkm7dhRZj4rb913fP
155fApW/tUSVCsNEA5c0iNYLDGhKc4/cCkkn9NaYfGuV7TLewILclvm7XiJ35vldCpaVWer8N4la
I5pKus1giQ+MR/P/OGhKky3/t/9aLbDpanpPHaktjQgbTiy8l1XQeXJGpQiGp3CFnCyVdv6Fssn2
mFb9PraQjkAFXGcdljaV7Jn6nhH1kpU89p/fKgX7fNjWvSMfdJbbxm3ya/Cb/z5kGsqOuGOLVrM8
OqQ+N9VCqyAkOsxeEXm1NXpnl8RRymZ2Kf0vPrkNkV/qqjPWZmFnX/CSzC07noio6j1hQjjSxA+N
J4WDDDnHUA6HobcJvNl1IuoCR4gQ2i34oaq+b3edbTjyWT8ru1GiEbcRSL2ePVV0f730N7uOB8Fr
qEWt1OZ3UH9eGQPet6ET7NoP+YMN0rTh0+8juoG24DRL3baOY+i2vvrR7sobu86g9+g6h8BoUQeZ
aKbtIrO7a4lx6gOdwkG66efmSxjd4JewUA60+pEvjN4nmp1zP5Z2onmMJ+Xf7ic6sEktkpP2RbLs
Efke0sE4PGl7epjDV+ZnKwoPKXGKbQMulyrJqf8EJL/vQGl/ybu5RdR9H8aRJjiHDmHkHszsvHm2
CbK8f9S/+a0MkC868F1xvUsbDh5WDvY7/LOA3geNWcuW36ozQQcM0EBV023UtijaeP4dscsycKYe
3iEsHKliQ5/TXTT2iCHYzpbasVkHux5J5H6UaBUR42cjR0RFK/70aAcjm7hK9YXw3WHDb2OSh/PZ
yj2wVvwjftR0Kt36/e4TdYrZEsGBTS5DnjjRaPd+sOWqLCIn+4pACvRedw05nKTtXwXve3AG1rHH
9v5qOMjIVvpqgjW2uyPf92r/sVYInmUSbbeL5kvmFPzwU0vFmUYnW+LirB3rCxmxcG5CL+XfL3nh
JJxKRjI7tWDCw/P9xP5Z2dBHkTYSC8sZ851qd1DWGPL2XmRyXskEMU4i2Q84HpBO/RTL5Frd2eFT
UxH3YDOvTXiQX3BQSa66DjaqFwDMdbHHQ7Y/IaMtHtDAacLYvKT3jrLAKMlia+3EFR71Ydleohdg
t8a1XDM2R777kt/CM4MAJXfHH8NRjvfOMyInuDR3rkyH82J53RdzRTISw+vYs7XUHx7ACDbf7KgE
qNKwVWwQlSkl9VleVcvhytkoF5ZfvACIMD9k1Y4vGE3THbuXdi4Cl4+bWvgWGwEACW3uC8pKOlGc
H4vUI26B017kLlhiuPcoBFFrzmaxJbhRvmlqsicJTD21tJ94cKYODTNBOs4zpfNsS/k0dmwHUvNv
UB1F2GloDdm7f1P8sT3VF8VqDu6CbDhPSckcd3tE/3QM6BEg930T//Cid1v2kWLg9LeJjPZPlD6o
IWDFZiAlcbWW8GG41tlz+u2n9pVi0MRlYU80KyPfkL17cJ59YldffBtW8OhpMw0UMcshJOHIxTaf
KfC0EU3ZyjX7mLPJp0XLVFR0sa4OXxLCHBIBn/2W2qlv81V0M3/pIpDccebCiGOCEBwaQJzw9khX
QHhn8619cZGEhFrYhPCWN2Vyta96PKboWCI/oSHxDpJKtMOPAg167OYJtdqmO9R7BPIGttFrIS8j
wC173hfNiZV+7HWXLld06G9Yumll6IFDH2vUrrgVBcPOSk/8TSqvvo1YeDlo/W7ODefxHTg4wMy/
mv5X4uNrSG+MERFSpguBtk/wWPc7i8204dZfd9PHLKPuFBIP3yaXwN0Xo7EjEh6v6c06jdo+jb2+
dSXJSZJjEr+CEMmuQe4w7O9Iwu939TC3WebBXbQf7jx7aQ4F27vgy2dRcxhynnIWPTYONB3oE5T0
ULfTFWblulvez6PbcDoR9h5pazlD43F2q5/4yE0SKGeYXWq7mxTmzn46LtJwbTFqIRnerS+kHByR
i6bLEkXzJT0imCh3Rf9G14sn0V0DgEGp4PHIqb4Mz9jTQWNYduXebUQbD82LfhgPuUViuw1TMdvW
FAu5ra/xRblcTfOPO+Lv4DySYzxe5pWCCIEzZ55bTrgyPzOPs96eFZYE/uKLp0aNrypiucGA37Ly
bvJLvOsPxk11W8shpUX8HdRlyy1HosVXq7mQNMUZwrkGbW3SCQWyY8BuwTt6ILmX25C1iz5iLvw+
jzcnRvVEgAuOaH64hGWHzQLWi7Zhn31fFC914WsAKVAPYYUz8Gqsw3xJ1l4lexKbT7V2yxHh3YIW
lvnLo9bsnce4EJJ3PdrwhGIV5cJCamJIbDVtKDAn+bfhNJ+53XTdSXuPlji9u0hwZdm/a67ce/xC
VcV1bls8X7lRZJvFnmzb1cTen0k1qe8o+T/D1C6YBLzXXIzv463fcaexYKN+jwg9wMYh7ZLoImob
nBLJqloxWh+Z6XI55St2qBwrAU+B7PeGNy25awV4ugsVd+a80Cvsb3nvHG/1XIMFLD093ybo9DfK
DZifkZGa4BEOWrZODKFw8M30peVq/Hl4bI9Ju/Vx/ccppolXffSMajmik5zj/hyRBJhVcZ4/MytL
6dHr5HK0ucRC/rDUvsg2ofnJCb93u5DQOONAGvDYcCmwq+SxTVQjwhhgCbmDajSRyfF25guFYB/L
b5Ij0UyENhHxveOxUZXeg33y3dEz39qz/Nq9p791rFrUUPImsQhldPpfqT5bpl937C734oWHIk3B
ll3ST36sg1W+iPyHduCkKFf1EhyDi/qjUf7vu02HBvaKyhpjrx0sLQI86P260nd0CDaERXf5Clc6
96jKA5aE6AV9EcQG4oXkVLg7E5fEtf+l9iIIpmE45DR0fU5q4FQv0tfYwRW2p6+BQ0E5d2xeNWxE
b0ilexch4f1Ys5DM7eiY3WK+igrX70/1RV+nn/FJ9PRbifsyRGRuV8+GftuvpCsRBH9WRYKzI/mh
w1gnWwnDd5Ev6wVCn0+WX3A06YWHJFZt8cyBvbfzvVv/Uot3BHCxiyMBrNgJnzzS4zX6/LW5K94l
3Kt/BGIBW53MS9P0kA5x8C/o2MScQ+e+ZhCf8ZI6N1ZFWpawW//SPXv+m2EwcaPak/E4FW7Zuv2l
94K3lDuAAq/nwUdQ0hJTSrrJIJH9hazAlo2dXMTR49EHpo+JWEpeD1v5j1WXkE1ivIF+brjKmnP2
o3rZ3c4qF/YopuLteGwIMPvFOcEKrhcOnA1cBBPDj/4X7dY6OpSnYMnV+s2bJNOnbrY0SwvM07Vd
ru8rldJtgVZXZtt+M9/KveoNGyjsPkCGegKrwuVJU6f947FMoDeWggull7aJ2ZSsk630ok0HIhb5
W9FRXIrzE2tUpSxlyU8YkBH2o81lxl3aBOY2JE3w4TeEeORbtnbdl/XFzYlZsbtyscg/ZAJz/GzM
72/3Ncpjrv7LcB0jlxvK5fD93JLXaVud6wuLYkT/hP7N64MywZNX6sf0ZV2nejFe4sBJbzyXNPWF
YJFw/OZBQ/kP1esGHzLUN+Y31YkQOhnhJ9EqPJEj8njVjgUNnXOMcxW1BpfbVn7F8JNcu2X7m7Dv
WScv8Y48n3etsqEuT3a6zTaqAZuO2QnRU3aDurxi3mLLq8KzdgHUUDtcDh4ZUBkVuOZFb7KPWdfO
tw9PWVp+drA2w3I49e/SwtziWS3YLKEwnisH8hao4uF8+5yNyr7LFFIe1UWIu+wL53d3Zo2s53XD
Tr6kCs812jZ8vWyf6DmbCHHZjbHyUU0WXlUSyGCrxJNttQV6LcYBr+LDZTMtNh5NfQWE+OSbdHhb
B9klZAjBIywnNVc5CJBz29rZxiR0CVCfAK4JwgdCORdchGMuW2M9KpeChTWmF0W3Yd1SIsvLRPIo
EMm++5bWBL3eeoC1vta78jvhWC4nnYq5xf/O5vCFXR+F6QlXk3RDX7PKL+z4NgwEQFTZxqVkJdol
e6z2JGfS55u4R0j+/BDptLLoB0uS3rh2hM/7sn8f/kQ+HriSXfkuNH773bzhniK9OzmWjdOCPiZ7
8s3ciF80rrTOU6/CuiK09DS89ZWnNT6ti/wnokLiXdHNJ3wELn2jkMvqY3KTHwwAaG5ywr2CrK4Q
bj2O4TmYrgAntm3IdgNhONy00BG39H3G8zhtFc9YmOfyPaCjxAiKYhzVXkozhjbJSY1vHZ/oserf
H/1ZI3ZpdNDihfTmt3TSv5e1QM+rOT2tu7ZDwAHzi/ZOBLc70iJnGVni3RJ+Gsf4U94YetwDLw0W
GiM2afk4KNNOStyay8IJWqc0L3W7KGoflWDINjjB1YKBjffDA9pFjrPEfiuS95ah/HToKH4XtuQE
75hjSM+a6EzL8/F/kAiD+v4kESl1p9KwuQvYw0+n8QUPLOR5bpiD+d1XS/5n9gUJcL7Ei3es2ijq
mWYEP6OPltBntngo9wgywbl4sl+sU24eSmUeJMFO8wo//2zftK9mG3V2Cv/xU6SVXM3Lb/yXj3b6
13yYw/ygYtanL+p1vSFyDnHon/JKLtJrve6djg3/eFP/BhJ8Hs70mGejoQOaQDN97rRuFUOoORCb
05bzjHO6ryvxME17fmLYrof3+2wSthlISpw2Ov/tQrivCd/H06epGAlshnREQiedI03EatmP+Zl1
kb6Q5mbmUrIWDC2JpiQMqkdTbC6m+h05WTkxdHMYEwF0bBdZsJDnOoKZKIpnUHjYjU8qRTneMGZ0
70q3ZmpKWhko+VpAEE80hWt+Uhzf9/poz8b6Vb+mIGBeyMbPhcImfMPOo7cmuKyWmXXUtMUjeYPR
cpYsfzQpYOzom0CW+ZHl4qv7bOieV3YiujHT4OSFAUcPKgriUrpk40JsD/fiPvIrNl+74IY6naA8
yLvIkZecPSrg+PiYs9vmdzCZdnrEYk7/k6iK1Odx5rW78CXSdjVuDVSr1KCEvDjBgiV7z8elMo7e
qZbTYpsRGDPlS2o069O4pIqTvcU/ge5xqafb2LE84DKvvO2RxehGmyk9Dttgz/i0eSVyycSEay26
V/bwDBStjwpfHw2T6FrGe27pPucTeMJv/21+8JCTNXd+IHUg6dfpDbs3j2+ecKnusrh2Zwyqv+mx
pMRZGd+5bpdeHPqjTCjOFlW2vtDecSYjPOQJy50U+8z6hxEjrddUbjb6XLTzWs3Jp+x9dUuwQ+hH
PpkJG6ChvnmAKg6euEtOdDf5lGTE7NLYFd9QpL4ILEcyk6mJ2qbsMf56kUDkC4Bjl9SEietasMML
pu5zbOK881ABmtkyvCWEXR6KS54vDWHJcIGJgxTRsyPNbSVFh7F/A6YC0Q61EEkQ5HVBj2y/Yvo8
C532jstYkGtd9erduCOe2BaWtI64FqjsiOW60JcdH+4s3T0bB6JDtBd5zeNRfSOTx6+v5CYUwjIn
ru4iI+iO6NtuHzSNY9pS5FRRi52Dt+kskWWu3B6m3/AGGUMwylqa9MkBNDdONIc75vOkCo4oSc8T
RupsrYQ3fa979TrmSEVO9f5AbBBdyvm9Pj6HxLk7gHDvynJE8DseGJgzMOrJ6zdcWpaUG0SVe+qW
4SmRRM7dY4z13jKmvEgHYZW+lK/JiYc64RxYi1wiQH8YGEXsR4lRWDFwIDRlGZ9F9SVa9y96Q1yW
k/zer+J1ZO9L4b0qP7JFtJbdyaOro3zS7G5u9P8LwC1YwRx5U90yj9zxVXN5nPk4qnuXPKYcyipc
YeKk5cbnDnfBy7DLFujymadE84QOjyMXDbVd8lq9cmsOr1xkLHhy6Wtn5d1k4X6ZkQorqyG8Ydvl
HyItjDedZkyz6IEnZn4yMJN1jAYyuF38Zsqmij2TnhCzMh7RHHvKnXRZj0ucJgkJULE/3j2N5QXg
QuznMfH2K6PYSVh+jFVboNX0WnUxDcwy8PN46d3XY65+G8U384dBXpitkwDojq9JMduaNp2wl3Y8
WKpxzeiLo2c853FQXIleiaGEs0v6qH4f5/RryJzsl4HwkR/PFTOfhDVx0QauOjZK13pT/VbkZ2Pp
xRCzjS6FapsnU5w/ndI9J0u0tkqbESA6W4JohFfODp+RAGAAiv1V3kD92+kvyIQccWOemB0OxPv8
oFYmzZV5t2MwKMT9Em30Tfc5fscS96Ad/THnWDX7arCbEtDoou/fgnYvKR5cR0J/smPwDk0Sct7R
2BkLtOFnkdpWZdC5mP6brvNabl3ZsuwPdUbAm1cS9JREyksvCJmzYRMeSABf3wM81XdXVFS/MOhE
0QCZy8w1Zh+YfUC4IenZdWSzq+k7eSOpCOWuYVKJjg7Nk01/hP7Lixvf3qmK1vG1esnlilGYA6uD
Bo8FVN/ZL5Gf7hnRgdKPVC+o8ZZ+ti7RP/rjRL/5x8vX3RpZxEv+j6B6W1KWCIw3/t+w5bOjEbpr
37S9+UJLUQTlk/hwHsePCMO0g2HvurXxw9R+8ss4+CuFO/tFRAcms3b0Fl/caceS0T41x5j52rfo
iUXB0Y4I0WxgZv2SpNx7d2pPnwHvAx+Ok74GlHLRd+onu3Q038Sl11Yc8dWL+WHR5EmeciuoXrxv
xi9tij+n/pnmyQxNFCQIVver6ZnX6K7NVfu2TtkDc2dGs0bsTYSHHmV8nT+bnRktrdaWQgN10Sea
zPYKu2HUb8a7Ecin+JPDLnrSKDavvQdaPtUUyPPXF2l1RoVhj98AMdg/rlp1LzVFoTWy5AfeY/Jk
seA9pS/zE9oAAE09K3gJX+zA5DSzlfW3z9/45z85X6h/zndYXrJwol2gN/okw4C2Mo1bdFOb/J/p
ydnG1/a0RMgjGy9CgBUSkhcKlqfuXj449yLgJ00/K06sU7JtHqurf7AvWVBfxp31De3WVCtkISdj
b188f9O9J2+cuvERlNk1v1cB3UWE0RpeyG8WZXnCzmugH4pdgonXViDpcPfo8CizUJh/NFk8quVD
9G/d53Dv8Glp3/4uJVsI2me6lHMQnzAgnvieSdfxinyx9vmjE23O9p8akT/l6z2zAUl94Hf+pRYT
Rxuob729Qt6B0I3DF+ENVQeaiO5xvprGwXkgxMzqZ/+onSTLJ1tPfea4rI75S5kE7pfzzX09SNB/
WCI4UPSPFDkNkf1bc2cEwPxhiaE5qo2L6jYpnZqJ+UX0dMxhr/iE1uJMwpm/puwMSIVDRHturug+
BS03MmpwOukX0XtlPmOGhGuUbuxg0/qYg/zUZ14Jsaxnrhe+xat6gh3A6ySAvFv6ndYJoz6goc/y
mWkJCi84k/Yr5lWEPGZP3Z04Zs/9ARUVBm50+ckaH41zPAXqQKResfTxFtkxSRDjvfdGCxtsRXGn
f1DX/WckqjpHr8V5kYhFAYyqcDr4D/VXfODUmqmnvqMJoW8DAg57nrNgu0c+t6n8hxBFLHq41+Yd
+BXTA2jYWbfH95ruLtWpY/SKokOcnStVgY4C/Cc73XOWHb0rwrIrMtdr91G/aUFDHJ1vqy9WbKAx
DMCYHD7mAzsIO41zRDVk1cjQKISvCTT1+i6C6XslynYvOk5rUNAJj5vr9Nw+2Rd1anZ5dkistUtk
+9rsWGAeemsrTv5zHh2cew0BCTsz5Y/5RzDXEiCKwUiYseuV2KJ5pMxC1Ivnq+ntpp0fsBK8N24w
vtLrbl7TVx96CKJeKv4r/wUUi0f4tYmC/vieh3dFHLjEtVSMuddnTGlFS3X6k/hr/z19JmHo+CGj
XU7StKkvzX1KzEFaU+OFtikNIuWN/O2+yFSTYZfe+5/hU0OozVx6c+hkgIEt5BHiyVCdiuo+1fbO
j/OTQY/nq+JLPLsuoKY9bfTknZyqf2c0cJw2Do0r7cEl2MW3/aKYMtqXT+m+uDc5Mfu1+yUu7HTS
fJDRB8aadHuoi5JPqT3Yo07t/eIxya/K3Icx2BjkSevhn5r+3xsxBOQQwoySMlZQU1t5iX7GbGMs
lr5rTh+OxtzbyHKvqg1uxGOGAd4b05jk6mxNNeU0HbXsnqOsKaku03eleEWvidFVBFF35anbrfNP
Xgv63sT9LC24yDlH90Pqm2qnvhPMVlqqAM7JdkCSLAm1WdBKWBbkGY40JoNyI9msGdMAO/Y07bt/
xh1TUZxBw9JbsJ9b/GXXjObF5ZmBGzimsQXfZA/EleksZFSsfAD1S0R8LknbWv+ZjjFzGutkXkJY
shvqltG6BTvGXoUz3jWlaK5ex+7BPXi0TYc9Y9tyPLNP05beRiw4wP+nxwgHj/FYI4Jwjka/JSLh
Dcv8XQ+RjFYrAYs8HQ5M9OlsKjQjiK2N5euvjU32AI5eitMwXrvyMckeDHknqz1QeR3rDHIg8SrU
QQ2XYoLQtJb0IEsaE8dxuDPz78k5Wh5isdfJo1xT7AlLiMuIhQgSLH5eiiGE7ITdxsZLtqyV/Bxz
ilbv7IPZRVQ3rQ0mh4bAcQJkd/m79ehfkCf1UP07bEeBIu6FWBEYFdVWL/FaPbQjxlFoOF5ZmBPn
MLw438Pl1tjvl27/3z7/7SYcTMQvElrp3wdiL1qqIw16OP6AqW04PLIJFb5q8eF23xQ61tbt3Auu
AP7B87SN7CmMpS1nQiUoyjlz2B2TSPWUUrjmVijq1aTbh7o5w9kgV7zddXvQgI4d4LCGzm95mj4X
PAytrv/3z/wGoEFd+ztG2ygZpEa70cbkV1eL2c/tvmZ5oM4gKt8uppbRg9u1vw/cnvfvn3hWvyAi
k6ELGBul93h72XyxQ7ldvT0VJCyJSWpkR5g6zUM0HMaKbNyaEKr0GDfyZnUnwcRUteU2jDq8XuXa
SLsO5p8zBU6xSV6yfrprouk6hm3HkB+/WilN+8EpkofF6tY3sXu1xJeBsfHWyi08EmhvJNl0SES6
aThf+/BhLEZzF5cgc6r8PRQgewDgj9scPV0WDeNu7tpoK9OSJI8Kgg+kz86RxU5mqgWu0ElpPJc0
uUcnmpvpvUiydzmUCjdW4lMmTtj6HPZNp09oXLX9uJcOne1EfZVaaZysEFkURKvJszb8Koe04Duy
tWHb6h4zxh2lUXWRnaGffJvuAxMTv55GL94ztxXT2xOQKq+ZPpkKaVf5TMDRg1OCUrgzRURglCe0
LBP0nTZqixaHgs3UI2tsFRth1lJsVtp4yMv4fUjxeUedugyShLQHer+qmKIEUZOkoDVz8gibcWAk
3zXCSx+QuZ0g8pqtFDHdMNxFDgQGDTmzwxg6uMbtPNMvr2KlrY3Z/U2l/QViKgvyBOfgErSD7aJM
GD20LxDbDilqCgy7STFMXQ90sWHBE1rFiK5QBRnrA4BgTud6NxW/3likOBrRe0secXHoWtRizUAa
kE5RMFqzCux6+fNl6DKJX5NmKB7DEiYRaPArqASom6Y9nV0srHeFxKBaa3N5bO3vcdrbhTjiLsEi
UUKO4yvftOAmV3qSz5tE9u+Y71aHSv7RUpQPzLyTNI25Ws2ZffTpBQwMPSQ6NYeGSeT7FJuSvlvW
mrz4SmqmLfT7tAKWoEoP0cLckZFn7idEiW5nhM63H893k5FTlPJ0lMcadM4EeW3GJ4osapsGrEiw
GEBM8zLcMzNM0MupdnDNflMO47jvphk1NxQoIekpmk75WnMkbnSlU4cEqGMYiCMzFrPUy/+AH21O
lTcxMk9NxEsmFuiC8yNUsYZOw6LJkxO7up8sgdUfS0a/KVPluyJnb8vg1q8MDtlusRapxXCevQn/
M5OzJCUasNIW9j17QUUFre5oEDWWIxggdVgMjPzLBkq/MZr03U0MArkQrbNbPWkZKcEgCurKA11V
jbphlLK1pab/1Fsgn80qs4OGpSytpA2KCSW/uoQcSEE4UIwA8x3UFZBTHezwtvijRNaf9YyV2zLM
wO9rIvJEJjsH9tmxJ6RJw2jchXOZrWtEt6VhoTME4T52ubbDDtZmQy2HvGSo1jk5fAFDTfUQQ62I
eWCq4BGU0r1nIPGfm/TcJwQqsiXqK6rsqqKvpB2PuoXuS0NkwBKLp5ztYYtIGyLJFLDNgRZpEr3H
JS3l0s31VWlku8ls+3UCFn1n9FaxbUHLUAOj+T8UFP+b2UpIgLO3Zp5frewyVrSmOnqIYzYhfu45
guNlChWnslVJ4zPxRSCzSbu6luweSoMUJht/NFf7GEd+69LGxURM2QZZ9ndbktsfwxgwhTGZD55F
yVFYr4Wjs1ffJEA4VrLqIbaVBRpcu3kcpbA+MsqNhkmv0qUWHMXDNrfEURFEGMAAVm7rdcdsSD6B
XKQbhuhOAKhdVJEzXeuBBukYMZYQohJJpvrq693KYwz1hI9ftMFBBA2VbsLyrstmW4jpwYBWjHff
MtkfkvY05oKNKxC/UzN0x9IlZEjmLY41jN+48UOhR8a9ZvTvjdG/lLCzyh5uZTdqpPEu9YkYX4J7
WZGA2jTtZ5shYC2j2E4256qq4nVZ3wwRPoowok9Ri+yIFpEJ5hPW7Gh3fZrk/jlkiSy9dy2jTBlK
EJUOEwp6OnV7hu83wslf/HEZV3D6z86Lw4PmEg4r5zt35D9T5/g7e1QDzA5q8PieOK4RZCHSEsOQ
ccD4mw6bGam5r5d4WFjkS72ipGVEDu67/TWp2hiqif9qlQs6MKdOwWmGUq4dEYp4cxBxlKP0W7cR
8z10nFWROofc2w4ResNCayFcJOpV6x8nEIZt+bi8xWPoxhxUsSN25hSuIGfaHCf5a+LjBRyDuDga
CT2aBm8H2jhoPIB+oy3sOBXzcuq2fk8wXdD4GOAmI4HW1sCEsMuOo3A7DPYDNAPEzbZVbnzMKno9
xoujzUETyGlf0OZRXrtzLWOGVzcjbJgVyBkJdCKROTVGd7K3MmsZEOFFRjKcPg10ydgy7g7s3lhS
T0uZGocPBBH8pr7WScYS0K6ISl85DcXlagY5JiZqX0ao0YTo7Ldco2ggvfPciRk6I+qJUrUdyiUG
8qshZZoabzY7yjcl4/kYTzDal0ZU+Ss77FdDCNoiJAuDA5DQQSOFQXiikCxEHlVDc2qyrdtcTb0S
m9jWaBICgF+nFlWP1iH3G9hhVy6Np9j1JyYQc3qYeMLTP2RWYhhWtdNWuwiCwcp17PtppGZcHv1p
McXr6e8nrgWOouS3aRiUyUTZMi1tp/uERrs+5tskRCAPFPNN96guC47vTUdBrUynhCRRvPh56wWh
J2lyQimtO0s+GUX6KmoosCMLctS3ijo8yYhWGEEfMfRStClzS2wmsnHf2sw2XqV1P5kYqsCQ24ue
AuakZUxsdYBlG5qulQdrz7PV+9R7P2Eun8BEzPeyH9qTiqDy0g8wnESdbCNCae6T1A+SKlTje2e/
kF92GC64eLr4ZXoZ8S04mnP/MnEEcrAS1hDdVardMdlK6ZVOYwrKbS2JvdBxzcze0H+SjvUOxWrn
C0RsqRuS+CbUsEwtz1Gj6b9mZr+WTa0HI2blo4KzhD1GMJC/BPaAeUClW7siQ7oQt4+z6x6gVgR6
gqjB0Oudh2XgWjJoH5gRE+mtgmTcdZs8GSliieK+Ar3iNDMDYzQPKmlsfaGLh573H3R21MDSgpwk
4o9p9OK9oxYa9MRM+9XCsieaqCZJw593tTtshgb9j9bS2ba0HKxwmx7CZIZWoS51jtF1Yca7OKF6
pceo+DF5Ywwp6RlWXFIg0eQbuKF6O7BNJ/59pPTp4PZUX5q0DLD88LdaRZM+j1PYJHcO/ghrJ6K9
ajsMMmr6H1t1P57W8bToggx6OhHf8YVVL6GcvUN99sfOepoNh7lbfVVJRtJmgpPd/BqnibVlAnze
+/qxSmjmWCFHrT7bZxXbNFNAJukuWiFIKFgmUKUfW6Mmz7lUkWTgdmKUtLUBA0DU9iqJacfsortS
d6PPLqHo/bS1o6/9CTWk6l9N00wPeS4vCBFGA+xXjaC+1vmpAYmZG000m4Jp34W75B4mtz5ZoxU9
VilGOUDr2wapomdaztaqu0/Xr9RZ+v5p8klXfLvaDeNnYd8ZFQQqRoU3wsWJqZgS8mj3Ldbtpy6H
bNzzXvmaUtSEMswIILPnKfK+cQWx9+Zk+tu26B6h70ZnabGUFfCk7EzAleMLtamT4iRxiO3qA+hg
SEzXvksjoa+hlfdJWNuIgEeMgzACw0YGunfHtwAJlaQkZ6TJfNIwlquS4SGqqO3puzrytK1XDmu/
I3Kqi/ms7PjXVRLXg+g7zKjshBleoQRj26KrJih4+r2M4VsJqOLmFrIEkuOKolpP1svi79dXzaej
0iVlu6sWZW9a9wffrcUaJDwkZ6Zl54EiRkTs2TIhUtsT9D7JsKKXQLlKW33j2/Wp1uSmbL0PjEAB
bedil+nUjqDOoxRqKb5Nk7g0jBY8azTNVNJ+yDFt17Gp0E2qzN3ZCPOzkzMYpNDGcHJM9o8uBhHn
FpJrE9o5LTIBtyTo02wsaJIEqUaTALQafjSMQbCfK/ik165mBloxUhbrU7RxbIZD1ZAgU5yidBsC
D0ZEnj1BN0sgdtGr5dfAZNDONkMOfEiXdIzIoqnnY7aUkHYc4PVcdLem3tVuM206CnQTIwRbypID
4XlB+RQLhw2bFpwBdeBM9h/b6tzk23jql4obWkFOHjROlYT2i2dfCaY/bGgrT3F3pabwIjDiwwFQ
7M2QH1DoDTWQsf/M+iLD5sfbEM2Lddtp53CiW6vZEhUk5cYJsbTtXB2yoaNuX5VGQyydXtOo39+8
Yd1Yz7cywjjL5mQ3oC2pN1sX1hqXKWS1/jIv274y3D2ejMW+48EqCh+K77yvc6tHEWvHi5PXdRh0
Mu+GYCY0U0qhtXdvOtReIxHdYSlFsKxzcBKXIshp7zjOZeBFPv1d/9tr+oZqVHrSxXCBbnnHB4e9
1pKwCdUywz7UwPBxKTKzbAdaWQY9vFFQ7KgEXXz8RtTjg9khLZn4frXldw/Rk5pghYzQz980B4hX
LCBndsucooR4mE9QmWQtdnln0+vT6LuMQKMAwRwsTNrWdtbkd+NS52vhojXxN0zjYzN12cn3Wo4O
z6Kt00RM+SBp9UgrosmkaT0zbatM9xCnj2WOjCGKux9MEv6YDcWBuiPp8emrjxa+US6z/YXi260o
zmyjHsEORl3RTpQkFzCSmOWexmbPLsAAdGOi00WP6NSOuotLjHx8Wy2lDGa8DURxiRH2G0yUEKzO
RnHoG/R1vTUXZNvWWpmoyeGDersejUuD8NEuQdg3Q/NnYum1/Xg6yx56aDo1DiJG1EfKt8PACkN1
32bxfhjmu1kzslPhofsb5+rk910bVE2IdjBMNnYaXrMG8TW2Sidzae/YsFBXlmxfndylBacFjnqb
I6i8AEFeB8tEzDW0gPBDlED8nvHeEjOqmJGWe2HLk1n0DEp1aKenieNaiq1pM9cwvZo5nFogNcC4
KpRVLdtBxFGv5lID+RaHAVnwG9KMSmuMn7l+io1E3yyrPiwjwhIi4+TegDLJ8ABuFwg7KgOFYTXV
+zaDY6OL8ElrmBCZ6QvzwXI9f8sdczssLmvMVggzOREWXqmYzIgt1K7QjD8slL/xXENRL8jusEbU
OQMkLHpLrJrOpL1m5Diae+XGSXwSWs9/hmLESehwoLo0CxU5/IPBYsNwlvszJwmaEITvPUS6reGo
DyaoOn7EpjnDdxI4JkGwqIpxK+qUPofo4uvkfHvRIyMOFTUpqG+9v3GV8al1NFPU0j2a3l1F5pI7
7SdGuBgAYrVovYcls6WMYB21Dp1H3sdfnUZRKIUZkJZpkBiKsApHlE1b1++cchSYQrB6pmZ9NGav
VrqJ8FRzCgOZu/ZtOuppbuhpdA6k0xIpQAuJ2od4lavsN4aEfJmR6hslrbJyyWNtUjidGK5S0Vkw
OOEpSiBjrp/DOfGe7IaGiKJ5NVH8isxEv3dLPSjhsgXtgFQzq8biaTa1b6/S429ym18bizSpO8+F
b1PVNNtf9rcP6VB7sbuIKOuhrPtmTznTHqNxG9XJh6VZ6LIOvWJDTSyGedueshpLw1micJkK5vbx
/UmAAe7siCDGhdXQmGrL1kVrwsIHXuUQofThOzTwxDVQipch0ckUNiFT1wMs41zf4qa2aFr0rzz0
X4o5ZX4lvy1WNJ/C8T4Z8w9Pb9Vuhq96rkeYYxh46oGDgzmCnPprUBYsJs7yEv7iZgKqd/J9zCxT
4pZybortoId3LHQpFp++tYqwm0MMpT9Xfk1uKEeB1JOhOLt/Z/NKrtnYgbz1/CcPZ4BNOIeo/uv2
xSuKwJmwShvLmrHU0nyyOta/QreaII/waBKa2KFRNSrGn0Ivl+xz1HhG1r5i1BqoI4OzlY11bMrC
2bsoD8zc7XehIAj1mOQ0w4JVSGrMIxAlaUnJnDyp3hCzongd9upWD0I+qtZZkfp7k9jiGJXWTyKF
/5Ck1WXWGOpUhjluQaaC1vKYeJEFgbzlbJzU3oZg5fBXpGfpF3B9vxXCE8nCvyYjrNH2gph1W7oO
4ZtZ4Nc7m4j0B/oZcfrVVKV78ShHkzVMK2dwX33Ed5JRP2ZerGljV+JPYfU75XgOmZt4cPvmN6Lw
tikbtBKqMuedjxIDinq0rkPC7qVqX2qy3EYuhFkVR+5ehQuvdwSn59IjtXGkZWiD4MAVKIpDgQZh
MlgxdOpX0dwYSFlH0Fh9/xFF4jUtXRsrUbLkuCrejWmWe8POTmHYautJMX5o9ovIsuvw9GWOXygW
0hKi2N5sL43wQDFEkjpHFNvb9rOHnNa0E92kWTHU4TTwCtq+ZbMS4O90Znm0Ym4DOyno7c+UI0Z2
uHWq+/k+NTR3Uxt8q2LUfpx+cSKT9ocPfD710uozdUZsiMS90Thn9tqL4pd9rUL7OGpmvo4h/B3T
lnNQLrT24n0kK96HDRwZgZqhOGPk8ROlSN+lYvHvGMtiI8FqyhnYn536J4/wjUh0D3lxuZB3/ver
8dRcVbcMVNm2PI6+XaYPt6dHtetNNKqXJGJQU0Dij6Xm7UnLxd+bsnZgItxu/3v19uf/6+N//3we
Gt7X39uuR4dR7XSh/vAvY2YkoGYvzvXH27XbxQ3K3SwA8L83b9du990e/fvk/3Hf/7h5e14IbaYa
fnTQhliaOZsb0TvMKj7NtHzEf6/e7r3dns2Rh4SE9mH42KAs7+R2wdHFxO3f22IO/99t3FmoHbZB
8u7KGeLqLNY+MDZjbVHKPGJ3PPMpRXewQrnKKwij4YhR4I1lKwdQdbEW28cZFnfge4Q0t5tdPf/X
A9nyFNeB7MpBtf/7B7en3W4KikI7R8Wn212JbVlHzKiZZOu1DJtaE27P7Xm3R24XpWxo3ZJ0PqaJ
yeA2DFJuLm/j9nBn2PahNH4my7ARDPsD060OWoEEitiJwAHK1kIrcmua+WHOXlxXdH+ttHvqUho0
QzM1a6fEPOx2YYwdgoi4bGb0jTMKEagzbtn9jgKtReHZVD9THYgkG7jV0DGL25Z2IZYdGbCxfbJQ
pdIFFFXcDvDl5u0+KRXS7d4FB9qAqy31gfGG2yNDVOjzJsTDMFdU5f/+XY7RLr977xxD4Gh4gy+v
cHvtKhILeUQMuLCCOf37//79L7eX/fc5t4fGjk6KrgqmQv/zprL/vLPbs28P/LfX/v8+/PcVKi9t
d37fHv4+97/9zxJHkyRrTrlOAAwzi+XPk4AUMKAM4sh/UhbCRUNnzs6dunNG6RmcFPSMwcMlR4qE
0uUX5ra4ZtchXYEyPkB6Lw7Y5DVn0Su6Shl9fFwkhnjYpF2OgyO6lboE5QViBTcw8TU02h/HiuVx
qGnENzmhfkPkQsZpk2VDKhCOQ02MnqURknn6hTlCgIFBNPjtLqT3IRxKAW3XUHjznwnAyvtMsaT5
tYZ0VsMntsvCoIqGmmElmvVD0SD89MhFrBGoQQvDo5D/DBHG102FBopYIOiz6dJTogsYl0dd5JTP
nUMDocYKF6UPWBeqZAFBN/3ujnlFvKKiQz3qT4ZbPBDetusx1xAiJOk+ZwveDxjaQEuFwaOTl2l4
bANzZJ6r7C+5XrKZJWF/P+o0lno6mLpJm65f1OA5vqpDOU4Bbh4jg2toie25wuKHAUnMquw7uB8T
QkmvEs2lpLcYpg9xOOdrOftIaPTu144yjB7T2g0MXz+VseqRn2Ijj/X5MfIYANFc/y1DVtnRB8Fe
C9Jr1KPowWAIC+uvHgOebVO035q7zfK8o9Fo09HPsguG02ii7QoNdcy8bnjDHCfhybI/Xdv8MrKe
4dmWYpo16XvbQTselwgDyochQ27o5vUbUwYSzzs4J00XRavao06qZ7hZpno7A+RgfRBWOR5ql9wh
ogeLw3tzcpW4p0/QDN1zrREX62SmXQHDBGD0mmbwvcr0szI9G/1Yn246r7wTHYZoyg4fhGF9F/VS
t+XtCA5hiiMGLolpDzKwYDAmC4s/bp6c8lAxOB7V4i4uqKGxncEUwqJ86+TGfQRlxNQGqLot5YAa
CQxcZGNdZPq71pn/OBm2ahHDFfzpHeUATph4vkjhPA1OM16oPRpgkDeZjQLMsV1/78KjqSmGHIWl
TUxNZdlB98iCCl+c3PApswb72uXGH9tgij/JX3AMQEHmFOh2rY+h1cCldPNbvBcRdm3abKR7K1t0
vU73QzNwSfyU2Hi4Wl26kiE+s883VcqqZkp9prlCzGoWtLSRwLaFqwW0sYxNmbk/0dDEryXlrTD0
qwCr7G2tALeF1HW3oQyPWpbgCCdfjIXIX/MNCd8UlDpL+0Uvu3MufTRwmKYGllSM1Vn2fjBjb99V
4V0bY3RiWQXrSCmPlATuNIawxnb4qPPmU6t4B7JCBCvDa1XqlzYeSf34vgexGWxCQbOffvXMEVgZ
MCdgtJTwRKyjpkGHleHcF6R2+B4niKrnQoOpA+p/DVV53cXhXTk71Ho5P6BHiB/SNRQV2qGAgryK
+pOFwk4x2NM2IJVYzremgsZXCRmhqZX1t3QoG7Q4XQSmA3zPQt+mU9pD/JK1W3e21JPsGlSGKUIZ
vlsEzF0s7onpAfjpiG6n4tS5SXRxe/bkiLaQZSXRdjT1Tw9HRNQwBfpLI3uZrKTftdliFxO79v0Q
hz8dJbQeu8h7zBrUaex5X3WfXpKuAh+I08OWrgln9zgMyGKmlT9QmYJj726A/27tGRR35XbquS8V
bUv1XLethrY0/scw8e6tKRZsOxvN76gbOjE8L0qXGI0LNtFodnx/3SyA9FZ28E5SYyOGB96iERgt
FnhNT+nDGtt6V8CopI2PEhb/x1MRqQ50HmpShBy7WQAnVilDFdCAZIbS2GlteTBMwEK2iB8giyo0
WgsJge7dNgSyfuhwaq9ndGE0q15wXmOoabiqtp3XhkftY6qwVQ21yDpinvSTQkpdQUT5HVOQhKrB
4bgatFeh1S3fOjx9YUPKrLvppNkeg229ux3SnhJ+aVLgMd0FA1owbFGPT2NnoAe3EqrFIpiNaj51
iGtyO5J3i8iMI9cth+ScVbPcNFKeqZNiRnwToCcQs1MIz1PtNru+Q/+vxjk7Tg0/tD+34MoT4DTV
EFJGGD/cDA1IPo4PGXX7o6porOAoAzQDaz1hAurXRjwRELzCy//IHZrpmpPe9bNAHz0xauEYjDBp
jbmObKTw0zCd+ybNj/V2UvKKbxVrauF/gQ2mmN8x4us0r5mnJWhmqieHplYxJ1BEHXZmKdxfZzlV
HYMWTibPjeIEomZHtDeP36FW3yttqoDm8OlTJt51jZFsTzKCXMfPOHPZOlJd/CfR5cgaIUIoj7wc
QG8HuB1tZsaglvtuD8z4zG5r13ou2y7Cx9x+T3LIhinWO8d+Idio5UJXGcMUUfESizg+xrLxj5M1
vscCUEVbmNNRJ9pDXsJFI+xoY0vkBCk6KFyXC/1Q+zguLdVDDAt3YzkUR80lL6jJI7221He4ynLX
cmH859rt5r9vcfmDNklozG1udwydQTg3Lu/cU/qzyHIgP67SAo/ZcnSRb3LsFr54sSN8nCk4TVl3
9AyPqzTSMZ9xCjPQfQGApPF3BUxE2XyYEdp/3UfneQvpbxeWx6FgLBe3m2DZqaCTsAVW1/THLPyM
rB7E9u1NmW2rsBec2mu8HOGZxX7Qpdm8chafQntJImoDdEm5XNyu/Y/78MJj33QYMGqMlOLkkjkJ
URHSRmaP+jLDeKLvSeiK5bf8e9EuMWqf2NFao+O8tmqanXs9h9R+Q6RGWUTOUmi7se1gJSwXqWsj
ZbrdThZvpbmmGuPn5t4RQ4au3h0qFC84Msnmceg8/eC4EIu85WLOEfKKrs7XCh8vSFXAYo99xdRZ
U9p3sVuyQDiGcZz60jzerjWaMI6VckqKGZRiIzvj40MLJxazSTm4dXsPt2sOqW7gWEi44uSMN7d+
7FpPP6JjH2InPNg1NBMjQ/QbYbJtUK60pkNsPtIWKY+F7tW7OPWAsrUfsyLOI9eTa9oGNT9hqQVh
JBjZcVvzWBm6eWxNiPc9e+iqc1AfuAZL5YJOhnXpu+D6F55YHkJTqBCUVnTrptbCJ2Mgl6GPeanC
MNnpWItS4ibl3eA1+kctecztol+u6SpETD+bFIb4MW4XLsaFGGlSELlx5ItBZ3xJsKFB9ap8hLhp
gsKZC+qrh7Kb9d1If/Q4Lxe37/9206SkmEuKOXzdEQC95TcgcvuvC3+EoeKhFVjPPlZtbk5CZMQm
olK1K3sULzUBr18BePp7AN5uTikz5eU0h0Hfek+mqT6qipm6YV60kumctttYG79NxuNZ992DGqvT
/5HW0MZWJ8Z7Axjh7B8o7gDfjNh5qVkDn8x2mFBkG5fpMO1z/o1JIFLKhBvk1fAcN/5z/S2eyxOt
KQ2RKkrtJRaEuZwSEK+ZaHLP8cv8AV7sd3ygYxG+xM8SrcfOnSCcruUfIIrLSTnuKHvSQayYS6IV
gMOuhUENgTvNcmqs2+69WIBjIEj+L2Xn1dw8mp7pv+Lq44UXObg8PiARmEmJpCjxBCVKFDIBEBm/
fi9oxjvT46q1t+prtSgmhDc84Q4ui/p4RE/62SH06jaih6pj2C7E13Fff+U8HIANYnjmYLhU0gP8
kJm+Eraidv3OV+n04oB/PWfiK2Q0moQZbHCAN/omuklkMdBTLd40AmeAbyys4U7VsUPk/Ow9GCGy
inHAF2AYxGoKhEZP0scLAlZOdMBkUp9BMwZocRKolAoutPN4EpoyN8NXcJA3oNMQLnDgx6JIkNJ6
/S7YznC4O+rf2k4+Cldl5R+pxxPrVdCxFLR3Z364IWZgWZE/4suw9797uOGXDg3s2gs2UrRUIfA3
845FWyeRdNUSw+c5cv3dBvHZsSDpnuXvjAMY8CPdCbpGm3Qd32BcFhiLOJLqYqyhoqOUgreA2IvA
QyPMsFE0QKBQUcMm5UAkxroBJN562YC28PpbUM6017tVu/UAVH4zwPM2SzbDhVouLOMopN4/yLUf
/qp1/i+PJjvk0aOu/vKHbKLnTlw4BPlj+f2XPwCeiJpIOKEZJtBUSdN0nv/6fI2AzvzlD+l/FWXf
xakiQdQUV4UAZMVJfoR1vkhuzSp4ReU0Bbfgiv4hMuwh8ygrGhtzO34xQohrweilk7bLoNvYAvqE
TfiTTTqpceCF5tJ/HNDs7Ao0VG1F8AQLg1qTuMGTgfy9o2gCMvBt/EHdz83c7AMVji0c0EXx1r7E
r9mpeKupOMxl+3mP8Vgy39NPFYKL1+7SFXs/OEyRAQuxfqF4Ax0Jz3hhMQNrgPsF+yxLwAzevgKx
afCwBFZtZsccmTeQpaMKO6p+M7bIMPdUszd661iNe3+23/op2yDHG/5ATIDQYPzAgMLYQ1+TpdkI
pn3EN8CQIoZyQItn3ZHGwqnkpkO1QauYZ5jV6DUIwPqBki0hzPob7YUhW9N+fAVsVl6AWJi73N1B
lICrS2045fqtgER9GBFB9iK9gdV3hRflDRVM13KC+3jDWM1RvOiUTjqN8ruJ0eemWYqL0FN38ELx
GC7m0KccqPf1CzKAAJ6zS46yCKwXkE0OcGfIkcxTAzbALXbm0fKhIdc6Y4YN+0kC4KSI8zvCZJHh
EB3Y9TyyF4hZIvZJBzuEQLhuJuLFGp4CcuqOhLMnQj5EOhtK5KiLT+oNDFtgfLvBJsqwhXKBIsOS
Uwxc5SB94y9fLvpPUnAOlQ3c01blx7C2PsgrPSI3l9h8IcAYsiehhd2HdgVJCELUWcWe6fw3I38S
9/8vA1+XRUnVDd2yZPXPAx8h+wpEl9ztZLPdwVnCPJo1huF1Nqx3eUKY4gBiP67QZkA2QTQ6w0iq
JsXvCav83xwMRgj/5WAkVQXxLKp4H/zzLNTiutefVtvtIplaIf9hMho+nIFLhEQbDBv2DxueHV7W
5FXBvqj3AQ1caJZn+CPR/vdw/vdX/28IC/5tWaj+4995/JUXU2Qf1v/08D9Oeca/f5/e839f8+d3
/Mc2+nrmVf5T/z9f5d3z3Wd2r/75RX/6ZL79b0dnf9aff3rg/DpVvDT35/B6r5q0/j0KzmN65f/0
yX+5/8/8LnAP+oc7N33D3945ncJf/gA+FD3yqPqz5cXvm/5meWEa/6pauqJgXyHqMrYW3b2q//IH
1nz/qom6pvNnU7fwW2Wd/U/HC3l6ir+rkm6oDADjj3+p8qYO//KHov+rpRuGyVt0+fcT/38cLzRT
+qfVnshcNhSLFd9SKXMRsv150Ed6pMapVIUIf52r3LKwAppEzyowMe+D+gQ6l6l4rUckkaSHKpQJ
vaI4I5qumkTfel/8jGUtTJjjEjAlXIMAieAusg5D1WYrGnwWKSUQSoFMCJTKxpQrtH6jBiW9AK/M
WHvD58eUvgKlM459qW2w4EawQTPG164agTBnLPBUIvyD1gyAMRBhzcq0dvUSLbDnc6CLPGLDoVSA
p9P3Li9KAi7im1be9GkiOo9n6kldfLEGdP8TM0DDNy0IYzW1dDDa/hQAo7NmRQAsCk3bVHH6Zg7B
uBaVJc5oGMbRCqxltBmBAL13+kpo2J2Hx+N5wPtrPmiKBUdtXGY+2w9dX6QFFFZvvERXXdpM6iWV
cqgfpo/YCoKNPnhObZiMxaCBJlb8vIg99CRcPqFMKKHoKQWdxkZTyOPRNRlxVDIBZu9+f9S6vARd
NDiJCIwDkSArlTt3aNgeEmpXyBfEWDfGbKsosULfjYRXFUzuTuP7qmcxeprUrYsnWiDRQP4njb6D
x3YO7h4/ALqjBboZDVgBVGAGjCwxuR/uz25YipbSOWlFKGCmuafn/V6dWsUp+vbAbPrDM22NWdwJ
877NaYK0Apl7DJs9AYdMVcBajdR3ooAyEeI+RVGdsm4SiOwR+3nQaIxI/91Qh1yodDnOAdaeVEZ+
PhSEkWjtZjk1FFXT8a7MAMHWo8kdJDrW4uwShcHeTMPWzjE46gXjXUQXCRt29UXokIkg4J4Kdr5y
0GUW74dhXn0t7BDQFhDmSQvk6Y3IKXNCzwyOy0qxOqR09CKFDipU2yQHegNWyX5A9qn7CN3Apkaj
qNfTv/7g1LQhTI9tlFJYISGuMJMtgmIfyI8PerCYWWAcqsmYRggmfd3OLxZZaUYLM6IxqmApB2mz
YXluCQSMCkiwhupOBUsI5y9IoaL0auhPSB9jvTdRQcSFPdrij+dWgSJBpaCvUAsUxowh2NGqWwpJ
gjCMkpu3hPCKbtYmK/QK5WrqfQC2AvZxWynlJSSG+K6b4fbhSzc1zEH8+YTkAiyeffmE01qCH6Kw
N9ijiNJETX1z3ui4VIo9YFHdWj3whqKLHDt9Q92oraUvM8OCTKDrLCYaJcs+XQiWBeBOaNjJLbjl
I0IROJpV81zNpXnnpy0kGlTRo3ZMnLGmoqfGTzcZdG1jSkkNbzBEcRc5hCHABDgEP2W1qw7rhnGU
v7RncmK9FNDURE58fIoUrwrzEuPLy+30k3momkszDpFoKkdCHumBVhPR91DkB7FDVOuhIIufR8gm
JxQz8ilTHgzDA2RKz9ApAeRKUYaYfASCLuO+J8I+1Ol9F0N3bvMHxdEnFGCh4hT1CK10jBd0WUHi
UepuspK/yRSygJHVC3JzQJUq/FNd6CdCZ1ntyK93ChIr+JeGoIxVDR2pLgHvS5cpm4fm7Rl+GKre
u3c9Q6O8k78fIIHo0M3UQ10/9mlfYKdXle+DOeK6YLZQfMckd0GqFDM/D/tZWz1In+gmaA9K+eIj
/SmD7khhrwQVYWclyXhJ+mr6PZLFTU/xiaSlUcJbCgSNi5fcnmm5DApgCHLd/dB9iGwc6r/qFBFU
4F3A3549ZS/CISzuyMbKyRo0eniNZQD7yFC4y8lU41ACduIfsyD9wfGUd6kDtQwJCcgxfx4e4+gJ
XXlIrVNokqmF2nixVAHIcOoD35cXJeNtqJqdXlTnKC2vjz46VKkPFl0XAoowtC2LEesA32yuGejG
VYGKhanJA+UHYHwtRQzHlBG5MOh49dhcquEo2o92VSNkm5FZNc/i+3EPu+CQhmm/kgdxp9caE7lX
1nFmbmXMfcIMLLAKWjIONRkx+xYKYgHLzhApluumcpH99JqmfoSfzvBdROKy6IaPoaC+XbbKe5AU
CEiX0aUXpV0YNponvRdilyDwH+CQo0LLziJw+GVkIAOnV5cI2WW/8TsyTbgApQgyUanG4/hof0Dc
4hcczxXff9EkEViuDOxL/snHECvNzsJgpY7zvVUFBp4UI4WVEH1L813G7XeTG/SsmOuW24eISYEl
3YvWzqwhfusyGGEBU5C2eH4DYcQIM46fDl65LICNE8kAH9vI/IyiaNtKFMclH4w7a8tZeFZHuWNn
9eP6rmrPtfmMaXcZgttbwT7QVn45Wes9WLljaH/rUBgX3eOJXIJs+gjaiWtwajzH/CiSDOGogYOM
fqJK+1SbqV4RqecSK2UsBions1p5WWU0sqz3WFRfh6BUcXlGprMdcEoXoiNLj1nx6ZVeIojPvgEG
e/2wxvNg5IgBwByvBn1vdeanJrRvughXTVHvJjuQK6forlIbpPcDanKANq4IdpEMT1uQpWWKLT3+
qtKVMCJfNvHFiMgm8WgInEdpJPC45Y/Mb4sdh4eak4IDuMHGAUhgYyjwKwGkgC2Z1vCuGc4qE8OG
HID78TdTdVwKYcderCKtwy0eMplQpjQ869nhRoE6B9HSmv42mX/7uHdKurRKktsmaoF16uJ75WuY
HYHgDAr1q+xf/FLR7VGHf9tkJAQRUVRQaeG6MSj2jbqxKZoxmGmY94T7YVRJLQIRmSaFpSuW7k3G
VlpA20JDVZFCp4hoH6uNMQ/L7CZb6b7WlC1gyJtca9egeutb0LSR5D1QAgbZj261efKTBc3wcwsJ
z2kmtVfdIOFH0Fys3YT4Y0yyrfEE0NA9P8cB9mvZH6xUfZXKYEsN8lsu9WWFeKpcU9TEr6LRios0
kODqDDGxBDBRCgtGo1uIY+jBCGk9Oi0PSPDm7dH81CGKbHlFXpR1T6TL0vyr91dD8gUaygsTcPpS
YLxXD/p6gfYN2QqJQt+4Ryjida2Ab02L/GBM/SfVrA/qyz7tU64Y7aTiWWiLThMCutiPw5DWxlzw
jWv0KNYPhV4jAcI2KDQ6NIllzrlKOVVSeR9Ce64I/Riwc7m9jcgE09R7MZ7BLWjrsx4LK3OKK8VS
WaFIqUCrkBjWEb4EZUhmjXIL5wSWDtLKGMsqppDCMmcFzwXkpITQjbJ3oUjQWGtAKEKKNBd5O9hS
ibYlJKa+G9e0to804JEGDsRzLU29jYylpc/EUzM8l6WpL5NuEo3oL2OGkhnBqb8wYeciZybTkKQe
N+oacre15VH9R5fN6jDyTCzuKpkAwjg68a0pAhhAldMPpUv6FIBxt6gWWioaCq1Xq/LVSuptHAg3
IzRfNZzYwBEitd5NxdkRKMckZF9AFKpyczEmRznBGETRtZP0xK25w/nFbzFtrWLJq1NuPw3qxUNF
5j1hoVMj9MEiEIU6FCtUz+IOMSgKHXEVeAyZCB+IaZMRY8z4BB2QftkhRfH7q2Y2GKjASwD9w9Nm
IJR/e+b3cVSWoW020KZ+X/374/cJmWuPluf0aX//8fvM3x8aMtYq0hAt/unv//D1vy/+PbB/ek2S
xGtFbh4ebb5acn5fxw4La+L3V9Z9uKV//6pSkxam0oUE6zgD5c0xN1AY/v3g3x+SJaI1NJ3h33/Q
UvvHhw2kl1UJ+9f3B8pf5mf2+x2/r1L//NK//k1dicSppMmU7iuVLkUz/RizBpZdNIm8+CKFnd8/
/r7m94f2pLtCfQNrYv2UhyMaz39+/98ftgkF0aYGaFSmxBEISP7nF0m5nnglV+gXhPeLrwtLuhHS
1Dv4/ZvR9sm8S8FaJ33kuxU9p786RvyaRYRZT3fn99dGCA4P5Eiyxiu7cCNsK3XHbjVqW/KJOD5D
ftCRgpj5Djv1CgGK/qN7UY4UovbYoSMctyZyoc1+zrwHFreX8UJEigB9/gWeDI7RnEh6FZ0k1Lmh
1ZkbOJUxHQeyoDmCQPd4b+3QAhwRue4L4yU9mQelH2df1CkxEngOGyix2ZzOujhr0YLq3ObO/CVX
Qd9ORqnkCvYMxzgdbYBF9Nmx8GSOmHk6NhQrhGH4tf56YNODoMoA4dDO2yvqkhRCQ7YWW7lVWx8d
qnnlKReWEtgHLk5YQIJm/ltxStZwD7HYQmoR/hw1fvz+YEuypW1TD3KTdAJoF9KAgVGjOjqlM9wq
DunePCBcGJWzxKsbV4Q5E5DMhvtslb8GtZu/Tnp0iO8Aed084D/AQF/K8jtqwj04E3NA1X3LT8mY
mUiN3eFPjzo9CT6m7ZfkPfoq8jKP4n4lLCjbk7LCpUSN65msWEcx4QPVomBdkBPWNXgbsKvP1RNG
3eqpf43Fs/B5AKBV+/a40FD7X6fH7MoCnR6imbTI5ynOf+ULRoczEMTwt02bLtJMJsid0cn4tNx3
w9oj1YP8h49qIvqVkGUaG83DWsS3A3k+GaQZEnlzUkwbZkr8iXrIAlPrd3VfOF8kpsHG2tadPbw/
oKFeaeVvEDPVXi6Inu4RKd5QPO2pAAP6URWb9HCW+vMDuoXPhWkfIC7x55kKvZVzxG5jrh78b3OJ
sr8N7Bc5R3OJmq+nH6KtvtS/Hzf+j4PT/XmB+XuLztAV/W+hceuLChE6nvmHwKHhMyP84gIoC9TJ
s2sINXaFJ5Vu38XD44KExYFdMcd8Yik4cMdJRu3o6n98WWfzYB5AkE0gS6dXl36wsuASyshBHigi
4UpmuODD05lHG4VieeDkZ6w0rrUwd8XEVuxrvtsHr+8aoGIaf/O1gfbHHje9FCcobaEjsk7J2p9R
kTXRrpr3c/qvHhJtMOnPVNN3d+X1NWqXwvxeI3d6K1DEy+14H6GiNUdgvTmfYhtZc2k9YiI5m2KR
lz70UggLdsZcesyp5lQdUpgJSp+lcMdoYj9g1FjADphhK3LuAOKt8TYoPWzteq5Uvk3tHicwF3Xd
mmLSFXTSf/6VgoYbrBDcaNGReLzi+SACWlBiG3WkWbAaEbk/87nxvvTKO1wfxjJmKUDJHp3dz4u3
akOGIkPo9qizUOvBqJHB9rWNN72LO7sLoSTCruW5B2uqsIQMe3Pbo3iOzdcCANo8dO8q1hRo2SEr
HKEC7fx1pNyTuWfNU3LUmTHYz8tX4j0X9CVO1HzYvzETwCYnm2eo6tkDShFbYQffR5jRzqNqN01n
biajbA2ZPMBSA/vA+1Li6e5M95Ke12NfPLZ+sDSocayCbC2utC9aVj0eI+ML5D5/0SA3rC/6chnt
wkOA/qsxz7f9LLhSJKE3caFxMKNDdo2cZAWGMFqR5+QvBExcudwDaNhmLy5YJOMGSDZxxO24DMO1
m+PGhTzd7poXB/ml+XkgoTDsn4KLc2S5QAdcB/dicdVya15+VrvolfYrNEZ05Z5X+TuhcyS9EelS
yipbJ/KoT462VKDBioYuBjnjBj1RS/1sv7XJ8GhbQmrDOml2haCOavNPJO5jZXajp6jTu0R1Wivd
5IwtzAXNcpSPbWHiVz2WEFapRNWzcI/wNDYDhZ3dc+8pzImtICfcH9pyRNmVRrk5ixxEa7cMltzj
qjjBCsDkcA7fm5fOa409V2dcI1g7TybPBdM2xhm5kfxA58sF+cjnM9LhcKntR76VuEUohr4nrf1A
QBGyzixbMQvhIyBpNW6YI5EjPl6VBapzZ8kGK6Gamxrc1GtMvQZBePD+0MXB4HvoJ/Tc+u4OF2iG
/D02HcqNzZItsJz3a5hYLA4QuvMrQhTodQQO16D0ghcMjVK3vw1EquD2cMth+4PePt17SjX5Z7Ya
MW1Bqkb8VpApYaBsQ7ddqNPYK2hgNW+YlfjTbY8I8WL5lcJlerpil4ko08uvs+3+lUMU72jyzrrp
pLcsPb2/jMIF820Z0z1b4m0Z2KgRL9C3/f0v6PCOpamzDhy3Ovfi5LQE9dpJduA+5/7L44B+9hln
01BdAPvjSuAy0OVzVDN63Uu/RPS8zfuo7jWCXfwAOAKwtwD2CMARvYX2Ccc4mceCh7Zvd87u7Aws
IxckGiaFHHhDNCH3jHO2N39VzkQHDPCCYRV/mz86It8AkJ/sUS5DqGKulB4blMtOygn2M6w48DqC
QYrG1U2+g1diOU+tLwNBR3nuU5+jLRofoWuP2j5aLVU2IhdwLA5WK36u9NLDO3WGnAcYHPSIsacV
sS17GZfRXWtQPasKWvy7ArQZ2LTwZIEgYAzskhOJ962+iGcm6j208SMIVsq6vGKSNGfxZM0AxQ+r
82asO9Rtg5kbrJvPyYaVafAefPpXYQ1LeB24CGdyBeetyxa7yqsDivpU5dOD/Bmsaaj2VECwtXZ+
FyabxcnuDRdGWfp2QCsEQs4Mgi3Nsh03pzqjnMMlRP5zuolo+nO+sY01KHPJa6ka4VNhTmB7h9Vx
4oLMaoAMn8CjR9Y6nPpcfJtiiP5zwCtrkIpzkgZhUt8nHBrzK4gLAp4Jd5Ethuygtuka7wdbwGoh
tXV/g1azjBEdLjnN0TC9ojvCO0FzFiCEuAy4tXq81NR1TFv3FXWo+d0z9bmwWNuiRzcYNULLQsIa
v00HPWRElLjlCsiBWXN97kM3tg7FwnA836WaZfsukMQ5o/xVsSMwKU730uMOsA/KGyZw2VcpnJ5p
MO+/FbJJWbG2AnAvcQXMUMCHzwgOUlOAasocmERjjt8CYznD6QFiNmAQcBiL2vhMwT0S7+HoJ0FI
Gk9qkTriEiQ22xVlqt44UuLU/A29YxXdCU94fMmn5zBHtByonQy80pzwv/7WX1gt3ixUEoA3rVh2
pAW2CPuY1vtCubG2sZ8QSEuI8rO0Mf0b7lz2Au3yabmEK+UZmm/ZUxhbEqgy8fasPCEsqlVzR2j8
DNkcJnTBwoGuN4YlNIFYPF4r1dZeS3h5rNsa0vpEkM7XuG592jGTdVSV2JLmtZOjiTNia8zUZrvC
04SIu8YlEim8+fM4FovCVe/qXSgWCO7eO08xCSM+ij3z3LgkTr0UMeJbUjGRkfjheMYZ1ZVZ9ioh
jgNMtHYoEj/Ra5O85EkFetZTgg6g1rFWzPEhjljFmPFo84FTAZlEvCOjhEEvgkoQzfrHUma2yv2q
V/eUVMYULLErvPrxLsBqcJtcjXcfs01117cul6/9hir41+vB2gcIrEkclWP22BOKfMnVTvcCiQee
ZjiuELpQfhS7ZalCN+DCzcEFJYLD9G+SN+SKY5f5PKAQwbmUs5PaLbRgo4FmmOvbYSU6bYPjyyZP
Dv0aShimqNitlKsshYxzF9RNHDnZw75G4lyQHJGwCNcoBCpm+LWwP7+D62p2z8NwRqqqk10xf23x
/UJbMbEpqojnKlqgQNBwBDpB2lLRt0p1HIQ3v/8wo3mO4jExAwqw11qcERFeairMhODQIKu5DF4J
aoLlGlhnlg4BxuAFzZ4AdVyDXmHMa3sKjQYuC5MJGn4uNh4+5dafrh5DKT+nRyE50dRZDSXiOUts
ptgJukPqYuyTY5tAEgYmu7ClRVssntmLHq56tAv9Uxojo0AKN3/YPU03NPxZzfAXn/xq8tuEORZT
+AFuqhwaaU84Mxn+FSsWO4z97lgJw47HETgeXMvwStVNUIlJ81OIOEoouAVuT/5cLByVS7OnSRsg
KWSwts0xa1BQcEiQEl4Y2boMkMe1++aHPAHFBPNILQSSOaVGYAX06BDD7TSK3/YjtsUCrVHXtxyM
gtFT6uH4GjZa+vtp+OFhg/TLw/JoxySZrX0V4Wu8fBgLydUBq8SbAeF8gjD2Ec2m0zO8BJjqhhvK
0Thzo5+RQCuHmoh2wWuWoCJBQiIg7yG2c2JE/sUpRExibW7AeCMaxOpLxxuGfblMDpjlYPOEmnwL
sTtZY/9jqJ+mcXiCUhdXbNmSjA7Crbuq1LZuBewzcpk7u5Ksze8ycoI45zUL8YAfBs2vDWJcrF4B
t2pF5Rt/dLQRoGnEbqe4bNO0jlFWUaPFQLwsnDW3zlw83nVU8y5PycnCbx/w1p0tCfxevoz6EwfN
mgPGWylWAbUQtiICJta6MX3pEaY9sT2wP83qPfMGa0xa2O4e2yvi15J6uEvcUR8RDWdFx4J+F3wm
n/XmWizz2bX4VrCZ+wIxpsOpnNffhcoKjike1nKfEQvTsOUmXAxiGoboG2WBavY8kMsuom32EqO9
SY2dyizp3adwxKq9P+pcpE/Fbve97sRfhF2Y4bGNGZtTgd68DVGlPJvL5629sJY+bLy5GHsSg7h/
ehUO4g7dJLrIRKn8fOyzbbLihGb1UVtMxQM0G91p46XqfosFl+WGTC/Bg+ZRLLrX/rt5zglpIrnF
X3gB716jGMGoLp2suvaMygKtRdeSqXuYTg/rg5FZTReUqgSPQMupy8jcJPRzDygYd9tpI+mPzC2+
iczdK88sY/lL4zHh0A7YI/tgsmZtHkcmLzMydemVUy9gTe9Zg2Yy4VO3wKmaJvhS2iDQxigb7qD3
v2FSgP3B0sy34YJi7eRSi/oRz9IL051vyUgaDjUMrG+QSdk9eslejHXuGQ7hnb79PZ6g3cdfojNu
sEib0maC/AKzw73f7B/xx2isKvy9OnJv+Id4cpjxLqeEQFg8NUybs0JAZV3id3Jyw8WIT1vIdwpM
wi1x/OzLKOzmRXaIdFggH9gY29yHR39gaNV7MlXpQnipz+sPRNRgvCnuXlxyxw3vuadW8uumNkbu
5G5HRMvFgR4dzaUvCkdRVRGLUqymo5/6JC5wt013YroBSbrqHxU+eDT4WP8AeG4JmjTrdDdQhHXk
c9+5JO2tglSWjbCLJ9lgUfMlaYaYYBu/f+r7KPtB4ObCl9edazGi2Y7LCRYS186ENQ0c8SS4Ofg0
tmoNW5MAA9TXDndPF7+IZzgjmlWVA0KI4odO7UM/IG1W3RlAS9/jHGRUHeYsWbjwjMvWTj6fm6c8
K04Ikwhfkx26Ms8ALrQONIcDXsmDOvepvJR2sMER7FJ+oQCy6U7h2r88zx0bJkkn2mkQos1Z+DJH
6+n4NC4gplEL/uxXiC5QTpxlrp0PNqI3aJNjXWez2ZewEz79H4zdrA38MKlAoXaWRMcOLrFuMxNz
/RRZtoGKcbsp2vfuk/2Mr7lmnkYsVH9cip8Mqz6NehM5myr8FBVN1XlyTY+nHCuUTfVCNNJccY1r
8rksrydRZixa8wWIC8qMNXEs1YHqPlSzELzaDObaiBTiXVl71iux+TpzyDDpi9oNNUx5snJ1uZFi
sgt2Q7fEVmiQ18Ai43EDVER2SSbYnh9HYoHsKg/eyaAbxkjFCmJK6AjCpnUal2bqIFOx4x6jYe1i
mrMdEo+/ivJaYAz1S4GGRrUVR2rNTrypkorBnRnnwnc69YB8UHGh5lsgnMLCQxxqVuvszaz3/fOV
u74VaQA366TlVPfWk0ggveVsBCU1uDgowA2vM2MjDu9U6B46XIqN/4BYdOMfFRkLCM70v53ir5GM
ha5/toyXvlrrUxyqRwcEehaYn50g+prhd5rZrbDmOxoq/p7/89gz6r+ojViq1y/wYDExYfFtFrQN
Of5UH0ExYOEjhszCCp0TF7VXw1/D81PIrqD7f1CnI4RHJflCxEu2RMGyWGFeB6aeds+sPPs15fN5
fakv/G+quC20i/VaPl7Rq17Dtdc/GmFB4rVj3OO5kngt3BOnvrQsP2PhEIaxauzJNMzHp9ghH4YH
4YMTsPt0y4rK11C+JmtjMoes6oS/KOUvYndSk4O3ih+DU99ILoE4AuFp9tjhTQVdeY0zI3ZgJJ8X
Ycc2lNssqjqIExo/BFHYDgWLjKqNJ2MQgxJq6/aL6YJcOaKqYyGlEQbzc8qi2RFBhyGiBOvzdwXM
tiy3R3L14ohy76/J5Y2r1V6ItVjWQAsjkDeNPhY94lL/ozmHX6QuxMXUclkgIdoUrrGQ4zWJxfqO
/J7/EalHQsyYoh89oYr+443VrX/PJK/lNToqUmsg/dh1w8s7UtRgak0OOumyCrYozTTdQmKXvkhw
6m4STWxkSCnN+JKbeEtS+1kfgRXxRBVXURFUMVnYOjGsWXyCyxclWHbvKxwndlzkqMR7xglUyBBO
s+3OqjOsUOMgrnaZZMqtPoIl21DwKKnWEICaH0T3yKnyK9V/UiFCComaFTECVnzJW0CuCKrDIRiR
lIUU75vJTg618B/sC4moEn1OyR22Weeg3FN6hCUgIxBea6kq3TvtAikWpFWwipfvwpGaKEuGl4Qr
SkocFjcI65fuHlDO+ZlUS0tg07mLTxNhFT53XFGAKQkpUrIiSfI/hm6rXB77xGFv++CyifHFJ84i
/zap0CSoVGBefetxyY0QLF6yNExyS+f+xiexrKAgRl2KHb5r9inoqZNOUjs3kQTJN8pNldcyCxwG
vqBi+2kEJm/YUpLY+Ns42Ruax4elFSKyO5krQ25xVBbtMXujk4zaL17PbyjGX3l9EWxQbKlvqHFY
R/SrmMR02R1wdlsGOJUmk80nL6goOlwQ1i4MQyn2kKhP6QjYjc6xzBnSnziQismb9rzglkqrjWYo
+Wty4rUUdkqCC6TjNRQZPe5Gq9FccnpKQqTVWE8aBxQ1+IX3deiI2v0CBgiZRMdlenp8lPVYYo6Y
axe6M/h8Wx+58FODjkGNkwpTtKLW3uvXh+XqwaJQl0TOlbLOtIvA0s8xC7h5Pr0hWKRPrxeHafBE
U+bBkk1qPXlY2h2j8kHv1+E+YJRV78eWtM0JBRSbbLb29EhgguyG8otB5+g5Vj6ZXxSJ8Uw9nbtb
UiAtp2vD+dbKmS9kJeN6FCwp/YlnMyxGNPshO1QT+Z2UKz+L/VyVTjGGXSpqOAmWtPM8/C76by5q
033wdr5nSlcQg5ghxUWcpay5rJwR5wWJG2vUAWEpZcEhSfTraYHx9Ai8ZurnGO2BvZArzvVSoTdb
bgzrDcg++RUKgraBClVDsYe8uOAuUqK8Mjr5TATL2PegM+XiO2edUmwskzfK/jzg8KmsYwrno3zt
pjJ1a1ZKdj5Sagl9SLqZGgZyVDUn1jF9ORjX2QtUfyJHbir7PFcVDQGBggaocmY8HW+gLWjMwkBA
oEN2GFvweC0fJXpUDqdbxKrAUPI1VrgXoTpC+fHKq4VHh4vXmAs+oc0XovCjUrbfmkh1UkNrXeok
lCob05kGreno0jtjhYeUXLHnmqKE32/mG2DdcwjYelLTUGecGWOS9KRQJndU1moOlHMdQAShhZ/g
E7/k8vP1bPwPfPhWXFbeT2d8uqFYk+IFy1iOJllcTodBrzgcFZOIZ3gJt6Pz+pDW8HTanC1O0Rwa
AoZcOi4Bx4hOAuc/IuEWTH7bvInjZRBMNwkppQaLu5AWEjeQHBTTyal9Iw7Vxl+RbCDNymLEaTIc
zMYett2VL26PdAkEMiaX7+V0+DdWRz5Qp8yj7bg91IUTsmZVxQJ5z6zQ1CVTPlPWtbZs6ApoqALT
BBZt8G/cRD5smhjRnIlaatjc0aw7GWuV/Md0ubFMEL6DF3LbOUNOcxIBslvdK18CGS8BqkPOiA0a
MMmpfwAMlOjXRngTz2nJWmTFfPTdnq6uZUsnPV1TPBESiglHxjxf7oN6FoByOoNxiOs5DnMIFXE+
HUOJeHBhjBtuA6+FTzqNRYAplJ+RKiE5BfpKxZ1wh7EKrPPc3bUnIlCT4zBHweu4DZKJAgoEcBRk
Z8/JX9y1lDNvCMVNZ23o1zE+uJU97IzMKyWPb6LnHqYE3CvcivmczLHW3TT7DNI+jorDHjc0NpgW
STGvmzWDrD40rzRIgycGjzbS6PUJ4iRVj6JGnpSwBZSOR4sNLWuceB+2En5CJubomMda6BA59o0L
OUW05kUmQWJZvo6WzXJiNS9t/REDE6vgsMITVrdA2kTZRaWpkrcosoajC+k1F5e0xrGBAzGWSE6g
uaJ24R5zmK1/Yu4Z1ZGHnO6E4MLfJ1oQl/vS/2HvPLbjVrZs+0W4DzYi0GV6Qy9SlDoYEiXBuwAQ
MF9fE3lO1bm3Wu/1XycHKctEAhGx1157rqM0d9raOob7ljbXemGZCMai4+4onnA4LqSJr5f/jnj3
agfXmntStW/+dPrrCmPYtvojnkquD1B6auFcb0bgU+/TCa8b72wmLhQ1GOq1DxXxwANXrV2njX4i
Fk5BAd5CnKjzo+NuuQvxFACMdq0dF4zMdtIB+ei4UCtjmPGfZV9g+OTCsgLxvQ52ayFV7Rp+7gyb
OGStM9cUIiCP8l8PZAd98G6PJveL98fnym0Z0bfzV31yLC7hz/Y54j1ROHEzpmcuLGUePxLvfzUE
ScxFm0TsIsT8u7hea1P8kSkMsPJtWS789+tNYJAyN4CJFGxqBqqig4/KSVV2R+fCJdcpZCwZSe1u
MPPdGLabA6vnBoJzCT1yfEnFBw9jeEk+camWL+v9CnWUIlWdQL9n1fcVPsqWl1Nm3PlUbfX4JQ8Z
+r/aE/BT66uNx/P22Cl/L8x6pWG8sJKh8jGIrg8cLbwOK9y24R6rwNEewAWQ0rJecAEjYtMQQv+e
UDuwlmPvosOIe2o781DMF+M9Y+lvv6Cz4eQIFQhLkhMqFKJnWUQHHoP1+fFJD8VfuG2w3z0xKV0P
V36Bj7ptLxr2oNmGNM7xsDxE71xR273H2ZWh3LtbnoCaNYQg1u4oAuYfjlr9XO9r75nPEqHVpiFK
27Nl+AuhHkiTRSJRvxu6PYZLlFxWoAqZFDtXGa7XbZ7VmXXYdUNWf0p80Jr4+2F1hEQAbktzDPxD
2W/zeMfyXPtnbkPeBWBKCmiLgzoPqN4RT0O0NCfS7BQmD32MAXwf2zw8uz47MErBk4YjU2Wnevxh
feJYYRnzf7dgUSHCvpT1ruOacrwJPyBlN90WD+J6JwHgIw15HW/a2Pfw7Dsuz3Lx4gc6e3F7Mcll
ruAzf8BYWbteSAnJLiESmCdUn1mrXCSnft1oeBaJWfF/ICOEtGkOTXvkxuSj4JbF8Y8kVaWkZ/IE
Bmh9HLIkkFr4EW9sRrDOuNtp4o3qwm+xtK9nDrJanq2ffK8SEMyw0r4I3kIDVWjDTl7Z7PZnK38p
6JnN67vgT9YkD/Kt2DZEIWCMhFiF2VoSQw9pZbM+9xbez28oIvz3stvy5PEv03Fi3y7YTje1y91I
039eF5B1zy5Q0k6sJBiUFwLMiDNHDAqeeSwxp0fde8tCT5SXObv8Uwzfp9CHPrnh6YFE3jOPbk9e
GOMKyw5A6cQbwuzAUwH2bWm3An54f2a25G4xfGB4YIaLFxzj8WjNexvpPN42DCbSiIHTYi7AnRFy
uNxW9Rxx4mJhuS1GPKzNU/GNe4ZHip+MlWiBp8pPcFvOWYxYOfiIYiaLixMfGitPiWlFgIihvYRR
a9v9wBDCAsV+ZwUn/jjoPepmzssAhPCslZvaeWQZG9J7rfAZczYHCrrh2MB/xv/K3odYxrdcQw5n
PC32RI36RAcnCJHt1yYDHyt/q4wZzMEzfh86bHaM5GQToEj/HTIP/cz1vMc/xREkP7CEFAtU+RWa
kOWow4a7Px6hyZ14ZtDTCu/HC54AWjKcxHj38pNF/gltlGKdenXdvnGeIH/iLIIHutoM+g7X3wmn
BWIym7NGYQL+vJAAbzlqryZAh5sOGg1UexaPICTyLW6ZU/fafuJirt9buqJbZAKR8c+zwLbt0p0H
3bq4hDNOSGJ8WFTBEGXVy3MA+yX2MlJdcpycBMKkh0b4xApM3hnAk3cO19QLO8NEVfnliYG171nP
GEXZz+45BzAOaiM/2WNCo9tiqCUVmuBqnYNlJ+fgHA9RDNbZJQitGj17Y8CbcLMjnGnhjHBGSH9K
hbV3Fj4R6FZvoxiLTRx1ksGKacXL+R5ggy+tryikVhCDWqELcgl+6TL+MUZsMo3H7pws5WGQu4xz
TRwr2ASYpu/GPgReJJ3XSRGlShbS3389EmLeR7l6vP2Szr2SQ479evunSwIzjhPKTbWOBVXu1J/L
DpDb2KZcssFcUxcTZf4/L268YMS8fd8nEjOo24DZaXlwtd+05zhP/vvF6w5BULOVjHPLccN++ecP
ZCL7VLMYyPuqaAKtL9rMzBT/8/3tKwNCE/pHeZpXRkV6Y1TcvizsGkMjnOAMqs1ysVqcnVauZxJx
Js30k+QZSfH7b/uI7KfbT6ssHKG6zXui+tYvb7/4119c/zbOTn7nn19s8uhkNDVYD/V2o0nrgfbA
D3F7AdAMrvD249y+vP1i0LRfQ5tO4uQxrRSXNqgyn50O+PvfL+P67f/6tdvv3n7NJVXay0R68CT4
dRJS9pWJW6wuLUHowN9kElusAO27tt0OlF8igYkwXhB349Y2QbBxBS7z8DpkShAPLetDB1KSKEl7
wSwWqFXezlAGqukPkCRN5Rf9BL1RcCJoz3UU9ruxDWiMLHjaMiS0TAIzaEwVP1ZrPKPnL5R+6yBd
0qF5gq7jSN4x2bQGM4H7grA7rNyb8anp2ZCNHRCYXjR4mmdKooLw03WaUPk57FpCJsJJ/Sy7Vx0g
CAbaqb7YtEJgxoNFLUn4Vm1GOlhDIwSRxNfieXadJ3he9cHzMb62Y3TXTxxPZjyHh0BDz4BxISgJ
0Ofqee8lYH1Tny2tNsNLh6+yQbVSOSl/TTmcIM3bqePRhNPtNpoGuoaKWgsC/bErRnSoxt+FDPft
yokrHc+MecMV1QCItlpe8xho/Jy3v6bBYoMG1Q8CfCTLnWZ6ZuV069mEmD2UG7oKCRFwVIVkS9DH
JjodKA8X1ajtaNBHQ5tkqxFHSOlQYUD0fq/t/oSfPhXg3+uM+rmWMj05Cx6kGpVZIRCKEWYeKSzf
Tc1F0+3oo7y+eyG1QzVx2rSBezGsuDUlE23Td+YDgXtIg+Pfu0u85KOdAUkkQxLDVq39Q1FDbkAB
Cpw8OE4e0XVNweExqWjADIhVIqIftaDt2CnpsYPIYkaahuq+bN1XQhq2glGIk0JCxOrFBK3EeRTC
5QDzp40lD3YyfqsHfmLLyjEFWuo69FPwYLN3yYFw8YksPT/F7Nkk+TfZcxq1g59hFgbXeGCDKwMG
TZs0/uoIKkN8zISouqS9JmYig7CqLqFnGJQgzMvIoN4Wznq8d+poF49Vcc842FiPBkqD8e4rt3le
xgGHFI1eRlCWiyODj9b1sBIY69AMKRyckVQlRcZjHD+P1WPnifBrukqIwS6EXHcpJ4Diad2TZByA
pGvqS2DpeymD8ZgTnSDiwNmPY4tXhYd301ryeXBS9r2U3OsiVul6E1HnpNKg5shfVbOMcP2Zbct8
/1cLct6KQYP1gvOIZaqKpCqJmYGgJchN9iWRJN5BftpmC5kmtSRx28mGb2Sa0AVa+nyfOey/s/9L
xnI8jprBPsY+HjyTu2cPMmlcF5z+5+hH4BGIaOUjgeoxLOovZSv3xnfCq27aK/M0/YW5FVB7zh9v
7higaRDO2ALoNWBIIg8oCJzsYGUG2D+TR6XTnu3lpRcMz3bQ2c4V5gjG/E7KSFxs7kyR1GRrXI/o
zkxIkS8aBb9gA5eHshaHyCnYCXT3Nurq+ygKRtoG57B4xcN6pzOpG9q7wCpcQszmnypvCF5Kk51K
GHkbGVFpne4wcf72w6PlOccxBQhmC0ZtqhCvh15G+DnsI2Fv0u0SMexNBCzct6DFBiJbJmDbQJ6s
gfNW4MJQd2N5LknAYconmrf5kJAUHncnx7aW0+hV87OfJMesCS7cIuXPInLvFflQbl9Pb4QiHOTA
mJsY6ayNHbJhor/53XT0VW9dlhSbBthEBsCmBSiE6t5mu5hOnu1dWz4aJEfc33FCnvPg/Q5G6hsm
rkB9hJyKHGd+mOjvjgDeYHUFy2Pge1916HQoH0t60iC6kRYRokD0UxMyhCUaqF2WNtOpdkibqRO6
yBBkoHNva48xHbsVrzPzr+c59sdDGgHond2qOi8cZERRrxlf3vPQZl8iJ2z3LMb5yc3eRFzbD33U
XMN48S4u/SyRp+6XfjY0dbBidRoACEFq0xz+Ak0EzWxM/8wJCW2ul7zV25iR01OtvlvpYq5hU99H
7VwcYECkTA/YP8CoUc1H9LNUo692Q+ZI7iTkchnqPDoZc+HcO9bCsqnMuLdymeycsnnnLt00rdXA
Jewpzw3kLysMil3aWXQB4+DVJwGlWAKxY6T0dzZF16xzPey0ZbFZGo6d9ZjCRaTaLXLaLq1PG0jl
jrgMkfnSkxF5ipnQofGwSiTMDsc6S+/TvN37svzTSYf5AIeYH+A2cTSOawBIDjzH/dqX8bhL/GA6
jKYBDi7NqQ1mtlrfFftgpDySxFGWdvHuGA+PRjc/WzKmKeaRMlySeRfWdcXgI3l77gQKsGVpGXzj
7kfbHa5kiDzBn/s21f2jLjs0gnzyQM6ZK4Ti+NCniUGDHomjnrvHTG64ePXBckvCgfpYbqUIiH3M
ZywuFpFXkRud3MkUlBaWPvcBA0mdQFRoe7f4wvjP4zhPV3BgD1YmoOsvJVMQHOjbBjBVwLAkwVko
KJlV/aoIkCyyYMf53f8R2cw+c7O/VL6DVC7VKeWEfiRvY81PHK5wv18cxpDjSpPlZ6sKA/eWTKfs
2JjuLVzxrAY6KPmYFFtLrD7ThdNmrQasMgKdSrvxSdhImnklgxP5fXO4zyeKQ8dgNekTnKZ1jzan
Wp4Z2xkOvqxxmWfmnqnHKa/+MLgPVVgEP5rlo9VGbeIUjH5leP+CiZdlCdP7OXlUQYm3YfgG5Q4z
60w14F7mJbv0rZ6uGhg4vuFfcSA4mMe6f0+sl5HUyG0edi28RPMrBe76GtJZsut0ACeg1H0cm8+4
k9HBOnlBcyTSAC5XPyEDLPWpLTnS5055STTBSEHefTq9OWiX40arEMG1Wj5ITFxDNaj75pnH+Lvs
up0fL/0ucAztZidiC1ryB2e6n700uQ4NLVSVefvRCWkQSoocynDoiRS8K2gWEh7MoUR+02l4Gt3h
GxvOiwAGTGgJRAlCe3lOd3DOgmtD3uTkLD3T5qvGZNevU5jWpwwf3FxMvEmXAd8Agd4LfdqDncf8
s4Du2l4DUhAfAau294AJkPXBkYcoBCoxxMpMzaPnAM7KQ1qvE4M4eQL2ZcyWiLUp/6nqKLvqaMAd
lOUHIQIk1ymA8DDa5BTLbeJuqZGCizMBhJWz8xUS6OMyjOLeKfQ7Y+vskwr3ZsZAuuuy5Ewz4t5c
hU+54KMEFIGryfVA+ST0Oe2x2QrnGcWsL0pIMz35PItd3Vd+l6GA92h1ogl2RdydM2Pa9w7b4r6h
vw7d4UUIjXzhN3xkBQc6Y9Olbx2CiBZN0mFagBrPBsphAI3kHwUngJ3uyQ9D6L0gIAcAPevhG+VM
duYLpWlz6BjDxg7Mt6UqyNrKg+8zJB8yj/VlZMgY0dL5rv32sVyZmcOy9Jv14RH5DAYz5uIGwl89
uRxJrXJfiWneAy0MmMfmGGGxMhWENIw1OkiU+d9rzr47r7R/lxqm5GSPYDXBdl5SeNIhD2njxixj
Hjf4GpJTjINzikxJbGUNcF6wTFYjkxaeYlY26r6QOqbuSQwldtmtj3W6jiFg+KycwLlM0fJg28Y5
usAhjtTT3rispwKs63lMqIm/YGfEEEZBfXZynT8PaZgdkoHmOoEL+ljXEsiYmL2rHeUA+IxANUsj
4tmnkxgZP1JyoOiDhnAuCpOwX+VoUkAUfWfxOJ4clFfMjH7P8buCYLtZcjDfWe18xB+FZAQ/41C/
FXLJrx3MXIbgKvY8144eZpmv8wK0T6KgeLNtdBHhO85ToxiG9TnaECxP4tHUKSblPVgQvoz32ACz
QxMtxEz29YU5xt/tLNNzuNQpygnRBKI5LRaM57Ivxv1SO+dI49wOZVedNTJaFfNmbRU/9h4f7hoQ
1NoLhWEA9mtUNjayGW+GlRGoWlfdh2WBwPNcE3JmyfRJz9jRqSKQnFJc//3SnxfmX7r+wXJNfK/s
7NH1R+sL5a7H3vm56K7d+N3FiBTFRtFrHKyXupLQzSgU5EBX047YvoueLnolHyiGtlXufY55IvA1
k3uY+WVF2wE8e9l/mGh6R3YIKJ8Uq1zQHWupWwYowuYaDd5IQ6I45RT3Z9lo1pY2OXd0+i1tR4e8
zQ0zkXycjDQfrKWs7ojvW6tQ21CWexgnY3qGA0fnqsAZ6nhMnzhjeZJl7z35ozkZ5BFDCtp9MltY
28kGeeD+ZDnNvAUsMbFWnNM4bgvrl8tkwUU56ceUsq3aCU8jdwsPNEfYNYqs2mun3nfYXjuHZXQW
BGY2sa/4A/pb7Y0e2E/93R4DsGBpyiPaNHRylg8ntd+SjFbhYmjLqxD8r1vQ6o9mkgytqv2epEC3
vSmmSYnXvGuw/yct3Y8kMZRdZf4wpd6rJUdzsMNZ0vcgJernGGO/npMGq4YFjLv3yN/QyXOxzO/L
MjNCFiIAD3X5UHXd25JUR6uI49ci+NoZ8zllISbahFKyQeYAS0qimIt263b2uZtKpkNwkID/x6+g
zkbl94m+eo79XS8gGUovvEhoA6S3CYX31rx0YWmec3v87Y2MkShC8wAqhMFdJ/P8lZy7DzG+N3Ud
/Fr81yrNn8tJg6WtFtpA2bQ2nekEdSFya+7fT2xIMG37P6YNzbEP6eXBrTHs9Et4gKAEmszB0Qi/
5Ye10FlwQHMbsqq3Fh6+nZN/ZcEy+yEjPBWZKLs0Jv1M6+JXI+MWVbd90k40XCu8lIZdVS7qV9jZ
DilSPv3Ifnn/MShnerAHixQJLhLcivrQehE+gB0sfPfJ0eYo85KaZuz3FSv4ZnCmqzEkwrmxx4E/
uV9K6HKhkbQumuU4QdfYTPPM2MEAOCIVp9JdNZd1MHHUiBhz3yCIDy3IuYXDlNs8MuNL64KcI7yz
/kcVhr+90qr32dD9rASfuJtGzWFexKNXOCjSmdx3FqciSW3XKEZpfItpwKFqGdHHMD75kEBC5rb4
1Hl8/GTbTRKvRx4gFZjEZcFmVMDK5+jBhM2vlDZl35d/gggY5CCYQSVa0GKliUL7h1ViJ3JiCJBz
QR85pRln+cApO/2zcpiCIphg7tr6pP2a5dWnlItM8nXouo/JLMtjETyFJZPG0OiLA8yPCu8iUCXL
4sTcoaWH/BtW0T33uSbpc+yGu/8Pevu/A72FCvTZ//l3lNx/gt7oSP0n5O32F/6GvIX2v5xASsdX
vif/jfEm/iWoWRzhSieUrlgpfv/NePNWxhucXt9ToeDvQRv8m/Hm2/9CaQgRH4VSPmds8f/CeHNk
uIIL/x1sGALh8QFVeZAEXUnq5X8y3uay700lUwVPOP860TPqdRLQmrY2QxsynxZl78qd06uyumuX
Lh3e+oAnf3Z/0PVhgnatRVF17uOM6rRR35O1WvXI8crTt5QzyNAUf+a1qp3X8lZ+79dq16fsHdb6
V66VMAANOjDKuzS2vqYG0M4wvkXazk9lhUN2GIsvrm17z7NsrlY3wYobCTiJUwBMlTUeRBWF53xU
r36DlKV7yXggPtVYq2usJSHQ1PPBWtl7g9XQLfJ7Rqa8nVXTDmwctMIqp79VFOJrEmY2OHlmxgpv
zRWIl4dAOttM4D6MGt97bivxWwrEvi4xv9OgL+BLBdc07KeTjzgBzybey4IHzwOXz9CiZ118fz4O
Y/9tTD38kJwXzQgzKBjp81bO9JbjfWw8/971h/KnF4oVWHCM62V+nqLKPjkDyRdeQU5cmeNtr92M
8EN1pq6x97FBgUEOhvuGJlNYkJec5hF+dgW2b9OGU7o1Clf2HKQX3UjKc9osdxAelwsdjaNfnGZE
oOmmBgXHcFWHKHl24aoXKYQjsSpIBE3a5MKxFLGFP/irzgTibDMhPPkIUDM5z7sh8g9dkZQHB5Gq
XdWqbtWtolXBGm9a1qpqzau+xRBQv+pdw6p8OcvLsCphHRNMq/zkBCo7FKm80JFzXeSLcMJuI3sc
XI3v//G86uJFY3+pLH3NJotg7VHtxXveM4OyhNN9AeUNzTj56Y+t2WrXPvurjoeY8eAHNQf4IJ2O
af3b4sfbDLGdU/WW1sGmRK1WZTBdNUKDWOhUUQBwAFUGwfTUSZxDmaerDUyIfrsEzNyl+K2NQY6s
OU9JHxXDjqNfDqr20cshcOarcpmvGma/qpkNsmaw6ptmVTqDVfNUwnyv7GQ6Fn5/n8cL+GZYy149
9rDrmcEiZ+2yuGLH2IyqCSCr50dUtfhZZEfP4PxJNA0VbjAsNsywNeojsLzlMmuFExlZAh/Es141
XLOquZnzx9cYexNriFbul73RVoTyX9EckxRDtNqqC0/ctEWyvJR+w0hfqGn99ulXjtcwrnJBuKcs
xdWuP62pw4Noym/x3AM2VAxDuxo0CP15NyTfwXYjyvsm28ZpC0gM4pWnSiTi3hk3VmA9jqvmXSJ+
q4INNrFPpbK3g+F0U/io5A5DFUqIEWee2IvGx/Y9YzPmpIm+HlOl5PmwgREfHIO+3U+yYFs3qPID
04zpWMTEquUffeETmmaYf0PLn7+nRYqVr8pBW6kXPbJwOfOMaaW170hsA4CzDuxE3DV4Q0gcTo9j
hqaUlJgbXJeRxrp7Bmn4x49wCqLzxqmBXTStcU/2byWQU4DtwENoaDOQCzll5Sc/N1yIXJ6amnqi
omMGrYE6WdYkHgMIrtGGmGztEkSnbxPz9XnUWbuupNFhFtx4dvJWsmiTLttjOChqVM01iFTD69u8
6Bo72RJhQwrEhLz0EjNyDpIyPblN8eh3I2e4QHyaJFk2Be2UXSRa3O2rBD/nA6CsHptuX9COFRkI
hpVmXOQMi414hHpSq8tAbUax+kn8RxFiZciQFDempmE+RDkVBFihEErcpi8/mmXNLhdBS+wjaUc2
p03AetfOBVdQ1AuH9JngHhrxUx4xExjH+9Kf1XYW+ruYuH/8iXfZ9rKh0S2/lr9phJA7VZH7rqGu
5PbKsa/na5hS7Axp9VlPuMwimT9wDJpxmvUW+mJEgizYkeQGNxrjO18TNlGVLn5/N2ASxfq9hOiH
6ZSgbZE8uPXG35z4EI6nkJZZ6sXv7Ll7NNWnRYcA7Xpnna2br1lGpExRlT+pcd4sO7o4Y4f3jJEk
EbuGprv52k7DzsJopp0M0od21oE295IUXfzKyf6lNVWwXyYMMJ4fEAY8tB6UNQO7hOnYmVYRBmZO
nLKz3UfcjuZ99lR0HrIeZdiV03acmSvrGpRA0kHLB1syYu25qCh+h2Uklkzi1f7yFOW6Z1CivZIP
we0T2ChUmZyf0MNqbnaklZQBjR4y4l0Uy/CsfIa20Ab6u6nhQA28S29ki8GAKo8UYZcBBMZaEd5O
1gy+0Q4VoxodBoYqwZMWdll/Nki+wgQLmb1Ni4GxxKxUDxfC5NkT1ITl2Sre1KyAIZqWan9mzifu
YGQb9ECyBM12sJEphYtM2S9cN73ATg5MXTxwAGbxjfr9KPR9OjTXUsT+hThTvYnd7iroiG6DiYw+
CD4HEXsPSxOOZ5dKljQeMmdTgJZuejQRg+nCAo80hSDP2NlbCP7VwW9oenNqsfbKAaqRjYIdeVV/
6uQ5tSV6uF8Rdo7TSvblMUTvwcYPMlFpCeFqgABRWLjZyLnEzdT0J6IgtkXKkB/yLTeCYiAocdX9
0PjuUb9aacMohuc1d3Maf4lkgs8E0eggosZsxmQ1wA6GLRewdyCca7DGTyVZFtyjhTEp2Ozbxpqu
9PVQjQye0xwopxg1yTiEDj12KceAEJKCBUUhLqxXBfn0BOUG15IlGDQhOuM6YEaf2zjeBsVso5q0
kgWIBIwkI8OETM1seO3xkMi4cY/xIp1lYwpypOMYx2LUCHxGSb/8ZVgYtPrl9jNDi+7pZl74x6Xg
d3MLYWDYSHuqAE2Z10lGC/gy5oNbmm/cZcxsNq5g8B+VclNym51F433PYOkx32bwIGLu0SxiR7u3
j4E9zOfby1IMDsbb8AeBdB1uTPP5b+GCdrl+2mSTgfkixKIMluEYBRaWRpzXfhIXDH6EsGmGvMLV
hyjbdwqEAC0Ljya8ZB/IAziZVo5uEVvzzun7nz1ncKbXagr29YecqhGjuivIDIuwKk5DkEC0zW3g
A2+6JIQ3pvaH3fkW5WtTcSAwVgWqOTthd81qwNy37+JGXd3FWMwXciPOKLrn21fumq9x++qflxJ3
oNek4XFwRqBk60v3P1/NrmedVmquidJLotZElPDFo29wIXsrPwH7hUurHBKEc3w1mWBgIbCROTi/
7h2/ebr9uKPEppeQbHIzudy8M7cXb+wzAAurY+P2IuJEQm4WX6c1kMNfGVumiYvqGK2P/ZRqHK/U
MuytBGFnqwOkW3P+/Fu05e3Lzufy5nTuaHZwv9nOV8c4LZFuhNUY4jvmze3LImBcul1wOXLk+zvd
UgUDQ15/veZrmovj10+LsAuE+OnbzdnE/Vn/5XG6fXt7ASuLQ2ZNifHtEvwqQdHLMoLNWWNZPOM3
52B9uX2r5/y33XTt7p9fyhuN2BkCfoNY1/x1GYLbZbldq84NrgEywt79UmmiK5OACNtooZQHuopn
N3WTy+2lW7/q1J92zeJIRmb/chvYTh5To9SES50nZgHheYvjzQz1z0u4GqRsLCmkAC5vpdVY5yZJ
rDOpyNxzKc9na+ExIAaWwCBe6BtrlOruNwHio71ZxhaYYSePN7tOtLp3bi83H89fX5FNC7pqcf3d
ZPXfbs6k24t0VpqcYv6YgyNr39C1rOrhQgeAdyrS4YGA+ZgkvIWeAsliL6Ec5/3tN836sHvtRP+w
nRgcuBmfhoKpJBs88/a2Toh1idCrD+r2FeDGBnDA+r3p4/dUjfH+9qHcPovbB2VW95Wo5CthM0D4
ogy/VCsY2YcV+5fj63/dv904UlN18Ar/+Q2JD5xj88kd2mpBT+JGnlg1ijt/bnHHciBQtwvCPv73
pbpdpXBqDHnD2ZCcKCf+ugS3d3l7vz59mfM/75xlmwlbnZxKJN3GaPoMtverhsFLtErlH2XvPDtU
xNKnSxm4ejWmhQxaLv63bhX+XCN2fQ9MYa7frIpg40zRzXCXhWls1f9GZlOKodupGOcPjSIP3TcO
kelgQOXwArZr0vz9Py9TCOdbkrTTBYiNPo4BsYT5nWYkRDKG6abBi0lUgo32vrXaBzeOnrSgdrMS
NnqfOA8SR4HIipPf+S91X78CGWDHpBfv4yyWOYd3p8z3S1jdT+Y+q6pPRzrvdswMckGa1GYc06+l
/Z4loOUK1XzEhhBiGcGM8XgEIMU+EGlWHGt/erb1Jqhbpuun8pqiMt6VNh4TYTy0LypPzen9jtPO
fpBQ5uwlyPdxMazhyBx9pPmSNW5zoYN433ujOsZF8tY6syRmEm826YEb+KcSOwL7a4xXaFCyOjie
u4FziZ6mvmT0bJhtSC/qp4VOsJtL4C2DGl+CAdPRrMwZP+V9oT8nF/v0SwP1fx8lFpieMr8mwfST
ggT8lUUy3rDOO/tAcGOfal2pFiUCgpeIaGPE2uIT00zYB49V8TSr/BdYYqZYZ4RqSCw/uoHDijXj
LbWH/KqCFXWP6yXImhelT8QRHghRxiiuoI+QaP6USwT9ZPKgI5XFmnh/PxBWzqnP3NvTeyQZPupj
CBwcMnqteSQATd51eptwZt7KhvBkmjgOEY24NzlXKRIQl74uYYz1fv6jC8yXTqjvhouwJMz7DSN+
3lAEr7rIz6q0XyDtt6gL3q7Ry2fuUlObDHRJNnbPPgPhmcBBTifPhbGavg+Tt52M+zZHUU3YPHOW
ZfBba4/4KA81200wmXfDEz6SXVLvF3+69LSseOD/dOtgWtiHyRZzW+5OwbXNil0XMBQ2JNBOgSNj
LYdv1djdS9ngOJ0Z8KTzgPT3c3HzlyxcJeRc3BczfDmVV1cZTUeMKee+nC85ZN3cMLth/OmzGuAw
l/pt0fI1d8JvoRgIy+I5WuolONkevWOMPU9FA8vRLkjnxAvNmfSgxfBR1+ULP+WdY0KSbpxMYd6m
8PILqFZeRVMAji5KCc61erVCpsvW4mOIx6ep8Dk4QitjQAuijweaep8ycur5Zt4EfgB8oQyf0qn7
WOboLEkBx7bdfWgCFxk4z5kKEfD4lAKWonGK91NuLm7apgdaBN+w+obbyKnZCoB4j79l3cl9pJj2
SFrzA0sEi5817AI3xEKxsByIAZKPLJi/6ZQiQGmb5JBQk5izskWYqKicL52qGMxoiZhKMuCFrqaH
qaGLcdVazsnAhkszXpCt5y3o7uNMw/au8/uJtCi7PSi8zUNW/SnaIN0Y0Xwon5mNxoSEjzu/+zns
tkmN944jFm27CIhXERIS1MCCi027RYGHigOhLU8wtZUGZJ45ePmERlTC4LAJaoZKa+FLa62r7cbX
xGYwOKa1+tQQhLsJtXfoAvkSJpAEa+OarfSYAyxoG2Wz+MPJIt55A/G6PKPSjR32Cbwy6TN18XJ1
/PRah4ABLDH88QbmTkIwK/yTP6ZA2wdg899wBddw6H2Iyq7DPC98PJUwrOD98gstSa9dJmz6IyAi
Muyxaaeeug8a+sURaBR/EYyOZe0ddj5cVDYweRlVb3Qen7oKNbbMoRnbvQ/52C3e2TU6bimEwLm6
dvFIqYYRlhn0Fxi8P4XtVfekVONqkJZ46EHZ2OE6uGxhK01Lwol7czS5iU9lgizQM6oSRepPlhXT
jjIk2NAVYVxP0sYsYZclQfPRoVhfWda26cSnGcT6D7LHvNerfd7PyVGKoteWNehche2fpBg3vQcf
syz17wQVBQ/qH5XN9dYiAsimHx/7xTOGGzAIRkCJKm0m5YDVtLSbfAQEFrJ9yTlQpP1/sXcmzW0j
Wxb+Kx29RwXGBLDoDWdSs2zJljYI2ZYxJeYpgV/fX8L1SlX1Xnd097odYQQJURJFgsDNe8/5ztdh
DN65pIMeUqjFQs+FPAmpIvuRe2LeTwgWrsXEtTGjJhtcMru6oKN7dcg61MySSxofpE7sDWzttY/T
PK+WdhOORnwpMKwE4b01DunOMzjLUNVCVTcnm9MgIs1mAUg8tB54/4A4VQEwok0f29wrbkWJ6FcU
ItoOwwRyiwui9O8lC2swCmAODHcCokIsynAD8R4PlfvaKr+kzhxIkSs8KG7vaFLAQljhIawKcMZW
72Fhw9jc42uy6Z9vGeNcmip5qcwGGkC/Cxtvm4woLZ0F6VPkoeyJi3TRE1AgIimOONe5Q6qJ9bzx
+YNtmJymJQ+jLR67rPYZeefZqfFOjtNM14bAGBR6NwarMEIDCzwK7ucyZ5JWZjnA2IoTWjyM99Ho
bAHioxWMkO4VoPfj0b1xOKqRuB6XbIIk6Ezwpmd7OOAQL2S7U51E+4Ba3xDYrSzZ6Hls/IXokqLv
3Csa3qhwho3rWY8xhz7ybdRwB8+fvueOjnC46Ug+34xMEnaSFM3tOBCJmIbDlhErHTi4YSXxa2lk
pPfzeERaY15ok8FVNUMkvUQ7gz0TDylTRxJzgQO5X3L62xsEnNVl3fgj1ou8jE5WWX92ObFNu8mf
gVr3Nh0vmkP1gD+NXjBp5220n9Oci3/8s1BRfRVNrnn0Ixg1HRwsToZQDBx5w2VumydDeMsAFz+M
Kj9l47e0v4rsxtv3lEQbvwbOEDnOU4sAwK8BmPd+/hYS/gLPNm1PsxxfFgvTe4JPPJavZo5KIZfB
Q5SR1DxSt7TpgyN5Pp0//VAJ0vMYkVkRuOTjoaeI3DfPm+tLX9aChfJ5MVlepb18H1z/sWpIzOs7
0BFO9q223W8LHQ88lSgTlMtSU7vpgsC4gfmf7fsqgtg4YCfnPeE0nJcFDQKqd2MQvJ0JEQNAH6bZ
Cja0TB+dpsm2Lbw4r2CWb4XnSFQTs/qsgfKhW0lT8dxadrUf/K6mmemchVNojPpAFiQyrkS4d76l
KT9BRloeoTW7Lq3qux7mlKnB8KwGoKmNsDZUmzfXiQjxaxUgHPwEQpr3RkJJuTPN700NuTfkfSzq
xD4MwkKAZYZvU13uM6TYjfbKucuWjzjKCN0wH6z52icPdqFpEbbV5wKJIeuredgmltNd+lki1q/j
ur+s980m7mk1sep6ltr40a59hDUkZr3/sUnrhNOFx5neKP2Lmq36mFhoyisa/7tZ/wTD5Bek65ot
4HhL0uwCqb9H5F2SATerAwUPv0Hv+tiMKBhBHqI4qbRTIiMgqDuNLlYJM7vJluIloJWxR5M+/Cnv
suxL9DRlsBBJnuJT+BV7uSZeDkwdLpPe8ASuFyvGSauTME3xAk9+PqeFmC5EgUwaRE/fefZIKIir
9kJgycDAjcnIetcXOt++qoVuljWkh9DkSMymgI5HORPjjzkz7oJyWy5E4+n2iKc3dG7+vJG9iezY
XghO1gt7V6/kVeQ84jahUkvlZ2+y24OnoumybtAAqsuiEZr4hE6RXjhnOJBobbFZb33sq8zpnhk+
YzPfoimvV+BxNI8XNJMhIUv6/sfOsk12lSctQBXTcCFJat/moj4ZHoujRdUJV3eCnXatB5ytavv+
InWnqCkDexMRQEWrLQP2PzDdQv5ZAz7w0XJrq9V6y9V311v6EY0d9Ccn9N1d17sthJf7wPEzmK6D
hhtgULmYNoHomWjd7RoGu8bC1li8LmPWgNRl8jnqmNcon1z8IRMpjD7eqXVfFnPmXG9ZCkayOeDH
7Mrh3cJ2sy9JobkEBI5fXHj857z5tt5Zd7t92Z9z3rHehAy5bto/bv3tLgVvhx4bfs36/IwKfxiO
TqvjDza1T2zdrLvnvo/OCgBXt0CjYJmQH2uZ3Vpuwl2pn+z6jEl2pnMHsH9b6+fozot1EXqz3l03
oukBiraPec2VuEBSd8Fbs/7+Pz0J/SIJIi2LzRqou35l5kBIiYaB1Zej4w0+u017F45zvR2SOmbN
takaE7oZi5XFh/cPolPg89MBXb5gxoGkJYgB6dXu7VKEFjU9LW1jpJtNgvi1ZQPBUUH2liv5jRoI
n988bWYb0aZVAU71yqeq5yjJZ5TKlQUYKTcJAZoHEtZzXi5V4pKIZu0kZHg4pl2xt2hUHJzZvepZ
0fQKTC9kI7FrYRz8ROPIevO4RNh77DbGgEpOagzjObWeKmt8NyR/gSD/CL8q2BfCjACo041tR/8S
9wJq2Wh+MgxSnhoBKOn/RSP/I9GIIFr+vxONXL2V3dtfswF/fcs/ZCPub14QYoQxA891Q9sK//3f
fo8HtEz7N9NzbTQgZPS5rodo4x/SEfM3U/8jQSZEKOw5PIffpSM6HpDcQCugeSICC2Hl/0o6Ypr/
LB3B9OgHjiU8J7CF0JmZfwqDZTyDSzRW4sqKorOTSQAQ7mBe+/3ECZkTUmym4ljO9dGahwY+uu6K
4+2oSBDX5/3BDxKLkrXSonl5Xvfl+jHrrVFfQj7uosrYjmhvT+sXy+g1jdz6vOZErzHd6601Hrod
BocUs1/p3evuj6+tD0XkR8/j47v6quME5ORXrW/LBTR2MxGXRZRvI/eFkb6MRQXhN9yMUWOcFxZU
l9xkVODoiIqgS/hZg04PL+0xhdFaYV0WTX1qQ1OScmx+LmMFtto1dlNiJFfSTtVeCPFz7Ifm6Ftj
4l5jRDgFQ+vulsIzicdg00XaJBjILyxzyJ51FJ9Sk9f7XMe79XVkWXgw+sA4Wqr9/erJ72Pg8Ne7
iuHK0rEy6BZ158s423gJ+DC5DDdrmWIRBlIL/EDrVXTdSCLHqKwLFhIuBo/IJ34u9EJIFtha142x
aOfnepPhDKxC/uYKvTQBLDi/Pp7G+lwW/YTWW+uG59EfOnN6WNOymz9y3Ndb674eqL9irHcqswbh
IGOnNWI7o4spKpLHgq3A4QbojrGxE2hr9XoVXTcmM2KrysaTYpq16Yua3IJeGodlTLTaXgEW9tLL
Yh5Sq1UsLGk702WYp2S8EEXewl+trd2AkQquZErP0RvzY8AIZ60AUnxmzEyqk7qLjTHE+EygkWOB
OCAD0Ee6gaLC7EYgaCaBHg2+gAKPPsJLdCi1DvxoQoAfenw0WYgS6sbCRRhcrxn1UTWWl3VjD4V5
MgNAEXpXWlXBIRiSm4w+Mv1LPT5ZN1H6j1vVjDnTko/MH774M3M5wacqXRL6s40lAoC4ZyrBQ5BE
6an0OTLDbADTgC86E3L+VYZONWLNvHJBVeuCNAl0wpcd/gwbMquzlAlasegL769H10UMI2J9pNu9
q+4lUpu0M53TmLlkNJrDg0uj62D5vrnHUvLd6BzimmSL3sHyB2CjFGaNdncPxTLv6hoVSlFnwO6j
FoC6HvKIOeCz1OiV2voyeLkFEaiuH//2t5d6hhmzADj2UUtcyMRapNfDJwZq5WW9tX42vWKi9b3e
ZDBIBVR6pwEIth4JuKnxox2bBCIac2W0nHZPKT4R37dpkjBEGa9YVc1muV9Q2MN7BReSjMh4xJAw
HB3qz0JB4V1Gn9SWdnySBt7xfAiRYJbNEUX3qa3UQdkR+NZ+Mi+TnpIIeexMgqxsPV7CPlZTCo4a
4RxX9jaYO6gqHjSFSetqgxKedjRH7R7BNzSKLGl3zYh/0me01eqZoOsiLJYlZwokNkAtCmXRxY7f
ij8WD3arSZ2KSKmZA7Qaw2Uve7xAYxqc8jFlqeWh3TDGDioWbG9LDyQdvVmL+PXWui+YrHGfY0Zf
P/2B9oE3q0OclT3aKQEFL6lHmijoGzkmKF4bRPd7YpVHhudE3Px6SrlUp2bsd+s5aN3lhw7qdQPV
xSjfLL3WWBccTBnGCxQ5NwNrUNZddfJhKnlLydu5Hgu/brp6nj2AVAz1SNHKq9ewTJ197kREQhM3
O8c2PWak8qAFJnfXewuK7TyEyxmPt0nNGcLWo2Z8yjv6cfehBZ9qfSldBNMzbLkpJeNr9uInYT8s
hbFPK6YaPQ3HnSlbOjV/nHrRVl0pV2S/zstBwso6YnK/8du0PJlWbRzzeHrAtw2aPIegV9c3aWV1
GHYHrLtRCtnN98kobCtscwsZinSMCDnJ2mtGMWgdo3Rg0chSb73lZAQg+fCCiiEk7UVnMH3kOK13
I3v4gddo2CeI3bez/lWY3Djt+c77nENqq1IMSFNi5lf1oaLfcfFiLrwq0zXjenPd+Hrnr1skbCEn
4rTZxhXQUdZ85EikTPFcCt2YXvYZ32JxtZiyuJqtobjCTERIgFHR8u9xHuGVBaQ/c5pRzZCdIxBd
IToDuemjJNPxUgvt7gv2lvAScxSBySseyw51dA+kuQmCB0bxp3aRNlZYFl1O1kGOZXIS2vpasO5D
MQObRoLBJeNNXWhbzkfL9AjtNdXFa8YQjAaf+GMU1oxiJv+cCnkzKlOdpkktl8EYN9NMF3aMXPBf
HVaByPFictusc0BqO4V2fGx41BWTp/EqbEKY9HsMWDvcWBGYrsqA5aLfqaI1f3+n1rsJhRCwAsWi
dlv0NM66eHhUcFcz4d726RifhsZNmNMjTLjQB5cNn4N1gzs1Ozh1+byGZaV6frmGXa2bUo/kAxJT
zx5QRj/SoVq/voBuHb9hX8j3Vk13hQ9m27ZSzl89LBmbDLyutR6zarIxTY1vNhOyFm35ppbjlzSu
3uaO4s2ZWiBDxgDGbTaZ+zKGnP1PRR1aR3oZ5q6b/QuK+n2kpmfpJRaxg0O2zacvcy67vTesWsAR
szoCOASduAA5vySOcWq95gvWo895pHKwNt1y1KpTTxLtTj984sNIqyG96bEKHe0EFyeDgqOsodZ4
afhcWOl1Py3zSThYW2fnJ+qM22pmTDNEkBlHgvyQXi7PbRj3jOPGg7Mgz/Lb5lmMMI9S+ezjG7xl
clY4GgGbSqRHWeKQS+Dfdrl5babVeCCt6dWvmHMtWbh3qJ/2RNKSFFMWp8xfRiQmJku4oDnJhim1
9IEekG+7IwddXwfe6gqXrVE3uCwrG3pas7dOKu/t+yYRTwUTKH6znxT1XZTSYfN6ffUJubRomE4Z
KXMbEB9+oFwd9n6OFwyVKq4Dt/ic2iHsmXRaDmpR1nPHNSkYzZ90cAFKSeN7bzoQJWSzY/CnsT5i
Ri5I9afED4CI5CKF/WeLliwRnlCa4prhTzmidF4oMkK1iH2xpPuq6o8xHsMG/xCsq3OUEZgoYwYs
qVm8qs75Os8TpOukADhgbwalLdQ2jOZZvZLOm1zZHnPLOSU5yYe2hkb+zu6c8uxOMy9vGL0FlXdx
e9rxvo9nsSpSuSOOuRiyxzwtiDxwJNK9wj87wYzk2DN7IlUgHXkwCFV2owSDVkTG9cHwPLRVffxk
N9BjOAiAzZVMOXpgUlxVD6U7AmQshXMgw3aXLBAw0qSEjmgc0jTjkpcl+9IHZ9j6WOyKxJTkGo2v
wdC7hzAxnydP6x8E9tS6OLlV8IIDGMyg596WCaD+7kbYIwZVh4Gzr6rpZkBCWSLpor1rEfipg9CW
8EUG0w0W63ozfh7ih1yg3BE9CntzZBaTtDhJ5uTJZcgA9cKEAs2sO02re1xrIDBzhoruxMOVIqTN
S7tXn/8T4rPt3O69OlFa7veE4gEm2ZJd9/BMECdhX61RmGOvWk6VPT7McYLUcGZK29rEaXnhjy5u
ORG6SCZcEgGPYozMo2Eqsaumk4rE3ZhVIZ/iAf1pgVvLYB7f+wwX6wHSxwBnKSIgQ85VwvqE2KgE
GUGMtThDhDkVUK0L74dh1Mfa4g83OwiIcEbisPoSq/JbnAw87Yk2DFMWbcDElmj7ybfKB/Puj8OL
ZbryG+7Wt5HcpYnlMnq94SseftZQPj2WvkQuEXv+jvZdMtfF2UIhD19O4TBqBGumWS/XRkVEBXHi
LUssDy/uYX3Ax2Z90Mfdcv3OVR637vzbl/+P+4q0hU5Wp3p+1TtUR7HWqjn6imupCJDRen/dpPor
H3cnJ//HlwU1I+Ga/k0blQB5Foq99VYvzJr8GPo+jLmNgjXDunvdFPpRHw/92LfeEqLTFJ8/ftLf
vrzeXTdZ5f3+y+ZPOd71X794/eGm4cXnOcHqpJ/VxwPXu79+wcfPGfOIX4hWCtba+t3rlzA1jsdI
9meGfuF+AQyU6Wsc1s/yMkQdWvrWRf24rrbXnevm4zEf+6pZr+4/7v/tMf4YpRucmC/EHuNP0z//
Y/PxWGSGVJgf99fHJPopfewrhzpb4IzqR/7LZzaEsP/yoATy+fHjZKBzbqfsoXZbB07j5N9bzIMP
pUW3fOxof3xshK661rvNDHlwihDc4img1hpr3Ub5+Pqv+//6a+4fP2V9POYwzSKsWMtCGKcm59kJ
eOujyXxgXQpLZn/T3XpzcX0WFaoxtkqznDxNyFpvfWxSLRT8uGsiopecTAkn5hs+NqURQ8bp1IQ3
4i/fsH7/v9rHJyal8/rHoz8eY4bhQ11XINrgl1ySYmTTlu84OeFx10Zw/P8W5v+shekG9PT+a9/b
1XvZD9/z+S/eN/xqfNPvTczA+i30Q/rdobaq2R/utyD8zfNtHx0BGfC6g0mf8vcWphP+Zrl2aNHF
dISwLZPG50cL0w0DGpue5VrCxH//v2lhOvZfvW9uYJvY7wIPDxwTHtv+WwPTEU7C/J20n0lBF9Ur
nnxtAAlFgnJNKFUYs1Ba2ov03c9FLSnMgjI5meohNSQw2wloa9+OCF/RHZg43yHPVGqvesoFBNo4
wJyC1WaNvkxiFkny7FNu9N4enZvcmUDxZQShZQrT6Dw103tr05caFqyGf7wl97+sfP9WDsV9lZZ9
9x//brvmP/+dvFL0kU2U1S7N4+CvjVqFAtDLbVKcIxT2QMN7jLR5cYr08j3Sisc0cFh1hBBOQq0V
jS32xVXg4gjodmO+yFNpmc9l5FwWz+Ri3jKoWfIMTlDL6k9EpCc6gNpC60n0frcFvvCphOXOWsa9
XzeywN0uQmXuozA6uALfmT2dU0PXzDVh52VW7gtBp/UwL/l0ZcjqPCNsPaGA0CBj1PpmROJV2GHj
U6n7ljtIj9t8DnFetJ/XiZXQM6yQns+FINuPgdXac5nzyocR8PCxO/RbQnWLmJlw7+y60F5OjpZz
rpskZX0Ew4dZvu5Hr5u1H+1E0YNivQ6+oKdfAmGLQL/IealOtW+/jxWw8tlFA7iOA+O5+VqZaUjW
AnPBZOA1K0N40rEwzUttgJEqBUKBKmfRpobAoxhA2xF7cvluuZzJepItc5VflikJCPGWj0KOdGur
Irq4gpABL+cSUOq7S2+Gf9qs+4zaxx8w+6e6KJNj6nT3Sj+q4/DTUqGTrSC5ZxRuUJBJCc1tykjf
4sEbWhvxOW/9bTSE7qXBcnBZb826Bdh9wRYBCJ4WDS0qDBpxSbEtm1Mdw4z8vZUaMlIF0tLvJgM3
EOAEQXG8hJuob97sHCX/OkJfh+mzYz2YPbsWGMwFw7/rUPg0YpMRo7be1ALhuhNX6dVoYGQcqo6h
eD08r7vWTRwrvlgsxiH0nIfF1NJMCdXgsm7q4Kel1ceyxOgTu691LkcIs9fC46BqTOVj+1u8S4KN
aedOHtBlPPM2BNnUIXZkbJyrtmqvJRczmHX2ayBeTESpe4WsbPMxwq9pKG9w4z1XBtVHPZHj19cu
I8nURjJYIsRfmOyPV+soIvbR11Sj1ud34XMosuIQlRlNf/oXfbEQb5/1yVU5xwIWTPo5zlrWBJ5E
+HKPXzK9tGl+I4ciPTZhvEtUE5zs0AM9hJTfz5CMGRIOzMYM+dWMxEOyPPr5aPTyWppGSyJ542yN
FpcuU5TBHYgRjIJ5k+peN9Vo+6vvp8wYPFFDYGjFpHadxAOw0dligtq7+sL3++d1VrvQ/sSGOijA
3LT1+pn1VIJAKwv5iBYjDQGzImTBbuhjZ+7BDRW46O4qbyqwZHX/3Kb9m1ikcVHDSS0BUBSQpOXg
jzSOEkkQXPMJWM94hUkJOwyLval8aool2NU18Nd1XC6oZFzCoLx4CjdC1i/knBPURSuQbmF3jOIE
oKvhkGfCS8RRHB5tx+KMZzXlM7q+4qBySQpQ/L2ahX9p9EaGjzRr53NOq3AbSrLi1hMl177m5Bbj
Pmo8UjpV8dD5g78rEKgwLgGwVJSkKhKj0CXoNvsKSEIOlot6S3lEdmD9cDDorQ3xCmzOOYyfEk1S
hap0Jfr8ZxjDUZ2pefMIvIM9vmcA1qYlzg6BnV1jAKFNLcOvie9uSwhnBzOWzwg3qnMy1XRLomYX
BD6Yai+JLkFKiredibe+c2h+o38n1t6w0STmnyfYOkHjPJW2vCwzYySmUbfV0GghafROf8eNy9eo
5+TLwGk9zGdJyyltu6MICoyrptg3MgaQF7qol7HPImXV+ItWfDXEwrO0x33muz3Hw1BsqGGj3ZBQ
98HGs21iS+POfo5Soz1xnnj0nefOQiwwSiBEkBWpbBf5OObYBW3fwwY7N1uezL5GN8NcAuOCgS8X
6sMJlZQJB9v0d0szeLcWzla3sGhklGa1mwHE8+ZMHpjGFOUFyQbDXhoO6NZwQUc126fGb/uzixX9
qnQeaQ6oXSnMmyJxXlxspAgQu7R+F3Ny6wZEJsZdxsideOLQKr0b4dFQLYZm2/UDwZIBjfWa73Dm
3r+1HCjTTopdOMqXhal8C7gaXIpjM8jA+IctPbebozmH31RWgbjJyVSN2wEbsYl4yRvvIG5cwU47
N/SpD0xq9mvtDSy2PGGtPLXzYerr+ZQVBcKxkGyqiDypKm2+2FbCyCykyePMIdp5ypdkbL/5bcLM
MnbmjaFIUCsMgrSAVSxIcsSJQCQMatO8DyDJaIcfMefRcqNaRHBQZNqd1+w6Z0SJXHdqz1qd89GC
779neAuJJt3KEO5XOLiHcSl4GrPx5GPa3CylYTwIkrZkmNGdK+yLXROIbBAUL75HEfQZziwoTQlF
9gSPt/qa1OcxnWnz16RSaheZZxPZEXLewmhMtET5kppUZkC7+TAzEXQgoATR/STs5pOo5Y3rD/se
yTAuPLfdtw7QEE5lB6ev7pQtiicSv6BOfREhgp9cIBtJbRh3Y9veL9Xc7Kr8kiwjaTp5fLNgYZ58
izxbNTwAzJRHY4BfOYyvXu89pxLlfezmPvNJDkvLzTGi9pYE/b4cqxjSUDpM+6rn7QdZ6+zTnoz6
Bi2ya6K1buYuh+du2l9kdeclj1HfT3dTHLw0JRL9bimGPZa4HAUd8IivMqTP4+J7R07kuEd7Zrru
B/7XzA6RmA+ThVVZWPfMjez7IpmObhV9TVI813U9fW4mxEiI535KPFrVnHbXKGsIi6UiY8ZOFkEF
Cl5a3rzr/FKcM8Z7u+4nEjI0zCWxc3107APPOseDsy9L7AxLShxz1TntZupHeokig9DOZGHj5REe
RNnh7DMogYcID1Yc99d+2HAJ+ezahQ3Upbi2VHMTYGzBkgr4denOjJVOFqOZbWfG0+ts3rhTMD8H
FTxpNbj7fjB2reg4TgkBQjLuX/l0SOj5/OiCelt0S/mVUS29QEI/hFvd9BJjJgxeRnZpANI5d+Z9
6CfizQf+Wm/8JaYZ5jKxx06DlFARjDZf1z4sLMo/tRky5ggeG6NuixsflkKPvL8tvgVhkGwDaves
+8Gb/qlyAPd4pDiGkrBfg7m6LIgItjM41qEOAbCeurXOi7OTlNZOzcQ0yHD+ttBF3lh5ciw959Ag
Icfd+uAv9t1S+tapKE2dLkoXP1fhXRyVp2oBcj2ojAVDEG39EuQeY9J3Ve+tJhYPiwrEbihtEgCm
m0DAzKh6RPk9WVh2NLwqYDP09r/OwIUNP3sTPWH2iYtKwugPgNqwugoXnW/R3cOBJflziomACWj5
mbVJnJlxLoeIqWFKgoPRrixynOd2W33p5x9zOWB3KcXt3IQtUTx4yrOheYIV96yU/7Wso08VwCZN
E/0GpdU/gEFsgRk/16V/9JUbnJw5oh1roDgeki3C7K3fnvuBT3DqlIzprGLndPQadRdsM7k0fyn0
ST9H3e3NdrafLIUACh4XpsRTzLt8KANZHvKlg5wZajgFICmvu3IW+dw09a1Pem0U0/00IfHscSZe
u2WMm7O0yysLXWgSBu/V8DZ19hPXm6OjUXvCG34y6jk3i+J4TSeyQpalPVNz/oSUBn25AE0xIeA2
RHgTVvGVkT8gu5ge4ahQFrZiV6bLo2Wnj7TQo40w436XeN+X8qUeMLmnEWUQAm2Ow+k69urHhKxH
Q5pPMNfoekErN2mr825kXxrTIxFwBLQYB8u5zEZ6nFG7SfoCUAp2vg0CzTkBpzRayxXX/ZqMoVsY
uE2cZ9eIvL9NVv7YCsc8FtJhJeelNwBF5oOXi3u7d4nYnRrOw41jc0opgdQiWUZfqLKyOS0CHcHk
QwJbmlwdG1rAOGehs0ZWlm2ZTaBbhECQMw+bZWNto8Bpdo5JBFxKrLIYw4b5dsZLbVJIxkH21Mjq
wfGgf7bW/ZRTj7f8zV7r+EcXMlrYujT7YRMatf1jaVBExMz78P4OF1UzERdpcvQ7+u8xS25sUIC4
M2tfJ91Xv4rvVMaxX0XIfSli2oQ/WhXuwaw4F/Zw5wAehK+uU9s3TGiwhtpMDkEzS3lXqubZLmIM
QZ6BZSUGSMb6RkuB3knUmx09eIE4cxxGaGk10XqhqWNCQ+MxiYCEq2YOjkbYkrPiy3pLz5mMQP2S
ci4UxBZ0UY0dT2H9KTsEzLl23JXirjLoFSpJTTx07W0w4MZXA4HKdkrOOcbovWPZdyVkcwxM1lVj
eE9SODdmG3yPmCf7CPu3QnKWcCW4ijz/nkFq3jHoevFc4tjMBKdeCMQztrDEltS7WO5A4panAR9v
7MDoq2EPSldUB9ZmCLvd8ZaT4xJTOcZWsAvS/laWDqUgEklD/RzmFKIN0vTYtp7Dlh7ITIRAMn2v
e0kM1HwKHTc9hhPZDHkZb0n4SAGcgOLdOOjZNvkkv4O+uAYS9r2C3eAMLBErWcW7ajgP2r8ZGkxy
Qk5/tuVc+cyJrernJLsZrCo1B2LYXdqdnbin4i4EBixZffcipsu5mO8NrC90ALy91WGSTTynYf4i
jkIt3obQAGSgdkqsCiDpdkhdutbYntIsZW6dZtvExIUeEe2A+sfBnJtrzlmBAsPx8nSfL/mx75P+
OCoEn6AxHrDYP5VOGmyBwu27HItAWb87Yni3WYu4BSlxJsjb+XVUnbnpMp8P/fQqh+BTyrxpNPJb
O8Pk30otcK/CCLPEq08Fb07Im0rlA8GJjK+yW044We4M6Zdbt20+8YMpmwAU7bsg/2p2077Owa8g
sVI7M6DI66s8OfQ94ryqf0nlVJ4R7Vys2bCRp4UlS11q6Pha5D64igguXmfHtwNrOYwPNcxEWe3q
BM1DloHHNp2EgMUeDAxnd2NkcYlyKOMomUq8ij4pE/UIAY+Q10oNwBaX+rMZM5qBCLFPrAyufYKd
VUKt1P8L9Egp0x5FintS1vmh917oIHK4KuJWZsKFBgqSeSBV0Uy+VgZpoaFRXcmgCTbwjGQN0RAV
IYg/xceBsmDY9BKrEmB9Pv76hcxr+0twPdYLL4YvMCkyBPfsqMMJWmcsuhWnAEdsjNB+dRdUN1GO
wXSq6ks4mY0Wzv+USf6pTg91It8NegGNQhGMNz+CS+jdeyZqqXLsA0aRC5xonEjU9s9Z5WPzj55C
AP7wJoLPJUXk1mkjCCZV9GDAQnVURI4JyyICyORdAz4P9wqKh8dwJIUlQ749V5QbU0mwSYbAuMy7
iCEFlmVXuuGmP5n2WGHMgpufOt9TK8W8ZKM9c32Mn11us5bnOoHgUGHO53WLJjRBeYWPr4sirBou
eQ92w4q8JrJENWQDLQORZG7m+NvJS2IQI+G+xg+L0bP+Ftr8wUaSPgJoJqFzRIYMlfwqQYZ0nKOE
9onNBSl7BuP4LEeLBLiwua4n4/s0dVxj+9cUK3Fa+yfcTDct+Tz5fMM5ZByMTx4yFR1c8HmO74gT
2auiZ5Y7hjxsOtlDRPhBRMNu0iEczitJ68TvLfk8/aS0SIzmEc09kCBP4YNoFmfLqJwovgCxlgET
OrxqGYzPDi8gVf6TskocvNisAi6UXPVInha8d23syB0E9psFN+UmZSUgmzwlyQdMyRT9pK4ab8tw
fmx6cgxlHuWXAjVYA+h5aLtTF1bXtks1L6tRITtanjC+f2JSddcHrrlLRPIOs+oo0JaiJfEePdk8
u4n7kHVbxxueK8+96xgCDjhgFDWFr+SV6+efeodPy0jVnxT2Y9GCivVxIBURHs7Yvwpx1bfLtigz
LgwyeolY3RhDSqtKXXkQ29Kkf7faiVWLCW/AKc5DNZxCo78z9WfNqd6btvxS+awlFubg3th/XyrD
2mQWfidW5ff90NX7EWlAW9pPkfXJEC4oHZIlu34mQBA3XGogU+LoUTtZYBiMW/U9x9vjLz5sKwsD
XGu8KQOmqt8Zik8GwZwaJZQi6Bi6+Cv46TMsOJ9FNFr3fkzvEfaITPy0gWTjSKFXZsVviRPeR6w4
tftHlO5Pwyg+VfpvNqb+SRBUXwycyAN4HzjO7U3HO7X1M+x3tqy0/+KGmCpLJdMBw9APi2Q1RKzV
bW3eqJgoJCeriUOCwVa2QXRoYd4fwJWghzHEAXXJdFAtjTP6+6xApNLyUHQe3ZzSQsyCBW7qFcY5
tFHWvLfTnijqvDfOsRF+SlkrOI3JVTp7NiJrIVsT6EiKkaVtIp0ANg9n1S6IF0C6QB8z7+Ky3oJG
Q6DhVjuvx24VpPNWQZj2JSVzgFRsowqcB9HQdxB9rZdqJtYYECrCwrq8QLBLTqmd/yd7Z7ZbN9Jl
6Xfpe/4gg0EyooG+OfOswZI83BCyZXOeZz59fZSrCk7Vj8zu+wYSQsqWZIrnMCL23mt9i2662Zx9
l+Rojti0MOfhR4ZfddWTZ4rIIqcjSW3uZqqmRYAgpIEO294GWb0kOwtFDYW3JYirkPB8OdEYvemS
xJTeqkQDGzLm72k5Glus6UxW+xyyOKXEThG/FkVQAfScfG5ijFRG81j5KUbCLEw/jQBRxhF8fIOi
aOk+Haqi+Fa02TMeq2IXTsWb5Ky7Nh5SN7xaJTKQKa8hv7b9eFFh/daGAakakbT2xUQsJHxC7+pz
yOesNb+OmSbJO07lTc68ESo13WeznM8aBrKRifhalgkoQ8hFYmIPYQXNWnUXhgklRocC2kPZvseq
FG1TOxjW/mxNh/qQZmN7i+aWXppF9EfnQdlukeMOAPq6BCF7+ssOscjrlkyKdKJRCS2R0E5SL2Bq
9fya6FL8iXazniXyzQJwYUdgpUzhroABWmV9fD8Z2qcCGZ+GEGlfYRHXRXcc2i8YLtY4BRaY7yuH
BfC+JEC7fbkZYz1uMuV80iKDKB3YkFTiU9nm05lTMsvX1MHg8+rvUTa+lbRlMMI4J69M79McX0c/
9+Wu9E1n7wFW2/qx9x31FQ5C5b/kyr4h7/s+0vs5V5AHUbbbzW4cCL5tsH77aFtY7u14peomvuLi
WrtiZBUsmle4Pf6qF2O3pnDEsquyn/FEiIBv05USiopA+oS2GGX60BiWvC5Df0n7epfEBADwqxza
MS0fB7IBkCbZx6ivhptphC/AkiMkbeNrG1fVpUb+tlIBllo5OtnGa0HjGKZ5Fw7TcRqXZqUkIcNa
2a1otqYI0aoAfVzZMcqaabLvogrkQy4AuDqWNx46r+K4H2p4Z7CK4lhOj1NxZ/RhsY7NsnuIcnNr
1uLINoH00jyGuXSOef2rDgwcs9p/G6q43MfFzDADn1VkGReIytHZU19sZiKEZXPE94xqvnaN8zwI
u7jT5S23yWNMO87h2d40GSdkQYKopWDUhEEcj1tf84TeVSptT35KAjaD0wut2WZnqw6PhFm9ed30
GEzxI8iIazu7XwAfIY3tviTG6OyrgVfUowaFRgkTK/pZtZl8KAUZ2JwTTli7e+DzkOYl6SQRUBdK
+hF3KdiirsDcinLMmLtHWQT3tI6GPUvhysFi8Amuv79zZvXk6zxci6IYHpoh+hkl+aGlRsJqyRY/
JMXLEIU0vHgkoR69wrRW+2VauImG0dlGpv4SucWThaXszh9BOaA/XnX2FHwJfCoO4MUP84Afiqqu
ZwiGk8qPos8lU4JdMH0O5uTcBjRR59L72lk2VuZwg/bK4Gw3kQffOfaVE0SnOBsGOQLaKK8eYiye
1ECEN1hwNITCytgP2FPoY6ZObKxLNchV6DcnQMvhlpyAEF5KeB2H6eA4gdoqoEDrqJhJrPZ8tbEy
NFSJsyvbClluOtwGMfNMVjfnZOBSXMV+BbQB1+xKeN6lvCaMJR4bIpW0RwvcXarJkJChOSgllGdP
QZZqfkqD6wzRsBV9TLKvKa94ZMkKV/OPDM1c0qnwYPvFGUf9F+zkChEI/RWIU4VBGGBlN+FBdu69
M0wFwyWoI8KKXQZ5ZNCROAd5BuYhkrIZrS4a5Amyiv/LL6xs6zGzszo50a9Lbv6c/aC4Cvdo/WH5
6dexBMAiykLQSgQCEGDd9Oqf6dBDio4ivCjka/AMSu/mgI3JbHnBnv6YJBR4yUSiJ4/endLdt2CM
8SWCHJsM9bnK+tciHMJLwrR7o2OmnaJIdjZ3q8+IV5zykuZOa/b0y4u7hLJ5WzU+qlDX3NiIhnq7
nY6lQ14pwOgVL9745DnfknC+RZlMd4zfupPlYH9kKxFJXu08PQl8vo57CDLG0jYIGTTww7Gdy3yT
lsWnzoheym44aDmRuUf7eNOXLAIZ7ZmYOAD4yugh0fbIXeIvGfZjnmy+FrSqP4e95LubblsjVN5G
XRbcMrMczm0rYWiC2A4Hl51+qLYETlyyhRqI06kBSV1ZGxENj+hb3WPyhLt53sYAMtwB0TTmhHHX
mmQYO5YhHiZEp+6kn5NUNkTO1WJTmcisDEK9hDCZ3JjRD44N86ZVUbEWnv2QVH6zQdNoryKLE0gJ
snEVe9ljYoB29B2gErASFtAfknQk5m8BtndAKcZjm7Ye98UL7r0kHbZAOmg2xggTU/Tu0r2bI0IY
89l7dDJ2Ax3NN0lByKLdrXvpeSfpiR/5wEF9HFHe+kIEn5P2ru5++ZzNH2aR61tjgKZdFPkzoocp
QTjbiY632wNyv092Dzez9WnLDYHd3HWm9T2bJuJoEuOu6VBXcuIn/pDtuU/b8FqVyQGk5caUA/Fu
S45kgCB8yC303Mm+Ft6F3ALa2/pnEr4OHiRhk6eplJVN6hhA20JCM+cM2FmD3JPhA+lbQfRTceYh
Tna2oQSb0haEN0kJxkCZ1q77HM/lr7zuOCK3KeGh9lftFPmb7WYnJ9t2U03kd+gRKmh3e2+2qn1t
sLyUdXqeM2sDwi/czY5HUeRz9B6mFXdK8QD4qwwFzdqYTXfTF5g068ggHWJ4LHyWn3b0V4EzNmTp
oZOAU/ndmyDntT3BmcjPronR0IafdLKLpv7iwGrbxVCUui4BdUPhwHhjrDdTYBzTsuvPVjLvu85J
Lt34pYZtfzQ5G0GxJNfDJcA5yXD7Zxl9PUCORHdK1Z6HnkCgaoBg5E3GN1rG+Jey+YGkqWnTD/N3
ThsGEJzXlKCzdQu7029x8+P9wx+bwgAVo9zj32Dzm6zswV7ON26LnqOpo205xN7NpV2OvYUCu7fT
O7ItwKv07b6SW5G4B2ZrP+K6Lbboc2Mc1wYtMcoPy4fwo5U4eY08wmJg2uDGxJjm6WPUzPf4wfs7
+KCEFni8nHE1f2dceUXeG/+cPfNIjcdmFmwn6FQbDjjN4zSFhCc1m9JxvO9xgwigUwkxOUVwc2TH
3geGi5LR2saJvTNpFV3ZNVbM2to7gkt4+Swe6aS61hH/pmCtaEhYpkngYHnpinsR0jrxIhLy0kot
YMrywNSdobGgq00gDKHtPLmGlX/VcX7nFBl0XgETsY0v6WglnzyMgdGYXt4/GEacXRzPp7LoxSYs
eS+Qn4TM20KKTEAhyV50CN7zKeuCYj7KRMTkSEGeJQJEpITMeKX7LQKehfJ4tu+1WbFqMldENcAk
gkCVczs6X4KWtLg0hIobkmnoxNnnLOW1hhPEmBSrX0D6iBiXSafFvAp+mXhOcGRMdzUjwpNWHLgm
rRJW5oYcdl3k584Fdx9VT3Y3ecj8ieulU4d55WQ0NL2UI/aV4xJF0cO1jwai0FNAqbaXjPeJANkw
thCRivHOVWmxTxqMfdpesmymI4e4n2M+M7ekjzl0Xb+1NdMDF2YyMGGn2JYWSYzhxAGFoMGVtIYz
upR5r/NsD8g1vgWGegQnQdd6JtqOPZDGXStpfqHRPpQj0VlkEDWiAKFVkg/TueKoG7+6vX8wPcIT
AZv0jh0d5ZIJW9ihuS8hM1CJ1hJdWFx/DjlRuVNP9Cy0j3WF16DLlX/rzMYGAtWJS7jYI2xarjbk
3nUOXWClvBnPqa0vdkYpkOf1PRCk5bB8KlzOTmPLBGQKDirPxc5CTzAF8xl840tQOc5FhBHi/gbb
E5L2V2zGwDXSEpyKCiZAxRhWxBB/LhhsTmlibqteXMaRhakoq6PxEku0G6WR9Tv6zsMhatjche3z
kGGn3KfWyOStRO09cvIOCGdkDN3Pj3baEm8625egSzwAuPMPtdKdkC+lzbG2NNZmXuKFd7vsErcK
EDivj53ofeRm2UlG3n1AjVALVW21nVVro0qNgzOWv+wkevMqU+0qMIfb0qslAQoTWeUZOdSkP5X7
mXdTIZzvaaYR2gDtW+XIz0zDI8wQKUoeeEeVuACaIrpLrb7iPgw+xQweY8AmHItZGdNnaOjDDfGX
gOIknOCOSQgVXa7IaOQ8gO91GcMCqg3yNRsJzUKyMwuP3OEmI35L8KI3VAtwWhmoRTXf0gVqJ0Z3
187BfceAjPbd1Bj7pkIemGNgYBe71QP+jLBrzsEsQMuxJXQmJro6pIdStqjWaXenWLD3xuSlAI5G
rhTyrCA1mjEgw2qOBwaT3V1dPBLFNe90FMmDCc1sY0z5V1c92RajIbNPLgW8lZWf092gr65xDNl5
9i1LBdU2PSDdTo+U/P6xjZnGWBqBQ+2LdQny8dFThBnGxLq5PViHeOCeCec0FJpWPOMIamRoCok5
3c0hZuk4fSianEppDE8hcr69ljYd7oHY8nGi6HXR+ynE/6QgrNPYnDZW2n51E2UcTEIp/S4y7ioH
jK7vsO7OGW0zk5BW0qHCp94FtqTK+UGODTneto8Ks4Bo0jkkJmezPmdd5B+WlvdYxjg9WvmmJ2r7
VOeHfiisfS5r/OnpdIpz6yWxYpyRi0NVLx/e/08uZsDWJUYMAlkPVspnYGqNDelKSFjeP7yrMZAm
9AC2zZEhdIjGqH4nVApUSicqDgY+UcGBNaSeQh2Wt9WCs4CGs/zV+9+/f2jGKti1hnrm0hn5vtuB
NbzZnW819+9u2Pc/CmhH41wbDvEibcOf/hwueFCZzgypWDMWaGBL6oe7nQu9YVFeyKB8QFOIACR2
TOowm4pv6vrTOxrm/cMLHJ7ppBb1WW7ET17dwczqXZi9yx9pjeH1/2up/6+01NgPoTT8t3B389q+
/iVDBC5b1ESvOepeVNURlczb//lf1u/v+i8xtfoX2AaheVR+R3+g8/1PIoSW/zKRM/Mfumnrt9L6
v+TU9r9Q/AoybBVRIxp3yH/LqQU/UCNZI35EaNTW+v+RCPFBZ4zgzJbClpbjoc/2qNH/qjOOpnro
Ct7rx9zBrBaFjd6renqqZho+OLrpG7nGNg9Z7acaftxIbrEADYrRe2OGtEvCROwmj11HuwAwUaTs
8+o6tp3zUPvZMw8qh7bB2hSIsZjftgvhTSnSRyqbI1R4zCxmOZKTI23vkyvqr6mssh1xE/0aAjfh
0jXD1vqzumsIiNp7dQO8K2s56n5J3Wje5bHdIzy0jnGPwGl00D8YvneZ9dDhsqNmLzNWgAoepupM
wtELjfCbi6iy1yqV3cGV9VNdNS3HRH5XYolBlkkaV9IS2OgcoEC0SK3c6H62AFeOHZqrlA1662Gt
ZGMEopuB7ISJ+lpm/IC6nHDITtkOYUUBp74az5YinK44lVoNd/XU4CcuTJDjNn7knoXBHdHDfA2t
utxozwjWMnYJcWRAtEsWPA2EKnc9WHawCaiNtHTrXWbRC8npIK84/syHDiW3Cjz8qEp+mxLHPvzx
jv43UnTrf75BpESCDroElpGggfXXN0g8qbov+rIk3E0/ma1FcOnyIVUNAzoXLFgwdQgs0u7O7Lgo
CfF8jrz/vJl/fy2YCP7MveG9ClSFoFgpoah4lvlBEy8Mi6Y/EMbjYNRUy2X+FdCQJBvP6O4DkT0b
Ov8ZyfSf7sAHZsryz3qI/DwwLA6+CPvDHZjBkc1N6KZH6Ir0THCR88ZeaplwQS60ot6TtBZtYjSf
pIthmDeaId+TegKNCwE//dmXv78PC5Tm443wpPZMKC6sH6aJR+NPiktsimbI8iY9ypAbgX5YrhsN
nWga2j1pYvbK6JDKu7Swt0RIngmJntGgIpOLZxTJNix3VLc/+7HUa9edrb0u0v37j3J9ZNK2EEge
4k9/f9H2clF/pBa930YHC4iSlpIuyZ9/veiAJwAPbsxF63reRc10aGOFZL43kHjFrsXc14k29lB9
dS36SVXAcxj5DNxIQSpo9b1V7pSj7Wk5NhjFg0uhjND4OfXtLehqju8gDGjurtMq/t4WJdII0SQn
CDANW+v0HSr2jRYKN0JEb6MB0sR3SOhwQvHIybXdol56+offeHljfPiNyU7hN2UyoSVhUn/9jUei
+hBxmKQVteQrGZz/6iqidhmeQzWLi63VVucIZkwh4xM6JpNcMMuH9OJGtKGo3kubArbvM/p7tJvM
2qGgsSF5kl0jRv3UM5ujvL6R74FWp2QR0CWy1jz1X3Vp0ZDqquQEh8Pc5U73WhXjfKgNxgMFYIzK
J7k9kIip/H96XticPvzajmkqz5Omp/nofXheUqvx0NjayOlr/VTojgRjwlBrP/1OlE23r37lAEVz
YRnbkXM1uQoOos+t1wQcghskxQggWgaE64zG4O0fXpJ/d22W5QgcRErB2PhgH6orndptjdS/mg5m
nXinOS2+FExJNlXjPpH5QwSH4RDlyGpOnJFDNYqmI6DisdOO5Id+a1AVrMpOfGtwvcp5SrYQmx94
WwKM7SuyEVtMrtZc/3KkqVa5eJr1dHLys1LOfRVY9cEQg7ktEJVt6HzfN0hJNkYQITwssxOSlm+R
9N3r3//a1v9cwhxUE5alLdfVHi3pv74T6fEOUeCW8XF2Id7QUbmXzaxBo7bEVM2Qcit7I/N2P7RU
GD6fzBNCJqsKH+NMZgdS/+LVP1zSh31FAtM0SXq1TI4yDqbgD5cEwgUuSaijY+gTAQwD/84MXbmv
s/yY4906hq1KDkFvnoVWzqb16lvk0V1oMuufrmR5DP94TN+vxLGYJUjlmaBLP7xfY8auRm3wmLbk
qTryrQnxki2+ll0UD8Oa9Aka5GFwmmk+UkBuyA8uD4CKSDUbIGjbrfdMni6dCrQ4O0c42wLO6d/f
LXt5X/6PawQBpl12PlaT5W7+we0ilRCZfjGylDTOTbeWBpeT0DMqXgyhmm+I9ubAzM4e6U2HMvzu
9TOxaYMwb06U3ThQvoEEjFaqBL6r40+jhVgFcE8fq+xekJO58SMm2IWW+VbNGZAMYTx3Syp8MYmG
kC5Oewo4vuGV/3j3P2wLy923tGJPt1wS9cyPT2Q/WUlUYc06mhKyQgWNAcr1dI6UCjZtQwKM3SLV
E8wSWrjhKM7IdPHtiQZuU9BY9MBg5gcviY1/eGacD6eN5cIEu6zr2oo63VQf3qA9RXMx+2TNDTGJ
9y19ySYuYvb66YkYWmCBOG7XUTI/Kt+2lhsYMpiKYEEjKIQIxSE0YGNjpkv6JHpch4iiorS9oxST
dZjTZjfTx3e9Ib0zGaXsvB6HHWwfa6VQ94PP757spU3TzbHxWmQlZX/fMMBu38ZEkvs0W90aNDn8
NoEOyskeOpDDu6mgYYWQjDacALqti6G+hKp9I7V4Piddd8tFQsO953Vsk0PllO0r+RfXUZy41Sjf
w/SgU2b/OtB7I5kRXhZoEt7JVT4X8vD3b2vv3ywCKK8ojzwqJG1+xNFxXPUHUNfGQXL8OAxEjqQV
KXzzzC+edo57b5Oz6mtwzcrvc2TXKt1hLyx3roVI1wrEnnG3TZTOCCkGFJYTZgzriSab+qI81kX+
s7BltUMT89lPdXPgeSb5XIOGFhwzsXEO0VG1kuZR4mvaVOUdIRDya+k/YfpDti8u0ETTXT3rL3EQ
uoyJBKDpHHbe1NvFaW4kxw5SJlKAvZydlvVhPA90w5hQ/Roar904g7OwTHA7uSb6qQHtheBZfg0b
ui7EQuB5oF6wyQMKGh0c2oSCPzJo7AR+zRixag+WAsVcwpraDOhfnYAhU06yHFfcrqoa8L5RxCc5
j8zeHf279P8x/u/gZ3H/e4H504hqfdgveQgUsAsbBCHRtjDuPuyXps5B7aXcJaiWJLjlzV1CxiHN
1Y4+MflWsdPih6cHUilmuVAwn9yUHruniofQseice4J5R5Gu7UQ2K6YX7fbv30Lvq/NfV0Zlso9z
3hCKjx+LgsggW9Y3Gnq4y1m4GvpPmR8QnmOytyM4Wg08Zmhe8N74uM9JSErB2hbfpohjsgfSaFWg
QZezx/h/pgD7h6ujX/Bh3Vam5ylB6eDggl5s1n+u25NqnEaOCFVVLeQ+YqS+DjrEpLGX7HxRBmtU
fdPZkO10zrPIZmR2yOZYgJRZNr2QqfXfX5D9u6L/cMNslDKA4ymluLQPp9K0LjF6EUtxGO1UbBy7
SR6JJ6Y/qI7k0xpf+KsdovD8QlpnuM/KnzoV5atdfKWBaNIkt+sfHX1Fwwizw0D8wFkWPznOdGff
G3J08W66CyP7Hjb+uB3CSu0wtvFck7yE3AzhX0+nu4NJ0IftticE4L72IkoqnuojL+U1Hpu3oizi
K7CH8tC0xKQJZtpNgJHW407uwiBQ61n39h7y6fc6DsPL6KAOSYqaTLyYU7CjXRhT3n3HCeMUaq6z
Z57WSPXDhPsF4EzW5Unaoz5UeXDuUn4USuBm56DJXMVm8KjdWR0Zew8IPhaNmp9FpzL2B3Lf53Ef
9s0vXu6GSO0ey+Kk3uwaUHWa1vxSGQO1ReaWY0k6mLYJeV055yKIrI0XyvhJqK/c7PBq58Ojb0p/
5w0oLoM2gbRAAc0mpyxE/1h+/TQYiARJd6QyyKPO601EbJrYKFHWZzbUb/Bg5wd7RIrk0ZJwZoA7
2RA6RB/RuUBzEu2tIv3qWcZ4jqCxr4YlQYCyKQe9LL9m9Lw564Hp0N6mREl3xZIynjNUrquK3ZcY
IZcdiyyglQ79cF/UvvtlFswFxb4O++nYZuIXzm/x2KXxqzdPA32gydgrHMzMOpY9xFV7RuRy84VF
8JZZhr4iLD42Q+vf0mVKD78I+uY48EqqHkZKLNBNQAevQx8WtqcHbPmkZUuaovelyDAmSBKsBOoy
qhuxbwVP9Zx3ED4lKEKbNFViKLyXwGIsO5X5rRlGpD6ujTzXZByLqOCragENxUFenBYs/cYd1I9Q
IozDDZlcOPQvBtMUySm99CfKZlKMGInwneB3LANGiw+LZB3mRXt06+FtAHizDwzXQhxS4kXG/7tp
UEDSvLhKp4H76SE9HPHt62l4ljNGDw5Vwcadu01fWe2qoWre9hgmkTa4Z6mJk4yGBsNi4+2FrK9m
nIaIUqCViDjZAYE2NpbVJohtGMpJoIEHN5IPwu6XKMmRc2rHLGgu8F7FIxq11M8CwjCq+7lb/gnX
u3hpYT6YlXUOe8rGloHZ+6G7zn3cZR0pQhZJusrF7Jjk1p4SRxwLolOAjljbwECMVNYOZ0SvIxzc
s0dw+glGd5l+9q2c6WCDVjrpdXSfpkxR54bty1YvBeOvh9oiMrBLiAzwC7O/amuyXog/Y4ginoUR
jC9iGXrJBk2T4MCEiDkEcdYHYle4zT7xA/+C9IN6TKH5tCHbJeOnPp/cK2egMs58RLPOjGFA3hFY
F1zN7EdvYvqZpe9sxkQzSF4uOmr0HYkPamE4kzyP6GbtUiXvEnsmLDMMqo0OMR+VWGXsMLiJ6YeL
EGBCAXJN+tlYybjI1rVknGfEuXMx8e1TDFrBPpr7J4lXLsStculHDEuATggFMdHLNcxL8Kheemu8
+u7QbgXIwQdj7DbW8otjUxv2Vq/qrYy78UWVbYLcb35OLHHh/EgOYZbXd0pwcQmjos8hoe1IDzR6
NW1dZ1UxxDF7YImRs8+G2X5Z4jKAuof9ubepctkNo5B0Jx6rXdk4+cW1iZb0okR+zkXgbmw7zs8T
We7rwmjMrxVpy6sYb1GDIHJP6c59UvQnLCZWUcIgz7LEMlpRP4rB7pnRSezrcYtK0PUeazgUn1wD
v0g9xeJsOfE3GBxMNHlcOUreJi/actCg9K/mL7Jm6amAbmG0ozXh/8x6ugZUjW+iqJpd5djd0W6M
/g5DLLcw0w99QiKI8pCWUmZT4eTg9/RobfJJ4inND44XPmXDWN+ZgNA2Ejca9TieqWS4ev4dL2V6
tAaMtRprNxEb5RFXB+Jco7dvtEm+WBxkMqdtTkMYhdcsT8/AAPZzWj04Ic9gUdsMv7UzstY3/bqO
m+aUDigpIxCB9fCaF/KlRcd9TWJghmTpVTvkK6coidFIO9Pt/aeODe5EM1L+NhmHeovzI9xJ65sc
a9aqwQFNl5q4RYka63OzvM4N8ud3JAn2LniSULKEPuEs4C2OP2WliAHG83Ce47h+wMdUrFQD8sPy
Lfzh/ac6c+NdGtgkveoaLJ0Vo2YrXOSItXUX0g73OtWtmVKkp2GG2xvZNQnWujAPAeYB/CbD1hhS
jt8uPpfUTc+gjPBk03T1C4iIXV5N16Gon0GCcIa2+y9p99pmNG+oWEiFVMltDFFWxTUvcARTZcgc
F0NiWu9YLzDzpDH+kTy+K2rnkrtufBnCrOa4NjBUtRnlY4lhV2MTrLLC/hQyUpbW2dB4Q82qPsZG
sR3yTF2aHtqJ7R1ktUj55vQI1//LrD3rEnpmQbzHyfQWkl/GERB3IMFaumgpI7v2oHMwmupJh1QP
empPmdGQLRSx3Zqm62CmUUSDt6O37UuIdHbW1WfTXTSPZIP5obDgYpb2AdsS8LTEs1BWq2c8oAg/
w/yqZQgcmiZXF5cdVkGMHok/neeBNGaDvA6T4BGqcMeljunWhRuMd+Qpa1xYuPp7NPxEICWz8ZjK
OiRomBkKGUrVJiUUqfT65FQ3DrLYccbKF89HCcpm7zHDWTFNCXcqK1C7mEN5RMnwoqLh22B8HjOX
3KUIJ003rSvlO5+SZeDBOn7kKVCrSHMydGr/uRzWNbPo3PMODdKPtQikdRHZVqnoU9TRZuSRa9h0
I/zJSLYZ68xwJ8u9m7SvcBhPIzvxOGV3Bv3vFZUfbSc8rnDtd5PCKzOCdpga9yUYZhChDQEriD0e
vIpY+AwBv9saBhYRwBzTGOy6trzZHjG4NWenXW3JdSydTxypkeW5w6XDsRlgnd5N/Qw1tUu/T1s/
776XZMmvUbhgdLO/Bh4+otFPD0omTzWtkRUhWl+6AY9OzzZwHFBYrHriNjkSL3yUiYQuw+fYJqCM
m+SrA5ncJxFoCXOOK5a3XK/GhGxupgIk8wgzQom6NUdMK71JmODnAc0/+2mCby1lawaK9TTMXwTm
0W0SkFwk7aLHUEzy0ehl7XaoprdysKEZpAAfZfkSDzWh82OD8NyId4biOIGnYAcXh0w682sELqNK
cJGldYMG1GF9R6sBorZYh2KE1TgaZEoaX2S7IEWmV2p7NB8V8aEN5XY6HhX081WYID3Chky0rt08
hxRwHCuIDuXY3vdGsQnC8rvlYudzgTsSfdfTgAmvfU7LLnb3sY0tqqnCbFvHmgQpF/AKg7uZbKB4
NO7IO9SIf9cIGVeelwFWQw2yYugNgzbD/+9jj+pbFGJtSrjWbGFDpvO/Yve6s4mrBLgwkek5Ujh1
IerApRmkS/FKtvC1mox03SLTrI30h0BSr4PL5C4U9AnHvGXmnBS65Ib+uGW7rs116H8HTPzoetmn
0q0PCPSfW/oNIDZpclSaIl0i6kjgWOTAvHXAwqdpy6z8lMcF8fgPEKCbjKiieUad3aIpopdobYji
ozQx9NFdQMTfmiLLHzKlDyFLwcZNMNrGSzfQ7EW/r8vwU1kTETH5Tn1lBMgjUY3GZprrbxyO2LJ7
JwEFrp/dyGTrtPI94BeMUMuHfuHVK2x/6wg4EAJdPn3/i/cvef/094d3Bp9H83TVv//v4PdbWACv
71/nvkPt3r9QMz78z695/3yqzGhZhc7vn/3+QhxfpFyN5uX3p3/8U8uPHhIVQPwOfdKYwO9ihI73
ZZXxUvz1J4u2FPP2zx87NQvrF3HJ+x++X+f7//3+zt//2B8/JdDiEw4d5MLvvP73yzAx83OQj/Ew
Ldfy/u0fru+PH/nhaz7cuI+35vfPWX5s0OXPuqEZNQVXjC/MZ1szOzpN098xFT70MeqAwRtfNdmW
nFW7/YgNF5F6OJ+M2kN129PZRzuLBI4V7T3aDD9vP9zbigN+nA1fspDwrSR67ZOcvEraoE3pQFls
d7VMyAdtw5ehHV3e6p3ami3R3xFRRltr7D8HYa6vHmSDyhx8rCxhztZGnm2UIQzMk7JZWXZ/b84J
6GXfyI61H54aVeaXgtm765UXV2XZva2Po6sSVL6UYBQg4RbqvLVyhfmrCXXwGJvf6wFJnEjAjuc1
OTy+luNOHeec87kxzq8Q/x6SMdyiJ1tbJlhaF2FzRbdvYytWU7Lprkj3h2NqQQupBxMAmf1QT8sc
AqL9Wo2XFhxDGaXmoehnb11NBJGhYu32UKX2oXQRcqb4pqdxDT8Uw65EyqaMe5TIFS2SfJPbBL4O
pceA3D4EjmE8Btuaim0dFNJfVwZ22Qof+rbxDaabHcp2icfG/BTR6t7Us/dD9R3JcbZGbQ6z2B2O
Lm+dlSfeUs5swuZutDjToKFW8HHSYMkQuiKcsNeeMKL9mHf1lcYE554eb2dm3LKx0neGOlbZcKWv
8Wpa/b4wu02QIJ/KGuqgcCAawWufY9tXl1Bnu6jm7tl6+lpa+h7tYLuvY4tObmbs+qHtSFeoF5Z8
DOG3TR5K7AUrL9AeuNfpXqYsqBKGL7CeXe/WtyF3UkhRA3Ms+7Po8XK5PQeRyksKrpZ2OgDuS01F
faewLQbVzTN9kAqT7eASw5A2Fqra+5kcTwFBbuM8wfj2NJQAuq9ROfprezKfSakjA3o2osMMAg5u
PpMcl5ilJJ1WFr0HwPvEadYlZqipPi55CHbIJHPCyOwRb73KOvbAyeiAjZngCd7Pi67h9kjlLTDa
iKxhxgfRobSiN6Ay+S4jmdef4nA/Tgt6pHXVLURDRQAntXmcYqPwIv8/KDuz3siR7Vr/FcPvPJdD
cAJ8z0POs1JSanwhSlUqzmMEx1/vj9l9bXcDNnyBcxItKTVUJhmxY++1voVRvLryT5PnnGlCwVz5
oiUYTWP3W2YIXLQAH6AZtwRB2Xa7a6NkjXS+qNBVBhoaahLR9kY84N3gwvLqMHl2h19Cl/qeb4rA
aoLKyWfvTel8djifCCD5SqZnVIPZDm8wDXxLnkdvWXVxs54Q46IWnn7YgkqyiPuHrAhuaSh+MUUS
jQu4wp1xVdqBqHb+yDwLdp3raYA+oGhWIcJyP7AtNPx+tWazex9auHDe7FxHrw2VTtUPVoIfis4R
6Ic0PQVGuY4aJgK67bIRQ91djHVzNEWJCHr68nRaZ4WxtnJEDA1+iw151W8gVRAG4ptk3xQ3KdPH
eTwwtv3Aru3EGyuWt1SGJ9v+wlUe0DXVrs2EriXKgXC4M/EjG3EY6voAnyjsHqBpjcsMlhdvbWXs
6tr+BA7GoiFANBg2lDIXmf/S7FEgW5V6h6pyVK6BRNKafunJLB4cn3HTbePfbRAa8JOdQ9f6EoCw
8ZsLsF/2Q0YNkYhXw0V0R52Pgl0g6NfcceNbJu5yKOOBZXIBIkWJMqLHLRr8HJMxJY4G7Tkzy9fZ
FzXGoML4iAPqMDkZdlyFEG8ePocmMdkFvFkWDBjpkMLT+NXXrUVlEv+AGTPZxolxxgex7SYYScKn
iyq6vT3GNw1I1pKZYrhya8TvnibybQN9BpB+SQIcMqVpVSRmudRyy123eXdLaFtYdfI717xHDzMJ
YH0xwLgQ6/hJ5nW9yWrJPTJmj3man0fb1NcMCyzX+KUsy1xLpU55WL/5Ix6+ZPaotX1+q4hiJY4X
QwT8NQRagXLISKlmHEi2ccuJesbCUiJoJhhq7Rj8mnSU5RXFWnjW9Eus4xOvJNMJq/8RIJvArAvX
emxHRtdT+Jqk4tusx2Aj59bTNDmIMykpABq5T5aKNi7ZmwNuGrt2rZPkDoga7UvCL1z07rvWFBxY
sO2eOwWr3bZfXYMwvBqSkF4vse0TeohWNpTaVa9jImgN1PTp7AYn3IskPWZnUdC0W63wXqOZJljr
+YdDoVcrqIQmucxoWGiX9YNzgxWyMwLoAZI7NJ3gFzkAtsu4FJBjes6zOXPSMhl2egIePkMwHLfB
j0jg20ktElfbrDzHrf1JdnGy8RUw+dHd0hR97wwVHwkR+HZgC+KMiwgd5pAYB/5SVgkZYXOAoRdz
ZRLYCanLLOoFgrxql5vEo3Pe8OIRVlwri03nHjAToxdHS7yizK9JI12kcTqe+pl6YfQl1KhaPZkO
PY1aZDfZbjRHsxYWqydHVZTuWdfss8Q0jk00H/GkNA+qVLfK51zvAeZatpWNxt7p9G0sqPjZqg66
BGyVxCPnwYb0nKRwV5reZTtbhb8DdOwIVdwtpQjLcs9ke5IQMEI1WzfpJi7mDlUvghxOCRunHo3H
Icl3ZdjtK0IrBVZqFk4Hl8mqSBHiQeN4QaWdLguToGw8IVdTjCAXOprCFi7uUqebx/LdYw6HWJkS
XWmh7o2wkQ3lrnF8tbZzlNopQutuvkkB0mdrfiNOFIhffhjTb8sXwgt3aRLlvLAJhiUDs4M34qYA
HkSOqU0HhGZFwxgGFgwhtHX4TZIASU6N660Ts8J24aVPCTr/bWtU4wqn01RaxS/64lkNrA6ZBfkv
DGjfoJm9tQJPJBpriiOjPmqzEbwAuz+RdV0j0rcxoTzgfsJAo7lHbqJfdolNkSAR6zASbYEd0Lxo
fR7hLgbrTNz2e2jEG+8QYuHacdqhUSerz1wOw9osqzmjNLnUrrNviEEhKsPvN9IFrOfU1sZLdqrq
ksOKgxsm6FyHPoCreoxyfzfq49MQbFHPaWtJ+rWTNB3HGXyb8SfWNgxN67gaeXmMtlrgU3zKld+t
GqutQNuL19rv8dvK1zpinE0QwhuuaXOjTQ+tCACfmOqsR5QkIldnJHxHPbSumJx4BXoX4Fj04HD7
EwHsXBK7I+rQrgOgh/Q7pXwLWmdgZXPxCQt8bQNbY815jGsEt4IaprUtEa25RtEdjPBUDurGnCBZ
epqfY9JOnibjqhpCcIWB4qkGiLsQY7DCmVkuWkyuk9ac0AeKdTd0lFw+XmnbqS+BXkVnIoaeWqOj
91nSj2TybmgPuAyec+mow92KQ+uWpnQRO+E6qeim/PHJtmO83iAOMt2SwRLozkWuaRVbbGW9hCYz
qjbUtIWUiclEBtuYmspi1YoS+CtomGTnRO66nEOm7g9uSLyGiCidEoWZZH5wgqlcRS60OrvVSUic
HzCyHNxJt3YAqiC+tvDNSmybMLnMQ0/EEREkJGGpXsbH3nkhMYY5gZZNH6hzSdVp3Z0xp+dUQ4MC
zSpPwUwNvj9oM074/l9sV4RY0BBa3j8HK8ge6uSQmklzUDjfD/H8X3hcGKIafai2JZgqIcf6ENKW
OpDSyb/wPz+22tzFxwZjFi+n1R7tNsF6XimLzg+gcYIPABvdieFWjwFmobzwzUyzADn8ekwqLA3z
7yysSPK1//j1Md03CV4DjiIZp7Ssk3zhFxMsrUl7FnMMkfxg0IyCfv76/UkDkR/rwYT2NlkBC7SS
GvCfdIbiFPbSqTh/hK5erTOD6Blw0QRSCroRTTeCXoxszD1xsSxqUhxggrXLQu+IcCgoK7gCMAbo
80Mqc9ydF9jU5SEXYA4WE8iZuArivU/KwpZ20O6PL87nd95IBoXD1+RZ0BUTuMAHwnLCO0y22TDs
fhzm8+f9IWGrWA20rRbmHO80xhDmc5hYqH0viZOjQa2I1KSKA04UAoMd5gdMhkhmGJerXZPgeVaj
eYA4QEqO5pkfIFLV3ovTHVpumANp+KN2am1tFVy/SuWbdsQUdn+gn70yWpdSuSewaQRmR0cDptf9
i/f/yuYPG69ikqJ8LFAtQ89IA/9pzb01txteZVYxyqmhUs0dHDMi+KN9KR1rpJUG6SgdP1gBsaIu
EEAhoukyfM+uiVwAUCNci99hyaenrn/MvGMa6K+AdZhmBh1dXv114ly7QLJ6NQfrzTCNV7sjLUdB
74AC9xTE3WacBhBIZrunJv4uQ+rmz9Bu36GM2aj6+NFE8Dy4Wv+IAvNVwmlDrvMyOFQgBOxgFeZ3
G7VaafWXK8QPxJePQ+Nw2Kz0YYlmaZ97xVGjyb/0elrmpokpGKpBx4mS+1dAS+lySkZWpRL6x3jC
/Myhbv7Ufz5I+lEMHdpoX4xqcf985tb1Vks4s89f+9tT42y++O4/8v5lvVXuuhnE29+e1/lzQtn9
k/fnTdL2oIWJc5nmTIWKHJLYaGVLRg2/8e6cRYbapfbjd7g+8aqh25RXMxiUCmDh5r46dI2+8rRj
ngTesSFOae1kMFrgYCyZCz5q0nsIYJ8gsoDxUhMP1oe8ITlAurgLnoQ1T8JsbROmhAFYGEBtiy9J
j9FGFwNcG1TlPnPLGfrvFjvhQwUzqRj6tV02Z4PF4+TgWu6JnPFSwpj9LnkCWkEE6khxU5RpcoBr
fBwkWec2cOhlM/fuwoysOq1SXzUyz22J5BMTFmmxpYn/qr5x7Hep6eqtbcPXspW+MdEor3ICj9dO
azwbST1g1w8pugP2Yo8aY2S73lrOxWpgaEa1vA5wVWupAwwPzH1jR9C1PMCKiTfsIo4slIooriNE
5ls6kZz1lfHbhY9+SGE7yZRJUmIl76RD0KIR09plzx/7N93wugN8nR9GnKkNUZ4/ZeadXUc+Ykq6
Oir8JexCP4LOXoUhCKeoe+lTc6un0sb4hh9Tp/gd5VbZXrfnOPuSN6QcTyWDOiMff5XSe61NK9zU
8yBAlu6Fu+Ml9iP0BkaoFrnlbTwVYavt31nt+SeWe2GZnCWi6AYQ+uraiJyY908ZRKc85T5TfbXp
ShLqI3dqt0i+vrVfnLN64hKdm+GEgApjcPV4J244TtTBFuO0hHEdgdJ0f1dlD4Zjwrgnka011oE5
Zu5r6IIbUBbp9Cw4rOS2SYRV/mY54qdbQDqdId1L5mrjetZCK6axg8vfYwXxrKWCctsyRGqx7m7j
Jr/S6qXK5XBuReteM3etbE/FMJUbWwMLpYluKfT4SkDFp2tF1z7srgliAFL9WiiWBMeBv8W57de0
rtOVrelr3OKcNNd16hzHCse9xfAqRUlikqFFA2m4hQZDYFKpf2nWRFpQrR2LGpeX156HfPgQuFcX
kdVfYd0/Ng69CmU/6X33FmXdexFFmJ+HXULP3k4q/Hlj/um56M8gwywsjdtC9OWpLIofvPtkQInw
EYDYT2qtCXh5tDfH9MRCrzNX+uXI8tQ6/fdgiO+WkTwL9I8hQ9AmbYCAcXudirzBKynnkFTz5Obj
Vy6939g+KYhtTDONzt1pXC35Cw3MV2c4n+YN9lRCe4eFcqrLn6Pu8OpH34OX0jwD7LeEJHGJcusj
neZWgMnMQnavo28OnIkSxAJeyC2q6FCAQ0Pg/sF1Ga8TnRhVCu7LGOqvynOiVYJOmD68vqnnn4Ne
BLCwgbF1HNKj5TXPhofrQTJNpHWSL+0AaB9anVkG6FLrQePTC5PZLX6BzJxOlmsxpOcPTyWgE2AE
t6RW1baYCkb99TFq1YfK9ILR/1vspSkebKKiDTI1iaGBUgbOK22qhdLsh2iw6q1RmLRBa3oUaMiN
ovdXvTFcrA53KAKDZGzTbdfUJ2dgsMHh+iEKTXZ1UNHYhkT90tDkdUL7pEZ6V+68Zpk2zPsg2uuR
ANnnhbTWxM9eR4ZjJvVq9IxoZYYtta/e3jyZPPWyXwDaNIZqpriS2FdotH5x8rBacQECCqP9l9c7
rSE2EiIWOuF90svH1tJ+BL73xCtM9sLA3t5dx5ClJ6/W2gibFhy51qoHsOaHMrR3hKFxYDDXZd6/
0mCyXP034uei9ZkQuOlTWY7PnZreqh5umG9kByAuJxCP7ULj7els9I8GDSwj/okwJM2sRyvFouIq
/8uwdbmMO0CyUW9tZKyjqLG7ZVXEcltYJSpXiZTkR4iWbuF3wefU692aEMQ8466MtKsNFIf4VgQ1
zCtb64vWxHGysSiJoPoJTvFN0NdJKulwyviuWmRojRMwu3JtAPvyNYqdF6YWNNFaOshgF79Js2XP
NLxHeAjbtv4I9ACvsKtf9Fw7JwbuaLLsBrIzPSaFCOLA5tkTRUPxqjXstqVf/ZwjuzpqvxlHXG86
LzA2ksb+cvQ5ngr5zjBJLPvEq3ZYFbB5dR26NlOnehjGvWl2vwLF+SVtp2vjQGYLolxfIZuhWV78
1mmLsrl2j7B1uClRE4xJjR02uk3ypxZjO2rThqtFqaNBGuKCyT39o/w5bwyMYzWitjIimAD39zKB
7jKGbnyO/eYtLMBBg0AAX0w3dcEs+ctgKLDD/QS6NwfsHLGWCI1BBMKEfKXhdFtNGq9nAjkNNSgt
0Mm0TuVEn1V3AXN3kX7xZxm9XgWH0LMv3uCI53qEHJKi1CuRVxio8YikSJhTOGv+leh+5vYSFK+f
AUXNsZ4kL3GPV6QN+u3UhvXO4iBGtF4Mx88ibzCokK+XDudLwmkMxs/yd2r0u8xH9kRiCuuraVYr
Fy3jYmqQVhHLog4xxL/N4FU1gH//FnhZ9aySlBaKkN2WcjNe+y0QMFul8bGwx8eaed7JF8o9OXFt
bvCWEPROXt7JyP1qFRrm2Tezr7Bzp1OAj2I/MBPrfbc+tfODV8ZqPRi8vXj3nIM5+07GITuWAy1y
vZoKaIAcENN07izNMQBN1vqb2YY5Zrmxo3/24CSo5+4PXgv0ycxXeW3729R2x0MsLTRBtPVDpwee
1bKJGgJ8UZ9K+mNsJZf7gzGi3NN8lOZiunoM7sE69LMrEdEnMDn/NBOsNpkzzDGtYL46VL9mXYrT
wGaIn7yFfFEOsO5aqT9Tq3bPLkZpfXr2bFJRM902j05bmiSGMP3qSPG8KWPIN7giqBKTxNx6CZdc
qGzt0SpfwraEGzB/4ITGuDHmGT6Bo4tO2BCeTG6vlTBRdKdSTpdoithXHaqZSge14CteHscsxCnq
im8pVLy1zMY5ZRPOKqOJdw4TuqVTy2mpR4h/3MC6+O6AbK4losFJsUVkdIKXwu3FGo6w2poQ+Bcq
gQzad3j3R19juJ4rflrHYHgqmfKPOj0X5V8Gb9tbFYFqpr4yEwVduGbSnYAIEp1RIsPrSFnpHX7m
FhqWcQpHtjjw9YgZTY3MgXTQcOa1HBkiMBFjq++CztprPhajiHIiS4zk2A4dGxbsdL9+UpMV0Qg0
oO/RM8dExxBj0uD82+3Ki6jdnRblHfIYteI2EyypwU4bkomLtB4RjK5Vzc4US77Z0sONw0u2rRwa
8VpFX1FK5a36DvUF4gFMlOJABqpGO05SK7oHsmGvUK72Bo0/KigNZoH56umcPe6G3rYS8VIPJYQi
Tn5AdPDnsYGuhZesDRGOhLY053Co3XOUDNl2Us1DNYnTJEGuD27zkXbaL1/0Ai0psMlwlreUYF1l
zguBXoeja5AeswLzMUVgvvAGVpip/RLjeJm6AsBkB4rKB7dDZidZTdRwVsm2WWBqiV1tbTdhvPby
MZzZDr/TgBBaRTcPidNwcZPgOP9/stl9ExecYO3XbxEiMcaaUdMDEArMWzXG44PXa5w+Wf8tWFfD
GH3ARngqpbYYjDBAyJKi8CILl82VoABmZ8CcWKpFCeQCAdQSnAMsWNXOhLDwK0vgqvjWSGtgLKdz
Ev/MCtsnOamggepI+M0NAa6iQIYZB5jQNMc+p0U9k8CwZIc+TbAmPdB4BSBoJRBX4B6zgurMyJw3
XDLJVYX9ex1QfkRtuytCDmxTn5z8BBRslwuCPtvZMg2b0KdkcgxQKWFqhVQzKtpZAyfrJCe1EzrW
xqz74GA5GXelnqkncNa7RPwKUj+iBkdxPTBaPQZJdG3tTtsHzKRVaJCtERf4lCLjKJPBW5VeiAAr
6/J1To9wvsb1dWvRGp78tD6OytjUBRvGOHj7qK2avY75KrEFw55uesyM7BrVubMjCQg2kUuAbGFX
GpB994H98EUfqg9uIXh/GlpPb2r8vTvnWZd08kyzfDWZQm2dVn0VSUJ2uR0/oSqe3SbDaUxgG7ax
xymY+kIW/WtDIMzk9KhOmHkMDs1Zh8iVCBLu0kmYkEzTZ901LW1F+yR17AOi4kRFtAm6JCA9WCmT
A9dXTC+vutpAXwfyTQhoqHCfF2LfTkhpwsei6gT+cfvoAVaxES0zlbDfMhQRlt15OEw6DN2F+DIm
Q9sUqUcPnYnEOh6qVeCrr7s1/v6K5YUi1zt+iDAmBRJb6PRS2TsdPOCi8tyj5KVdFU0pV6WgRMwM
KJwplRUKc9yfscs8vKFJ4Qkyanz7sSNQZXm3UNzNfnqv7KPDBb4M7GHOTbWnnY2i/1KJp/uzGtWg
0PTxtIIpQOxdUIN0kUQBFdU+bzqRjbZCiGB6W7d3/C02DKqCxCNmRZYrv4aFIork7OrMTWqyt6uU
bCUfcdy59KXF94IXUPXmbs3UQ+0rHPMbZ31mZlO0Y/ZyTI2UYhM3TZl+RX2o7wyHZrCcjHVqx1+F
QMSKpAVy/ey1Nzqx6XsGuEWOhCngDoCgyrlzUsU2Ws/kl2U+owQwgGPSRKanCRvPwqdV9di8kY2u
yxGCXsCA0yswz4XuR0YzbskJ8waFBju8VYFArIN9ZvGKo4s65BitFhIHbOugmY2zm6gHfnWK1Zie
yU5U3bW1qLjghHeMslBLBg0xyn7QLu7PdEmb/WNJTe06X4Yi+Ei64BaqkZWOGRLyNU67LYE5va/9
tjpo1HkNFaebmNCkGKgbrCHorOAGa/SuoMXUOHRkkl6Nil6c2RfWwvD4HWmdrKIIKURvQv1PulNs
Wz9cg/UI4vyljKiodSBbock6HzE/Rs7IvWA/aL3gTTLtp5qLZOSv8qR2Aw3qL6tk/FAtZzGCQ9it
Yt5sAcEtGhMKIw2VmZSr+ZVhGAl70KO4kwMktwGFBw3OrYu40Mozb9Ua0dd9P5nqObiq2I/JtTPt
nwDaUNT6fMu9fUcmJwfC6GuglhyK7j2aeO+MUgMtVBbYoRGhAHWZqe0PwrCKrVMN+THxwQg1GAhk
q4ZNHnHI9UzKeS/rtRcnUsOhN8Su1vXLJB15bupWnUtm7iCUs72bFsN+roGdrK+v4Kk5OIziow17
ce0oI/XBbDD8ZWvNMrtrquYJz7Ri1lasSCtPdkXrfBDimx3vD1rXfkaRFpIsXdlr8gROWtjqBLOP
yKsNDiFHIH5vUU9CObIR8zwOerwLJpzgrKNPDNu77WTqT5WtnA1riX202uCIGIV6CP5NxRF/V3v1
p58Z5rKWxmMEBnalRm3dO2yS80Wlz0SHqBXvGkkRq0TNrx/ttYM94kwThNUJmqD8K0+DT6yF8sm0
5zQ7KHeBwEnfK2/n1pm/pclPYiD6PmCF+irr9WYPMxDE/Sy7NdrOWhomdISWd4/CgAxGyoR+PqmZ
jRmuJQMYVTL640YMobPH70mHEjR1cTNQPz7aKUEgQ4ilbFo1uHsk2eizBYhrqdcuJZUMEgeKpsxJ
n4WyC2Q43zjsvJVDyDO74YDfC+0Qf1s1LssGUGXvvKrKazgGUS6FqHsKWb82VMbLemANui9EtFfA
P/mWDwKa7TjINJub/Wsq5tNo63L2j+GH19z9LnMJZvcUt/WiHkDKoYzY5y5TfzprHZjXh1wHWdIH
Y73ToUTMkTCrzhQoOuAA8ttYjVvZvRkahuuAsozATfrfHA+JWFqqrDngekFt27Gp3l8nx3nXerRp
wpijGXEM3f9gCPpkHFFt6X34MlEIrihd2ethoBg52awM0TcRlwDCFOMbgt6w4p5caaXAjdUilvD6
gKJ1oJGJq46OAvdqDN8JRGtCz4AFyzRYalLkPkp1LVUPQ4eI4CfP3ZNCSDRfFR0aN/qazf9KZl95
wdWEkBaxt6FBdp5t5173HBrqdeSywqMESeXPS1BvGHoneL6BA98MUixZsVJY3ssC6Hd9IVCb/dHb
x0b0joterooeIxpUCMoSnlQqdzvmNkffoIFCnerfOgZ2umXeSm9Y8oNLPhHuLZ3+TOt6XLrgYEjU
UAs7RGSCPkDOOHteAawuRv7EOf6ihRgEXYBi95W8k5sOUQSafVZyOXLgS3m6aCj5MIjQqjSTL1+O
53tLHRsJwfSc4pFJlLTgknGlCefkzn1KlvZpE1Qz5SLNr5XbnmMWmYWWfxHSWGMj5l9T6fl6Alld
i2mXBzJa2bTPyQLiffxjTWz7g2ak/cbvky/yZgA+WphliCyKzc46ZgkCCrv3STHlbvfGB84k0aVm
CrXI6du+dV1U4xYpw03mAuvN8RzqvTe3M9rvmIbOria8/eqV+vcwPId+aX7SqEDxXEzTKRZOsrOt
qVmGmNVXGg2qUodtWtblPrbN9mwN3T7vOPz5pMaeYRHD8J/QWZfEBvlEWeDmhZBSIN9E28/lXIE8
WNQuASphn61IrIOqrhVfdmEA8Mi4H+crpDHan8ofX0yzOMMUuPQlOJCgmdOs2Hf1RuzpfXPIaQ3G
evSZ+/nqsfWaRYoqUZ9XgsFP2WZZVCwi5biluONE6H1OoMPcDJ+zI9K3eT3kPkF14BJME39FbnAr
0/qxmMS7GqNfWebsor5gVUvAstHVICKBFj7k4Oea8trq6RBa8dzZzyh3xXwT1QO/SJY09iZ7tkLm
1UNYATVH8UPuBWUHvltyakeabzorsp+BVM/c3X3DDjjb6uYR0xyRTQSNrhIGHm1y7I5m431VurdP
hY870NyDjMaepaqfgfS4Zrm49Na+DR5zcnKt8DMXfj4uSEoHaIiZZSrYfAnAo4xlkMLml3w5mKkX
4eTv5nvXTOS0yflzBs27DYrlrtGTdKFpCvohtWI7lxODRTJsjVvZKx+CiptBL3BLS1rddiguJTq8
xf0vbzpc2okzgsrWnttOaIzjsb9RRVSTfzFnb/A4sRHAFZYL5bPIRXitBheaPZf/HUR1v11C8JQY
JM4a2ml6i7y/ISaEtiXLyK5YlgD3rjFsvDrzp7kfhkXXWIAv2VVK/LWrHPBHafjLcRQXMIW8CsJt
WMAgLMdiKrbz5/URqRWlq7fKOqRCSIaaoOadFExMR1LOgpZEen7X/FzJAgceaVGGoHbvx53K1c2l
aXEntfEZR9TcpWfTiQpCJTxLoaGiHVJoTEscFtuq5aLw8DRlTsObl7OHtXn2ZebWoUk97GMzJyuJ
i13m0lEEQI/AzuGfPfnJuB7zo+3Bp4rms32uAZYt7Z92xUklyNmfI1rQblT520wj+ZHK57UDYq81
HO64+sk9wzJwt+Z6sNm5gOZOIeF9ARF9teQonmeUCC4BHS7wI4Y7GDK03nquTTteIG9z2MWbuV1B
SAfA83reNrk4Sjzp0xaLhraeatxnkPu55j5L3jkwrP6LxFhjxNojxNcQKbvP1FQA6UR3twwaoW8N
YPUr0j2eRd++qvmUlTXuUXXk48Qh27SnMy6P+muCt3uVTfFXb3LTN8LZtjPu1Ukpa2tcHBiQml2I
xB+N5YSkZPJpGc/XY3/nI5Wd4K/9fV+78dLRaDBQsA/lroPPT93IWzZY1rNXV8nFHcV3ln+BMRve
GYPqI3RKu0CIn6Hpxcm8h3M5HmqjSXE/C39lE+20RNaQPiT0HkAlVjRhHHeOJfOZgZfeM+OcZdFH
5oofscEojDwI953BHbQXSbbu/eElbcdo5TcpIpxRMuLXVbykeQiDG3qo3hvBWZtYsUx3vHkWmihu
ftwahE55tT/tOimvBn/jMXERso12sxdxX2+a8UHS8ZrQLXlJ8OoXRgOcu9mgw3G2XYhrcKrgacCM
MCCGYzX1m42yWvbYkAIIc0MJ976YNkOtrmCPMLWMafZkWChvSpZvjDSEUwqzTc6SEzzRlfmKTOni
OnBafJoQcLboSf5A+vyfvzAK5D//jY9/ltjS4jBSf/vwn7cy53//Nn/Pfzznr9/xz3P8k7Nu+Vv9
j8/afpeXH/m3/PuT/vKT+e1//nUzEfAvH6zvGMDH9rsZn74lJ//7XwFrYX7m//aLf8IEb2P1/X//
9ccvRs2051TDZOS/cgbRnc+0hv+eTnj57v/l8N3I779kvf/5bX/iCV3rHz4J464vhGXZvuVCZ/kT
T+ja/7BtPo/3D3rB/IU/4YTC+IflGDPUwPZNcq1mcs//y3r3/uHz0wCS+aYuoBr+f2W9G6Y7M1b+
wirQ4RbZHoAYjy8af8cnmITf5FZrEzk7cDaMRu08wYQhv3SIlknTED4ZkgZWNJaiAxrdNCY7nDeh
0gIJXDG5qm+hr56YGuicapL0VEjknoxIONtybloMHmtHkpXJRg5Inr3W+RT5EByDWL805WBvkMOD
wLWdPc17cl1JWNpa73BUG2LNcTOUCH14QMhuKLTtomWvtUxIMX5sjc/1D0L2vhqvTB6lMFPUbu6F
/kN/Kpv0FYdruexpxx85v8EakT5Ku0TTwIFq+J1oxnqFUhevy25wU1EfdHLbDCEsV6QVBGm8+rap
raO5AI2G8ffsV+xCNmUylsyKaBw8uAclJEeRNpDbcMgfutgPbi21mtYnn7WFVbCkEL/WCeF4tSr3
KoMHrBkLqqEUSRDrqD6Hq50bNMUACZNz0mjxSup0kz2Jpy8dSuT8JZjyRhS3ZDLcTS3SfG1bmMlE
Pa3Is0X3HPYvIxTHXdFv71XfvfFQcXBGFMaVT4OVvbnUD50WvofVRLuL4qNxmKpG7q2sE9AQfXwi
dyE41PWCOT0UhAoMYiuwisTs5VU5cfKjaiMohAK5J4W2aO0lg08+mne7aDTI9kRCf0dcNh09a5oJ
HcQv8xOjJ9gSJLXtiHqyF/zHvU2iFK7YTC7LBF2dSyXrVvzwbG5HW86H8udON37pXtEJxsxL6c7p
VjYdhyiy5EWOr92Zv+OPI3ag0ZxMjGpxx1Pkc0WubHlVCgiZyQvd+HRN7j2QToQIUV91beBNifYj
iISVZXHAGHyxm9rptYiwqBHku/aSmVU2us0zx3XYDsHZmFzn5KXq1PcMIsRo9qtZtLKw7gc2UkPM
dFhrg0uZ0/HydvmL6Q5PjPadTYKHdRGnh9EjYtfqKCGmnluj4qKLDeuEHQZqb7BDO01Xxj6U0fRK
gkyITI6AXb8eYNqYwTJY6HDGDyonpzic6r0V9cuEVLVtCFN6M9Vo5piJC7q4KxP9CUoQ6oje0h7G
OH0vpgdmCu4xq2OMPiq7WDaYXFsiIB04daY+xXLdx1zzXf/F0bdCFkCcw5ttzKqOTkwHgR5phc52
mzSJdxogPZD9F70jUtAOVj9NeDZDBxFLmaxzs9xGKPBf8cRs3JDdb4jBSA0lRYxTF/a+NJrnkEvh
5KEUhXjpbYwAg7UZ4M1qjG7r5OqxbIBQBLNSfRCUjJg4p3OWkYAdEX7RNFrF6YRAHhIJjThNt2VQ
Wlu/hudZcfHktIuZFGnm7HzPq5OGtD3qIvRRcEkYwkPaV+imq9LfkYK6cjzz01BAVS0WkrjJnkdo
k6f7SDe8jrnWYjor5LNn4bQcOf0abkekTzuWG4+3lNZT++2URJIlM5ukt3maMnt7A/bD3wbIoaeh
v2XgChfx0JHKm0WIcGKfZXHugzCk3VaiehzcHj8EGodlR5HKuANG35j8Kskp5RxVYxIJyB6yM7LK
dN7eBLMX8pispYIk+KQpoHHgZuk0o92J3yFT0Q1unIvlUbCMg3GYXMTlduxnp1FJC4NzlKKE7J6h
AzDBQSe5ZjZnUfd7r5rTc4l6xvSIx7Tvte9UT1/CiSYkTsS9lTO1i+S/s3cmS5IbWZb9IqRgUgWw
NQA2m7ubD+ERvoH4iHme8fV9YGSKZLOluha1rUVSkkHSBhigqu+9e89tVZ+8WmA/33ZZ7KugECdd
VfC3xR/KhJJEArtCI6QfZEsTYu0jNzf+RrjFGGowwsbUeOuM3Y772GXuyw4CmbnibChu8a/1Nq6Q
6cQJNfflWhNMIf16zEp75NsGae00xVKh0f6XMySoxPQTjmab4k03SMgOo95gnkR3NAvzZ7vnYDUa
89kxuBWK0ifCl4Y/a5xpgxGr+0uqOXd2TvDOOAaJZ5ZVsGX0R0cohkZG3H3roa/6TpRq36/N/DL+
CqPhElY1anpE/Z6COai1547yI5+9UcbkDxL00K3lGI5kli2lCNDRhXepinIRaazYytj+YZSmnyXe
y91S0LesVHkGuU6rIWc8QgWo3k0YNAwzb/0mZzw7y0w7BzFAjR5n3jbXu/pBn4lRLeDCh011TS2z
urcGaKpFFuJHzg11o7ed5yzIXsGoH+CqKGc7RObKofratJW1SdhVlJLusBkqwXXo5jvHSOqTAGOx
LWIboqdBKpIeXOYuAt7R6z+LnohzkPMlEKGBwY/r9lJTfmAjYWnqeDypeVAfxDEAUbs/teX0Rw2d
mRhisWJY9nmEVm5CspwPReqaa8O8t4stk7Q7k+anrwT8e3PNWmcdoSHx3AO4iNbyDHCbimjj4zZt
SNaXm/LhaWreBxU++ZAi4LCHCVAuNNlt30yaa5Xxo7N0KY7TSz+HzY6jGV84jl5aqPPbnMAFN1QV
tBvrw7gwyRgqDMnNGPhTSQ9P2CFxotTK5sD8PkECx/CGGQUYN5k5d1YwYYxqYKwopEY6KBHw7NME
ZalReVnuYkrheLrrC3VhkBJ82qYJo34FQBujHWyKsYWMY1p7h+u5ya1E3RtD/AgCne5qj0eO+F+Z
IaweY0LPHfG+6PYz2xB4kM4gOgD0K1U6HgbbLCbIc8MAlVnpvbpAUWS32g8TQAT8812CpHDbyP4u
pz0/t0j+CI3WN1re/DGMjhuD1TYNqnOrpfPWBE3s0tL7IHP5FRyFfsZEfdvKjKjojhhMGHJzQBJI
l72J3dzSssyjQEdXJIOjFuFmHbtijVUgqyyGv5H8QX9EHziZtG3XR8+O2d4ZcxxtR9AQLoX85DKi
KtGnKTPIHvO1guKApJqkphgk1GGyydHomgu6+O0c6UeVTIiWRY6zCdoGFgaMQHrvk7dL/oc0G8WL
ZvXEXgjHlZ7VpqpkeUZ9xQ/aEweiSsJvTNsZD2yKFNtYlu6bVl8RsbPzONvdp72YT7IKBqq9hMZL
Yj/mzMVp7m+kHrcMyeLxNKIMc3qBMMdGN94kj8Vi4BtKO2ffqJmxCzsUOjRWcrDND5VZ96j5F1ZU
Qs4AZXm6DMbnxibPIq2NryQolid89/OECqSfjsSuYF9b/zJWycs8zcndaLXDszkBeWDDHfYYWzIf
8CMt9iUgYKNhiBdHlSckr9SZFbJhYrbEOi4vpdBYA2MuRF0YhwAM1mbGFXQwBU050Px3ZhCoW1jY
tR+JyXpWQ92iAYbZy07SHKMkiUhGoItLVy9/5CQcXyvoYrSQwB45K28cNN/P0JzEc5CmWxXF0/Wv
P3KYohagW07zDFYm6kiADnk42roc9mVUqMwYah32ozL7gGD1bc+E6EVTeHy1VTUj8jUpbDI/Bek0
XjTy4+pwiqv6k8AUYIMTPUtEU+QCEV945+T6sQEtssqF0vYYLyPwr4kg01FNvT4UqOFqvCbqwcal
5yv8bptzbUf2I/lQxPPJ4QWZtkWrtpldo9K2EBKus5XeW/1IGPGiHCvS+dwi1MJ9K+SMDa17Blvj
OnXb/pJTbLkNMTmFQ5RdD4Nh6avAC4r4VxaSuWDqIxAcpY72bHExU9MMfF6pvTLN2ZjRWO8YfLaQ
KMrfMsV9pRhsJdGg7zuwYAtxbCHas6Svd6UD0a7eTexaB80pXkbM4rtUIsiuor3o5S7HEb/ROC5g
K9f7OwqOa4FYLNcsNj1nUL2ezW6DiQGK/oC1prfgyiHbSswJm8RgPecTzcYxhvGxINnbCRQLTQxs
t9a1D9Lf8DeZHdpN5s2bTJqnnuemK3BghwUmyMJVsLk4tYYob1mS3xBuOSCWWIBZWGs/jFX0HdIG
4t4TLDau099p+EreENeSiFQReDRwM9tpcxbGsxROe7IsAS5zPaEMSnVudOu5yJ2axOBiJyLxweEc
YQymH35qrD7O+NHS+72y3JyamvDkVB8NV9o4hh0kHmeqqUmTkCUN3dgPCmmvkHw2NOZ/8mhs3Uny
CMg6fVIRVuliPticTTa2Q25oaNjfQvJsqFSTGMcIGqqxnij2VsmxLsRqvp90Hl1QH3FEW838HQrz
YoTILQcpS69rm4MWzgzZOMV5okieRKT9tit+ESzGEhEJ8T52SNjfEF6KBalSMGRPQTmclSZ4s7G4
QqhuYXMFDaOn7otW7GUZQW51eB7oYem/7XrNbkWE5C9TNdNqj9J9PFhvczVQxQJPPXQDMdnCDB+k
gvndyfKR0Voq3VhSRajgT846Bwm+XUh3XSdmDDKJF46KdWhtcEehwVCaSdJEI3oebc6yYfxTheVW
Z9i+q2PincmxJy37y7JGseuysnRB+KK1luawt9bmsSaZwUD0xNrVEdeCP5oyzYR0Ikp4AvjuSH/q
g5eUCYg7pM1hWoRFBTWuEmGi0HtMLjqbxPOwkHagElts41JG6sWYvXIqGBnwF7S8ux9L8w+DZ6AJ
kX6Hf8rap2V4P2cZIqy2uyCCXMcDqz3O1JkCOowRx0XeM53B7KiV7xwPPlML8D5xJZEj99ZULntr
qU6q1T6HaTxCKrIbbzQVXNo0Y0HHaTzypvJLFELZjTxcWHNYLuDXsuPnOdtcsw5h6zU2S2ORxM8L
oLrFtVnF6U5LMW1LLcrdxOqsy6Lrl3aJ07NoPqSFYBMf28WobUjWKOALnZlTofejz+mwPjgx60OP
Tf7Qjz0uTMMcmUtwpLZrBX0xp7y0u0ilvkTsRwfuSKLQIu0SQOX2LE0eeg33UaER+8yknGe0d140
c0UfC+W7SKqPRZnSAwuwdHWeWC8aOIWNXawT0w0hInfUZ1F/2o1JbPXSF3t81ZD4RM4hgQ+nFsWu
bCVxPz1aYAoZc8FmFy7qH73QnOPklOVGjIa+TSO2cgA+7MyBaZwI8kE3B1AAu+efMt5Vs0Skssbl
wvPV7Uf0mHJvqmRCZw0oqSqaNmSkp+BSAoOQ17bbdCbn7CVsjtPgVzX0xLk9ZSlLOacwTaVNGJKN
CP0REIRXk+5sZa2D25UotCLBAlG2sOnqTLvetfOEI6/5xc71M8x8BQefTY2AC6glIJqWhztYpePG
SJ9qsot9WzqG341wuRTVRCC8OlwASewWNdJcfXrFX6Xu0EfsNI0OWtMVHBiWb1Nfc6tl/BZwAMeL
yIRhmd+HDpiHMNjYr0kZvAmGt6TZ4fU3stXG2NqsGov5OVCH90nf+IasQDKCUNcgeus2IpVe4Yhm
l1PmG228XTqOhpR+CL3DfDv098Lqn7qmPEnyUPcaRyEvMZmXQIl/WDAOrXNWtDpkm6N15PJyNECV
hHhdpDnoNuuNDDkUh/eFqQo3KJsIHiI+60X5jDqGkW34phm8AHJEJpOMl7SRtr1jLA9/zenJalsG
qle55qH8NYmoC8oS2ll+Mzt+MQnSmiO+gbZwaDJaxBqTovhhlnwsESWzrtKKISr+VGCTc/MePSP9
NdpojDZnQVYJca6vtyouWfNKFOMuYDPbLcRroEP2bliwWylhQ4QKM06MUf3SIWXcQtpy/DGcjtFy
vU1DFACQLm4h1r54k7cA/MKEiQiniWa32pWr9dxPEiF3UR2cKM/ENuh4fJk1GWsPTV0aRte0anKr
qEhnQ5IZsvX7bT3CQsnlcGg78yPBmrfBHng0IyZ3hY4ayc4PVvakaOI3mKPSxRfpoDjH8C914Cec
xOcB1dWkhiHQEPmElV7x0nHQMWnV2j406+fZtiCyJvkDKgm27QglftmCBEVLfw9CdrkwQy52YRB+
jiBNj0GbYfmcs5OOQKST47kfIqCJbQirmMLbp0uyRvXRdHHSaH7Mjfi1rwe+JaVG1lanNp7sUynx
HswYl3A+9ccAQfkq+ULLWU1P8WL7I/dImzgAcaGANpCST7e2/P9OMP6bCQZdfRMe8n89wbi8x8X3
f848/v4v/h5eSPkvx5DClIYOnJrxBdODfw8vtH+p0KBh5Vo8kJCOSVD59/jC+pcpbGDRFpMPnIUq
yOa/xxcmsUuCY5pKsooDVJrYpX/Pb/5mZf81ePov2Nn/iP+gWWmRVsMLgbd3pCbX4cZ/MPs7qmSl
mxQyeuaNoLSDbrYhZZKlWP/Ujs1b/0wIvbcwxD4ASPuPC/X3h/m/wN3/iIjhzW3SYdbRyZoTI7R/
vHlZiLKGOL4g6SXHEQhVdyL+GFIPynRagGB1bfkNYeh/+LaMjf7zO4MDEAOHcHqav3uInPl9r+yI
VnFnfAHtSQBuz/+bt/xnesM/v+g/0huA4zaBPfCO2Mr75apxCmv9EBBQ7HXJr///1zMt4/95O1vT
bBP7sa4ykNL+mZfVZkoFeaG+zZaDI/bOnWUaKzUAUUlh1wh5yKWmYY+Vxgk7b0Z7dnFySqrI4qSB
iQpkF9bSRAnIGJQO6+OMt4yhRekuTS48zTbgTbZqT+ac+hpYg7YpoeJt5xyqI+prJAnUJTRhjNEq
kHevkDAj73YpHjfEpaRQJON9gN4TrQN+Xqkhj1naxAMkWHjyhvWj+QKWA4adejBLnekYHJQFtTM5
koCzFgRU5OPeBRAEjuyTHtF7r6mDfEGJpxeDOgBFu/U0WVnwdOljHblVFe/HcVH9wFIJqkI9qyEE
3svmnQMJd57BBJo9qCzmF6HS/i44hZqZOOJItlzkwBfayq4uxLGI+gNujE+jRBMSLBg9CuOb8OJL
XNVvKClfxrliUtZeFDG+Mt6wmBNwZZcEY1PL5C/VcAYyPtvIlgJjAXaSyQ8i3Co0YiTpLINJidSP
L1PL/L2qmjc1pM6GmkWelrKdZ0Jz8xIEuASE7Rnlvk4/sfd9k5ldkxDML6EDc5Q6L6WHaeXadu5q
xXIttXJXjdnsN9TfPpdtr9Tz70I5SlzWBEQtmOkqRJAU0kWsrTm9sW+a5ZuFMD6J8TL183e6TC+R
NDwRYnluphd27sjNsK0OBXiM1Fq+gcC+hNVXkbfvfVtnOAFXfUjSKi6b/ZwmuW+N1VtAVadYcqsX
VMoGnQJR5d/qWPq00TJvfZ3cmF7UWdzP5YOsOQemrYkmbiFuTSDhRb+BIfAR1l21HhO8hV6xl5al
b+otQbZB4UKcGzmqVbjWVqtQZiBSzVuumg3zdpRg43S+I50wcBl5aX4rDJJ3cHJchmLpJlXAuXOK
sJL4p10VLnmLZyVSunNqaMxWjKWDMtT8RkFNG6Fsv5wSfIQSWZPfp+kxT/m3lcX45kxCPRNyz+kL
mzulsaaVpNLZfJDaJC9iKZbcVQe4HVTIlwxUGoSDlDMTn9lqi6ujNY/mwm2Sadq5TBw4ggqCXUOF
YJEpEdNQpge6hmy85v6pU3Jdowx5HFrKWyhVlNYNtwz/wVDvbj+0Q590roN3UgAeeC3iVDrW+ICL
MRIRVuF74N07T4tGevI6DRuAoevtW6y57AEGWlLgSdq0syvs9gRRUrtQGtiPKVxPyk++XaAwQiTb
njAiwaDUkulhvW+muXhO8/Fu1kWIIrp702oZunCT/bLEc2haDoBmhyD5QWcKMDHtIQ7qO1Pg8s6R
uh96SDnjcrJ0Kzn0Kh2myqDKT5sHvPcwwPv2ApL6RSnWllXP5bvdeSq54ay7TFHCCmkg3yOL63yX
JAHjqSD0xfrElaBpXGuHDHNLQ4fo8ZlntjZ1piAoSnu9Yu4Axsbu1sDQNGRGpKjfudY9kXF7l+qa
C+CFJ2f9iyGM3G171nizabaOHF8Gi2vciubNWoffltNfm5n2UsKhmbqjpkbE2Dr8CoZGR3cyWhTy
eYVGfzJd1s81fXyhjZUf1tvJLhkdzjqLWdjF4IHil8z41dS6uVXtKt2IXF5FCb+R+f8QMcuayxnp
MO7oQOURR68Jh54l//Z7YoicaU8zw+suvVhLkQzIbx7wpZwajw9vkoTmNwwS8utnfhHiFEt3GonE
Ch6Z9fOP+VHNRf9ugEtvDMfZL4Z8pFXD4Dt+6Sb+sHDKa2wCVR/GXd8UL4qeNjS/ZnoCMQnU602x
dFthla+OPr7Uw/zSOKsUP7jHY8Q8M8bvGybTy+rywf/51C+1z6LKzTjC9Cr5nP24rjFN/tbE4qUu
GGtTnjuNQdQDEkzB3chahlnHuI5mdtXU/Eqz64cJjjeAJA719Tk2+UWXicvVKunWHPACq7ixXOwM
OAZAophKfgyW9tKrXIp84tfpk3MbcVmBbFjuRMuiIkmEyxrh9AeqTWaxXONRZjqY83RpMoVd08GT
j4D8mzEVa2cSP2fdPVj+ekFgnELlZP1UHL5aaCcoPpT50DrN23pJZkIu+ZA08JnWbXLAhbDrl9sX
1BQYJDUFxu2GJyXnDf4agFsU587iE52FVFNjH41LsbPa7g87MiHseuQ3CT+4QzS6r7b51TLbC1v7
W2SEv5s0opFqmTtpLel5ZhvvLVjqTowkdooyr9MNv2+yj0WTlZusqxquLuYTWkqXtFlqev4dZOwx
9oPVwjuO6dUem3lfVngduyoAg2C112QumPw5jebbjdxpkYDzSNdNi2gVa2N+bQoeCn0aH8wyIgCA
iRhdoM3K88nWnS/qsguusqtJCUmnK3pijz7xEwZeMpRIEkFT2ONLBbB4awqd4jUpiaKn3dCFxS6H
u+jh4a08jY5Za/MVyBGBYyRwlC8IZRWe2KMNdcSV3fziWAxrIN36rLLKrqpyoi3iiMwEiHJ0QJrx
eQlzX6Wv3emg9DKJpMSe7N9NjfCh1x1jE0Fgqq2BFgDtHcbeACDCNvNVwUuxqX61YvEr8qQxn2ps
gNM55X9lB4RmDjqSnwf9FQO5Z4t8lw0ca4KkP41J158SiTGYqnjAhndeFBooaAtSsORQ5kfxR1rc
ynU58laT/jZqEIdK2mMRDY2yWfrDIGu/HEPnfmmmK95VQLE94JigY3aF8sQdxhaYelbgNjH4UlFh
czkzmRPBkNIwxD+gw0bCNEdiXpn27MgLewVsHwKnFZVFG/B1bYKzLhkyT0toHmFDwREfuwN1vuE6
mOGwKF3JBv0wiQl30055UzqahGAfuBrzsGcGUNLmxB800ibQ9UdlsA+Ng+sg0XHC4FWHIzBtLWIk
uNfCyssbOFZqv9h7xWzO+lLfG6MsTu2S/goVFh/atvCDlsSvMB2JQd3bjkZ6hlZ5GPnBIxBqxrEs
AHim5STLYdHZD/b4uVhVcVxnu/ZAuT4IGu7d8GzjlkSRvJJNCN/uIpXZqmofZ4M9vTFHpKXtF6vd
eJLDdA4NPF/dBJ7NHnt4Bz3jJRG8lzUb0F8fIq4BJs9ib873urKcnSl+w7cdr+BciL5GRpoBLWgi
IehgGQDQGZ2H20RRX5UwwGHZVXvJRHe/VJABHbVaXUZ05JIOnAxF6CaNzOfZiB+NyMo9i9b1sWGw
TLuMbA/DCQpPKzn+AB1pdtNk35l0kosYgS97b1IjH40T/BPCOtDH+Qhsk6AOJdeZk3naMn0NFg9V
EGnVJSY6kwWYQ0EXdLBZwPVFYaUyeCkfiwzwgFK3ny2PJjrXL/z6IEGH6BPhWYG2mnijJFNXzju6
LE68XjJ3jI7xI4vpa1EHzWeYAuQvKlm3FyQm65JbK07MAY8Pf7ujWChiy455XoJLjKHBc6ZtYDGC
BVbK6OhMx0xihyzoNNEi3HMl6CeRubCJNKJpkhDG7KQED5n4CjN+bNqRiQ966QLcJfMBd6EQAPc2
lSL2ZzuofSOOP9IOHcuUx1QgCegEh+abIxbcMjWGf9NOA4LRO3RQNcm46HjY6TWskIquvsQGOaEh
ahmGB6nrZDX09lG85/ngcdg6LMyOH/J4ZhkQQEPCYBewhW9pknK6GrufqWEjHqf0g6oIusaq0qI3
y1k4h9xvILiuqpAdHYINtzFzH6Mq1iTLbaHqv1amg9tpONhuOZJaeYdKQXGNtU9G1Dvejih9rFRG
PatsDUh4tHO0ut80CBURQtRQfBPWo053HeKVIfkNiVcK42zGWB0L+pP1cugtPXf71cEwmeadLMVX
T8GKuQnJCc6/1afIpm9aX3mo/xTmQlaA4GhLsFLMxITfVZp0kSdZHzDLp26rIqFHrP2ayeHRWpVr
WmmtMJXoENpEQSLv6q4IML3B0kY/shKsMf2PaKbAFxXagHJOXgw1i7b4csYDZ9Q7wXBOz4Dox7ZR
bjV9qE8tRwv8vopadxSbaeJzppQAHFpovC0DgYUmK/oJ6EtqupUzA6nQCrZGM+GvbO3fXaoJrzGV
p7iyHvVqkFQTebujvYxtn7RUbLecmtGKYXjnEDtX7S5I9s4g4oshgqfggtNaPLbkROG3BCAFUTBJ
TJA/JQ1hCJcIoOHWlyTlQEcrDvzdh7V0EZIiyfwf1y5a0pqBfcJqM6B3ecWM30HRcZ5AmXUHTlZ0
LCcZYMdeo+IciyV8FGcOwvlumHiundFheAO5JqZlEPUjmXFtU+ADse0t1NJnDJtgo6cPs8lmBh7M
LbLwLmHWdCjQlgeZHInjmj4QGjgsijxnGjZkfwyQVKBkhQsDG9rPutEng0Z6lhk6B5r7VHRmg6tC
TlRxbfeXMM5EnLWXCMxIe7Q3N1cW1Sa3p4OWawqb7WgxHRrG9U7LTBBwQt0ZNVoN5DRjRMXYaA7q
RlZLd6HGUGPkN1ALDguD421U2/OWnyoqQ48OxL6wabmTCLwdWvoNReorJEqTGWOBMUZv4tjpqRyr
S5fRKXbkvNNxTVkx6QmRuRDDEW0rAH6eLIw/hVb5yO9wBSFAs5TobUywQH8ylTianGo2lajfS5MY
txY9WaqZx1olNojUisWeCNyoiRRI86u61N/pPJOXwTV0GvjFUaLOrP/cv/QL97It/qgzbOOy0A5z
WV3LWHmvYBjixqP4ytWa7cR0i0FjT+OYg6XMeeyIBfPutVLimWyaL3VMobCT/LBhfFTsCObcLqlV
E6hF770sH3tBJRt0ZeSuwrPEYJCpFszDZhMIEG/zVJh0DtMVYxz4A1m2nsR9dw4suGuFClDn103J
uUgRbQMtv9NXFV0MdIXsrMzPi1j4UIkIsF+2ZtV/5231OOTRk1UEv26+K5mhpkXML+m9s6hayslQ
heLlkdng4SpfkV7oHqlF5TawfZ1+FOJLjFMMoBEP2MupIsktCy0iCvT8PDXGtY0ZIsuGGAqVlMwE
WUKPlPFgmnyaTNp7U5hnZ8FGjhXkogR0UhJ+Nk61xkMFpnILLmK1/OSoNBFAm1QonpXm2zyrX9SC
/smEQiNYuRYA00wvrPIH2eLS0Ogm+XNFedeRSuHR3WfaQFAiEfOgPurhoTOmhu4Qi3ivyl+SQ9IW
dD8qTsSnltlLEFLqIX5Q0ELvZ1QdZH/1PzKStZfsbg7BosKmprchZ6TVfEdyGZLajCDQJsdiVWvB
McMXvgEXk+VpsZfMcF26zy/VjIByre/wbzfoxF51OhiQBOAcFSxvBMswGJ4d9IR8g7q66y0ex2jO
onOWcPyZTeVYqvpjNra/raIDGD6DOhvy+S61GocFBWa9Ecsdwo9lG8FX6jWtcMe2ndFUs4StKsWU
4SRuwRRbzDRcpg4RfRFH4JJoCe7nfI1s08pprxiN6xj8HVFfxmufWOceTBCjsabYmdBPTiXCYcm8
CNhwpRwGkTzCLM0PpS6uRm0wA+UQFKxLfUrqohqUWwAkLc8c+GzscxpeSTq/Rhjmbq2AkjJUfMko
6z+itnke2+pet2DmIXuEbzLPQIHGZovzwORxdi44pxvmxdkBzfJ9VpfixFTfQ2467qqcKVgOz78Z
IhpOwLsAVf21V8veyRC6weqPqJochw1btEj05sByaKepkTcu9Wu55DuE5Jw1YQ0AuqeE11anqC5t
TnJW8OAYJdArxKg3626lZyCt6GSCxL+fxvE1SNDBS11FtTtHx5sjvbSM5oBOeV0XkxdSV5uDo4HR
kC1d16YMd3ArO3fQ88xvTFqttXgll9LwdbD6jWy+qlz5w5zeBgw4wRNN2RUyZEzjegF1fDwacz0O
lPa2wjoVprOJ/T92doWVNO7A2qtFgQDI7fyyBYQSgproMMPQ8YWdbnOEAJDGj9ncnCSJsZFC17B1
2DHHqeTEknoJnTauTLG96da5azbanOKlWpEMpqpIIu/n7Tz0qPXW+6vrjXiHggDYSI7Ia+TOyRTM
YHP7KQOTdp3QfwGAusRZ4ePUiLy0CSmN/shGG8+hR8U97aamOZQ5dO8OMf0GnB/Pipb93Dx7aZT0
WyE4lpN8A7BC457n5p5OdHy/SDenKZjxyRrFvGTIyIek2cppOheFtmIP9PTBrJSPAltWmFqerlbv
TgOGbcR5jwy31I7hm1R+9AWPHLEOYNeQqyDijBx4e+vgemCowIh3IgMswyl90bAx3LR6fBVOWf14
JWDsrJgUEM6CkKh20q9iYn2fEavvihfCIn1M6oE7CMRTtYXj42YFTZExTFih3Jsyv7Xys3Ai2nOC
+89WJCTG1fXHlP35NnuOjVG4QOEjfwlQLFpEZG8aSSfIIWxHrcORLi04jdVkilD9+SbxnUgZTPX0
cxwnAh7n/BrP70vrJDu6KEgsgC1FWCduMm5Ayq4DfFWBnUEqg3Awla1NwIXeeDnW96OO0YtiDwXS
WL6MnUnYUsM4gKyBVxzp69lal4QyyftRoQHdqQfQYW4+5M/Klwgg7CDKc/H/Wu4cCSLK4m1XGbjB
FXMrhmhbV9WhN+v3WhzmJl0n+JTkrQg+ZIA+HGAIh6stYlh/cfDbWjg+4FzZr8ZkoAQgJM2amfB2
2lmRtLFJjctbnveRb2GXzXvakMpMsCGUEhEid/bLZvhydFrKsZbdSQJ7RRpycE/a2S8fJ3k25Axt
QJ8UvxM5R0SLPa8DQFnJ9hxWAf63XntWKmI9bfKYkIlzIRXNU0V0DUEuiqbU6Ayss+/UeA3gDph1
/W7rM0ObXrlyQn2vQCCA0H9NQvvMnODaaix2I5q9GAPdojfvUzpXeATKvYz5as1UvtMYfI0n43lR
zOcxJYOjGy8KM8dNamDXCCvCL7nj35GmPSHh/mM2/EGqrB6lniRkgYxdwf0ileoxq4hTa9ksbxpn
RPdwjLXfN6NxFTvnnHsBWWH5aShwBboGN8QNhzD/yjXtjXQ5Loup+0w1qRJX065VspL3OSlANWZS
whb+cpRi4oNhZrkZ9ZUKEG1n1gmuoXzMIRNEl9WHqlHWEhMxeTn+c1eYj6U0nScjICw5pggEGOAW
AWlRU2unu6bizC0Ys8ikke7Q6bBpDzOPpOsEwbBT1cbejHZuIWpIxitxk3vLmt70BM9zbNy39Jf8
xLQJ5pHTA4UkShQBYiGn16TLS4qZ6TK31usi5G9VDphTkD+6UVSOPplQqEP+BuMMCZW7GvYcOvHg
3Jym0ar2vhV5WUgXwUQLR2TbNlIIpk3n6a4VLPsxcOBNHiZ8Bmq/ZUZd1llWRZBO+aQNhg3Zgo7e
DC0Tp/JMCq5eEVkddM51zHdq/j0OzkdhQ1SHeLYRTv1nGlgtuoZqx8byNvF+qHoB9mE8EyFOFA5G
ZHYjk3MxBDBNTGZ6ymth2xl7EaBA13isMkMDiJFf7axb4+lYIKeoPNordcbpOZZYmvU8aOFjU6OJ
VIYR4G51vB1YaizA4L+H7CSUa1skDXgZ62FKivKMuba6SvUwGOqvfARk3zaqPIopfkUSGsIrIPY8
nY2tUqrRqWRWt1Eb+SLq0dxDGqMtEO+ImQ1OOWcXkxFTXVc69pj0EWdpfSft/lACwtgtbZjsTA3C
LiS0tDSeo3n6ahWcFOjw5xOHveaEFMnF5uHgQGUEE1DN99PCboLMH7ctP4QeSFYqrhm6GCRMQ/Pc
iJdcicMDftpwr7zWsN3BYx2Wxj7C5yGgZT2n3vZColCRyOmPKABiN5zkXYgXxCNk4c5QaADDvFD8
TFxqw8aPKMB3K5X1fAM4NFMEcNpxtnHQMhudGCOq/Hi3hR7FQrFpx+DaCbz5NT6V261LVgUlvpoJ
4ihWaVAW0fYblZ8MuIJnostWc/tBBdiDPnO4I30NdB3CKAunOia04W310dsDPIDbc0698mM0/O4Y
/ptYo69cVz99GPl2wMsSAEUeW1UaiOIBk6x3w5A5z876Gcv1uFWni9etKtW6pLRg0XLrpCy9sijl
JppphCJukhXjXoQb+ynGv+2sHvYoASGUGAsSGxsZpyb0o544787ImBTTtF9l9rxPUk4AiUUAvKr1
60KUoM1f9VjZEFx788mgsQgSeaFBh7VrFX+Ra4wHmjxlV7V9Z2FXXtqe0XczUrIrP8kwzkdtjnuv
KBaPVFueQQMr2oy3TerUGzoJefsOnZ+zuqapvRBirhahSf2JNYD+TuRYx8E6ap38WsjDOhptqG5Q
BRheZHXT3e3/AW3RPG5UjYH+FG/JVCZSzwYbk3EUiFW2iC4cxr1pgE0dOR27FXgAT5mrF/iS6UFL
EW1edYVnNulykpujtkKzNBNRbLNah9qrHgcn5pXZURsUnuSINgXQLe2+Ug1AOSO+T3oNXpRg9gjY
H/eNMj2Q606Mn5PH952afWcmu8wkGzIoOT7KQM9+14mxa1RnZ2TmH1I2p+uCdn0bxA8RnRmk+slX
oVqMSXWbqY1meGa/ivoUi3G/Qb5R/jaPqKyGMePUaF2KyIPM52wU2SV3zkoEq5cBalVcv6LBoxtF
MfV/KDuPJbexbku/SsedIwLeDHpCgiDoySSZboJIC+89nv5+0O3orj9LIUUPSpEllYoGBwf77L3W
t0gbIZQEeFX0PPLOZxFmtNMqznaFb9mwOgntMwEaI6amr6+AQiiLcG3k+kfPAF6TE+7ZgmwxvC5O
1kdEW+fluZ8faHAklKISeeBFwN+UiBzwsCIVKhy/26bbRQ0IRXQR545zBIYf8gGyck3r/9MrwoPQ
ZJKdKCKttwBRbWox1wh94CaG7z355FC+Gp1jKA0QoglDKsybwai/LObytoBeUaXfWzRQJBjQA9WJ
OgpkRqu2GoVQEwyNeA152ooxSn4r5Lif0TqXwnJfZAFDpLSrN2URH9MCe0EmE+WrxbWTKwywJK97
I7gnu81GS0pLGONVfSdtNN/0aFplKtYZPkjIjsX8M1RE1HDkEtMYOxoxblZMfuOa6mbugg/dXi3U
gFggsq5U7y5zPINDpy2IHbxJauXZPPiQw5Oju/H4J6+yI9PxraeL2M0Mwh39zDyAeG12RSq9JQ1U
hwFx5rpnNRLWRS0HN2Ja5UZXrVOB4aeaxXslHr9lBiJ2S/4edhwrXqtx9pwFDDsteaA5xJTfCQan
IxV5B15mU/u5t9a1hupIltdDJLD4pqlmTpQnTGw7xrsCxMy+x5hc+LN2QkImbtAoHbP+Wohjbusa
j1AKG6AQzPpMYyofDJVQ0BJCRG6de5SCcN9wa2QmWEFBiZ0m6k6x2ktb3Mfmko7rKiMV0g05D/kl
vHwpMeA1+xLHDiuot79+yXmKbxWJDDwgPdP//VEWWWASRFKR/rCqO2VWH//nrzI/5I9+/bdlU03K
86//QyjeIk9eJIgVOFkQ6dioZFJWXEf68fxvo7QJHSXy7qJfaETuHW543apT0is+QzZfWXOySZdE
WlgoUCbrYnEHzJaQERB3YbmShcMz8zGx+SeL9KW3B33KK6CflkcSM4slk9+zxviKL6MvSJuwIfC8
GL1TUfe7OLAm3EB6uBULkHSRBgsEx2AhdtZJlIsCFKm/Gn05vJCJUa5QY8YIYL40jX0sFVUDYVvM
fJ/Xu0o80CfAL16P6yix9pDjNpnW5E5UFC9xEDd0EvqXKJWWmO+7gwijdN2bpCYRdw3l11IOfqWS
fJpwDRUwh0PRtw5z/QzYTxjv0nRYY7j37RRg/EJOte5Q5iT/kBTmFjlnPZmSKY0yJ7SUXRV6MZU1
ATdpXjlCnN8HGWFG5KVQ2bGUFwruEiltn5qcuIG4uI4kaawkuTnrFYrmXu/RnNTVjp4UXvEJsBe+
eW0ryISLBFKs4iyEyKyJw3zCQjJOQGps5N+0FinSteTJykH3hobTa17B5d2SQ0SntMRkG+3EdL7T
QdDPpuHwAfj1sesNYxHQOVxJfm1tmeJvSpHpMqw+B0oPR5/et6MUWqiPtMrUCXIKYLngB+9NB3hD
fWwnKii/bo6KKBOSNFm484fIWteM1eg+aO0dlQ7mp2nEXiMXGxqA4SkQLbcnYJUTKQkr49dIsNcT
ggoU3dKWmPRhk9VoP8KAaXOZwe0bNXp5WQeRUsfg5sQZix21FjYLmOptHTD6KmJ/BXgbVbbA/R8X
xecUKIZT4GsqMCzZUcEUtxwZTUezDKkLtGinwmBI0krfjrKeQsnov1H2k6MMoMlidmdM+XekaI9a
P360QYmsKFT3mqHtmL3ZNIZoRsLfnztLT8jyiKhssxuLWMO/KWEGqhKAsMHsoDubQthe2lDk2O3T
sBSlyCafIrPr3NNtXeqNTUbGhWCkpMYx3SLvRNG4VTrjQBxmv9aMhKYZB3K3alJzB0GVNMRasLYd
0PhNSa7kttf4GCz/dONbBOrmYl5zBsGzqLfehE1KVg6RV2AoVjrtmHtM2KPgUJeqd0QPJa8qORLP
huRlq6xUMlAAIlwrmO6g4Gr/QaIPaWuS1j3QgW3tXtCEB4ybOJEo4Ew/HTDaMVqvhCa8laoA+6Yq
xVtrlSNgSSO9I9khrcnIKYADnSEng/KN5HGgUrnDljpWnseeYwyQzLh6hBjACtfC4tEnzAg5d5s9
NiVDpGLQk0fJhHlLDH38KFYoqWlfRo8AhJIlmebB4y+WpSTF/qM3Ml9qKFLvQ4aIIIks887GREMe
u+8deVW+hNpZncHNrkDlynS4kUeZFYrEX/8aBZN8JEFUXA3hc5voyNp7ZuueJTBaLIVzEOHHDPW6
P3q+2h2bJuwJxiyUfRswx5x/vykxkRdW2jGnMrRDLTU7uIKu1OrmYxObd3AQs4zsnXwn3KuktS8K
gGur1PRfoqkBAxhUjI/92rD1gegqHdeok+NHw26IcQ1yRwsjPZdstG4fzCtHJ6wq8Kudrq6wFdK2
EqXxIFOX0BiJlVXcpG/COO1FUcrPkR7166k49r2Sr5MyNs4T71iI9H3mR1srKpOHVGM7ZgKc0nu1
2M+6DF0U79+LASbFPW43qWYiqBYoJVSoubPIsYH9XtEAF1ZVGOjoAozuoKkd05PeM7eIdoBlVe1D
40c7rBbTuqx7pjVafCY2w22rPtoOs+bLm9jku4558qAkey83+2Uzbb3S0MFHhVR2lFM8BJrXTMSN
xJCtXqVj9Wl6EQ03QJzzru0nBSbVtK3sNks5H1XYHr35XMuUZEnWnMbmziaSdfW+rHg0YHhj6qdj
iECIhRAMx64s0+UJFMBSYayDfoY+ayWdyKoyyXnQdP0QUWxyaAKmroztTlJ7YDG0gE9GHu2ZfO2I
QiOixzNzpzBDkIdJNbgsP403dhK6oUTEiim/C2meG2Cks5EkKtUgAkpLAs1tdZ0z/ZDZIKGkFRwn
Tg4Rg0U1ute6VJ79cSAogaYY2zbh6HmJN1FBOxo+TlM3Pfi0EeABom3JFNE71EEfLBX8ES2py1sk
cVjxFZXZf8JW4lfLuMXFPA70BPiQE9lHDd6USZLp1B1MUYqPtak7Y9+q+wSrEOgDw9yqnR4CIgtS
+OwjhCdhPpfJJ6aCCFUV5UmIiq8xqe4BQmZW1njSC4blgyYpM14qBS0GDaJm13ITX6NpmdOrBd+5
F72apkA0Ep9p9SeEFqAhOIWIerrl2e+tRj3IllDinvKB+cgoWtCy2gwD6aD2O8KxlLVsnBq1ze06
YGDTFnK6FfBrseu3+wF5Gai1rl9EZl7uqcyOOIc7p2W9MVqP4ZgH+Y1jnYTaiMjxwRq2zaBW9O7h
lRQqoaJj0zqcTJKtZgjVqh9R4uX+iyBayN5pGa/HtjyPQ8qjoYLyyjP0WZY5BgWKOTd/3MqojpYs
APGuk8jJSjNZe9D6VpaHuKrR/S3WVB6eRXWpMSsvOwoCO217eqhZoNjTMDCL9cQ9lQ3RGka3N4zG
IbK0IptIP/06OPJNLqoUVklQYteDpEC7AAVBp63RpOoXQa9gtbZasmr5PA6JmgfNQI6bZJ2+mukM
TinKKMMF/zilMnb4aTYKKyOQbV2lrUNiMtUOLdc+RTfeRdGj4nvJNp5IChRlfWfpDQBsrXHVKDpr
+UiXJPH1pVKq7QZiKWehxk+knZ+30m7qmA+SAkUjdP69X79080/eZCFL06qRZnVaa3aqE61S6TUZ
zAb55XpBki2UOEf1ynSjDBjdw/kPfv0kZ4z5M2tOSRwawgAPJhSyS9esNXk5kefAOsUXvUAlal66
5x65+823yw2gpXP2bL52H9ZeYlwYQEt1YBbR2IVy+MhxQb2ULAR11V+A9XlvCii//lKXaxz+7Ddz
W2Vc1qoTWAvpxe+cYh25opuss5X+wW+c8qvOX0VGL3HeyBfpowyp7ji9GLj84yUiO+2cWYuK9vXd
2GNSOwiiI7iPFYgkWJYU+KcU9+eNEaH4bmzkY6QslWuMt8pRc3sC2rwe7DK2s8/iht/bKg9GcSLN
Ur/4j2rq1uV7VxzYEGbYOc8RRpnZTqpX0OUVGWe4A8eiPaCMTrFRZzTsbOA6YcGJIXEi8hvWSGHk
h/I9B6rtpsnBNG6C8MFHR5znKPcYMEu8osfUf5YbhCUNo8g3DNbDUUWmVS2LbbEu41t6pepWoS0D
80auyN5xwUPSbrLH6FF4RUpAKwnbwypft9pKeVTfExmwCtCL5RR8NQflbm3J2EzcNkV77PoMExfd
jgiclBTbRfTavaU4sC6BbZ75cONS/RjW/VMxbCE339pHyamUJVLbA6HQBbEiV55qSIiwIS6kFXKR
7qgaC/I7E1QYi+wu5jZqEuEWYdeGR9mtusb2muN0qnsb6n3GPIeBD+3KBYnBcFIIX7r2LvaX3GHY
I0Qrpls7gl+4NuM226eP0km7Zf1S1S+t7EKp8g7qlgidrt3OCI2reDFu8mjLLBxhQxY85eVzu8Ub
MNEbjpbCPt2ZBxrHHCRv0SYZ5hXgc+IYXf+JgV3nZF/VoXwRLsM2QaG/TjfTSt3dEU6uggNMmfKJ
9DoENXSTP2pK3jey0I/iUfocaPcvCN/E5nCqeMa9Yod4YgNOlU1erKRw3atrlBh46vWjtcFlytTM
2Iy4DJVNdDfFJbAaadgaNJm5Ve32VjrZkXM4WoIR++c2eExmXbXNFakZseDd3suLaOtfhztEpaO2
DjfGvcrOWrjB2Or59pN0kc/ehto0JuLqaWaqfVW7dMk2CMtl7q06PmgblKAvMOifqx1+1+CpdVRb
eJiTZtGxLRo3CBzUJMFxeEu21cE4F+s32G71XlkXK1S5pQ366il+xRByNS5oXPJndZHTi/ZXauyE
/gpiUvMdfcPgRzwB7gwR4lFUzo0r7Wj69K9sZco7c75ZUI8CfE33G0+pclT4YlBqutnVetfiJYTK
u7BkZEL2wq3ZmT1yB1d6r1/FOalmaa2EAxbhdokKFMrP0nwuN+ZVIvPig1ghu1q3p/Q6O3qQ4k4L
0Y2vSe8KN3pFEZ7dJ9pB4g1U/Uf9HL0B/C9Xxlq7TMaieipwhl85J07f+C2bxE334lW5WJcg2tAG
8zYTDeQj3xCHdYI4zUX9Lqh2s6bcyFaMifRtsM1P+nPvGK/evtr5a0hH37UTeMvoHWLW2MK82BlM
T2aSQqHii114ucucbtcaD8mFoJ/Q6YRFcqdv/ywqS6CVqq1RNOG0ceHFIkZGWtd/++IBSH7U8khc
GJ/oOMcRA8yxR1oDSZcd6IZnoeRZw6IhbWtcEFiG9FGj9kwXnrLhm18Uj8Eb/BlShOoPTqzDqhkX
c3SMy8EvWNWudCYkHu1IbOs7LP0VF5vFRNLz/GiatQ8L81RcQOWaGJl5ZIU7oV8b2hIBNPI6fVVv
vbtaLNVxKVYPCCKH6SxcZeaOD9EdPbdAK3iRpGsQmNJhdDHeqS4zU2gT792HfzQPBaFNtrhq9sJ1
OFv76SQwRKViOFh7Xzt4X725jPZQYugAMxG98USEvJ09azfjbLz4Vx4JL+BHPoV97XL/RRzqaRik
+NGWgVs9VlvEQCFK0aV4slaYGZbBi/7t75CJ+wxfF/KLRKMfWA5LlRmpK5GdtAjXDHKtbe2jU1gi
ABYV27JW5rVK7epb9FfCNnrF5e49SBvpVLZv0T59mp3F1ODolWHXLTm1IZOB7N/zdk4JW9nouSX7
odiv1U1d2v4mHZ3o22rIAV+YttbzyFQPQAwY9AqW7Ws2d5aKutZuX9JNXbiMlNBUGKzzjXBgBIvK
erQVxDIMQNzpEmRrUV5kK58s2mWwMpBmX5RxITvNo3WQAMDgOIaRuoANstfXFreJdBKe41XjUrrL
5/DLP0S5bX6K3UZnTz2D7Ea7AEQsXaMTpghSPzK32THjxNcdlndYX2O/lLPlsEPmG6zyY/ZiPVOj
S/tSWBgG8VS28EafHzmu96kdYzLtzrG6qLwJPcuieQfJwe8F4qHy2BZs4aJf/e6iD9tpl9j1GlAX
BqB1efAX3Xv2JN/G55Sh0Tutn2Br7uDMq6v6JXgsxlX9wS0HrKzZKe/CA9+uI229wOYLM/oTXwTw
CnD14S0OXMu6RP2ilTYyY7SGtiZXiXt6oTyJ4VY3V8NGi/cEurrSekKk8dy4DcpdE37AQv/E2h8P
NhFH4s4TbePQfTfECNH7kukFrbPHGsHgsrsLLxPfNJQXDmMnk5Ap5k2rbHwgdyvbea7F2X9R7gNX
fVetS0vsF8qWcUkkwoe3UQQAcE77EGmuQMb0XcCBkRJLj4FmkfLl7TAojisy4f3C7U9au9eDNW4M
ogO/c9Y26R9E1hyYyWsXQmcV4TpSb4BieqwuPTL59wzN5YrQ4uFMHCiSGpS1BspkIqZW3Jjw5tam
mxIARHo2DOlzCjEpswNxycAK+UO7SxrbxIqUbeUH/ntDWIAbovtEynW3g+k3aysBmuGZBAYeOErm
kHPLmT3UL1QKUX7X1UPT2LV54yAptAcKtuKremgscsBcjzL0NUo30oUNCvmTHN5pCmYP9Sk8ZXgq
tz3wiWv7FJdrsqW4YxjXLHzb2JCb7BQfxA4GPPQftdOg4FNxOBWjDNBdPwdnvaU5RzmHCik8+m/m
q3xgk0i+okv3atC7cwlof8335SbYtrvmRX0okvXIRBhN6ZVsI6gRCzxQweQGqV2sSoBcr026NlEU
pbucXOXsRII7FsAAxPrJn675Z/E6A/lxb6J5MCnNvwhBx+6RfePtStUvvGXjM95FbFiJTpwD2nks
jEtqxsYxThVU+C1t0lu2DiGkXZl2ek8CcUiH6Tvf69f8OTKXnmvefMqvbfaIB3WpNMsBb96h0EBY
4nuyI31ZcrNylVhsl1JaVihQlsmdOq7J3oBb5LRGDwN9vSfeJ+ZQzAM8vraw2jHomA9M3LziSesu
wjm94pQZCIfiNuPUgVT0HbHn9MWDrcQYsfMpJRamtxOf0K1ca04dW4EwGWbtR9OtEUzTV5yW2kU7
oKOPHkfHo0Z9Z+EL2y7ZUrdi+LFpmGevYWlXX+0eEAy3DI8nVHUI8h/hbQhbz6VusdML8ZOVrTn5
NnEIJTiY+wIvmEkVvDQOwYnKwX/lnkl2Xb4tsMCA2hMXxVWftkXkzH5boHLmCtqphzWG1aZttaMB
PnBHX50+hQotBim/A9KciWdxZfwLo4INi4oqsjGWZLvYXCePnmRP+eeL8FoMr2J+6RK7fKbrDJfV
c6igwjUSBYTUlGdDdRvUcm0+tAVx85T1sM9Cah9xYX1yMXiqxpTxHGg28kI4pLfhboaL7tUy7ArI
w4Iu++eoLbQbhhamk5JqT+eKkZ9TPokul9F78JAU9TzvdgGFn+zQCDZlN7hzg+Yoxx1CcS7+GpGt
yf65TTbJPn/rzIW/S27+seAIZVErgbaLvmgEPKjvzGc4iFKwmqsZJ7tHsUyGEWLxbXjOHnjb0ll8
FS/KjWYGL4s7ijPCC14f8syoxQGr2VxcYZe80rvjoJB81d4OAck8Zb/5n+zGqbBFUQVm9wnD7nv0
XbkRI71NsVI/vL2JWROoKT4HcZEfrAe8jPT1in2/TSGd2PUq+EzhMPKM6txmAdziudpGK55RrJf2
mVYBz+v2mdZHUy4rjC02EIyT+iC8pI74IY4OgUywjIVzzH6I8JOvvHkjNlz9qIgHxhJuN9MSUmy/
CWDArrwPb1c/+dUuQsy7kfeCbWxTbG6BDdCiNTfEo75YpLcP3KF82d9I6AWCW7f4QIDzSbY3ONra
ulSX5o6Y88mEco7/EeEn9yqKUGfcB2RBrqJvdj8J4CgRBO8jDT5/8dUVqCwdyib02Tzlm6f2Eij7
5FN7ZnU+hG/eOnUtzx5C29oZRwl/4SezBUQX1vQY0MBcGQpS+IX6KuxFt8Qov7Kgudvs/vqO0Ykd
gDdG6LOKNvU2wAJ/lq7zZjOLxDjDGRvpXMyHWJMJw5p+nn8c79Lzcykxlrdp+zC0xXPOg7F8hXki
LwdHPbJwuEjBRd4FX9hfzQdCzMLv6NZ98BAQrpKTvWS3MV3nPCcu3nrYGFf2KG4K45Op217Zj1vC
DoyXGHRDspyu/M+Gl8a3W/jm8YLm7Rgtgw0VsfeFcpzjOtrb6As4DwHAjBt59gTAJpfiA7u8vxiw
WxwiPDC3/Ji/IUe39nN/U2Dqs/Ie/GvA/bTwnpIv1nD3TAk9btFjipfwxHYks+VgOYOfuqyf6ift
pX5iewwexB1GgnPp9E+cXdVDtpccY7eJL+LKeAaj5ZQISnOHzZPNUnuhtr53r73LNOapuCNQE+wR
Hem2o5R2xmcO7CR21fsCnWRp147IyI9h36O1ZTW9V5dSoC2zJNGKLaO/mc/jsLPs7uh99MNTVEMW
W2viOlc5Wy5Q9bvGMab1z22Dw4dDXI+NcSG+zDfQQAbJrvgm0ll2J9VJqQBaRyxdf81/mK+13XiE
DUqlDyx5O/Jmq3X1oG2HNd+AuFdWNQPBOx7jYBHTD8oeBw0v0CbkQclw6ziXz3gJ3zPKsmA1rMRP
wpPjesUG/iSwkc/ChUXhGofirX7GTiFz8JQuwj3U4GI10IO7Vl0biKB7KyH+ltHM9tdPhOt1OFAL
y64nMbKNilsa8T6Gplf/FxBSifuJRkMokRe6Ivc03oW/fj9GhJXGTclSseJdLXXmKqp4juN58gjb
wjAF3fdZSJTaMRqNz63XAthILeNH3yRZUKV3Vka4S0JqL1TKKET79hyLESC+jPcTFB1W55GboZ9/
iZDdLFsmG3i8JwUZXL1XpYFyacj/zy+DWR1atdBh8QXJdugzRpQqBWVSJeXW+rK+8trq9hYxr8Tr
5jlNWPQJq7QQOKn8+kWf7okh+GuGCzQxERgXK+D1lA+B+YTIsnKDgsIc3SMWRBrPKt5TlBy0aMfp
U9SimxCffToW4JVMRAMS1ufq2KvypxyDJc2iObnTvHh83m0I5QwtU2vnJWcuT+D8beHuLv3xSym8
Axm5MiWs32Iee450ueZWEfEfcyFaVYa5JYD26icej8PFgAlFShbJsZBTOAEVj2r9NKqoV+efQ3Mg
ZSmsP4UoulmEwVZD/dAIU8weqS4hUr31ekELdXwaC0FZN6oIZ1WHDm+c49F3C0E+Khw8SSd+yCT1
angcjgyZnGN95MRSKa6ceBeP4c6qb8zHop0gL/uogbxhuveTfOJyUMDkqkefqPg0BQIhjK61gTt9
mLImbC0vwNEXuJ5S7etsqDctLiv2mSTZVETSL4zB7cUxOFYCphPMGOPaK9t1J/rhco41gZlhHMzE
GnZdRpFpgapXyDdhDDSpa8uSP0aaxisI/PDWEGeQZ+vhH32aWu1b7UFBCcQPEUacOFpCudCK7RYD
+zEqA07Dkrn8r/+H+PkduQYEUPFP5j+of0s0NN0CbCrxoj+ALvqQyFknmJXbq/AhcgtMQcfzQvbC
DVT/RQpUslKjbaHIPIyr8f7nl/8332V+dUtSRFNnQqT+4OYYgzY0IP4qlxzFb29QQWf7tA4iuhjC
LFDyKp1ul4hX+s+vK4Ed+tfHlmTFsEyN4ZYqz2/sH7QgsdaLQR6kikkLSeUVTrFKX4dGfx51vPCT
iJo+rQ7Y8A66hZ6TcTIn21zZqFa//ctbmT/jzytAGIOsqKpFJoT14wpIsSaOyEMr1xPBIkSlABZC
+ApI8nSFU3DyC+aTMxCG5TswPevuRHBPS4tKuPPHvywHIi3+9V5kCS2qYqqabP18L1roSbKQh8zK
CTdke+ABP2MFkrF4C/CieYKp/uVKKL9bgDIWDwOLiair+o8rETOxm4pCqFw9o91n9OndUDR0klRa
7URa2Pz1G1LzWhTghlPQcThRy4HSHjkALpNkq4CERWJMsABW2kUsU+urGn/JiwHtw1/zq+rRRANS
jChTm5TLWxDcjrSStm72hjhsFZrN5c8X9XfXVFYUA4usOVOvfqzr0VfJao792jVB1a508DALvez/
cvP8WqQ/Vw5AUtHURPhbhiH/5yIecDqPjSVXbldpUIGFC7DQXW/Q/G64YwpasEafXaaiA8dg8UNv
boZIO+D/gLvaJxc9YEUBZjv35Gibe679ujDVL6uZmSXFa1JWh2kEoFHo5VqsvbPYBt95lVbOn78s
+V/0LPYgRdY1WbRMiZCyeYn842a0NJXoU1nhOGBRmvpGDq2AkKaWUcuYck2nKkxd4g43A7QncW4r
m05WJY++RCpdEEMY0Ycv35K/zLgi8gjmguJDK5h6/+ylJA7++e3+du9QVAZ3M3NM1n/9+T/erlJb
em6EvF1W1rKVoNpguFpOM3ZKSrt7zEh99vS/DtouUuhd+gjg6MksAKk2f3svv7t7FDZuUUVRjzD0
xxLwEZZIgglIONaYnhhlPIKDpQcb0BMq5XLta9xPTceI3WeM0Qfp55+/jN/evtCMZVWE86azEH9c
O/wm/7MGBwRFdiXJNJk7vOXTeDcJClvISr6o5zsPX1YMEGS+OJ18jUz6SjNOZsAmh419+PJmIMqE
2H/ZRNJXA3oXcOGhSArYPXDES6vB3g/hNfDe4UTssFHSMI267UxZamYM1Z8/mPT7b9bUDZ7Gsmr+
a19Cg8oCEgnDyXdaS4tdV3AFolpzBlAzxNvEmwnYckLjPIL88udX/91zkRU2E89EgHvKj2eCOnhq
q4Ljd8eZ0yPQmugxuHHTRmvJN+6RRpRL1Td/+cy/27VUEWKSCt8Hkt0PnFw8tFk3Jn3lghlOEL5X
r7qZv/75k/3tNX58MgIgZXyiLFhEfocJAKxqpn/ZfH+7JrkZJMXivmDI/XNNWhGsFrnhpiglRwH0
LI7sItbAAtPy7DL8wgSp4Uor2wN+mQumJobx6IeTZJ945S6sukMn4g81Zcnux4QplUHHIBiD17Dw
HTKROPEprGRyLe9wSOiMzsAo33goQu99Bo6ZHiqNP39x0nwr/+dur4iiZioEjIkWkv0fzxRVK1pF
ABbk+ojTFw2P8YWapCsZERSZqtxmRp3ccXczcgB34wslU5OC0rcgB/fPb8X63Tshi45iVZMl4+em
U5JJZRJhU7pl9i34DNsDmf610UjMccfLUDXeTgFYESj/g+78j+yx/5W16TkPs6b+3//17+oE1aSJ
sM4ggEUxf31D/9h4LV9qpipOSmLpA9uQuSdrvuxlXgDDhqfKjOFv9dC84n9853w+UzMwzmuK+rM6
tkjimQhbxh2mkjEYocymlH0uqujxz9/ob19HlUWJC8xurs6f/B+fjORmzGWVkbsmvZvJk9cCDFuC
Nv9Sa5r/LntByv7jdX4UW4KS6B7CkdwFSdEIlmqj+eaUr0OLRxYg5SpzxYckzDc58Yrs28WLGm2M
Mrrx8ek1dG3nCLBdacOlIIX1laQEohNRCS2mIOUdk2HBn0E+6FGwlSqAm9anZ6RaA/b7QiQNegb6
knWKohe6T2uZiCo8/0o4lS3LHsf8SNloZe07U+fkaZDue5UJndQZOVRxFQF8TsJUPn3gMxc2PQdK
PJM98khm+UX70Zki8oI48DkQZ7h2hvitN2yOp4za5jRHKzFfJAOlBNjHAnMTiOd8gwxJuuFj3Jp+
8NKnuohwFbqONqgX4PnfIkw8O/aYYBuaSQ9zghVfadqz6MjRdObQXK49OqywnUkJ0bHbRDHiAXMI
HsNpuvnh6c8rRfrNg4mC0tDYDESUYdrPailJJkHhmJa7EcBgeir9tUuyi9LLV7Oy3ulGkKMzxhfs
PE9WGp1rK1CBNPVY/fd5qG3HTL1iXn/WpHIlBcV9EpJXSSf6Q1aaapEn8ppcARo7pU4Ssf9YdXrG
xfXaJabE9eCJnxXZYLoRX7C1MaVSg8e8Y3QqAARVrPek769aYx2npr3KZFuStuaoUcZAJLWOVRms
VGyEjcpfiBLSTobWDnq8nNElldU9XpKL3HRXLHN+9RmN2UZRpM/Rl9ZAyY/wYOKFUslvbSati4HR
Y8jX7nlMscIwodW0IgsTcQWeheX8PmW1j+0ajHWgS5+//l6n7+u8vqC+tesOQoWMnK9JoI0TtqUx
Fmwr8a2OyNAY2NMk9VmRsw0+i20SZocpkM++pp78GDZEUN2FKT/gdoG5EwT3oI9fqqCY9k0Ak8fz
hYcmqw9qa3xamk4336yecuyI57iz8G6R0Di1+QNnUNbUHM37lxXymweFbEFLpfmkoco0fmwmXgq1
VK5G1NFgyHK/GrcN5NKlbtGHTCvNIQf0M0TAjiSjQs4ictnjemAI6im9+5f3Mj/Of2ygimyo4CYs
WB7WzyMKXZau64s0d8GBIE/fxoIQzka1dGWil2t1qdsivIeIXvRvg9F8SLl4rSuUNUFgqqu8K5gm
moK/6ZvhLw8x6d+nDoUTmqjrc+DivzsflT92QtDqpEdhGaDfVZhIZRm8IC73d95QvXjpBJ3QkBO3
NuBsBUK/aUmK/8tDbYYj//yK4NvyPDNNjX9+nhWbMSYEfISQn5l3iADpGv9fKkCbB4SBqWMxRMO4
yxLEiUq+qWaaRjPHSqmdhaw4IdFV1D+0dJdgJ5h592d4f9Mh9wTkTxhLZDVeyhbKWa9q7EkXzoRE
8VnCRoY4B1tLJSzea/UFlo3k//9wonA+UkAyaPQ2ZPlHHVbHTQFZn3wuoWyPjWwxeq/eYFAtuqS6
lX12S9oR6Y8yAYvJ3/688v5dQavz01QyQEIblqb9qDPjrsDdJEXYUUzGTfiV7GEcb3TrnFAv972c
PkwC4qE/v+hv1hRVO7hrw6AwUkT9xycu6jxv/a5N3DxG8omWsIjrt0lvgX5EJ81DJ53hkRve0si4
oKL+/PPL/yoB//NuU0WFjy1LqqTr2s/CzA+TIlOTMnEnrVGZLXasDl1Geicuaa2eokS/dJgD/pu0
M+uNG+my7V9p1Du/5swIoOt7yFmpWUpJtl4I2ZI4k8F5+PW9mFV9y07rWveigYJRmjKZZAwnztln
bcrbDjVp7KSMnuxE2dmLQRdPVWsd2vnHAjPdsaaXXw2CjEnxMo53VnsJxm8fF7Toe9VnT+vXZYIL
59BB0O44XP68pP0Q/5QOeWu3zbhwmu5Di27gSbzGNOGDoPzkdPDRwLBI+rncJiIh5+StQqTCvmhk
sksSuAYeHR6Bt82c9tJD503LGCfKRj79/sH8GjDz8SCmW0DO58XmNOyyFWBNTWDzznqXSPVSjMYB
JMNKV8bD8ZYnPhaFpvfJePw1rLSxdGVIzME6b3wyCZyaJEbje8lOa9v9mHY7206uI1e/+P3HMz66
p45OusvCgZ7benI0IewaoojX3gW5c+t2nOELJhoJN7bK4mupWReJbW5i3dkI2AJ2zSpbWXRateNZ
hCgQSJUDB27ynjT/s5H1QbjEPTB04ndh6i4nwp+H1qCZQx7HtP1W9AFNUXhvOQNrgH/RRM15233F
aRKRTwwjyvhsqDnzTns6H+elz3OAhLHTnLw3G0gjoRwlO+kAl7Bp9CMDAmsBfxLW9aI/a2C6LWjQ
BNcAiSS3cJIFb09XXXAd0gS/6Dt/wosnujwCb4VBI6BgUlsGvcdDlkCsYScIogXTnoSZYVYrOuMQ
hag23/h1fpfaNJEPM0HmCB1rlE0DPd0k9Imlc0fb4cgy0EqxdnrgRcdfB4gnYScBfaKJnFQrOLi+
f25qZ3/0lZ/wsSU3EGxCYZVL2McgOaJv5PVQvg3A/TQ8vABxYcFhlC8AnjdqPgZ8MuDmSfrLjRVy
Ts0YQtqnA26KYbiGNgvd2GsYo6CXC521O+6zCjVaCRDFd9p9kUMioWnqle6ctaXqm99fxIeTC8sB
yhc4M/9yGs3skuAhKDDUahCbFXxsPTEOwms+ObR9kG9kBEuXcy+Lukuu7+cRTLeblePQlu56i6IT
2kTRguxgna7Lbk8IdYB5gB4cXEZjObdhiyWH3130YvrsQn6NVOYMvUGZSJD85O7/fCFTrNNGDJp1
Z9RwL1r+WQ0VXi4vSTZ+ceZWzrpOv1WlczU3wmfi2///Decu2GzottD104wc08DtkpDVbEz81/l+
V+jLsNH5ZLE2fz0kkwRjZaTOQPrePJ21Q53kxlSwYrgJJQYJ53+RqhR1lnebjJivu6xZsdXsos6V
i75hlEOeX3RoTMwKinhCwwMnh90kCXnn8l1ky6cMZo7pYzYwIA+sDQROny/DH6022FDYnPDlB2kZ
4VYChF+XoOxs91rf7DWlXriVuMWYF6P+6ar/4X0yLVh3YC/EL5WblJvkuWS/sJO9xmUWJHKiXlrS
piAhBcqaNPrWpt9swC+9Bq6qJyJ1y32UI4D5/cDw5hlwuhzwoCjy2oaFOcnJPidbE8BTUCY7mozp
0gH0LwA/QKAsoVZGaL9okiqa+iYkmiAkuJWi3uriqyfsQ4a2pngbAlpXoqzb1YRLMRskqGnceSf+
6STmNP3gXDpytjs1D2IgmaEYDLqlXuwmeZRWc5+p4kUO+oUCVI/FGr1M1ddKOOsywNyINsoXUtWk
IOVhMso7C1oTTpkzePgtKii2hyKz1oXpXtBjfNdZIGCUV51jWAveQt9Q4V/5ngfw1H3KI465DHsd
xemgg7U0L0KGwyJxIlg7z8f/99xsfbzLqiSjEhbfYv2zXdX+8Nl7ZFhZ/+jtOw3tK7+eUwoZO1tZ
7XNgSyLp9j1FztU8Iaq+Rx8UjjvHaCsOMN9c7nQsjUNc5S9xUH1vw/ps0u2Dhg8aLUMs2GVV3sPi
uJnsqicslcukCr/H3wwJcqQNESW44w0dXrsCFlkyc6Y8DKXIYbmvHYNLKKdedha6x3kttjx+pEPA
By+l6Nbp6CQogrumpp7laZ9sAx8FGIZuc4ykwVvOx7ifV8XUa4c4AiCy0xpjYQz5XTD4ez1eG0H5
UFTji67Q6vjprSzGT8445gdbkMFiOAfNFGut03jfNJjVNu3bu8k3XsG1fQH2/+gZ4bqU+X2snlvD
2lm78c2dG8schDvhF73wLvBCexFdc5+XAPWEouqn5kzVth4QUJh+viHfQ0uVbO7DKj37/Vz9aHUl
p2W4xPvEY78IDjpoq0MVFMWuj1G0eflZ2ZLfyfr7KsnPJpXs9d7bWCEdWqg0x5yLQ0ey6PX2Pm1Q
R3ghrTPhdepN3+PB/pIJ/XWCBReLByMbX5Ja/+RM9eHjNQzKktRiONOd7r62JuOoEnWxo53uqnT7
CtHQY9Bg+adHtwHBVp4O6zEOtqNwPvUV+iCw5r3nzLNpOJK1+uexxZLXN7VdMrYwT1majGZjsC+Y
NVsHQ2wtvqezHiMy/VWl+it56g3Etm3e+1eO2d7Tmr9IGoGMGfi0peeXv3+SHx12uTiOMxYxGCe3
k1U383FojAqeJIagX8CNbcbJ+RI7LJdB6C04n17oObmlwHGu3EDu7SF4/OQKPjhX8WR0aQmXA5Y4
DQOVZ0fYXJJdKsfufn4+vSt3QQ3EvPliy+5e15PHInMvhkRcRfSTofMoYutLXE+vjRfcarn9JQey
r9l0zXrGJ7Pzg+0YDzsOXpbNnvRLdb6Db5lP5KFRQrecq4s3xykPac0AioLyFgPyz4rBHw0WC5st
0zFMk+PeyWBhZPgFlpv5juzApgpQw8MzWUBeXSk3vI/DkW8On0zn+Rmf7LzU63XHsqhA26acV6gf
Du5q6odK90le0bH8NKFjHOgN95rLoMg/S3x7Hz3tH9/rZLxJLU5i254TZRI+Vo1fpYoNSF2ccIzo
pRwKAGwCWaNtbUO9vJpUgWtvI87FKJm07oqW9cNM9M1sbxNQz6vUeKYX9hOg+oxKPu4k4JbSaauM
NgLDo5/VmjrQEhuC0LcakrVQJM69c9VWhyP5GIlmRvkRNp96s3MMtC3iQqcDuxJPZ3VonGFZuM6L
7nrEG9701rLOUdJ5e0EPNikXcyh2TTFu9VKeq6rDpxjoizbi61tfaX15SAD4YNLIsZkTWHeZdeOZ
1dKlVrbvcdwcupqrDPKrIYdgkvnTvZNSKTEllkZHp/HIA2GTDtNCfRNnuDFTJ7MlzBdf/4KVzdcE
n8wKZJk2WuMSkLYcVp2OSY4FkWZT0o92JFzi+g4rGJUk3Xj23kUT5MVBuckGlNJ69qKQZpFZxCIx
bM7xTkxhoebsI26Jk0/BCAQvsLUtfGEFnrB7ZjCdoJRatnGAkWPX9LDpAEX1Y4xBRJvctRlBoiUx
Qwefj9twMVP3kSXCSnCuwsELt5CFkIyTwV5gwvDFL9FZx9La5tgCCU3dgtGjR4dRP4n8FtT5ylLE
Y54+nNU5W6EDNS6hX7jDO0gmb5L2IC+qD8IX546o3rqouA0qHLLrBi2Fj+bJpqW9+F4L48lM6VvM
k+IxHs5gGWIHBO6WwsGTBxzJVzR5AymW4S50eK3Ev9QxtWoBB1ihs2m0s3lIDG55K0fvXLgjTaRc
5LwOAEnfom/dWgncQz+86KP2S+EFwypvx+3vl8sP54/heQaLg4VsZT5U/zBX3bIum9FlQTJrf1W5
rMhhfzMqHC9QCdmju24nXKSTz2LFj4IU8h+cXhFToFU6eVsnHGGoYOa4ayj/GLq8ypOMfH7+yUr0
4XbkEGFS4STlDPjm549nIw4CXi/zXT/KXdu39ERBgs/o1iWbUiCnW6govJWVeRlhi1Man0cKH634
bKqeyz0mC3t6cJQY22aqd6go0MORlihOW/TvveZe8O0rhAIc+sTCD6Y7Fv91GKF4BYl4oVcAkgXJ
xxZDnqapbhJM4EncnvuZSQXLAZbsY0TTQ85cZEbOFKz9XZDmr0XQ3LVhsIcrfi7HDpgCblOdU9Gh
kJPNDzAKCWggzvp2NRbuwWrBwCUsl+041whTbWlW0ErDce500scXK592+YThTugtDeldZaGOkP/V
rBOEOR0N+Ph6LTwruivVbSUKNOw2TQN6M73MT7OADEb/15CsROw+cpRKMhdowwg+K76t4C1B7iUS
efa1HuHCXLELWTcsOHorI4hI1HTxpSBIxasgBqdAFqrOvGZlxl1AlgGMowFCOPWjLZYfuBAgUG9S
9UYjFWBSHTY3ztiIreEgBTaWBo19UENfbkY0/55qAvAOkg5tAw4FtUevc/e1ThNlWgWLdqDHtosf
p0RB38hmkTg9n5HPG8xYwd/PwY/2S9fiiC7RuzFU5zn6wxyM9NrJ8qTLoR9SYzIfMjc9H3t9mxjY
1fyv3ur0iNYpeMMFyMdd6EFSzGePe3LsYBKXfaN98rE+jJJdzlXoUpCjcZz7+XPppamK0q74XMmu
DnHTC/J1OBSbOW6PjfGrEWAvRic7uOFPPuZHUQ9ZGlJShFqcw06iHrdCVpCnLC8DZV8I6FlGy0vT
XHmhPDcUz5evf39jP35Hh0z+bGz6S7YBODXqFjiGuyquaACrDlBlXgx/fCrS6q1hD4HqtP79Wx6X
jtM4a9bHkutEreydin+mWkH1x0FhFw9puLQxOezQONJsKTEa1avF1Lj3NWwmvOD69F6IQ5lAcaxG
YoQKZ2eHnvdENbcaG1VNsyt9pllDRBpNWzkibXC0AuoEziNe5pwniN5IdGEobk9nrvLc5VRNuACr
ZukJ5ltPVxpeA+S2zzs4uivmynkUwZeieIshs39fpTTGNTDhMmntisx8GGR5g3X1uPDJxCJoXoVN
CE1YasnKxD+B3GxP1/HcfV7WQJMQAGISViw5feZLOP5fYwF1wgGO9/u7+uGoZcxalIIoTaNB/XnU
9oOPV1oos11fqrd0fJTQRhJ/OgNfd2Xa66ZdxfQ7Tp8lMj8aQPCASGSS0LV/ORnUnTaGynSzHYTq
t3ji8cmpfhnT5iWbNRhDpW7h/hx+/2E/2v2pPKF41+d/jtH1DyuPLqsEQTLkw4QtpABXs5TotOat
vyqcfSyM67QoD3N88vv3/WjF++F9T8/P8WSnXeHoGY3Nw1akjLFY1Fe9aTxVRXf1+/eSH2SocSF2
EYlxLGVVOEmVN73A0ANTpp2Vx3fD0PWrCNl6QDbWrNIGGxf17mDmRvVp2o56SC+7gJlB3tDgQft+
7WGdvrOC17SAfuS6w3UcWLewKofMB3BqpYj8NOM1cOnFqvGRT33na4xGcm2ayPIGbPdqGINhDDjH
mR6aFqTJlNyzNsLuhTy1CfMzYlraouk2qenWxrnt6dhc4opYx/aJtjt5lRR0I5Ua5w0D/PWCkxcJ
44JYX8sP2GzUtISQd/aNbdA5eNw1NW56GEMipVrnTv+1m+weEziOPUbjbJF7XfluAMm5B36Jpwlb
cANjIlkGJgzhxBpu7TTcz3FzWVlPgoh4qBkbWCqsg3B4soMJG6zmEBftFXYPau0l2vmQOOse/Gyk
he/aVI1rJ2z2eMw2V04V4hZF8ysOvZ9sMR9NGjkbUFN4YLaeijrTVNXoLhV5dcXpqrCeOnAUjW4/
Oco5p+D71GBR9slKb340eCWaDLohPErFp+OJ82WAbyELhJt6VybAe2S3vrky6mUJCTea3aGMuQRX
R3Ln+jGWhpl/NURxvAvi7L5qKWsqk7JvhmuHGb/nvvqC3h5zq26a0RLJOSxeeAktQHWwWeu0owXY
cKBB/H5efNApYNNjgc7DZLkhV3kyLwJtTNFUpjCP/GyDfooOd52M91AZV3bGp8J/Sy0imvq0Ef56
ooWY7UmJMHssyJAHNCJqstl2Latwk9/jqod+i1YnHO3hKo3w27H0SB87a+O7FvB4BfGy0TCgSPXZ
GlrH9zXqwt3vP9Qxv3SyJxLtO8YcTAnSP/OI+WFFk+4ossa00t1gxuuSpDooNXFoCrdbVuawMaSv
VkUGOjwzjUMIX4EzfE57b4A3SJMn2yjhGAC1UoTik3XoIyEGom1KR3OU4P2SmA0GZ1J+x2KrRHjR
RumLlpa3YUFjtGPTiNzgcVLB8a6d4QD88TocmkuH0tei8zl5NrX32G+yMH9rEh4UlHpkbtnbiFuB
1/MSbS7OMa1B7WNr75/cU/2DFRRtBFIBBG4Udk6VGHrsBy5powx9doWRUkK/XzuybPj6HudnNCLc
3WEqorM+3Mse9EARJ9Ol1GE39OGrPpbmNQU0qtspxCDLn/052xLVmzG+BBPTZUy/4Q+Zr/u8uYaO
CvcEZ0WpyHHkLrPFiTptFcNVxbeTyTZCHXdEdMdiBaAyL7xdmkgbt92cs5Sw9oWJQ44VkheeK19w
U8I9ADUgfSkJiq6buab+G32Kd091aYVoDaW21kuF8lSz7oQTPeXIkBZWaxuLXhErCU1cJPK717ME
u3H7Gjj6yneIZvJuh5BtVbrPEEvfAj/YDwHspyB2VoFV3M77Sec9YIP5PAeFTWo91VV1MNr21aTW
1/F1F5kG1X9e2NKbQ0jM3/fdmVQNBfLwHGp9twqi/v3S160ryW4Q2HGyJVtIS3pVYpkivVvskDk+
QgRkie1gfqlmN6Uzd3TUn/Ni/P7JWPhoKCBIs3REKxxqT6tqI8WEtG6sbDfERQoW0lqA973LgnrY
cp7j/kTytrM1TDzn9Ys+myQzPlGWfBC00CAo0Jk7845+muDF7rosszlAkwWPr0/Vo+uBGO5kyb1B
TrqTY7me6CNdRLCWP5vFH6z+pEqo6ZDGJUI8zb7n1NjbPovyXdJiIqnyeGcXMMw8QPcrq6S9qqAZ
6UI49w5zYJP5IfDQeuerAt/nsBFbM4+v/LY0z6xxtgDsJBBCfLl056xrB/8SWuYKw6RDJDAOJbbY
EtUQE1bVX7vYf/6km6///V98/b1QGK8GYXPy5b8PRcZ//zX/zf/5nZ//4t+XOLcVdfHe/Pa3tm/F
1Uv2Vp/+0k+vzLv/fXWrl+blpy/WObqa8bZ9q8a7t7pNm+NVBG/F/Jv/rz/8j7fjqxxG9fbnHy+v
PAJoxLQ9f2/++PtHZ69//kHbnSBF858/vsPfP54/wp9/XL5UY/qSUxH66/V++KO3l7r58w/Nc/4F
PHsWiepknkmuM0T6t79+JP9FAE+fDIK1Wf1B2isvqib88w9L/os0FNsSR1LLpZ+NiVUX7fFH3r8I
wclQubQUeLqnW3/8z9Xd/LW1/fXguB9/f/1jP4RxmnCSswpi7v2jBkJC4XR65HobV1mYTDs1tdjE
dxObg11Ty4CxNGoZvdQkkBKi1GVZSoeKMdZYaeKJhSjhJo3uq0Rhb8+WnhZmDT/cyo8u7nT54OI8
y8Ns0ORj/ioPQFgd0tQNik+r2/2sEcbiCW6D0/TXlNHRB2TV42iTH866rZF5qA1dq/4sgDtNPnIR
gqMdvbUOO9ovAVyDBK4rnXDYjU2JeRYrJTmpnhYZxU3xfBL56SILrCsajd++Ya+MNWxHYKQ96QmX
mMJQJ2l+X3gAw+LGxvciypZKT5/xfbc1vKZkzTVrofhMOzsvcIQvP4Y38+mQVYd2H2Ey0k7zmW07
iqgbvQZrAQ8AW/vUealas1jtUh9vt3jAk1Vk0bkXxvqKRjVnBX2vc6evkc6nbLT0hmChWx7v9ZRA
e9XjCsUBrrq8H/2CtDVYdNt2hn4YzLDaR9LFXtX/yk2y6C1ozr2ct8FT+raRGGoonD0XA+tuoLfg
PloTZ+tSRLuIJNli2hleNbuKt+aawHLEsj0myk1ZFoW6M5FxLX3bwIdvmhG7cb8ePejIMkhn7neJ
8fxS5MnlAM3Z17OelhANICjeDrUwY6BOPnujk5/ZrboPAu1GGwJwhQW/k2YuTyYHOZFgZuxF5i6p
+PCpLwQRiHr24Nw0g1OuvC7bwgmnb2pykpVDF7cLwnxlOfOdnH+74rzlxjcAqsn7TW0EcDLgHKMA
Jdc2fUVAtM+VZ60NsLaAemGGWemXIPcimIolQG3fBiZiBu8yKOKzHj+uRSucEHPN9jno7S+FoAhS
zgPcn/2w6CjQwb1Z3VJSpu+jgnuXnKOm+Z7qdrKyYpGsRi2QyNqu+XN6z2wH9rtZ9oDZRgKwKF+6
FsfKKH608bFdYccOkgzUlV1YF15sJot6Ujcl+SFgdymUptjd5hKjGF8Sb9XPxuxUKK5tW1uUZT1u
m17BJQK55yjIiEkTZItamW+uB+S10QBW0G8HvAHx0nGWap3+TjluUQvehOkQCGcmnVMs8/qn2o2f
nTy8UrMTj0yeK4I7q7S8pZ/JA0dQSlihs6R4Wy8qeEBjoO9GXmQxVsF5D+ghmnuPBit+Gpzk+fiT
zOAxdZgkDo59T2dKTVAJXmriPF4nE0hM6Bld2FFrdjWAQH39YOsQScfYftSCZF26foq7OClpO0eN
g8VeU3LvPMW0Lqfw3VPBBUnnB9pAF67mwGltC5C4Aruvooo2iZAwoUyyxBD9eo3CocfiUXH6xYy6
vPINBmLeEwIZ2Fg2NmWvNNep+IAp6wuDZVmJ1fETBBHswSIf7+0eVWUgGalxBWhK7xDvzM996uz3
3kWmW/UXVtwf+ilLl5pRktTm0RUJmbiaE6diWaq0Ornrkff4w4quWoj5PWl+H3pkbkGdFJa6qSnh
rclDrSQW0l3EK4wCp2w7KdcttnvYTHkBNj4Abr0Ac82kKtKV009f424m/Okz4y/srqcIDl498PsB
J4GphCWNO6JfUt+S2njdTekjNX9KdL31DWE3bcfjmGyCrHiogD+xcrxBKVFYDmmQUfv+MR+R6ijN
MeCqARrWgZPE/iygtBi9kUSoj8bpgT59ztcpf5jlIxY7DR3AteSRijLlfnHnCp3jQk2FZKMDVFk2
fXGBmq9eRB1DicfshQFdTPNGU1IbwW7evA60R5R/31uHSgRS14uq7MgxGkuvAbYh28fWYGUTMb1Q
x2ejWsZHIdPncdI5pIstFkkw2uc2i5ZJgiuKxImbNwhdznSGMi51w/5WZWwReC3i3svcaUdIv/HA
dI6vO8Qcyxhc+sJOmNrHJ0ILkc7ZH7PBQXtzhvCuGlgjRnh9wuaqhzTOltEO4S+J+4BPl6MHzk0g
jEPKq9N3tM1gvoU5z6ggwVCo4zClyoTum56oAnigV62G4mHidGaPc4d18mxYJca+8xsRpTCjh73T
WiaY/Crapnr0WIvy2oJtA8CNx87eYK6DPribTDy08omp0dVYksmXmDNgUQZfjkNk6lnNUj14rwsg
PGmoI58LNsLoINFFd5y8xAL3+WeZVvACjeTd1NmAVM3m0ca0gBsm1iqdkV47DkWXDi5eHQBAGuYH
aLlU8apVUshrnKM55lE6B3i/ok+mX2nZuGoM83tAw9wCfffc3KduLB80FL0QBZ+Bz4lAnR82LWgk
+6lOZxDE4J8dB6Y/snlj7PKOOY++0gC9jhaZvGKqvzWRT0IOUTWgovvjKLIkywo5sRcrhAtcibXn
s0voJo+znAd4TRs+2fnsYjRxH2/L2QyWNlXRTgzYirFdYXW51Nzi2UyxTB2CZFN17tc5NyRNFpVs
XqKLalplGelBHeBiXkKCP/5MZWqfBOX3nHoOgifg1DB0ICaVa5GxFE8U9o69ilozv1BH+28ePbrz
O2OqDOkvuc6s/FmxrZJmwKAeM/QOIAOgSWRFhbJw05MsyXSoChZ5Hjz6VVqip2kRBOw7cRmvQNhc
G3aulmS4XqlWM4hV+VBzb32Bq63X4kFTOnzZmAEqs/bZxYelsmfXpKHWlxFsu+OObdArsGpl+BaH
9YaKWL9KaeZbOpkFvtx56Pj0q05kz8c4QMNtm/4UtkmeyQIAO+t9fjVCS1/6Hqdfa3hqSjaVOKEa
OdbJe6Lar8r2bjJHWzoFfTgYd1KDAggaJ+/5cCCXUC6H0n/WBgbX6Kk5dL7oChy72WrZBt1thoZv
0SoWMnPKznKgYyFRy2q+Z5YevHQR4Jg59NDw3Cm1cZlq7EKTTiCN9PU7kKVItsu/pwX3NMJeyWO1
Waiam/tXCGJgU9iV2YxlJ0lYMywaDGNH5UoOmNfKwpnJtDZhyDQP+vK+a6ZH6ZKIthfAjK6sJF9H
qOcWNq2iS28AcMaheGe74aqu0dvjtEC11dfW1KQQwyeXlXU1ltorhxLyYSlTpfWbZJsK81zZckY4
DU9BisGJmpdVmnFqYh/uTlWoZ/quWUTpJlqaV26NGM/CIud4L+pWT1Yqw2C1oI0Cw5Z+EWTEV5bD
JcTDHslGN5u985e9vyBZMtveMpe1gBezvfE1EEiGXJuFlIQx1kq0yGGDo71JG0V10g5YcpfkN/w5
1F3qU0CXqoHcLrC1x6JP3z3B1upIxg+e4bBk5TvnjY2jZLiq2ILH3PwCBYD2fhi96L3qENsUIuVx
O81x/GDjX9qkh6MhtoUNLttGsJubUmqTVVkjJwKiEeef0d5hKUFYFLKAdmNE8jNBUuBCNjTxvVnk
dfa9bts7syQHVZIVXtEXd65i52kW/3bWRGPh13peb2lEOY8EltX2gLyj7R/JLFAl7979lKmDWgwS
PfwwpiDlcbO5bgj08PcI38X8/lmXUJ9CWqf3/Tp1s5u2Sp/jOL9RGrYpEQJBfxa4HffR4qYJQn3n
0bZuu8lzOjvR5QX7kFY1+ywONXBGurnOWvt8xFRBtwd9ExiM1drCbIE22WcjKZ6Pw0920PRr3MoL
/Iam8iWbICEP4hJZDcNojueKIbs5hkGR+TXtwTgeF+PYEIdjDHJcxOOazdWI9VvfgqnZJgZxT1KR
TkOazaNs2/pBVtgn5JRdF1YuDiqLboa8fo4VpxqT9NpwNYQPljJWwUSYIQN250yfIVF18v0Y+3ou
XY2+xh5uaedZRwyuZu0k6wE4wyh9R4nL7CbgTuvkq+R4szA6QkhX9/dRG+FBmDyHfsV66WaYEtgA
7GFF2ntjrG7E5G+KdmT/E5y047gmw5nQYzeHqNO8/E8J3U+lm8MWnaMNQRnPM776HQtsVXW7sHae
k4yNFJ3NfSqT2xybFkKA9NmrbciM1ZIees7uxlLvxaGN5GHILdbIxj1vRuf5uDtOGgdX022vsj7a
l4TgHCiiZhU7N9i+P0c1UU3hTa8EKCtvjuLTzD+Q+yQY5LMPfXghg+6mm+MGmQGpDiApiSJ+/0vo
xb7n2Em4GPlAtFLxO0lxQeaDIKC8qGqX7mCC/yByXsz8rY1YJKbCpS0VuPNWacnbcex7bh9tIz+S
uKDwG2kEMNLDkLklisnb+j6DKOTl8/6Cr2WYR1/meIHW4UMqOHR3EfGw5SbAa7k3op8uI5q3Fs7Q
fSua56Rkwzw+5im8TVpSxDIOJlrxw5vAEDvUJRd9yNpTtvmzWXOteDhtI/R2W4ozdCHV36lFzDYm
LNbx+3xEogAzL2j3/cRqdxzH8z5c2vZOH7msrCVsT7KbrhcXvXE70uNGcEiINJrtG6HmM3WWdlNT
9Mic9L2xEJV13bgeq/mc24ckqAPIchz59pE23PVwilA9XSg9iy6VSs41xYOwsRYv3UnbaVr51Yqc
h0YXL6GUV15a3KQu86swqI2nbvqaO163JSGbbK4TnSWm7A7R5CoWpb4DLa7Nhz+0oWw2BRZrfr+c
+pXpNOthIvdoepjZSp/uMpmsjkHlnAMwao7rhYNwwgatfjx0FsHGJeFKmEdAaKgICyn/i1eMF62l
8IPSCC0QJz24bJAL6WkD5y82yYnqaJEV4NNta1mU5rhVkXHRKgmJ36fZrzQ0uQsD6zpP5XvnezCC
+nQVJ06ykd/Momy2fsesaQN/M3Q6es42v2CzvggEkVg9pWfmrBeU1cRkd1zYohh2cmfQ1lc8pHmc
e153VnYx1EoXFD51oXsmY7F3ZKT2jaewkR/Swl8V5G8Xep7BjB0mr1jFAsiqpPMT/HFc7fubPA0L
fd1lwthIOvLcSBX7f/5RBJ57Paf5bNGb+HeroIhWLA18E0MeO/OcHWgTPBbK7sGa3/p4Eb5JsLKj
JFXsj99sfdoXCs+I1ial/n3aRdckk92NPrbdviMQ23sObg2B5bWrZBpBy7dame+P/+iGiQ2rCHf/
fOuvX0F/LRPkq+LvX9TqkD/UzYgTsA9xthx+fJnjX//zy/+8GNaROdYb/HP83vHL4//98z15fOV/
vvnP7/xfv3fyqlEGMLYjU/P3x8uOH7JzYgBw/7zP8fJqD+R302DtffzB8R+8lvdhPBZkDbWqRoPC
1VJwtrMfb4p8LWQ0nB1toAwdXZCFFxaI2MymM6NC6rasuoAH0vV+DdnZyulu5OvAc29bJcqNb2Q5
JMja3PbpsC2bvN3r4XPb4C3Evez3fgunfqj9AWOy1N234DkpwovG3XPdzv74zeM/eHWHKyuAg+4E
FgBkEkmc4hJkdvXg7YM0Fvvj/7Gcevto9jofGoPGmfqmUb69KTB93GuVMvcY1Zp7f+xu8TcHw+Jy
wqQE8j1h/1U+B46zoJPLemg5fXnZ2jUy+B4pJqm9Hm+Zt3xAnaNIpvU4REA9KCSgi5C6lZsnCeBK
hbBQ2g+p5srXdlzHo7WHH4FhAXKNZQBf2TBBbDhu5q4xW73sCo7yZ9LBXkLofrItTZRBPv1GJiSF
zWyC1oRXTg2zL8T2kz0aF79WWEz6iACi5tTZwaxLulvVIdM26vxKE2m9zCt55eswjKOHQA/2fYpU
jSoiEtteZKvamPwdPIgN/kiXidtfRHWEhtJzv9d+cqMs210gD2lB008caVLSnTiyLltnEovJD64H
OjasNriZNKSYWoF9QmvetyJJzvs0CtjoRL6BjPhmjvZ3kePmppUYaHR99oq3O9rAsvleIikdumE9
lCn2147aFlFz48TtVa0MouBsuEBZznHFZeEtnR4ojS3OKBNc5k2/6moQrrnVD6u+fU2Nsbur69pa
WzawBpV5azQFCNUZECL1doVvpGeD0yOixr2lSq3iesgwa2MAeeTMvF2Gn/SiUfQpZnO53YVuTQ0t
IbcDNdqswrshc12ClsQ+151KwKhCxx7YLTZ2NdqsXtw7c31Z0rtphhTPc/qnqBPgggG8bjkh/V6i
pSTnm41XXaYZOy8eKUaC1CoBuy3tBrEM5nxlCYjCrrtzKZtiidPeeIYmblUrpKFkb3Ej6Z4NPG/J
wHSrXt6bEWloOsXOzb4zyNv2F6qxBJoBAWE8L3fKQsOfuRwyld+8cgWcVwxfbhNLIazGAaSj87WM
sJMgpSHQr29tPaSpnq7kALc9LiNeZxFwtiBCtiLN4iqZ/puwM1luW8m26BchAn0zJcGekiiLkmxN
EJZtoU/0SABf/1bCVYOqG1FvcOPKakiQTGSes89uvCs5RZAvqPChN4PH6dsMM/hR751TQM6bNWL3
O3T1L1rDY1ybHzZH4yGnEmM+rO+GKK9pY8AQs5anIi4WODXZw4u4JLrvP45g1ywgKKqtjiS6Sfcm
JuWOu4SerOy90/UIQR3jw3eKmPx6+0mX0V50Gv7pnUHMgyXf3D65ASO8upF/GCw2CwL4bpUbPJSG
d48iIJHWR5NlpE+dJue71umfNK5AKm52GbTq3UgGCHXecKs7nMfx2tsWdk0QSTr6JxE0+PJkR1R1
JC/NiFCBUB+9nqSdXKKN61vJFHs60al8Ag19Jkv2MBrWRSsQd6fi0X20k2xAPMKcxJAphzGjyi66
agU2Li7ySjGRTF/mP40BfXrXxSzbCNDGeBQT/NzeBa6KXYmfuA7Nj7r82Dbe+zx5xZNJ4K9C54S7
kMxcNX/KoMTQmcpoMedrLkARSlI0IiWWzJapDZfIvbVW3R4bxJGzmdz7unwIMsKo5kFhj4HxJMfx
Yc7kcEb9QIBt3m4BvrlRi2jjZP7J7+LdEtUEo8ol3Q018UcjyZNgC6fE6UieQygrCtJATTmfsklL
T32Z32Sf1+ydxrCrcP+5PFuj7bxoKd1Z5o77KMEckzxSKhh8WvrZfXNsh6RNYiHoXqpu3GkDvoam
fJvn4EYlFwYjEZpw0+aN8A9L2v2MlgenzO4Y5hzY6u6plFv4I9u0QmHAcG+L4ch7P4L3Ns6xd61z
QMxBaU6YKWrBxqEgyasYzb7VvNS4fNeMgqL5CBl1z/CUCQc9onLTSlSUdT1i5+WGi+nd9IgWJ+cQ
853pueiSXxa5KGlUPc6wZv1h3uhU8c1UQpcvwtwgkJ5wPolVnm4Pv7JkAptoKnPblwG5Y86nrbAM
DYQRaJ1JiRb25FnW0ePSmQ91Vd971/jAvPGJ2ZZLbNUpGstPaDxHEmXvmhFn++voa8m1r6ydhkZB
xpiqj+W1rytOS5wait2EfjOt2ycsDB+SJr/PGttGUFUP2Rjao/mZmJTBZtMehW68ydh89txmH/d8
9EgQgLWcZmMblOVwlB+nrrnkWcwcYMBgGgNs3vOyRei3mN+Nqb4ZRXw1U/lkuuAHjgfQvlTmubL7
MC2IEdKLaxtTq5GeS9JZnCETXwxBllMCTGVnS9gV3jeLnmszcl8WC3FEyYQfefum6dalBI8Qtv2m
Phr1UHgPHxvlvQIyZrYPmf/dxqCWjh1eVjv+iHz319R4dxwZAngq0+S9Fnwcw1T/mLmHJLR938AZ
OPl0EPYQFh1GhcPEK4FPVnineHHPtVaeA2MIjbwwwVzkAxj8xkYq5gOBD1N/0qaPacah3gI6Lfxm
h49aiGjvJ3jKt/nbHJMIH+vkVYF42hHm+wVE/GQJvmklEwq2pf5QFA2t6mXRxBJK3njMJN/c1Hvu
/PKnWOJzX918QJ2ia6EgNx9ahrjXSrSfHTtZn4EsYQZJzoUBu4TJ/YOloY156CfzKjWSq9oMUqbR
5N8mZ/4DJvZOqRI2df2rTS9+xjIUHFdb8IMTrH+sx8vLVEJegfCuB91lWZpo7xr5SGfrP88AHJ50
EjpsSdQqhtwiz5ptYXg3exbEt9FKAoqW1wj3O9AR5+ICrxlBe9a4maV96TMfcVfxSF0dh7PbLSHm
yR+4wf2pJzzV+45EdCN2Q93YNaXmXAhkPGa1YDcQvZoy1WHvT59d3ny6Hae+sFmEes6I1QFUrq9Y
9O4MUG4f9lCCZHcijDkZIejB3dt2DnGzkahpo5z4h9RYa8p4PUooD0gI3UkNzUTpO0uoDz0WtV7S
EaXdnDQve7Vm+qOmNA/lZNNeJKImNpeWqsRP15aWdyFKtSYg6RsI97OrWdY2KzjoXUKkC5NIbnuW
ZyMzvs0USQp5yUP4DwDKtIPIRqp5kMdMIyxhyu0Du98vw4jenFhLD309/hhwONmDL02bdho+Kgao
CQwyI71V1fJDnwTcN8GZjrUzOaSEHGic2LZN0lH1PpqsEZmV70MAcJpDFN2LVMKqAW7jcH0wZyLJ
Izn8mMm4G3TCv7yqSbYLxAcVxfsaFzbvSdG8auP84KbJa6n3eEh6RKstMG56OVwy0zlI1yR9w3zK
I3ATjxx4RnjpjjFIuoFg9oXLTrEJHWZdm8pP7o0T3GTpq2wd18o/7YX6mlrP9UCl5pJeOC/T5wyH
QBnZR9usf4zDk9FvHd/4bBYmr/w3w4ugXt8O0mQCJ/eug2yV6Tu6bLmHwbthxgsqRrT9Bu4QMKy9
0UkJVn/mc3ab//pZOplbm/K+xRCMU47hM7FQLBCdp3B5ePVoKTqfpjYOY/KzhWX37z81k5rdCLKI
+pWA2dUE/Zinq5zgqB5iEMw5o2g7e8Nu5uGo5NU/TUuEVvq64IHI48YNnvFKR8QvRzzHkGD8Hxk5
OyFXNVkCec2wTfM7sTdtBTAHdhaIfG9wINWJG9Z8bcGtWr9WP+O/GtlmwMrBzQZjM36HItVohl2r
cvH0T3lsK21jWaS98f+a8S5dBXScQ6uxGEnQCvj79Uc4Nqqv1e0Y8DiZCB7Irj1aFXxtDNKe2Ie2
Bojd2Otf6sIEnmyMKIF5U/lcZybY3Ljv+QtUTAH/HMsACEdw4xxq20GFasLdVpko9TmpRKiu1ema
gkTF6MOCGayevG6H3foCGFxbOQko/dPUiFA9nLou9bSaejlILNfXzmM0ziGm21J/nfj6U8sk2yhB
TPjVVkZb9faol6fewn+/1ICrMieqOXCzZqGZQPGVMlirJnvH/r1vMlYb3+uYgJEIHqqv1e9UzPt1
91OnbbEr0Ax+tcv//jpOgQc9JZmHh8uDiBzofmuAY4FQNIm3V9+K+XHV+Uf1K+gaw2WgQ0HVYBvF
L/VQOmlYmBlzr5bbuW0/ZSVu6iHV7wTVY7E8qd9Q1ySqP8njvy9K5SerC44r56Seiqd4kCMZojTP
WWesT6cezpUD/MBHizgrWpRvwXLE55rqJdu5orqWLZ4HDLF85btoAiy2ODr2FlM9bKE2YmibcDSZ
dMRW+gUN/m5xV2WSlNtFc+tDEusax/18Wwf4dZ99cdzetYnlWjoNRgnlPc5wttNL/TgwMTelyTg4
I1GpB4vWBUsRajRZ89F0gI7wVQfdcZqYZmOjlO5FHm1c6TRHp4WS3WTXJv5JpLXksDGf6RY+y3Eq
Gbh7TysNwm5YqGP5yCEJWKaGInZztyvCoVH+dUgK5opGvhMnhHyJWSYnKxYv1YhsYPFh62BP0VDj
ADcU564an9V/ZdCYu1rRxBQVrIM0ZKKO3497w+uYYHGIYBqOCWo0VvvU+wULnHQlZ37vo5YsRweI
Wk9BvhcqNjRB5s5qvVdryX5YwvO3btPiHaWowpwQ9cfs9C95TD20OIDsrsm0yZo5M+yRNk4/eZNw
TrM6sNpMeQg0gMakNLB3xfp9hbtR1PCbVeqFWtiW5RUDW2ZVagIDYFdsW5t5TIrfhWanx6Ctki0Y
K8sbUHgu51s/YI2cFdVDjO3gxlUjM72HQdGJ/JfdpoQax3SPpuT6xZ/KrxjWWsUP+BM7XeupmBju
n2RrHPWSAZKZ6vlWj3ZNX7+L2hD41OZZGKlwYMveLwaDlt4fqq096C9It5iSmcVHVA0qlVBA4mVI
UcURHrkWvc46nKR2PgoP7EAkAN0mvL5NH1mHJeqZxBYcwxgNoL2aD5Zbib1J8J5eF/apbvVLGwBG
zJLEQamGmY5ZXVcIvziVFZe5Mq8qqGIbvZbw/8Z9OqF00SOwbEONoaUB762oXuKIInVd6L5HMMkg
3F1rBM4OO/JhX9LJzN6YHkTH0E+UdUeFxdx5UEu+1kg6WaST7Z3m6s6OdZo1PtVh9DEFom7UfP8o
nFk+QCgPGas4T7p3DirtbYmmX6m/GLs0yPbrUzeE3G/cXEt3kymImLRjcSJeDP6X0o7bkEgmq3r8
TSuo+koPHiM3KzQ3RQcT4iFbUhl2MSr/lHUhdfetQBa6rSXA6VA4+zGgblnSp6hCep/O/KWXOVs8
CbkTh+RuKWaGZI/OkAtMGnp5mAwHgXNDKYCaE+lpiCKis2WbRQh/uxj4bNN3J6p8gpeCFxclxV4Y
pHLK6RcVZ4U1yIxbh6guPd5QSD6/6wbDiUQWV/pAZztPC3GbUtyspPrFvDvZwLwJdoldn4eouQ1d
cjXc7MsvHoKA0qgpWhvBBaizuheigbWtldMrXJdhW7vsAQb+C+ZIE2Ho/TUgpzQGJ5wS2FslDs4Y
lsGyWMepaqC4sqTKiuuhyMOzP/1wpfVgUO97BRSRXlIe9RnVYMdSArZJgkRHQUxpZLuSUddIoVek
58GHws+4aB0atAVzOcqPj1wx8hH8MUHiX7pd3ZzF+VbCIGTYw+CGG5gk+sd+sN6cjAZOaAedkWM+
VtfRbXYcB3s9c5n5yCHfRx4TgWogxrja59Ft0gcAXCjzywIvTlhUZepJJJNoERnvRV19dIXzkifw
gBTLi6OD6pFh2dIL0CFu4FJZHhd+QSah/kfNz1ZizjKyD/OkF8eCNwFW/BDPEXNaejQ7QdlMBJVD
g7nO7KcY/M0a/UuT5R+mUd6smrUgguSHJokW7Rhqm0Pm7QvpcT9PWCQMeuhEHPj9EpB12NOB6tN7
EhNnqmAgZ4TJkyZOu0ElRzU05XdjASMSvMJ2qid6EivfZgkJZ24MsRJHhd8QxCyGqij6YiAyLUac
QQXuh24rj3IoyINqiuBaav6+dsyrnY/fUDOmQIcsEHekWSewSPkOCMqIst1VTdXt/Mp6qbugOTNk
C9MKMyrXgOlRZU5xwhPuyaqI63TNX/XQfepYwu2shRpAkG2RjnwEgU1/EW/xIfg7ZoS/f04is4VU
B20eTg9hiTmyXEwjeSPVmGlo6R5sArORvR5LhnNt3L1hon3IsL7bth4zba//Iozm/pc8Jbufov7S
5DM+5cIeLjnasN068itS92ExDRK9WOadYnriF0cQqgFuUo8QaroW0kgsPtTEjuQWGDgMb3bznH6p
oaDr12+dKV9yIwCsod8YZ1YvQDCSvdp9Zt18E6220TWkLevsDBb/pq6C761cvsuJDajKmH02QcIm
bNQxuo/s//FwWEUX/80KNnA6g1qN8Q688/8UPbUmNxoc2B6ZARyKeViHokx+fT8jol44Lwvk0GPZ
ASPaWgRoFmxX7kI28CYJjam7okfpPRvfxMGuuEpNymqo2uqmKSajF1MWRYF3Wv/lRJNa7sUH70lz
TmIXw/HefZgtOhy9PmfFQP82Mo4M1ACvGZozDei3JeZ9+990cuefdPK/L9vycD33/hGTBI2rKuus
6Y+0aceCjWNajIfAgzyqcTSTEfOQ11/VPPkhVkrOpvENokgNxbmoMm4IOjlYAZQrFfy7WdF8EpgA
OyZLXxQhP5tOFWBL8Ok3I4QTfz84vHvrKQrAtiWl6DIWHGtmUr6MbcSNAAU50tIvVTYlap1idwDu
b/F5/OXaK4KDEEBBUTPfqLJ+yJYdW+1wpUtICtTKk6836TFPLvWfJl2eWg1j5v/9pln/rZ9RHHJe
qGm5Pl6G/8hzQlKTe6NmdUcttSDA1dF9YUaJoxt7mZrlTu1Lb6pETMX6WekRTF1OlQ0cp44WGpar
VwXkXDra6yi0x7gx9ys5ZsEudLMsbB6eO1e0ccUl7zveOZcllOjJMzDpj79sNtt6HU3muAstkiI3
xDI9Lnn7jISJQzU5qdjEBFBa3YH/++V7/1wzFo4gNioMHybjP7wB4qHJzSAlhknXO3OfFqEW+fHW
SzgmSi1mvkVSzUqm101MYDs/vawkPc3io0xLRQJXbPJojp4czN2txtux+R0Xl62uHE9dDcVyLRim
htgLmAaVOlRiu/yYfd4Zgd2fKEqekGClEg4E+4+GqYdkRhQsf6lDTpZAmaOtKGodqwLZ7aRXoS3z
YVJlEwyPYjp6OrL/ZV55SJm0m7PT1SfXx9ABcT4NdoIbrJPap0oRsfyY/FCjYAxkAR+R55Ufghb2
Z/6hR3CP4vk1h5qweB327+p0ZVxVU5ATvL4WymYWhPC4AcDsUwMTK/zfnwhBBf8tqsK90zIRrRBb
hZwXQ5j/3MAclHd1MRMyk1U4Q44Uq4feJxDTRElWCvnoLi5GpuT/hKIZzq7bmGE7Jl+cyTXu6xuz
j19ntfhqxbMipuyCPOwB6zUXjz/+SEvFe0uIZyCYX/3dlDrjZGMI2I1NttMM86cul99eGn/APdvL
Lr2bQfHl52wcpfYC8MGB2prMUGCV5a2rb7vKe8js4WMpiRWem4jPw/3RKB4nflvpjvjAdJfMxa70
tNeoT/BoqQf5FHjTrl/6i9b0+j4fTUwghXMRhnQuDnTXPEdX1zImSXjo61hO5ygYW74jjFMkzTAt
m6cOrO6Iq2pO4dVhx1B1OmxyuLNhLYEbC73csbUh3qg+FAffa1zATjY8xQxb6WxWDwPdsX6rHb8t
qJFUkea2xVcRkGLjszc5NlXgyqRaf25SyFmt9qyP8ZcoC/KV0L2Z3e+1oIzL+uZqTDBbMeAjo+4M
RdxqPee+RO1V9cVxnX73svYUVNErO+WHak3poknKVthQUvTfZeB8j/Q6zB1SkdsxQjoStAdgyGuz
UHEFGjXCUo3K/uGHIgZR8W9t5Mh7OIxf9jg9N2V5MfXEpUmEQ59aVOELQckifovb4rgyVfvkZxUP
n5qpHiuhh0Ax6gkkEU5ZYo5la7sxZ6UsCRM7fah2Wk4nmjbi2rrePddg8CpWl6o4u6IzFRmk2EIq
v/pFcvJjBynsX37boPoOMXLT6eVAH9k2xxQOqQ+I4CVAHYpAZyeMnXIcumzB5Zpdidt+bcK9t+v7
YMDnb7px66tWmEp210GM3HeD9Yx96fdI7ULewpPrffOWNub39QZP2joJHUEidTbCAKhjBDCNeasz
XCfRpxnMVRRd20Ef2777sbw5lsZmQ9+zcYiPcujJfQ1bR+zGaJ4D2iI89L9NTfWtTqvbrHQTBBxt
etrjoOPw16MCFwU7umuA52FkEChukS+0tt29BnAyGkABC+W9oeiPlcYf4pGVpPI6xD9B+jVtXbZJ
cjGMltODmVFh+ZfaheGf9VZ6aXmT7aWGJCHEd1kuu8ZHyJZLBtdMxl+HvDIuA/Q0TEq2UubpLTPl
iVQeeazMAKDHw2hILgSNIEgDssBHrBIj54keOAd7SW4OveVJy90irCOdAaAvr3JePp18Nl9y/Hqx
3rrimn2vF0QsvffqYznGDKbUEQaAOKXwPXUC4Ft8hIC3BIBsn9p7kXTmVprWuKNDJyEGYcUwFAe3
Jwd6wss+rIJJoaQ9narN4K5XxB5ImuLodc5uJQb1yHpm/DD4JMjESaIzrLKzldfNPtfEeVlSN2wn
3UI1vDyYoOaHZNQgsghxKvvZPC/B8pAIO98hgblpg1HzcPVCQg3Zq/aiQ+j6Xs8N+ZlOE++l031N
Jt91NDCGCqfLM5Q06+x53b++YmxoYEN/1kz9eTHwwYW+dqx1ywwT17q7QbWcg/5N4j4LvgQVhQRc
h4xI9WXPMGjo00OV5BN8xUa7mPjXQnmYjk20aJfUy7xzu3yt/+jUd9avUNQxBG1taLZixhfetxwI
gP7DAnn9aNtecImGJTv4wnpPmyC/TvGEt89ShoFROoymZv2C2ePDQP9zrOTyGHtediyywkA5MkA3
LxpiMTQCM6oxxbmjcpxLMpo3SHTOYb3K9SosDwcNYXVfVQSHJapEC/khZaTiz8Y2og3dVtJycN0e
D2Y8Jye3KJjvNDlRYVmwdVKeTq8IItZ1TOwKgHOD4eHOUjnAHQzBi1++NQP0OtOJT7nXupdaFSGR
gUrYn9BSIzZ7tuO+P0rHP3gGkEpO3cmgZXpDB75f0jmcTPO3JbN8lw1me7Gbvr1MifGrgZy+L1XW
cFJP5Af7ZbzHJ3eXT6Nx8mzBMAeU8CJNm/DSmLEhe/FLFPtveTqSHh7p0FkiREelu8UTAh28lV3k
/Oz086PouF2SwLiZxHmTXrnAH9S67Di9xGIxzn56XriAYYkFwBBeJJCcxkNnFOd4mPuDXrp0yU2z
dGdH8zqQDGszLgxRttls3AQMpzME++yUVRHcY5QLYIRG3p9pC3NEJmefnZqDJ/PC9TFiqLy4ulnT
1vSwzSvS5DGFIY43GBAozViKbxDDuM44rwzgvEOJUlU9zCxNbNsOob7lJcdVwlX1PQhwPn7FGK0r
Xt113bWE0mZAr/5dJO6rXS6va3WB5WIVMic7SJNxXtx330lczfc+4z6Y3MWHj+FIvkx9qCs9g4ML
OLQS7K+j3UqNLqYpPSQIqmYHI6w2/5zj+LLSs4VZuFuPQppxHZlLJqI16WqP8KP261WuhGkFES1R
eZuSEFLj2UiMR8Mmz52hynYZAsZf3X2tk9qZ40PG5SHJoFsVUdBuNfyPFdkZT9tu64jlWR2fK4cc
8Qus/pa9n1eBi2b2jbgxKLdd/iEVNViHdk6Z3t6XpvxQfFjFPnctGOgImxglTmGHJCBFBBlVRD8r
1FzGc8ipTynt8ki1hJqDX0AXUV32iBCtnDlc3Wxz4n8ycMXNMPA8PdTnvIF0pg0NrRXfWUUyS1zr
m4+V2z8mdO5eusf+Hp56Lg/GIO9Ln44nUeJIl1rJQ1vIaq93+1WztRKEcYort61OLzrCs995Dcoy
iJRfFvnXG8Rz6Mks+ttmWnwsA8qz0aN8zSqlQQ3M46Q1j60e3GNnYVZp3uhu0Ya48u7A3C2L9Gtp
Cu5VRlCDds+VlbvrFkBZ8wfGLc2m15udOTe3xrOPYnYRmjjHtYH2FNt46Lwn2BJPsuys/djB4uq9
9lSsaJrSAwbaiWSqm64cHcp4RhJBrv1QnbugDpfCeikUoFkrdY2Wgcfo2IbKZKBosa6OCW+KTn/s
UL7w/1SCVc6eiHD5m7aZ3uTk04OimdPZiqycgQySjDj6MybYJK4rYkkssEjKyE1m1o8U0XKzgi1T
RH/ijcW7h/8LRsjfkaadYuYr6IpzGeqZREnERXencoCuYk9UTyKmLsIzNLSGZUGiW350mrbvCu19
fYLYiSD0sD9YYuo3mdPdlWjHZn9gt23eVe254gcRPkZ948Shqs+7pn3JGV0jkqH2LQFtsoy2PtGq
a9pqpGJI71sxW4+N1j+kHizoqIXp3JFwQSw3pFrlv4A/+ybQa4QzGf7ILs5PXJo+OHfp4KkWT+86
Fto70+MG6SUfD96JJjwEftEAfSZEkjgvhbq2UonAykp9Qu4ffwyq3eimwbVXUtRUSZHw8ODSbOZ0
a4uo8RCBlzz4Y/xbix8qNOeg1a+6FX3V2kJ6JPxJQtSacPIqanK53KTgWiNcpZkeef3WHqsnQiBC
dh+kLlOxS7X40xC8h6pK5cAm+8L7WGTzcazm4Idell+GiVhA3be9kTy7+EqMff0nj/KToQCQEuQX
Xa9+yuf29whyaqlrnKh/a2/AlSJYei4xgDkk6D7KpYrOS1ufSsuELoYXM43GUWrcOkFkO6Gm4Tg1
Wogbh8Y+OAlsXWvKvlZEBFfWMCbSfOsBBIY2Q/f12+TAbqLRePFz/6c/BY9gUDtVLyXjsNNHP1Jc
K94BJR2q4g9BzNxuGbBI7ZZLrtTvf/eymA9aVtlHQNAf6X1/MDhsQKNrlNSDwDMfK/PJ2M8JnTwk
cbbDDt0EmWiTJSmqrUNdDTQ4SnPX4SGyHRtvr0Qrqh9XLYkz015Tk/EkebJt4M/MFQGHq74+s37i
H4RgUCk81v6oTji146RGPNMXOEoG91U4tSowDLWomll7FaQ1C+TUKwC34tamqpo94oKLXqK+wVAB
XmmM5JfCr1R8KluKfGtxo+YAkcdhMpDZE8G4DgBWfQ5RiiwE2F+GN0KlVV0HgefbtMN98dS6DnUv
lf1okDfkw+kIHoelP5SViaMZ3JNT2hmQsVyfKU5anNM5ERwtr4Pt8mE4l8yOT4ZtOlur8/Aixs9u
S96NhkhXexwX91tfi2iLeRYznn4E9bZ+zWqXzelBZd9GG62FeE6/hp7MrbmJxNGe9nUCpVVPXW9n
W6HZ8ymuilg9nTmJRLBDTjsVmGwZgka/lHR76yXYGTuujJofdqKjT+fm1ib7qZsEpys7UlbSLDY2
qn0PgFbvKA5yae+aaL4ZswEBA9UFFrekCta6tyGCifupNc6rQFTGR9sZaI36EKmnJp7WAefa5Joj
uj3LuxJ8wpwd9L0tqx9Wr+3jannsJDfqqrqNPOaVTjMNe+tzCKZ7oHVT2NsI1NJJ2KdMx4aRxK8K
GcS+L71rTWwMAzWA/HrWieHDA6ZKwB50E6VvdFxtOuZBmx9M+w1zbX1byhFhiUJ8nNhG89f54go2
ffYCtAd4Ln21s/yqcg3+p4d/Mz4E26K4ZSksIaJTQA+4bVbN8qo8SZbmxI52D+zmxzpym2fOOr+f
fyyBcc30hTDxJdtAhQcYC3LFUhBhE2Q/VsUbSlHO1WT49KLlaYK3LSvv3jfTGxaVWMS5dxmND23l
HHzVvw5AFbDG0GwpXwfiEatdqVReatzsNohlufi1n9R0/BqkFmebpMqBfNIKwnmzQXEQ/D35srq9
dcQ0QiNN90qNud5duTXv7aa7+MKEupS/2jEvpcqaUzDAoYv6TaHKu6Zne15vuVJNZNahhhoUDeMn
HpEVCLjeHDCBLGx6957FZWW31NF/i4H7UtOS/eiycwYlbgcKOfY9uK46ZrLrkezn8aeWka+onAr+
jqSNVm6gRLlKEzUs2jXSHGWFyq6sPkOoFszqM0DnlmF+W7enwWM20Xl3Bk2cLKpGqnR2psFHLgf/
+jRNZYbHFpZ7uvZntMfvfSSJy2Re2eQxabvH1OX2qAEw1tWgtWm9W++LFUPQGLAw8uEBwSfxPvS+
qZoZ0mYerpOLdYDVOz/JRntZtUQB0uaNBqnRWTIM4vx4Bkhc3pJJg9IQJXtBPQz2yLXiE4UQvnC2
jBp5+BwIqilwtNCTCPUA9wdAIjYGCs6YlmusFmQ90DurWnqw8FOgBz1prbgF2LzCOhRXo2Dz7aiZ
0liD8QDbm0JoOlrqxPOhfCLlLm6qHrNwIS6xrlF6QbwhFPalKi2D0nN9l7PEfpfUnf4E4LNKvIxX
b3EzrlJnLtlpnGI5Luq0vtFwme34S8360gR+ytI81mN2WB/LUVPdpWaSmrXNncb/S2hIonHzOvt8
8ttVWKyc5tSuD2yHDVR6WDGgCdbJijdPsQHhlJmEmrrAP3O3OtUeE9x6n6E9bGS/7NUIE6oZMy+f
j6Vsb8ibv3c0t0sTvCJ9YHABlgGj3nzIi+T7eg81hiH33tQiWPGqXVzNO79HYaI8apQkzp1wYyz8
+LYKaX0lwFdqXk/7XQBSoGIKDmhLKDPUnemPxQfAkb7QB687xcBA25inXU6hNGWmejPe1hHHUmJK
ULsvc/I6/HEwl95MNmdP5D2iy/kQtNSbAOgCfwbGS6L4ImfvIy3lLQ1m5Jaxsc6/seFvLLjHq36S
EHvA3ZqTs+zEdVZmAqWXi309HWz0AJVN36AW65xS2/cKnVJlCzOyNMQkbr+qClU9lyorBKtE/qoU
iCttxLHKfWFnQMYNQ23oU6g1taNFpLCLKmgn0gjYOGPVqhuLsc/ZIfoXm7ca4scs9zZiZ1nb2IJW
XythAIo9M1PRh9KK+/CjbTUDRnl5S5eBAiV2P9DC4H5dfrDTfdeDea/amVRpa+2uvCUe1bEafqtd
L6uHHWx/QXMUWxs5Fb8VBikHashVwc358RbjpYOTA+vaz5EG62h9VJ1eA/0O6ESXyDlJl5i39SUk
I+aRgSCCqSKK1iH2QeG0Qq3NyY/uq69FjsyaMxL2bx8fKzwB8loftrljfuD+ylCc+yqtwNN9jMon
jcFZg3sRP8evgTakNtGrxp3mQgZG02KjNqeFaDax0XybC7eh46X5G/hYghp97OBsRg0hMctiLVZQ
Qt2EIJPKT77UO6qeLbFaOjKl6OhM/S8mXdpmyPSs3jhOfhUgyIsjiv0K8+s0pkYo2vL3UKQPqnJa
cko0att9kaWoigVrh7HKm24Aw+C2Dq8Ey1dzeW8GBLgeQIerCgnHtA38O5bLumd0SpeeZRCacvST
G3Qsl6id9sDiOy6XRo9h+l9ZPJXNNHi0zj5YroHDUusCk1YT2cNUGzmSCrrduAyV8wUwEeMdpXAo
2/6PzsBDw8Zka45sJOUX1FHA3cg7DUYAnkIHZivBrdOPIVwyHPaw9oKNMf5ys+yglvu6J+ZZytMN
2X6dh7g6qv/CY6RECbaWmXriQ+V3fvkVEoihvGY2Xsu+L6IzM82tbDQ3VBj4alngp86ePupxtSow
lCg+mUF5KwexVEkNud4/ieUh4ADm3ZQFOVXtEl9V7WV7zEPreHmcZB5tu7SFxee9zk1XQ+N+XcGE
FcfQuhmT9dF8Wc0x2mKGbZt3sD3RA40526gfJPTQlndO8I22ElYOURIHTH7jfXdfbI5uojrBmYi9
G+qv2cYAiRjhads4zkvCBHwjtOU49awBITjY9WA09lV+HJTNS+lVD9pg40Hizj99+WdVqUdNDr0k
4D0fwGp8mlSnTkmf7tjNR46CBV1XIM1mq4gBPR0RMHy9JR6UZiQChkzYh6yo4bhOMUQtz4kxMEcT
oZq+6x7o46iOOlm/9WzJClkpK/AYoz42dEZeAOkP8vDX2kD3S/diWcPbKCd7a/L55Bj0H1aPpYhx
icbUVg5WOMkpoT2HfCtpMMjv+JPX1WkudEpA9//IO7Plto2uXV8RvgIaQAM45UyKoiTKoocTFG1L
mOcZV/8/jeTfX+Kkktr7dB9EZUuxSAKN7rXe9Q4kSzqK6quAethlX6cou4uQLYLpXL8eZp29DsqW
cCBnaIh0omprlRC5hlQ+RL4+QamzXjLF+EiH/lLVYmZeE10sFw5WPcODyxR5qgwo3m2eSsDZbc/R
EkzSWuFvHK0qUNKNjpHtQrloMZpdSTs4S4qUdeWxH/vzu0NhCzcH1UvukAD829R1zr5kFWoMu8YF
qHb4fSOGmjyhELsSuV3IQ6GESzcFtKcN1qRYfKZfRttcWAyN0d/jFkPkiLfs1N9MwUDWhpK7Vie5
moktzjuRZABS2fxSDcNUzdK3C4DCra6oSj4v5ipRUj2SXPmqzs0KDjrAffeAQxUyctXCx0yHHIPH
vAnSH0X3edlCl/0sj79FkqbALOFSWp9TL9r7EfiA7EeiDOr60WH2uqPN/6YRUWlk5UtYvfdudy8r
5upuzD1LBSVbBKtuPToIMM3k3GAHuYzxFqsQivGS/PQ1+Os31d3lgXdwo2HVQ9QxcwnIE+yr+Sz6
UNkDNOA18Jd3Vuk9aJq/z4zk+2LKkWnscJmCptEQrGpF+gh895PXUoH5JhWYy3au0C8HU4CF0zHM
4Wlwoy8wDgH3xtUCc5aMetboCfde70SHxRhqYXoN1coMOAcW4oAa/iUSEq0bJO9QnqiM/M5fWVXy
vhgLYXbLeKkwyYc1P3ex9R436ZsyMFLHpl7EiDSK+qdbNI+QKH8u4zrYfvupKT/PpLXQ7bYl3i7K
twGUU3GG+ha2ZcNkN1QPX90Wn5BoHpcBsOEwsQOgWVme94wX4JMP3W+LKIOtNoDz3vqvqn0aR8p7
bBzhpyq5We8oByuqw0xR/Dore5SJJ9Zzrr0v4LCQSk48krqB1QsTEoisNvfdaGDC5zVpIzQHMIgI
Z9WZzyEq6nY95Lf1skgZjPZru5frDGtvNYgnxwP2rLr6LG54PQwgs7Y8AxOeFVcJ9cJhqf2W3q3Q
LlHmb2eXmWYqI+z4IdsnBcF5DcRsE4MmKLrRfrSSfRvLz4ZgS4Zt+j1UlNrQqLdeIxiRUoeYtXsl
mic4RX35uTXcasN4Z+3J9gLXDCK8shJTXdqoLJHQ+1kkd3xVmC/ZElgHaICfCl4nWIlM3+w3Imur
nMaWMWrXiZ+2leebzv6Z2iOKQmUnoTobhY5GnIB5gx+DOTrIEmnZUn7sKPmsooJYUEPi3n2aOv0x
LGaoAib9mWVXJ9w62UZz564eiDiDmibQ1agqeiHAkb+p5qbR1+oprmkoMvVBQ1UBtN2TdpB1lm/9
0cUlxGheFv+uZOa4jtwdvHmXDlDg3ce4dSuhhmM0HvIs+9ounxBOC0ZW6xIbbEPITwodJwLzZ67V
d+VopXpGBh9vaFoOVVo9K0+RIrLPM6AHIDI142gxPfVesS39gooQHSY7Odsd+8pzNuufFu/DVL19
TzuPuqZvqwQNcaPc6HASyfa+CU23eQDEvC8oizGyc4TNTCNavxXg/AhPI2iAkblRl3Cak5K33F9d
ReYpiP1jgAIJhlbLTPNbqi9T9YVCqRrP5cmdlbue6sEW7AmM4mRSvaRW9sNU+Km6ym45P2ale3JK
xnWz/JENFTIZKLp69jEptzjH+imi8UXdHrIjk13IeJO2mGGAZB1yN8g/yJnZVA71IffUqq5I+DjQ
GeOpH+MPzUFAFkOlKit1mZeKWMHpS3894g7PEJmph/q/J9zhYItTMi8dYIu9Asrj5GFSG4U6wdEc
JcS9rchphCRRklw7aUq3CbJtals7ox+ma/iGLvmr3bDxarWk4Manhisxq1LbVfA9XpdPkjitheU5
dzCu68q9LidJD8sHuyOdUp75flxSibBEv0oMC7M5O1l+gGcbW1T3mOTdV7XXLGc/efAXE+LRFp6o
Ne2UFVuncslEEH34+GDg0R4RYYK3YZSXX9ridTLtT4uDlCp6pTl/S3PvAQWesh80ybwKgs/tRW/C
r6Vm/ixfrF1iFfamLrmhqqpYDhvNRQ06TTsoka6vSlU1UBCXBrOEldX3xzgfjsiknqDo35oBC3jU
9Z/y4RpmTJKRRHyqhDAZJMZsXcm3pb4lRk8jV2wVNTaBl9XwGxpnGIABto2yUQTmbyzI3z2DfzeX
/cXC+Je//n/qaGxb5h8YVxs8k39xNG6a+4+wa96ZY/7Z1nj5l7/bGkvvP9gFu2BsFk7EUnkX/6+r
sfkfm/0TkqVjqrxLZar/u62xJf6DGzgdtXQlKT+WyY9+tzW2jP8IU8XvQElVhsfYJP9f2Br/6mrs
wpDRPUiIho2r6F+Mbz1zwqqj1MqDXg+XwsKBHWtZJywJi3MLlpmLjPwPF+lvvIr/7hUFUakmdDUT
6sMvpNo0t4i6GSnQh22DX8Fqdss3IdF00A0Mftj9Cy3zVwqc+oC8ENm55Hpalqucf/8QXBBgqMo0
JSkPRrrDohAivTPdyjm5y2q+/fMn+5uXgiUsCBDnBXVe7c8vhWWwQSU1lweFNiRp8qE4q5G5VXjl
P7/Sr3bFfCheyXYtFb/m/eWutRLZc2hz9BHw5W09l+2iCcHhkjH6t+tnsOb/ZI2sXksaGLI7no33
9pIM8ccLWGLjUoR8KjOpkeOZ+s2tSLl05QPCAGiRlU4KiXs06hYR71TtmItczACnePFvIai/EmyX
dyIEHvGeaUjL/eX6OpDDtNYbSjR+2k4n9092Sio93gxtukHavzaW8+5jLvLPF3v5hH+kgS+va0oJ
5Czg9drqvv/hCmiGXZiOUbCEtITZQnsUTg/TebhW7XhlOg0lIjjH+XwjOol2U4vutVUzacCGL7Jq
UEhXfopl8un/5W1ZJq7oS8yI98uDJOuiEyma4kNrNUBCqX3Ar1/l0g8Mgdz2J7Ucgju+EdNUKQi8
LdKXKckqLFX7V9fGOJo6eZDB/Z/f2N/eJqjAbE/UBmwvf75ccxfj3QZ//ADboMbKWqBC7frNNFEW
DhZPBENWR7RfyRr+t3By41cS8nKr/vDa6ud/uFUuKRu9Bvv+QGX/hBkP9QcY+SoYURLV423UOb/1
eDwMUn6Pore89v8tGPbvNgEM5//Pp//lrgxJFqIC5B3MIR0DmuebHOP7YqAdsyX886UW+hJi9+fF
SRy867IucQwSYqEA/+ETE1Ziuxni+UOhlzsoGA+Sac6gq0m3DjZjYaKD9LVPmTLiVbqaQrzAU3e4
2rV5aD1y0kkjfHD5N1M6PXg+a8fUvNM4eLuy0W9lEKE26i/4kF8ts7sWMbbQxWdVVnlRfJcGDN6m
H29zuvPQf5bBvpNZhsMHv0f9/51ULo6UwkOxLybzdZrQ0hYgCI17htz0UEkWaIKt2cpGsbMyu0s+
19UKvJS1YoMA9fDneKDGfrhaljz2gkmpER7wY8hg5wG06l7+uKD/msVcqZruQzM+RxV+QoF58ovx
WGAbj2IG+meSP7cOmS46LknrLOtMBfodsyo4TL65a+L51lb6wWp+Jl18Tx39ITHxl+69He07bMSh
3wov/lAtouqe1XoSHksYIx2TqvHFtJsfrtqK1ZXREzTmoWh25QCGNIofmoNnna7I1WGkVKaP2BH5
q4HPZYzyACflU9p28C6RlXE9l82jleMDLju0+XWprccpuxu8plVzgQQ73uAx8h2m6WpE1N56dx80
Ppw7d3C1WkDANmRGwDoYWo+cN4PRcOZwW4oR192sgCfGBqYuv29T8yfJVhTaJxszcrjd2QfukEQ4
w2hwgkcBowuKXIaNZag/+H35g7SBlTXyUbWBrQdfqlsf9ZfYex/dEiWIO9zIXLm5YsZkwGNfLL1T
FRpPUACGlU94KBa288tookLiEPbc/uohJM4yKINJz7/3Gm/7kij3U8ye757NJcj9ijH4z6ofHyw9
vauXyGcqZTiqtMndTr1eNFXfGmgcnpbekZQ92OpKUfxcxhILnkS/4em4UbBUUuCfE2f33oEdYo63
qoJcBjTmFsGLWQicbWvjGuMQC4WCNRXYLYPU7iXJCn652cDHwfSHAYOf0SKe+xzLMxLBHiyZkh5K
eTHzjtZ52O6qMtLWTRUroTHMyKl6kkH/7qrwLGFys2rpTfsquRTvmbE1nm0Ha6Q2lyeeq/Py7h2Y
uavR6K/q3I2rBpXBXYmlsFq4D5BIh8k6ey1A7MgYD69mc4WE8qaWMmGQPMq6vEBWJbLQzw6xwb2J
OO33WJ9iHdbfzDoud01dNMcknt6MKK/PED2xeEjDji+oDxkM+3W5q3R/ZH2YAn5X/LQsR8hCH7F6
cGfVrKCn+WKK4MVpc9IHHJVEpLYSZYY5SLiVKc9KcWC7ZZox3JYQIWwKke/4WM5q6C2CwgeD98J7
21NHWEnBw0km8zS9NjM14bJt9eqoD9U0c2QJlYG1HsdUwp2abggwiw3sFf0Hk40eFxR9pptlyntd
dwmm80VZwVFm62vrAMuP5M2pk7tWWYcqar/ZkJYmnoGe5WIEsFs0yMc6FGDZcWR5AyXw6CIaBM43
98v/4HV7bJp5yJz+RmeXQO/hbWFExiUnBRlRQ4BgqUs3tWZecPjW1u6EKwmAEXQ9Z8bU3kK4XI8P
eh1pG2T9jzrCPJIJtW4/6Afb67dj7YD/ErW6G8gUIb8giHZ2PaK+6IrNNIobZDieLlmU/KJqJdtu
Ao7lSf+NlWdgw1O2hrcFcdsUlZ9u/MfZDuwznAXmWWDvW8A3t7CGEzbmcEXC4WSa1dFp2UWbUh2T
BYI7DUbXTuraJ54tFDpSucHR1Yq2eYRhg3FomGfroLReQQKhvI6lt03L+A0rKjSWuZVtvZQLlxr6
NtZ4rlJM1BHhT7eFeLcsyKV4kV38oY4DPUs/UJccNJ1LwxbXtpgXTq3+s/L11zjMkQYYL4PvPUyM
ZADQC0z4XbItlls0tfiVZPsxw8pOLX4CrnEEPpkKA9MiFlQe53eDCDms+gB5GnDbiUSqtc2yDse+
2GKo8t6B/ZDgKRGneNNxgDdreGa+i4CMVimG0YAoPvOUoH6rOq5I0EQ7F1ZF62nEEFfGd9k19saf
E/hPXtKCETLZkDG6GmieJL8E2h6rTKYuI+NLW2gwGxCVRuWMM8coQwTtwckZePMwx9lh/HbTQ+DH
tX0uNmVRbsQ0I0/CvAGR1bSpDLeFLewdozwnlQtOCAP6cM2DLBiUFY95KZlG9ZTt7vReuS3WyOxb
E2cmENe71AHnsoqL1CeYfqRmuO7csdyZNi/Ws5lXsQlwF/VbFEsMttW9K1KeoX5GIWrd0Hc+jSPL
pc1qbN08ccezGXK+HmkQkCtY/UzcwpTb7jjGnX94ERaj+hzzJcsCyFxqIuzlf3ixTZPkoYaaNJxm
E8htZQofprDDgLEq/UU4mJAAsSfsVC3rd2G87t5HHYUJKRoFQh8S8opr3spbPvIIhH73OucQNtRe
bsvLrNvR2saAdR0M5hcnx05j2YLsDp1+bGTbsIT04AiGSeWPsrFvoNPv6chja7r6GwFl+mbOYwIU
ZiwjifMEoyPCgzczpxuchc4V7QEzAOIoS+65aQXYywB2t12Hq6qwN22QY8dVRjjYE3MqY9S/Fufi
Zp5kcVATPkcYPOEUBh3PMkKr0T53eRSu8lfRuv1rXjGLEQD0YnZ/TNnwYjju8D0O3HWYyFPAcOgb
eRG6s2tabSA+0jr3vVkeaL6jTTxEX9ym1x8yLx7OmkvkbJT6e7OIH0TV7ytsFB6DasTgH+vVdSsC
a0Oy27RWEnkYBOBQSK73OVFukXHzYAtJYMe1GNO3iKMURwoIEdCbpqrmENTTvV7N1ZYFHeH6r+Lp
M7eAdqPpGxlV02YS05ZojWMdmo/IBF/zQWL9823pyS2WPfS7bds5yvLOINdixNPCPOfkjYGyi2eo
IfnGKIqnRCKAsDX3UOJ5z8SX/OM0zLbR5N6MaCqOGMhtqqSd10HWPesG8zfbIUdHNMEDEYwPldVV
u07CzZDt1G9hMWA/U7U/tUFeSPMm21i0uwg3mf1YZg82tC0eiuTq4fpvZzcX+jf0Bp5PlOJUr3qD
oySUDnhUcpv5SFoxPfuwnR/tyPGhd4Oxg+JKpkTxVJsGJldWvo60moy9eKO71Fv9aH2xNOZmU8BO
TogKhVZAY1KZLY++5PmfPOvQZwms0SLcOyYv6GGHhMbUVj4/HAG96JCfEQ+0jh3W5bS1PcLs5slD
5TBFJfy/bhPUiY4FVwFmKBGT4PBlH0LILIMzVecQuib2px0n0rjrpqbfu179xHw9YfRTTpu8tTZG
mzjbxpls6tj+axPxpM3z0ONNVlNGuekmdyMUkATAOm6pbxwnrA/KQ0ZN26pmKMkgwgVj6DDu1TA1
wiIV0l7oTxtZ6igemGAhH/W2huZ/ZxbDclI8GUu9umzbfWvjBWlLmAw13q1en+6Xky43C5pMVOOY
ciIhGQPrSIIyyUngBGxn3t7P86uoLLGfEcdHbmAeOg/GMKfCHsIFXowifPSg58BeeEv9KttNffM9
rTR/NwWwaAk9wTyr9VQEEZbjKNJFv8MHlqKojYK9hdDWbeUn10miHd2b3PlR/yin5s3DJm09kQ2x
IqIbawQs7XRBbTB37sEdAwrEnDLd6Exc1FgEMAEp3g3Rk/zpYb6J0YfrGTekdNgATZTpGmWyHanY
hTK9qwPzN3QJCURQrJOI+icGEF7xrMMGsz4j9oRBC9tIqqIgceaeWbv2UGgV57ugzpI6nRmO9Thc
sQlGoYeQibI1CU1Soydll/k5bdFk+HQzcd+WuxpO0ehJBnEO9gfGyDs1uUGDhnxMjuvlmsym+6nI
i2f2pM+FG1yWUreNaTOxMhpXDRFKAp9pYhXaq4GjknhvJz43bMC7V+5VpYww6JanmF4IhuAy1/t9
pNf5KtK+2uwdbIL+asRVYDubiIP5j8gQHJdrpkM1Q88esivmS/6TlmLg4eV8qxzg0mRVtxOUdnVO
oaFSEwxGDAdY825dn0N3a9GY7sqI+BiL4X9vdfx+qgsGomwbJDv4KM99B6keAUGwObiNsWq2OoW1
dOoqhC4Tki5y3vwm/o7fEDYbtYZ0MbkLi+s/zA0dJ30aNnrxqeKOtSpUJKUjIbmQi1ukz04/XlCM
v2auvGDF9VGq9NK43fZudSl89YjZ883mnF6XUQXlsmywJKhe8f3NtgMGFmSzVwetStOd4WKRR3rE
g9nDWHesbBcQIbT1I/gKFnR8+kuHUBkEaAsaGri0pqa6srg2Y3a3lFRt/gLJFqsvmi84UPg5NiSw
zRyoqi2VrfdNtBjBR9xTqD3LCg26JlnV3vwQZ+nGLX2c52BPL2+7c3FPL4yA1Bm6BQSeB2HqTxig
FBvyUSEQKr2FkM5rlHoqQwAKbNZfzcwbVlloHAJzuJrD9BDVFMedw4WnsqdBw3CTQSThuYi1+mtS
UfdkaXAKsuJRFkQg2FjlIvK5LfegU3NczKhJnVDvQe2reaF6C9Uf6+H02YK20mVdgX9YBLXP94yV
Y8KgWbpkM4X34mgX3abUkjpg9cxzSKYBi0u9CdEUG0+1trnMHlUxxXWCJ62a1TKeHzr7zYnRH2nF
dMqFOMuKZ6Kxpxf4z2fHmR7SpH0SwBCTMZ8Y2WENl/N/qF+t8A876HHyerPILii7CTt31khuhs8e
kJ4p5KHo3G+lCo0rjfFs4BDFuDO6m6pFHwJKMv/zAr8tb95QZ05psV5FBlARc0hha/bRynwzFPxL
LcnAeb3uCPKs+l1kww0LPonkxUdOszJGZHbGy2hEEghmfETj0601+0nrIR4TRaU2jI4hWkowos5u
44xw3iOzZpFyebSKRsdNmzOFBkUwvV7nUllVrwuaXAXsdLX9TXMl4JmgvUys6UGdy5BvCXPJ3+ue
Z1o19X1Byd4ZTCtwTThbEFFajH3XrY8HXhW4W0oMb9vSCbOCFW3DjJhO7w0dbxf11M4KHWPg+BNz
NXu9rHnXrNALLg/azh1PhCh8S0YaELXR4jwV9T/rqsdUp9upuxrO3UEW9n1Mw3ts/EC8QcqDTOCB
52wz2tMEc5SMoGkzR3xsBUH0DU9PMI5X2/mUdOEP3J3nHFSlliLgVD+SNquhNuOa9P7LOI9f1MeU
msKU2RTLVl5sFzDTwSt/AS67RtBNYsWZx2+Cp6OSABUD8rgtXpzhZpkNmC2DX7+FH+P7JhQcY75V
GurUMr1WJDXMA8liIY8/Nvs092SmI07W1gtd0oBKhlz4FOuAXn3+ZZLxDCWIvkMBPnYAq8oC1ZAD
7zpstCOjnr1Bkeiopb18wfsHcGoVKUpWpUcQsaeQdG95GdWIuqkYMDGw2MphfHZkOm0XYCH8lNrY
JBDdR/D3wMILIhrw1stIMmOBG1A8BREDqhLoOsOgMgNnT0A9Mpx8FsTD9HBArbtLn4pdD3YibdVb
syoFBm+QKfdwhujWF/iM2ArPTPD88x8HaC5Tw67ucXFiwcfkI4718B3wcFvVpMB0PmwFg8IvM7Iv
bW88Ls9DS3pJLWs6e7z2tzCmN/i2/7RnYnmSauKVk3YXjIQqup+JsT647cwSXx4/eACmj13B0mr7
8GCw4zoZYIx9Qc82jYhfMTDyVXvPed9XwYcM2LjtdN52A20RbK1jPXTXdMDwrhQY+QL+rybDCpCT
jASyqEYSFHbptAIFlaUjO0NeIrpqM3fjqvORgctqwUgzjVM3AnTLbTxg6VbjkN1ABlRvOar+vsQh
uA25IXbKkqxmwUYKcpcxRQ+j8kB7qqG0HQqQwXBfQUKEfoGfWjVFr42scBg6DiZ6lzpJNXxx4Y6a
xUuIfxkWkEit/eYiYn53xfbax29tgDqrb9hiUps8jro3Lkvvmc8SSZkbbtKGS9Q62VvdTuchhhE1
+Z22TtuMjDnbuTtGRsVwCUzrYo3Zx4LSaBofuiYppSpx/5XYiePloa/tkKMN5cFvhx2lIimGFcvW
pjX2bAzC4pjyFEWaE8I28BQkl/kWiyZ2392ElreG7oUjJRakChArS6idtcm1Szw4WoR6Deienos4
c3ZqK1nc00qPGVJo5J+tUX50IyacLslQBSgCWkuoys/ZxBESzyBKc/GlmdunUqP19ouEJiq12VA5
3rBZxksKVf/SM2N2D+SszrZEUka3jnyvcAqGsUNxpKApYfNgknSD2q54AmVYMawmiLPpNnXg7fAd
i/lfYC1ZXXZXbi3utMMdvHtcnuVGE/So5fy0VHPLB6X0mjalbbE30+SBzGaeuulmyy+1tH0fiOgl
gKncuOV3jwHjPq0ejUn/SqwIeANDAD/ASSNCtWOGpg/kgLMQNKe1tKiuh+pY5AFmEKz6MblWCabE
GgkiG1bIvsmnr+jcKO6c6DJ7L4MDzb0M/fbBTOlDWynI1HhsOEvZSmsIYXl2ivloJ2s86m5JU1BP
P33T+awRsLajPd/bASZnljd1kCizL2WFaLqEyY5PqWIvTYoQneVQm6ofhCvKHVGhuDQe0dB8nQPX
wa+VXtdvG9iEQXnMEwezWRn3GwzMkIRH4nHU++510rO3LOnhF9qkbSn6pObtZnu8EqKlbR3gu3Wk
ExBHkCHcrUKrb9hDzqN9KnzsforZREFtpjF+etYDlnKbbhTdTu+rS5+kw0pL+3KXCPyUJOJmOKSd
iiJOm11qUDbE3fjUYEx0FjBCwx4WMIkBgEq+3x+CePhUd6Y8ZhHqIspt2qM7NBfyY903G32XncHy
akrtW1t4CiMN4sNcktRZ6slneHaItiE9nQ3MVCCN5c8EdAYGNuf6VVZdu1s06Fkj21OivuBMV8E2
QxciVCiH+uIbfOm+YiVhnFgL8vcvduGc2nii/Nc9DaADrcOun8qXtCIFZPlCaLgkeAYhUxAUxyYo
+fVp/oQ3WbCdeo2wUpScoYEffh2CF0tl6mBUQQtCyG7nQzLcyAJRc5OmPxpdE6cu07/mJQMF6O3G
NsPRZFUMRnZavkSJ/9WrJ28rzMo+jW74xy/L92Kkz9uwSr5HJJRMaTEduZrWiYRN67T86Ze/mmFn
7gObQOACdx3L6sat9DC21PJYP/33SzkEKYBiGW/7ygfCqcaogT2EnN0nRFnruwN2W5hyh9VQZSuH
XcCMzklgvqLnw7Dc63ajOY5bPYzOi5vF8qVTlhR1o54rAP/tf38Q+7xQmoBoGJppnJYvwP3itz91
yk4HdhI/cQaFTerC4mmNqmdP0xnulfq1SQz9WmDbs0tyoMHQl8cQuvg5EdGbKevqbLU4jw5alB00
UqlO3KVr0QbrjOTBV13WZ348XqRBzIKZpPHRS7EYcaM8WpMTi9F/XpsvtqGJlyjUy62MMQXyPKiP
rWE3O4uKQMkjPBT36LlYUOqvAO0VIslgvfxtHGxjC8KvEZJBJkDX8XaCYSqvs5mVV/yeHaBxcIrl
eyTWUn508tnSnkYy6l5QKwGKQSKD92jpRfoUbUZaQ+VHFfag+7OVWBxEuIY0nSaBv9Uf7Tz8aYwB
TEdlApIrT5DlT726C3/4ni6bXR9YX5Beh0gq/W4zCOerppOFM3pJ9YDTRPCQYXsCiezUqy/Ln8Y+
fAU4m1dNyQnuNPp4CmT6ETNo3yaMDU/Lt5YveuL9/teyxnCSoOsU2URG8BNzBgEmebJD3AiMl6Rn
lYuiRRiSWpfpxWv9nmkTX9xp+sFxZK2kM/uveG4WQ/1qQw3062I6kBewFeopdtTT2U6evkcVcK6y
JmD5IQLQ8nYH4o7m1+A7IhDU/7a+bceL09WJ8oPEBrrGWiFiq9mElapP6+3UGtiIqUcc/QNes21J
alykYzgVYRcYd6c+kYSNENTQnlK10RR+sY+SztubmPkaOCH6IdawSHV0esp9OopL6MZbRoni4Le7
0kncHdxsLCYNHI9k7+GPwa+Suo1uI3OfurgN8T805nU0j8Smzhp0RZn/qHAKPk17q9N5C1bdnYjX
7NjXMMGhJOSPumsRaOMG8RYoYlznfoSQdNat0/Kn5QuJ1r//NbJLscs8l5OzOxI7gr4tr/pTKC1e
ZAh//9PyPTt4I7VhPoIeEw7qj8DjYTSjC0aCvBKIC7eQ3S28nptvCE0e7MjhiJ765zKMvqRh1UAG
rjdhWU8HI2jfROJw58dVOE064lkzBXgYgrMfuSeBv9makNvyXHo2IJ0MjhYtD8kdqAZL/bvvWvvY
eWhi/RAW4zevKm+z3X5ORipGg4DzgbqUzlfEp0lQwgeT+WbHSOa7qI7ZScInPQfDwLgA3MP6posa
nKBvflYU5W2ddnuIw+X2w8RgODKwSRsG1z6Gk5Bbw4FGhobGlU65KRI0fp7TfInt7Hsj3e80JrgS
Io+zu+A7GaT3yaqh/TfXPLDZ1mebeci4C7TwqD6ALoY9Kb4uj8QY4gWsdE7xRHGLxp3CSKC5xWoS
kGVd9sEuYkPGFYu9Dc97w3QuachuV8tvUWp+rWd+SU3YtTtyzA0dlpYhUKNhZ58DYsyYabifhBd8
R+vzHYEAuNdLlEjonwEVnG3Tfs84aaOWPM/maa4EwzjBvFdm9c6eldHE1IozEXBf2IUeEz3E98lg
PAXfdi+67llUJaL9sZsOc9quslqztgTmIayPOOBm5AXM4vpV/YKD5bClmq3PswQBZxT1gXpg/A3l
sbSODEv8jvkYoWoE0vhT79S4nDJTtkZo8szrfK8VZFseMr9+MfQeWS3t04LoxV7woaAgTHdoqHQQ
FjcjClz4ZDoo6xZ7uNUemZ62rtjkwBCtTwNprm0aHaHRt1gxnnuNUz+jWtqaMrlHnv5qUiyCHdIz
kzq3johkdXtwASj5VI1QCTpgoTRK76JytdXBqrzTP/NtLEUx+xPbxtPpCqA1eUwFTcP6hV/UzHNg
dQ3wlfImzCd6ldLQw62BGfvIjMQps+9UeiSgVCnHWQY+oaAmj4FaB9PdC2N8x6i6ASjws81UZ7Bc
ygCY0VKKv+EYqPRWSh4FCzeXMZZMmW2ay86n34YEPvTThzRZBF1MTag7h6iwYYSD9hSxNHZN9RV3
gftIvttaGxR0kO4wJJ8o+eNN1mlnuPHbf74ohiJ0/eWiwCE1HMtW/MdfeXkBVk0ukMihzoxbB52o
TmhZ1VuKSC41nId5OAQeydgjsuh/fm3xN69t6FLwogYEKIKn/kz4aqzezoD600OpJt6ZT//FCxnh
zQZm0IR9KcR0lbBFptG4uY44epiyqy6MsejV98ipqaGCU0cwUm7xuPGOowXk88/vUv6FFIY3qO7Y
nuvqnmkyNPzzu8xrPOxJhmXZuLzLsKVBdJtmWLEN00yitIHgYhCDIBHYIXi/K8pYNSQfiswRRdzF
DDdZGBnurqAjhmtwN1Uv56awP50ivyNwvGPs9MGa2FmCoiyIQwwBI4rb54WCGOiqb1dwYFtZl+pL
PGEZPAY0hQtPgzYBVXQhN06KJ3ZPIy+StNzHHLjBPD7gks+LmSFpKD2juLFOH8fYwiUKqXlm91cC
jN5xsXn66sn0qho2cJ67rIdrWjdKifFZKJAxktXRzqlvsQycGT3W5vSajuHhn6+1Yf6FHMvFtg2B
2sHBHfIvhNVyjArNBfpAo58gfNKtLRxVul/FN6nVTmY1ihWVlUcwmn6FHRqCAnSpF6O3dsSAFhwH
IMquQ+CUlpYN3mrRcGh6bZ+qk3sawHPmLHXQIgbgJ7XXXy2fAXBpFOe58bJdr88f2az1bG44aMtq
ws1A3ZMQxMIMwnUW3oNGgwhngFejzLmrgWIeAZLFA3s/eSEkKJMibmZUXQJA1IzFoXRA34AZCnRS
a8kRuo3b5yFkMJWQE4ZoO/3izHTEzLTvmcDaARHUupzYeWrfwe/EoSpUPw9Tvizz1k57T+Oh3IE5
aEaLIDdvfyDwUVOGLBNUCghgsFMI9fzeCcaRmanvyVdg5IUZZh705LqZjhqNRDje5fobhR54FYiP
BTSXiPqsAXLBYeBT2157XbD2UisulpMcw1J7L4TyL8LAaFP49lejp9zzrZnBSEKDpcMra4JmXTPu
JfN52GuZILw5rsod45IYW6byWN6FGU+nAdrUOkntm80PmRCcgmL4bg0hGRj5zre6R3Jpj6UiCRCP
xBLw5AHfzW+BCsZUb7U6BkX4rg3jFffD/mmSKSZEytKu78ab6duQNdDcJENbnxAEvf3Lcv2bE8XA
AMnQUQLYHmG/f94agg6OiaU1ycFUH1mdBg7fo4bzfmrtQ+7ENK2ovWDkRPjlqeGdGpgViklnhYB0
VZv+C3/3r4xvz8RoR9g8R5gZC/HLWyJSbZBlZESH9H/YO5PduLE2277KRc35g4fNIc+gJhGMvlGo
tzUhZEtm3/d8+lpU1kX96Sxk4s4vEhBspSyFIoKHX7P32iQelVl8o3w+LKPvdMC/Wk8Hf1GcFUP/
skiv8FW/+3r1arr2Pzw3/8vhbir01gYWCQtJ5O/S8y7qwOfnRbRvl+iiseOqwtsbk5iIsqVdoxT/
WdOq9bP9U9bsXwIk580y35CLfgw9xbohrxSClfukd9GTYYXThkmYD2F8/AclrvqLTF5ZOmcOCnkl
hGn9rsOlwLZYgw/hfkxi34PEA3s08vS+ifH+GMsym7Z+TsHw2LxsEAxPoeEPR0e36o3BP2RAfZ6S
aNh0kZtt0E84a2OZRkWgYV3TijzmrCZQY4R5RadeMOgieNCHjOYxJ5im7FVzGJLxOZviAqoEqlgj
A/HnJ5anNFu9KHohQ38w6kctSevN10w80CLuPvW8NxLTY9KnNv3AYC19Le022adVToxOF4VbLot1
i7LyWWYGkcXqKsNpvqh+XkUTewvNhDVvlfIY11w2JqA5XGUCdKfSXuuySYHy9AxXlf5tShHrauZ+
mTl+SUVzZmqu0p5CFrgEra9CI7z1kgN5zvNHcN+cmmY2EZ2jHZRu34Dh/rILvdtJc+/Hab0na4CB
djHGJDvX4VrO1blSZfmQTjAUZcJplU3tuK+j6LMdouKP6uP/W6OepvLzP//j/YO8Qi9q2jr62f7J
4CQQMvzbOfdXa1T0k1P/Pf9f/tF/u6Jc41+WMJQjLCVt19BNKun/tkUp/V+WzmVkk8JCc21JDAb/
1xbl/ku4ikwOqUypM6rhUfyPLUoqWzedxRTD8eXY/y+2KLH8kH8vatHv025YJj54F6u1/pUN8G+6
+gr0TsvwVJw0Xzy2dVVc/LlnEmvaIEbUj1GM9RGgcUjJ1Oqbwlig8tUUntTMpmL5WycK95il6n4i
RuSeQMhvVTEPp6+/2RC3kBKE2Zbkgp8WqRiQn+8LTbPOIcOt9SxKIiCZDByNQW461sGnIJE2qbg0
CtqiXJ/sTOzNKq8exrH/XqaJhMNGxi0EzjuD7uHZj1kzaaPeHA3HRQU/ZHc81zcUYuND7khUndJn
xaL0GtVhl/mE7I17G8X6nWWwafT1HYOZ4F7YX9aNHF8k0aosMwYqu7baZ1zSWzPsde6OIn8EthCy
gHFh8i0ALlQ97L0c07qfOXjxo8tb7xvaYxbbVK6Nfj8yKDlFtsaDrn7KIhgencwadjMZB15MjvKS
a/4W6DqaoY4zyontfmVlsqa6BXprhBrklEaS96L3j1lQ7tE3qLPbgaxNwyQj6xJKBS8fey6T3tyd
iKQVfgPzQ8ThmXHM3QIuqMkeO4hW668Eb2xLwm8+J9EBHxsa9ejOgFoNgOk9jvhVk8T6XWH40vui
PEU9evkgavqzbOWjBL60MwjooYAX+V1eYMSCk3we24kDKiLRvmGbvCBHOpvpfMGXX8Gt9lpQ31i8
w3jVcFnEwP0M4gPW/HYsKQJ5IwrTP4V2cO8OenLJHAJFfFhS8DF3kzTaKzLucaOZKBC0wbbvkdru
yPWOL2GrvaXTHG/aVlUnf3LZ+1UvQdYWJ9ED4GBo+jBUaljbDsCiqU/c0wiiBlEf/VHvBs3eNQSx
u0ayJrtB3Bo1DmuEXGjJCNNeTSbv7XL4h9b696rDoEPEnseRwN7Btik8/lwIuU2H0Lme69MgqSqh
lUtu3P0ZrnpBORZdGr0LD7YZPbZkAR8Asn63CFT1QkB1bCSQdvzbgXX7o339P3mX3QiJb5v//A9D
GMtP/Le+lkdk6WJparFGSsVJ8OdHpDHKKbWuCE4qCIdDmmQkLrGyWaflQKmYWQedUQbXZJOs3U6+
ZULX7v3SPtWkn1TKrF/Bosm1X4lNm2bujXQYRoeZH7wN1nCWtPC4oYfvDq8bKL84eFI/Ga9NngUS
7NQTYbAWOABXZFDLHYEs/iZu7FXHrnTdt/yLoggv7NK9qoB61Hb8w0CWvRcs8XSwGgfIe3a3shwa
x9bu5jtnImm4y/blNDmHqkemmJd3IrUknGa0EbpoQW/UwXi19ENr+tkPjbrK033N2UkSwGtrjp+C
rj1PInROjk/kmKv3DJcTYR4sIS+JJoILdW5C6C0iXcJ+20tWo2CdNFgowfTg1uSW4XROjNg6FwBg
pKFZt7n2d6EvQpIUB/KJVe+1cWk86WuodDgacHofRDA8jKUR7+l2yCqLSeKywvEgNAfS5vAr8812
xwz2WdSSizuCZUjSV+81KrwSL8pl7OjFiZ3VGbQPOr7se5a1wSYactK2UtV6rIzfFf04caGz3CVd
9+oQLeXhG8fuN1Reman0AHExWDklG4SwDcmBamYCGrMTCXAMowI0iHVi9vc5uY1UoAceUrGHw1Rv
WBCzP27IGq2G8TySgr6BI4pQp6u6feyIlSH6D7CCpMnFKC/INFgLEVgbI3Omta45BJ7ExYnScu86
TYNBxvWa3gYtumxq2Vt8pyLVd8SyADEJpNxZbIC9tp21ta0BMC1ZIyJq4xqpbW0/66h+Gn96JUcB
x8sUk7Ro4V+kdStQxaqMRYZBViCrk1Sh5W9Z3NNmWNaJvcATv9Pd7PiPFrPxTWyhc4RmSaIgFo4U
VOb1C+a38BMc5erU7C2TRmUR0P0Vfma89NWESIerA7yr72ydGlIIG4i1UaiWcG99X7imOtu+gywg
TrbxgDDDTTMH5o3CLmZHd7VQ2qp1nysWEodUTTGlsf9uKwAcgQog+4lwRzcsAVQ9ah0tdkpM68Va
MASZSh4Ay4YSoWSuCrVTY19isKjJ4+3cHoBHtSlK2BqtGB9ckFOOxh3Ab4BCTkzuc2vMD5rF4nos
7UdzFNYd5slSzOahMXF3VUZJvhHy1iTyn2gPXiBEZCvNzHeMX6NNFRfFecI2C+Ecasl4Sy3kLVOS
X0t0gp5v6Grj59ELNAYcZ5KgbG7FiRfHAOGckHFFM2GMKrHiFIupI2yybqX1Ub5bLD8TqLl168Lk
ynLYqcCgvWqs7UdCGuo9ah+cR+k9NUmzyYVOOxBVLEenUW3cpngO+umHVXb13jKDW8xMdtUi1dkt
0p2RjduuIq6LqTwZiMvJU831W6gDeyY3fBlV1y99rp4bYFcrUc6YL3LAp8PyPBS1fdIRSYL4IlEl
ncll85+c7hvjElJTxa3VNUUJNCJG6IIW5QtyGVgoG9Ku9ohbonMRYs4KU2KJAcL9BJdqXc2f2WwU
1AyZ14E+sGzxa4gy3ovoN+wm/IjQi2zUcjHmvn8LZb0nIzoiN2yhQkbh+uuMKxOYajVIYabL5rkc
+/Y0tfS6I3L/TIA8sYb6rRiGeK8tmYg4Fmq9fSuzovJq10IMt2QKEgexSyZmrGoCzBUvV65hTaw3
5LwpBzxo/pCzNX+wERmQkNsAXRntazvkDiQxvjgzI+hfYXF1nPpYNhRUNbPufY9qCdJ3eU/s0Tqw
5vpcTtCmKgD6KMsDiRax/YQV1lyzriM2stP2PghpvxbuDbGeurnuhEIwGMDfDcBuerM7T51X8djg
Qi29YsWGgtxpGIRm8iAn7WSVU3NKA0rYIgoPrSqntYN6bKH5IcKU6slPTbnPEUOggHTODCDQxhgw
yLXYy4PcuEBOZsc0h+xlQo0FmRsfMhf3XZ4M9nbqnF/DwPUXAmz2LDfST31ufgJxivekwADHErC4
pAqcrT3wFVQlPswMOz+mAXGYZhd8JCrJ76uEeTkxgt9134qPtdndkz/DeITD5FqntnGKoH4iT2nF
me7hkMLGPrQ6GteGARn0TKZcaAiL/Io7JT40LB7MjGDO1PA3gzWRF2hhyGLn9a7NHXxTifGlm53g
5gTqMqHJOOipbM7LMocBc8vN6C4PR9KiSdjwJh0jUNVZxAejLl3n2YSVSJTXQQ+rC5QHC07h8N61
UPaQjDebfkkrBSuLnNVtiYgRauv2Q4xfKoGU3ENBbFCSeJkbcoOwIIZgL+F307gYLa2yD05dQ/iM
mQvmkEvOWjzcf+V0fv1tSLRmDaIs2nGrYSPOLfYxNcK9TeLLvrKXSMmcGJEsGFe8x4jo6jnLRTAe
SDvw7xm42bq+M13XfyVZhyyZHkF8O+p3uo4IbyZ9dTPbLuZYdsY9doENyG6ggw1WCwLBn6f6rWQn
tCmWAzZajtouAN8qZ1tfKy6lg+imb2Y2h2fD9XssM4JQIAPhYdwkHloRbvE13pMwfGhb95Pww+KU
GJp4atCFdIqqKaWkpW6pP0QMh9x1xLU0xRMPJ97nSfQ5gklkfmAfzCTkFRxltiOl5rkpBaI/q11m
0X67Gyrk0f3yskdoc65oIF+SoSs9jiKdAQz6cHVtK+2w+DUtM/kV6ZhpwnDa6bxXmX6yOQtD1JwJ
N4NZ/GTPjl7frXYMyDcaFxkXoccDHVGg8OROMVY1J9ceuHWhMBZoN/WbzrG7t2ZmIxmBI4hTyI0n
Bek7UZD1CSzU/RxW+UNZw95nkWdtiozQm7Qkn95W40OkG81GMG25mikbg0STmAWCestO0XzGTLRR
4KkiVbQ3HDRImCQBm+EiMPn60OX6RxHHfLkW0oDVwXQKW8IC++wUdwqeG99hbcxs81rya6A++4uu
oVf7EV/SjrwahkHSJtzoq4GsI2d+QB0VRTauJ1A9hzKaCbWe8SFHVIMeu92GIZNpLSL6cR/OPnYD
1wj2vd/epTWKwHJoiQeH0bEySoia2STbPQP2T9+Xag09f+BLUU3JILQOwANYQBCboKKu/P71rsww
G9z6ITwnun2nyqq8hdUiLx3tcmvY44+QDonwG6LPoA4bqGGovEtrKtn4V68G3d1CambX29glWRuF
WPe5tN55ZDy8FlJWQE1PMEGS7eJ+QjeaTuF2NhndLUc/JEQMB92ywDESvOaDpA0tvXAcfO5bZnEq
cnP2nLxsd35YLO/0ea+07Ievq+aK3rEDh3yt3cOkJ9XGTCjNWbE8mFoUI5NIT4Gmfo6doR8Jzf1E
nPmDFtdiqVo5e5A/AgOHu4lLNqVjHZPOhBFjq6CJvQ0zQGpSotYBXEJuclzKfF7u6hZHh/Q7gQ4Q
fU9lM/MLjIPZ9+Lcd8YPMVHlBJZamxM0r67E9chiZ2Y7gWfGiTBh96GFi0GntrJd8JEFyGUAngYS
ElCYvgX6yRpwYTZN75/tt4XxeB1y8cB0+6jBPANGmAdbHWBIahfFi11E49rPyaaea8fEToirIN2Y
9wVgw/1EzMGuQKaBEoStuAZ/w6qRt2YVY37KD+4V5vEnSC/9mvYBwHtVSS+XnO1GNx8i6JB4GYLv
VeaSZ9Aaj607IfWpFpri4JxNnqwNDb6BXT6AS7zIqchjZBtvWb94VaJjVSbCyxYoWVAfrFkMW0JR
zZXRNMXBDrP7ropf/KiQa6NHQh7L5SpQEhmh4ABQWfXDJx3lbHdYCBrLOQlM1td234M4vaQDiFPw
wybcHa0hQdi4FJ0PR2tw3v1xdu5t38hwAy47TcPWLzo19zapqK0D69YWgKCjpg43dsXlbWaR9UKV
+5hOgPSM+jDm7ZUaIDm79oC5tLmbhBkiWUymm84gRzhAmvG6mOswRxbDe5P+P73YWV2eBpskh0yN
J7uy7ItIwBF8VXO54aMqi4NL6jv61pZ0DjjY2lVL7b7JdBMC89Sos451bYhdcfr6MIO0RI1+54f4
f+vYQLXcFmvXKfS9zGlqY2P4SAyuJJzXMBGorQhm0h6GvCtOA5vDHSlfxYU0UAZfgLeoFRjeqJrB
OAXPASdFf6oLy137blJwTsnwFI1xdPr6UyUyz+9h7CurJfEdbTIa76I6U6G5e1OIuyjS4wfmk/kd
GzM6NA6CdRDjHTD4HJ6F7t304+TGtZKQgBvWntnRPJZGsnVQo9xVSLPOPjHfxqoXI7UouWknSv3k
lKN7BCodQ9TXZ/9YAwUiuqptXEr0+Cc8bAvAZJ49MAAVezF1YmO0WsA6ZR1VKISt3P/udy2W4nC5
snKpPKuLXXiytBG9U41rqza0pyHJX6l0OwROE6r0DLUsb8l1ShrcBurAdCeyuV6cUBFCJaKZEmYP
AWDBB40sZkyVibnWoUYjTBYnNzSyu2EZemmjee1HQGTEUQe7qAuipwCVyBFnLfrSSA+fOKXn81QE
HwCbIudRrxznMazY82kiR+U32TUhsq2x4zYe3xdTso5I7TrpRUqnUnM2TrG3KPDeELOG3MxsoGiy
L3ZIAY1b5/qPPR07Aj5FthQWPTTwhXaASHv4+qUhBm+LAAXgVBsXrFvi8vVeaYU40A1jDDfKW4l1
ePU1hCyhRp5mRhme5RsfvuzJCxduSkpWfzf7m0nPB5LcGJbMSXMU8VivImKoqJed2GMYSBncQEOs
nmenns8104BLrckHHyQDNFyxsgpNh+ymrHN1advPeA6JRxk4lmDLYdvWDG68dRbvakovz44i51TY
fg064tDZKrgAdIALnSVnx4gxz7lgfcduJErARVJTBvxKIiK7UBW8Uo3bPGFaZo8xJu2+qecrgkFs
zqk/XFiJ+WvLqKKr1mAyS1GBX0w9Lj0d7oAHIyOzVhGyXjLbHkjZdM+JZdX7lAOduy2Mg3AWn3mm
ylMzpKRQRbRJaS+0nQ8JN48VoV5j6zN2ncLVwBb59PXBKox2Nw/Do90bzqlf4jOIVez2XwUIiXfH
Oagzr2lG1JcCaOw8iwPr3oD8dz31Fgf8jirFzGJBFN/wWar8YXSq05BrJpzf4j0w2eZFzMY3Bneo
rWpdjInBvmHoATjPdA+azewHkI/Du7uPtpZpVyyErhjQGmAT1XNdAj8Sg3rOs4uB6hcdWBxcs1yI
i61h1Bw1Z88tw0DWzwlaJY17A3MfU++6952DNVtBTjmrGVyuG5mnqi7v6tAuTmPVfDNLwJKuGi5f
6+QvxynRjkfLLp78DC720kgWTUbf2OEScRnoNA3NrZYVKCPbHB0iv35DDs2qkMV71MyfBe7BrWpe
NZCHMxiqg2lGFz/Qq+2EWwQS9Div41jOu7kABT6lHQFbxfHLLPsFlzDH/lBqunkutP6+zcPoYgf5
tzDSBipP9W4vLV6WrmHfiqcx77E7RSQ7MtWope9BxZ+P+amxB2YKMb26VRnMm3zetNkCJrcYZ3es
arYcNGjJOcahWrUYqSPW9w5pSDv6OGProov3AFFvOirl5xhhHzLKcCULUyfiCQltU+as88sC0Oby
+lO6TViUCFCSVvmq9W2+gxdDK5T28RbBOnWz+YKwpL2bsvTaMwU9K8eluw+M85yyXoA2aW3KtDEv
U+5uyauydoToWDQVDDLrxGZmgksXEQI2NO6Vd+x+hwQkE88jCSC1Pt6anAtdq0vcALL1oIn+GgxZ
XRpOpqZzCdpl0omLAeVeqA/2MQOcY7lZvGeWRATEwEFYdw5HpUm4WZ3XnmbneEFcSLO9z6CyjMwn
OdDOjKWTe7EGGTzonGoNEgDXTbijTRiwxiNms5O43kcTD24q0FOr/tj4Oc9CwBSTSic6bkxBVPDQ
m9/cRJ+vtSUfyOWqmecFL3YIWzcFjAu4ielei5AahpH/kWA/oB/mnqVn9Z4wROybdjWu/Jwx14ph
O/zr2OG+KxkvuUyGfzm5qM5aGmiPpIdvJelGfwxTOr/6xtrjoRyTfjP3ab9HuUaS4uJRknl8zF5w
OloHqOjDyqwprSxZfJh1dJwmvNKdSXeRa8Q32FULqT2E34b4dZmCIhcNfGRphbhNBHnjmyITlWoG
bW4zrxzJ2EZazHeYv3eQKsjS7coh32jyLRkQUTcF5w7q6PweuvQ2KO0jlZe1JSqw3+h9NuA3ZxQU
CyvfoE9HCvcetv3wplr7qeDkmHMWUbF/MeEHwIsJPFwTmGyJNqPNFOV31xgwF6p82OTgpry+JzUg
Mp7aUqhDYLXRaexQbPjDLI+8T7+NjLMipqBfk3uT97VjVdXVbKOHRtJoq5lVREubqwojXIeRr15I
M7rWyUzv4MMR6OtBO3UFgNmviURncoY7MdWWGyMTNFJSfAf2X3BH46iRe0ePEQZgtTq7M1QZPNnR
vrdMci17Cj+OL2ZcMnxEXkNEQ2VidPdJF5BmFz42E1TpYSBKyxYl+U3LB8TBF6T4LQZJipbQGO+d
otG2KkVtbvDWgVeMg9z1W7zEool53G51ikFaLDMBLF9KJgebv2rKyM5q+ZBL7UUWhbNqsV6sBYyW
a1GpbRdyVLct6nJBsFJj/oLpZ+5zp38DquIyzbDonipn3gwtyd1pEzgnxqQ3f7Dy40hc57lBB6RP
ZXCcY/mma0G1K4oyZnow+vfNEL1y//9RVK16BMiKxBj/o2dRUe6TmXg+pjbpEyoBApRiglTjfBkf
KWNXsjcleIgHWju9+RrO7c+kofmmKhJHI5aBZ+Fl3o1JNxCdla8ytyPYqxUN93GZbax6qrx4LLKn
Wc+OleFmh1bDz9eOHftfnxUrCHn7mRJo3+Oj2Qx9D1I61f1L3NXMZ4zoyHc2151y56dmSeSKFWsD
PGJ71E3urY2zt7octqGrG0+V9dG4Olq9wNFvc1yd1RCl28qIMoQaZrG2BqZg5tw+Szv3t2ZdMuwQ
g3kSRvGsu7ydlTmz0ewg9gbj/C0FQrwx7W8mXA5uqUPJujaDnj6MmKknChTVZ7uMZeBRR3gTM9c0
DWgeRcs6ki3teVbWLZA81aTrja9ITn/5yUw7yNTt7PbjVuco/ZaXxkMQM7tJ8pJ0sYEbCy+RtovK
qLmBrqdEsc9cHeISRwiPfb+FZJxT1c4RSN50IbcAin8YAwUxu9eDLfJswlxGhK1xHH7T2gkHLcpD
T6QpOsrG1I596tQM4zglVUuFKXOg06Nfld9LdJSQ7mYSrZf/yz2Tvai+ZoyZn6VWAG9m+bguZ/oJ
awn6NKe7LqNJi7tiV9nTDfxMf0A1blx61JKxnIYb12G041IHfYUDAQhp9+yH75U2IVISvoWgkKEJ
PRFyeyasF8uemFMravmOZNuVAzPg1S4+pjCI2bUVDMHJ4+OMqMJT0IUV9/5sPI0gsaE3uPe0bwxh
WQHO9YR5NputSy5bcEh+jFg91rgaHd3xxprYE2RJrGwQDkVzTEFS1c3dkGXmWRe/SPr7Y62dxFT4
Kume/DaqH93hFb3tTeKWJ4vKmQmBcX/2acv0OyLHEe1S+zhi5zwxzLlp0/wxdHn7EJgbBvjKs60K
AfgMjbgX8S9cSqTqVuZ7buhPMpAKRaRKtt5oIXiclEboQzAF63Y07yADbVvkrrsoDu5iu3u0DPjI
NB8b/N7I+nmbS6l9+EFjeaEmElbCtBKVTU+uNZeW3pbnstkKbY/QzjmODZdPqIsT/Q1xXBp2kQIf
m5tnzQ7+UO33904St0gAYBxMffYhdBGwe1gvqxQp5mErcnf0RKa/tRqlOct3dz3GExd91LM+0NKM
mXiHLBBFblq+aWVEtjM78q2VrOPSVis5VGc9A1IahlJdvv4UBNo5gfN8gKDQERmcmv0efce3IXAx
cjAlsM0Fnl+FAat9Pnz96euDNjf6sTe0fT7WwTXIM2RmbfhRmSY+2iatwmvpD4em6CcEKsvnuuVz
QwPGv7W4T7BtRUcopcCB4hD6uYQMXL8+oGkLth16nD8+58+T2NYtGxLHGuOrHrjxldJ/PgRBdsMM
H1//5/NffxI60Ju5r4lXcLaQnxindKUbH21ZnMlvpEMrqk9u5ByxlTMtNWSybokJ9uJ+1Ld8f2cd
9B3CaAbCXgUPmBlLoh+xi74ZE5wheF3VWkdb3mvJklqcF54xV/VGLIxAMuzmDZxivFxo6R4TRpNn
0oc9oasHKeeAaIoo3hucCH7LvI9Z/C3jmV1rHIKNm16jnAmZ6cu3gc5rVRbRMxDNX/kQvZgI+ej8
j8yTW5YSE81zxSinnUxkyxHj99o6iZHVSma2WMXao1NkrKeHjzz/LmX/Llj+dUEt9kO1MwTuy9R5
TYXNWi1stnUgz2piWExvR9UmOzLn8+ChYY+a2ASgBKqK1zOTsxVJH42jUPzhApg0hWPYDtdFor+D
uWpW4Vsnfjjsi+ikLByKI7m8FZF2og8Ar8UJwHPCf6wexFLepRBQYztDZ2KI1djvLasY76wa34gl
v88iPU6Oi61PZEgqXOc+lSkr3rK+2nO/pW1FiQmlhdma5Weso8lP9f0yXMx/zSa0u3ufkTiBfj4W
2bS7avsRZferaZcOuhXqg5iiEb8Yc7w2PZPRVS8ahu85rhN9yhuO3Ypgbdw30WxDsOF76unSFTb7
RCOGLC9+pL0N5MuGF9LPpEFpvoR0tOFx2J4pknHlTLBpfiQjGeWoeZdCmpwsJaRYDyphbLNla0U9
nIHkNzpS3Nnn0eSYH/Pgw06wltB2+1GV2K/n6IPYR+ks10Wth2vQOCTKl87PGaoodook3YUu0vYS
bGPm37M7rlA9E2OkJ2O1lbV/MkzQfV2gNo3lTmvkNxN+cvvJZU2knJYRD4ZUshfsT5WAGnXYmjYE
y0WNiZ2lQzQKfm6fBebkmX6+I8ixXU9DU2z0rj3y1Y9Dj3ULtu7JiAmubfKmpu+yHkNsxkvIpL4p
454RKEil0a5fjSLZjfYQrbl3fNqOvqds3xoJmY5Dmxw44RnGh1tEs7wC5FJvsrlCJGpX22y2ty6i
1Z2pOffKGdgoBLisetCfQR+UG/pMDI3mrauZPlp+7pkQLze63SK8ij6dBQrTQJ1iWQnmc4y9TjWB
1/o6Jnan3hl2foc7cm3KUbKlz9xtm+hvLCW/87xG5Z05arzBkT6vCwhoG71lQd9pG7bW3GMKxihl
QyBOgFem0Hh9fCQRm84nysBImkPYNnt6TmLsA5slTMnQPukNSHmk2GsYYoYpvjWgRbn/2WJdEpvj
MUHjhmMs3FqzqR+lQdnc9NucjOlNHxXsDa3GyxvYi3OGMAnQZz0ENQt64jHKkVtF4FRn8FagAyDX
4cImigRzRCWFh6ZuEyFv2sRuuQYhfV+4sbX2oTisZw3/RsRaZ+o0i4OQME+ZM99SwryyDsXKJ2ac
NKixV4PSf7QpUcxkaBOqXacshPGiaeUHgl9znZUM7Wd48YQDPBfK2KcZs5QaEKXHwv0RH1K+ApdT
WD+zIGW7Mr2jbHpPONFWDpH1qxBBDUgFuR18/a2aGPkwwVgRVvkCvyxcOU9ZJ7A9IKiH37R3nPZS
ZKxqfckgDjQsZqXCs5d60xrs9hDJHicpRbzuDsmuL99qJC/roYW0VM3N4zREhPjkKCkLYI12xIsq
dbm1muRAY/cax8kPEQKSsDmM83raqGgId7qrnqbxRIrdd4OTyINpMoJpsR50xvWhy3DZcul8o+Qb
7pIQhpXxsyyCl4XSGCssV3EyUqgX81umsk+nb0oSaYHZuoegrL9nktR4kE+sGuZzUQOrYTjEMKIe
vS5r7W2v9TfRAFWJNT8C66L/yPy49VLyjWg+Cmh98gN1wFtQ9MNBtu6vflafcA7Epkq17VC7+j9Y
ir60738WpzmOyX9fticTZ9GfxWlVkZlkTJQEjSWYMCf3tZQlNgjybtfhQAiEAWuDsYRBsEznb5IU
G16iXRIafQ+bcLSxgEQglpThLqA6+nvtnPiN8W8QdeDYNrpeicjXsdRvEGzLn0MnZJdwxKNmHupl
/CVVRHJgaG0Y0TPPT9VFmUQFM9GC8UDw8naO1plkMasJ6rJh9mlRMnEmYUTfGdPDPzzAxaf3+7Mn
HR4e7gKOQv03aV8Pqq9rVOAfLdq8AFMN1USO0H2OAHTywAHaDCOgMTaOX6jSVJIlZBbXv38Yf9EY
8zQ5uo49FLExaPLfXkOBlVALkB4eUdOwpJgT4JIExmX2WyEpOtPlxSxhYPpFmv6DvHH51n9+ArCi
ubwyrqkLxNK/qS2rQDkl6mBIC8tKumFdGEeRu7EHPDzzkooekKiCQgZ22t//zsby2v/2k4XN+ck7
V5eW/bsXTrhFXJDhYrOCiqo7ZF/HdtA85Tdi3wbRbhqAp4hmfMpn9xes3Jrw5Rtmfqq9DPvgYt3L
xpSUMuwH5zofwevP3SmN6/5i28V7Jini0Tr8kzz1d1cZb2meKVd3HcO0eMv8Lk+dMkY+isoYnmzN
fEWbj8OiIChYOniJafU3U6zZFNR7BHoWpI61b8wpXFhW6H7VT1tUifFgFGfojidHg0Bad820xyZ1
X7Zle+oAGXQ1+j3H1HbsjRGRzx/Z4MIDbmIWDqwmVhmCizMGdrRyjlwzio5RT5AUymqaPDVDPP39
K/XXd6drSxoyV3ccgyXjb6bFIrcqnWdaHjvmxquGC3ilm9Wm6rtvjUklGNUMgIUTv9Yy0bd//7P/
Kr3lZzvCVvQktoEk+M+nW+obA+r3Rh4F7KV8HpstIk3cKI7vOcvY9O9/2l+PK9d2lHBtW2I3+osH
S7amUaGWlMfI0D6HonyucVx9TfcTkcHK8j///ucZy/Hy2zUANdTU8UTxtmIm8OdfL6myislHYR8T
33c2kRaDrK13orFyQtGWYceyIoiIuVwH2kNZ1jkyL5O7bfFf7J3XkttKlkW/CB0AEgnzSk/QlpV5
QcjCu4TH188CNT1zW7ejFfM+cSMYrJKuyGIBmXnO2XttlybgMh6tIUgfRVg9P0SjeeUl60JQVQ1Y
j0pJGBEL1tyG8hY2tc8Z2vvD8mH+fQF1bcnyxQdmCZ799gsChhZMZBpafpRoDsR42vdJo+5G54b+
6HjjwTC0j4JBmO3xdhFUdaQ5j/TYFjni4KIQqcD4BF28yqzJY5xhX8Buv5txFb7OxVsg63n/nz/0
f3M5eybBIQYfO/v975+5Z8KKmCtp+rQaaPBLph3SJQULBeDRCEpSTpeMClrhYa6f/vNLG/9mzeNK
dmxBA9qx7N/3Q4fmLa+dm/4DWVoX87QyXJQ7PbQLQzDND1Q/XYzWJc4zaZl1LZpaNerjCo1f/4er
/Xe/9rKUYZCxXLKDJKZDsbzbv1hbej0GHejZhk+CLOvVoh6aF83Pnesv2s/VG1U5NxznQ83Ryj/c
2Q8j3L9e+x4uHYmgzmFg8/dlZSFl6kWk+5Wuf6InWKEcEdNH6e5zkT3PMSNoIUm4yoNlhKMnIIez
xfEf2Z+dGFJHphlfleEc5q6Ut174dO7hhKhqo+YF8gF1aRczuLyNlnEHHU/AZ2D5odcZJ3gmvS8l
Xnqz1/etLOwVxsKZwr81rmEcbgV9lhWGEbnL4b2hubXhp5eZt0ms/LkX7aGrveLEUGLxkcqJAPSA
FYyse1Sz0PLwn0Vg47KGY7qnDPYyo/ic6OEz2OZmBxHBOg5GcAhhIXChbGInHM9hYtr7YTGYhpUG
3amfPo+DOGhgfActT5/VghnlUHtu+mFmLuYx7GyoqJJOJ4rU7V1i6bOXNkzvXRMZVGeF8YfL5d9s
2HikKVnJ3TEpIB6L2V8ulwIOWjxpgfTDwXJPcyr3KA2+JlHjPvWtfnJDZBjphGYAnjtedtkuoPXX
biQrWZ8Vw2WarGGNrtjssj2UW/oEaBkZliw57LV8A2kBp6ObzT+8cfn3O56QLFZZ7KyeK9zfLZlh
1iNb4QzoP2SiEo3JrE0/uzCUX/NcfXa1ySdJ3bmk8xxgfcqYSRfdvfVIsKV6MF6R0ADKZJCH8uEc
AH+m+yxQD6oRPrkmjmmI8dJO3kOmVdueKd8eszOWo4pZQ8NYy/A+igTK0crQcgsyGZN8G5m6b4zV
/XGyaqn7zyQcFxYLozea28yM6SEzWwZTLZ5GjVlIpr4p/KOnzZiRJQHstTvUdPDUMIFs++yKClNK
TgYhOix+Pk73gk/4lgcjhGfcYIeyReclzeHTH5a03/yuLCLAFiTuOBZUbuKHd/cvV4VeN9Hcu2xh
mXvwaPZcG6ett8jZ8Bd5i9u9xbdpLKrRtLRKaF1k9Y4RoojUIyVGpX9Y3Y2/balkfC3rKxYi1jbr
9/dTxw2DSzXN4NDlcHQaJBWOsx1LXV1ji05C+5S2Rbl2KnSPYKZ20YxSvXAYvEFnbs5dbER/OOn+
fdXnLeFqEji7PXbL3w9Q7myiyaZ56JtRLJCZwjKkXxEQWwBRwaA9YyKvc2x9utDvn452hsde780T
oA3xpwyrv533l/eC1tjQxXJ4lb+t+TnuHAC++uTL0FhYPLI4Nm29jxkDAqjhlxaYJtJX5p6b1taM
jdPx3rShuoVpBsmszu/M9QP+n87a1FS7FJNxcprH+fMfrqu/7042B4qlKMHcRIHwe2kGOTce7coZ
fE1BpsQ7qR/zUD+jjoVTydjxQAMWoCKa/1sQeAfN29clt7YX59FZi5/FDFxjcORbFCp1BGPYke7u
5udsGi7RbkTo+1zVY76Yx6+Af6sXVoj8xMQSw9FQbc2OZbhMm2ozWanazqX3KShIE5+RfxJgFOw0
vc3RWVWFt4kKBOEysWguLsLqqA5gP7gSZaHd7AVKfatx5FHWAhDylDvb1qwbojfC8iQjWtso03bA
b51918Be7Q2nIMmUZaXjlLqbyyLeEDAw3binMenOg09vNEDeSPxGCWTvNArGwo+Hqp3aXT+V1v5R
gJQM9FC/ivY845bEHVLYtxlA4abf5p1jvhkTx/kkDd/ARHzKGkrcMM62mtUaRxycP5WOHqQXM7Hx
hbqEEUxZu+u822MRTWgannS3f5nq7pNezngjtO2A0uocG9pzY4LlD0e0FI4VXsLqAwP/BM8B6d82
lKlHJR0H6udYoGBPPLKdKnaCdTGHxtXIYva4PDg0lhz/cOb4+8UvDSp9/MaeFHBYlmrjL2tVXOCQ
Qc3V+HEqqNZAzy1n6GrYuniAdxDRmYtM//e7Xxrc9pZDsiM37O/nzTbUzbYfI+W7KcAQYr8vWdd7
p0QrMuiHdryZXbFvWyAjiyorx8zzS68gO9s9/+ebyvytwIFGwFHLZCfEDCb1v91TBdYPo1bSYjSt
vdaOW5y5idiCJQ1bZL977BvW0Y6Ci2Z102bxa8zY9I/wF733JNV2kRoYlbnDJY6LrxxEaBybhB4g
dBy1nLOTxyh/jp4E479NiTKbADBQVWmzLcfR/NNKT4Djv5ZPFj+LLWxb8LOAXOAE+6+/TytjUmkh
2vajsY43rhYZ/pxL3c8hkOWrx9dYFg3/8SwtsnVTTfFxcILZT8g/oPW9PHUDJE+rzM2z3SS0d+DU
s/94iDnFI3EfOXgqCbWI70sysZg+lZwM6nb2TRKa67ptwUAhRe/0WmzSFAPFrZsAZcwMUxJb+LFM
ALZE1fg/T3WUKRoIMFIhSuEnkTttpd38zL1JgwA5j+zvTbcmeyuQwBDLiFCCHtlSJvKDJdNDQiK1
3ydW4GfItQO34sceQfi3y9MJsxADCb9YHh7PPNDsoDMLnUfcyRxWhf5UyBazjEpewBbjlg5IP6MW
zQ6jbe1NV0dmM0YvdcemxSqGYq5+zdscoTEpvoys5r0TvUV5KPdOjZ2NWQJ6cc2OV6aKXh/OzF/2
K/SCWO4IOZAjfqBuYixTZVZ9B2VuwFEJRA5D0QLFB3tg3AlsWqAtyhCQGFjUES2JyXDjOTF647WI
uk2DlmU7BimjgowBqzFZ6uThCSJAmi+n3HXPTk5EzCCh+FugeJZ1dBqqu5XAaatCyH6Z1UaHFqPY
410yA78UzN6PIOjite4U8qWFTrnxUq4Gyhcm80iENjapNWdNlN05QfxEcVEhuTeB1KiWXlNb9Pcg
qPXXJNS9fYh2WFle8ILnf53W3EO6Vgv2pabSNhH4HdR+1iWEaXurEwSzJRzkNaQV+/iw67Btaatw
YHSlqR4xBTFgmPSwy+PWOnANhgDGIsSrQiv20aioFxrKaU+G5a5pvuGdPcB+Nl4HC0J4WocaHlBa
8lMpc6IpjUXtJM8yRXkGvS/ag4pM9ji3iNxoqZ+8GpZYGtivCMbMbYK6Zl/m+CFTYPitG2vMf8J3
ekQ3rFa0oQzr4GaRcTRz6xBS7KNRn80toGp/ioc1o4+0qI2PRS7frSL/6DYhwtIuwleKK/5odmqn
kbx2EKGBlQ9sq61j8a8iXH2qNz8gnOXsXGTWdlAWoffRduBFk06Nd97mqrWxx//qUOopskNXQRpF
pY6R7PlhTJ0WWe5Ye68m+i6GMPQyJUe/czF2t9IAilRoZES4A/IqUhE/oISt973LZfRwFwcobO8W
/O21FtvxNxV90cPZ3nuNke2HCH3fpGcQ10FjY2ulXMdlwPU6m08zypjXAY04oPwsQpzEl1ndXTDy
GKy2uo1uhO6C0wE2nsHm32PFqV/0ELvIhUgOTa2fPakVB9Hje4ZHhWYPw9/WIgwAF3YgntEL8PKz
greZORsdYGZCXsPast1slbDzrt2UkWd5tCa7eoHMEK4rVXcMT6xsLWYmrEW26I+w3pK6QhoallME
BNnBCksP0VC4bL1TiNhWRwKpojPNkgjOI6tQo3NDkE+v7ZRIm00LDGHTM8C62Ca8YLiBJw/i74VL
oecNCBR6OAtOw35KfxCIFJ7Q9lVnPY4XZQqGkwxh5dkjMNEY2jOt3mxLA9Jb104idiSSOetMK8Oj
2zecMu2wfuVcuy7dwnrixIRlxWsuRdsZV09oCZ6IZ4w7+QozFGtM00BF7luPhoo1Did+/gg8DpAt
3R3viSymOwqqiCsALvTg1DtpRe5dCxvjVnEz1ZSz6xAxph/jg18auIPf19o5gTkYhAzJOv1jWY30
5IrhNTW9gJ1ymjZtFd4QELsvafqNjYEJayNckL9UPVSSdWhi20TMa+1bTBZ90COEunuj0ZAZI42d
Xk9ww6Mi88csPOWjDwTIwVrSfoFho/ZxLsJ1WKUwupElncrSfYbtCgHY+xJ14dHDJ+OnHiK4CfH7
LmasvbIzAySi6hfW9FvXiPWI2+oUoyY/9H3lM2VMTppki1OeDPCAVOgaHYtjZcWS8qyl4a6CGk7g
rXcrW0KlRqWrfZAmT1ZBq6+tuPHLqrA2mo4nrUNhfoR7rx/DKX9jy2ehQqPKp73EInlNhyEJfdua
M7GHBWnsNxnD4H3YkaQGp+sxTU0qVESW25wqpNPxCmCrVpPmS/fq6iXiZxram0kQ54IuAJe0HOU2
RjVVhMy7Ec6WpynnuFwHG7uwPgf1ZK6gIZi71pWcm7P0huqeX0NCIlED6YEJ8IDzS9uHGUYB3GLz
lZEkjTaYSRtSRb1dhG15iysm3wdzjVfCg52q9IvZ6eJK2YJWDT7NbVACJz+yVrRJkPfJvSz3Y6s2
BDK4ZwR03baUZbRDuqWTEsdH32YkF9TpeJSixnO+/NMMheO1sdBakO6ASnPGlwfRzWEJdVmDXmoz
TEDGdSPiibslhXypWSpzgmju81QW+6Fvh/WsbAwnfYrFJ+hcIhV1Y8snCdnWkXgpiTTAMhKfgdih
ypshC+reu51eCftxPtnwNhpglfi1SmuVjEP/gkpt/dD+lmnMmCWSX3LHRlWYZNHR09ptHWjWJS+s
aat6daek/G7G9cEFcnk09I3FUYrCaPyOnAP3Yd48wfUi+KE05MHqwKSm4dWkx30zm4kwmirYZGF2
NhvdO5gq19ezQGoLq5KAt3Aw9hzRtl0824cG88TKoXVJL46qIyLwyZ5oM7RND1BPt495WgOSq62X
x1ima0V6tDVFblpSfBY6Co62t8/ECZ6sRWw9hgKYTXouE0sdzbRjnByEGK371kKYN4wHwasYeTWc
oGvt4zAyzrK3T7Obfa/bxLsGyIIEDZ59O6t7PYqUHyOYyKudOz82gk00n4rJq67oy5AUW5V2ZPIM
5EVX8Pr4OGIgDbSCIAhMyXNJeOhFYp8wJsM918reuCQbwe0bvjyc5W2MxqjOo62amzMxfi4JqRBk
vJYc5WUY0lZCW3V9uqlrw9iMSFu3I1heDhyeuWWej6ZVH4j4rKKNmxtPFd2RpPumy12NGMFSAfmB
aEpWUQBzUOoY7q0C671dYX0fFgsjDlF8wkowqIu+Ii0eD1Ur7ihai82UqAoRQBf4FHno5LFGr43a
VWCDu2ofm/JLHAhxkXOzGJWSo6lnH4NxsHbMQ41VlGOVcPD6xHrRnpRjv3hZtU6tRPODJVXULqlA
02p4KUSjnzor3DBEndbtZBU0i5uDge3X5Gj+TG/vNZ9M/ZTN6FWGID1CgZWMt/t+C6EsuiIn2Q0z
9mYAJc7Z6FqMJ0Mf+/QfDbL4WH1pC+YUzPJua/E7y7jyB5pHN0KDuQHt8ijciAWkTa/dLL0brRM7
RkAZMxFEYMnYr276z3T/qif76QE4CVNnvD/OoYimd5knojPnfcEyjqRbq1u11bjzAcXNIKudEE1h
x8U5k75ntd0RkUezCYXbP2necNTHUL+0ndaghJdQhqRNIl/k3BLdUnstJxEqmBHewSxAqNLEX50+
nY/j0OFY9fJnZaRsaLn2ogNp2yei8VjugUnOcsAMHgdHb6yr54LEPmGQv8jOGR6Citca+/RDL5qX
OifE2hiCZ7pF6KGq1Lz1mKxpDwGYmZIGMV/q5ocmpWrB24Q1r59PcaPPN7MDPEBumPZ5EtkNJ1Jn
a87PIIKOjLbqC/WwtlFme44V09F6pgvapsZRpQXnG4trI1tMVTjAmgrnUW83w1ngDz3YtfsVOoCJ
c+xUt0zJ5mDK/bSsq60lPYFxA7rTLxFwA5wA8SjjVMxFK1icgw/H562W5jbyKjKu4KUf48gdGQV0
T67InS8DN5g3YwvqsqbwQ8SRz9USQMhqcoxDF/vx2CUY1INlz6DUGvPIT6yPdq1xHiwaJMlVUxmb
Fsma31R1fIzy6R7Wc7mzrDn4aEeobUZ7NZRJfw97ckRk0oirM7MrK6TfUxyZ90BYN0+CtTMGkZ3J
aYfakXmvMFhPMfK+S1db9C8m9SSbqnnqexSRfTXDQ6d+eFy3A5rw9aBguDQdyt/OEePzOCjjmnTC
e2f38bZyQg+P0Wc3VQAJevSxG+V0auMN03HWqPOosN8tb7BOWq5jsNTNYs9v5gMhjJIZ3YLtTAD+
e6hDC5WHTwtSpoJ0u5rS0QLQJMaXvAVaMKQ9oT8Yu2kbui+Z+ymYJQAUw3sZwK/84opwW6t1MxMR
9BgXdCa2J642zItlwBixANzSWAuiNFUrGmdororxmOst+6SyQNT0YKuXTNuy4zyQ1WRWuVk6770F
kEvaq3Vmq5ngQ5gIkKriJ60Mb8tUBaCtygmvMkeCGgxcEcEoxS5BpHchv2WHmCc95Qybjq3Tns0x
qv2RIYsr1Z1/DvFvMiFhTtNq33pINUa91fZqmtp9GegvBTOA00RD+tHempvoW9Ezw/Vwvq7yLkjO
WKxZmk37lRH861BMV6Xh6rI4wU1Fk+B4hOusNREKdYXX09gTldCQeAMToUkkWGA8OHWTNdtgcTVh
1W9uVd03+yL08FkZLmkSbb/HX+3uTJpfm7hrvphtJ0CS9TPTBJQ7qz5c1rBi0t505MuhpDKwJ32T
ueaVYdn4KZNYUKZdnmU2R1uyKYIBeXtYkRRmFc11aNvUh7vs521WnlxiL8K2BpMbjjg6LKZgpWAe
9kAktehnt8i2iEVLSTmhBXWFibMrZKOeRMJBMkjU1ynyJo7a6LJInYVwmeP9NJm72PFIlDIDhlMf
tsLPY0nDrJSQ9ks3Psuc1K45vIx1NOwwAXgrxagECTiYE5shq4z4DAvg0Wv6FtjNxuHYOco+xMF4
DRFcHkbT/OmoSV5y3T1PLr6IxsKTUk/JcIiQZW50TXy2UBxvbSoKiqZ+Xvd8fgdHvQ8uS4Mp2Na7
YXh+gKA4G+nc+N7KgMz2wEwgNTeuwRSv+jpSF012r4RsAeppFaRP1ya+qiYGqw+NjESpXTCU43mQ
o+9SQ/gVCLAOZd0WxW8KVctWJycxb8bgNs/U51yei0E2j6+9m/tu6lk3fLmnsstGRLdWeKd/v4T5
1lsnDPVN6yCrnLSoPqu6IpJU1TeDQLkP3Q5N+arSQ3VrEKIDSl07/dyQxyBPYR/xmwcPsQtk+XlQ
/MWH9VAOsFXHrrilWIU2Roj6ssZVsUrd9r3uxGuPDRmb0QTsxFo7SQAmDAbRmpX/a65FeNAys74M
vCZMbvmuld5nziqr2nKzPbZajrk0NfaZKjDQZMmlbuCnL1WmKqZfjdKsssWxALzcGIxeZ8nepS9d
S6JBr7UZceDtspdA/DCAcWEPJ33WneWBRDrzgxt8gaL4NRzxzFjOEGwjk6ytzKDsH03hbrFZGpug
acMdzrZDiDsmnUWztXrYMZEXXXAOfocwjXWDxsDKNmpJxhqOIATTuNXM11TQEjOMzv4+k2H5WZtF
eCmjgmrHNV49Msub0P4ketnfzDg7Kt3JTkmdP4eKwssSFtyXYHwi211DgaWRiEuwxbqJK/cYt+ap
6cJp2wxCfumNWG61SR7ttBA3atEzl3xpN+MRNYq50Yj7WT1OcCWrqxEzvYhRHfMjeZvMBsLo9AWa
kjbcz7rzMzLoR+HKxOjdIQsYJu5VkpvWkUP9Wg4sO14jPjZc66sonNqjmPsRZ5VWbD192rJMxLu4
HU7mxAi0N+rrLxDkIiAD/jRukkAXGBzoSoyJlW0cSec9IMmw7zt0xkWJnYUkGj1PXjwiMiHrIBxE
7bt3a1KG0b9Va6EFxLLHgY1hJrngGiNML5gL0DtYhOZ5/OHYwPlmPfHoCI7R4hVcFvTme5XE6gBL
BOt5P3/V9nB5cPx418HsBt8ezGE9iqjfPPBdUAVgJ43I9kOzrfzBpFn7EE0yKE59m+blKpUAXWQ4
7i1H0YWlrHOLqtlbA8duL6OcYguye/S8BcbyVdunWzMsC79v0y9da8cXjvL1StmCvYtz0zEq26eh
9cRRNA5byqQ/mqZ08pbv6Wo6G7kRboQs+l049J8GS7W7oc0KwsZIG4TjrraeO1DojYtFpR0Q2kSN
fnjs+F0LSaIs+52i2qoFvjCuSWyoQO3GLB8+2o15jC1cz45+xUSry5HwKiL5WCLAi2HVAG463pF4
OitHMSnV1XbsTJIKWWSJ9GxOs64/zW5qXAcFIIT8Qhzbw8C9QyHqLsVO1gZf1QA1wVUdV3MNZMOV
TbnSvSHxLdBf69m199kyTNTx5lFGDcjpy3rP/EQcK+xBqxlixiGYMVYZQf2ZP8P8YnbbNo6NczPU
V3MY7aM2YQCnl373/PK2hthi0y0iIXXA6XJMUr3ZNEZF4qXdvFSZ2TxnKrGOudXSStTyu7rag7Se
ZBqelVt+093M3Va9Ve9dxAk0KtxuR8fXeK3Zqo4FU49SlfdMwnIbYtx8ARsCBvMjkubpOc7AW5AK
t+g34kvynNUENtldZmxYPu6OPYELGOpwbSYs0XM02WdOov10o4e8EQqGRwLt9AnNKkO62p4IOhwa
7sZ0uglcbhiHSe/DBymeNJfF1jIb9xAAmSEXFEcjtbJkFLFcuTVUGKy+3R74KYAuWYQMwhtrXbLl
4sMeSHwaTYco4459TTNpV3ux/WmYvrsR7iyNYLBrQsz3VQdQH3jF507SNJmy1yY3zTezn3Gbon8E
61GdTNl/p+aPNpimcmYWc3Rjt9pYxLCdG0AlO4Fre0VbG6ZCaD0rKbczC+dLyWI0Ra4vOTQRCGR9
rQgLfEdv8NE1KsJdPPVD0u8M0ze3cMW56/ToYrEgG2jKzmbH+MCl3XKQxfwDuHOEtYEIO1Tc1nsQ
fKIies3pGD2XIXTrOEpvbZfpTDLiaTdHEQbTISYjIATPWtBO15JgelGVzu3TThKPd90RmTkQoTbT
k4rssHnC4/VucgS6iOqsmbG+N0gAIZUnSjumQfV7KruG2HFVf3IXK0IwVOOtrkv9aTCKj/jpqvtU
Nj+LDhqZOSTZPh0058M8mQuhbtau5YT3Ix1ma2dSeh2azks4QGnNNRzvHRSkcu9kwUY4yZJSk+Jq
HwLWKhKYUoxJdXpWqKf9IJ5pAJI3NWORwc+DTJYcPYtGl0eocmQWL0MyfghKbdxFIHTPBDaexNIa
sae+57RNMZeXarqio5uuJkvZRhtHurrd9JZ2oXXvJ/7hlcVbq+uB027WMoTu6v4lwrJ5sHudm2P5
cqqC7kX3jpad6beM1PLSKY23MBq2jqnnnxTTlX0GpmKnSqN9c+r8yMF/09u43VfbAK8y1yOEGlCR
2hejmj4NQE/eIw8buOu5W5JmZdam53xGRubl8ui00Keo4l27PZHpC3yY18YBQuwDI+kEvwP4us7e
7p/578ePe78ihW+d8h/79Rat5R5u1YlAoLv7mn2wv9MNNqsVCR0DAWcFJBfGRpuWE0S8idfA2OXW
YxWGDjAdwBur8+De4uEFHXsFq1htUM3urc12e91eP11xlq2+ECmwJsVqO27NnfTrY3yP7/27+1H8
BHvDqbeyAQvSzlnjEeXL5Llut51k9LFN8537dWRcddCP2Wm6D3fztfkE2p1hZIonihwPtaZxHZD3
XpIAuuuGPb183KsoQXCQ6NdoyieyBqPXqKt2DUA03FIMKrvKrQ6AEPt9kHQWVnzlkegwaUd3KK7Y
7sqr20WfhjIfuVHtLXNr8TXlILDiOKuBBk2dQ1iU5yzthy9lBQygG7XyMiG5u3eD/j6Hxa4Z+uwD
TxKUSWXIGTPOPtBJXkuFBCGVUY233LI+iN6mY5Zw3EyKk8DwUfAmXj5AqV/hsZl293bY4Mj07yng
quDl7jzhq6yrwd7IZqr9x0NtVbVfg/v89aUTJfQRK1w/iZko34Ha5gd1o/zHl49nacOl0eX52WCc
5jP5OmvROadzu6vNsfS9yi6Zl/Psty8V05HDLPtNQrigX+YOJI8orHk0mJftxsx9fvzJHNhyHUtF
h9jICz9IxNlhQLh7/GFQ9oVf92FJ4mB+HgZT+8v3q8KhCYcHpxiIHnw8hEmQc3Pz8L/fezwDa7Ms
++zZGa5lY3nNpmC/DuagntePty7jirqSme46NCpsOF3lB01Y7qeWfJaTXpndvgTvNkv53/9608TF
r9f57XtJDcDJUJlaMyd9m4s62inHxMjURHG7YUODCKXVhU/lUxB+l8GZSeY9OkaTpceMcAgxqDYz
/a8Pj++Fjspo6ZUnbfnUHw/MY+mdxl7K42iP4G40JBJCZ9Un6BrKlmpLP11eaGC8/0s7+P9k/z+S
/Sn7/yIu+Tdk/6L40ZQtmSI/yL0BkP59YWc//q9/ov29fyBqRyUrLeTWKLiQ2/wT7e/8g/IJ34dr
62CesIH8L9rf+4dw4fSA2zYXfbaDiOefaH/xD8vzgD4h3Xbp3/3f0P68zL/KR3TPQHEP9Z6hItwU
86FA+4scSESpl7cWCRyFrpVRTUyOQ3f7VFrwM7ZTg4v1hJdK/MDTOkOIIVzMJbEZ27/zWidmHv50
DDHI71yJpfZmBXQj34dKtc3PcLKy8svsiF773kPsVgT4suTMYgZnMlY9s5vadSkXV2x/8FPLys6a
FyWdiQxopB/vsUnoOzjbKuqgLbKpL6uyUe48qDjBNxl1Y7gmqSg0T1XUZ7dUc0W1CQYN+1RfauTu
WjqAwHMHW4DOaMEJeaW70YSKr8NbvSfZRppExKHdZyBmhuSTdFnxmcQzLGCtQ8TARpEtXK7JbPCs
FQgHi1MOGgjjhzmNzJobcMgjMs4wr1ZRPbYL6QYTEw2arrHPgInSPrp1BbIzVGFt5jUNr5ZMOpbM
UGKJzpNMxsYXJ1JpeAQDlCyyj0yH8DykKfnQUT4waoysZ2vAYJKIuaaeLR2jXXiEFePnMki/wjYn
AEGzvCy6tGGfAyrInIDRtm5ZGaiKOYKbhWzICz5h94croAfNzGYuRQ7QNDYmnwGPSDY9B4fF/exM
3r3DsDa8icGtxQt/0au+29EYvYXekH3TUTk2+yatgbckSlWACiSzuPUkRfvZ5vAXbAUowmvusTia
ZiBeCwObdmxw5Ab8jNmOzifEQ3iFo+mnlmk9FeRBYQGgF1GvK6MkOr6pA+etc7Dx74q+ascnr4Pv
yJqXJMnGNMHw+0rxozKEFkiNNkZj0g+15tau7thjZLyN7YntXtVNtYxLTeKhwUqUnKu7aG6mVaz1
xR00lub+lM4gmpXmzQPIzZF+HDyTEnfGyomVw9m/j8NYOwF/woJM6hIlu1VVswst2+6JWsLIOxC6
g+/P3SfuQO+jysA0bwO9yYET0E4yDyBqlqgYyi39WlW98YKX3ExoBcuhvmTonsOLNoaj815IiDEH
6D+u6wesKMJi8Gd3c7qN9YrfyrCizTJQnpGMa04MNW2stX46h9rHysqnl94R4tmA3rLFmMnWB9z5
rjtTeOYOYFLSSkmDS6dlNbZZ/D0j2/tVU8RJDQUEJmTR8de6B3U3aqY80f6r6I5aAQV1XuzNamy3
DhrsLSVqWa1mvVDbKGvFyVJGfYnRtKOqofGipTMGtlgbXzNlm/shdstT7tTOeYz0dE/AWr4JDcI1
g9rKj0qGw4tdh8GGinJag0BLDmEnzKMehPJdn+ogWkVeLPHkiR9WPkxfkIeqq6X11hOhT8HT0JOO
CsiseKqKPuTzaCLa/n3z5JZh97XPjOrY6bF4iSh6UeJ0TnRxs5G/COhlTxqj8TEvmpjskIQJ6cSt
Ak4s3QkvBpHjJnkD26ZAChKHKdpazmJA78JzWJIDukIoST3LCnnDa1F8LkYr2dadF95tWyFjVUmw
dSRBtXDD3e08jQpWndkw92XQ4qEAwPLQqovgUtz30Op2FmaCe28F2hczBnRed2X1Dr+hvbtdQsVd
aBP8sgRaHyquo53oGWsDuU9SxtYdo7kJnS2y8muKn2ATJYn+M9eT4kV1eXM1SGcGwoEFxka2kZtH
Qt+0D0hbgYX0TkZjYJowKetRCi5WZDjce1qvUNHDjckQiNmbh1y2Z36SlAi+6IbQ/xMEHkBR4DbH
DD0+z3bd7ewA459NKYbBAVb3IQhNd20yd9inOSncbiNBo+c0DlbM2zF10FD41hlmwhWCiVkRavHC
pN++qlE2AJKichvw+zlghJJHcHLj0axaDapIou1ImBd+HRtLdvggmeWa40VLzIzdaoKe1oJj/i/q
zmzHbS3bsr9SP8ADkpstUKgHilSv6DvHCxG2w5t93399Dcon03YicbMucF8KOEcORUgMhkTtZq05
xwxz1/aL0LS/NaNB/PVSx2dVrCX8pkLUoItqNzoka4jYrSFxWs2N03R0Ducqeg7bbL5EPZpEXVcJ
VFqmadeB+Q5cvMZHc03cTCi9w2uzdB8dnr7rIwNqVD47LygZEjhwiXnCUUOBI8Vgg3xmug9zBPi8
BjZDcpEk7HnLcueqax8fKDN1DYRjLrkxu7mhplTqS7WlBhj7RWNEW0VqxaHWS4wEVtjd2HOFZyub
+yMZL2uSHfSXjnEzmKRNkb4ctP1iDSHgPzkg6cTRxITgQFcwsKXLJdzVVUVF0CBMpYMg+Z1aE3yL
pKWJZUOXKJwy3yEPijdVmiBvycEpOs44HZQU0lyy9HSwEgyQwu55x+d5OER0QPdF3oNEEoLtg2qj
VUcC9mojdHtOG0e/VUKbqKtI2rvRTciQ73CQhgqWbT7eDKLdHFIiY7ZAazVva0M4PyJDlSctVtOt
sijNA5Q46tommNBkhH2DIhLlQL4gOF0cIkZni24SPLpjv2CVTYZ+vIUbXAVKnw83GiPHbgFjGmS2
FW6WaZC7xCDZtyA6FWwrCQamAtWVMkM8UQoRwyYuZHLEHN9e1sQ5PCyiX6GQmT+5ofBFSaqM22Nb
I8psXE6ytFi2LxFMP2SAIPSGlSlmLYc+oahuLaQd2GAVfXr8VA41Phm5UcykKTetPxUu13DcNNsu
SYDuFCPgpkTtd9GYrxPIiLCH+Y7GgmqC0NO4SvNE+tkUopdKFtyokAaSIBlU5tBGzc7x3PcPigKU
38yXYr9opXXoZlzniklcM7shtJ8Nw0wrXGVP4d4MkFFMQVxY/W5JrYHgwjltP8qmguWlDsauKCcB
ZGLqRxyOdRXdE+NYHTLHiXBxOG3zCsp/2YpxqW4MkhSzLWhN3fYTyXZu26ZtG16mGFm9r5IW3G8j
zXLMPcFR43J2eJFoGNak0T1NxlKxjwr7pvMNCnMXJvWs3AhtLVNbxkxJEDhFH28Tw9Vq3UOIP5th
5TWyV2b13JOI9VUug6HTjrku7f+nd0G7z/LmI/9s//d64G9lNTcIYrr/8+fd9ud9+Vmue4o/7gTX
jcR9/9nMD5/sCnkqB/r7kf+vP/x7O/If9zdIxv/r/Q0rQv6rqvjPHc71ef/Y4Th/EZShadj0bM0i
bQzn2T92ONpflsHqT9PZdfydWibMv+ibCMyyJkfBhIqe/e+tjVD/ooxpa/hL8OJbtun8d1LLdCgk
f+5tcDmYLgGEDhYaQSLhv/p8YjuuzbQCpJEN5Ca6Y/feG9YN+x0knsUUHh0+Ry76jF0+YaVJ4uIg
Jyi9Zhep+0bXCUetWJRD00kBfWGLWW7dsEOiq1Qf2VQigdb6zykPGaolzeo0JwBplOOPoVxLvWw0
mK8xWcl02dIjAzQFUlXOu9lu+iBShhuRvKlzuU3hbvssWwkwbuxVWGusSV0/GkoJ28mUJ2PMYerf
0egCIVK173mNQIa6or2d0S8g3fGi/puMRLTpHOPRKqZh08ToF0hXTf1wgfCihss+B3819RVLsDXk
jFaxsrdWVWOSohZYlKLYJiCTXSXMblLFTO+YgfuNsdBDj9FPMcJhl9Jy+U1pNJe+fCeeuk7Ee6ac
L5FI4hu3HKIbO2Qb1WlMaPYUzmeW+yPCuEEFFJYfcPFBbS7aSod/rShB6+I3Q0utEn5BBCLsfE4O
J11gimjvAJzy4jnrLjqG/tmFm2umw2VmEN+XaAzyMB7vsmh5JO18hTml6aOjfp2G8oDrc/hs0Mwt
bUiDqEdR5GImULSQ6j/iF78e/RrBwHYsSSJBEZD7qaW/FMSe+7o2P2lVMe/ctuFAZU3yx2yjZBtC
n9S1kzOO091i84ZWIpp35ZSWh1W7aC5KdmY8wpPFgYWjCKyyzYeISjAIPHruohuzXNzTFD/kYXZy
QqOmsKM4nsoBk7w2aRABGx+x+QNzSEpPVIq7n5v0GLp6s8M2Twyu0I5zRinTdiQhs138bSAOiTUG
N2o0/n1D8QlT0j/vXn96fdz1e//u7vUHoZGooJGM8/WeglN6kw/MFE3Sr7L3P3/H9XjV9SfXL5ec
Sl4trYdfv/d6GkbidGTE9K+1aHO4Hn+c6PWYhNETxtJhGfmvT+/63OszkPQTx6biWr8+49cPrndl
Iun6Xr/87fx+PlJZXkwL/56UKQngvx7425fXB15/zQKYEpsvOUZ6Xm6gpavn602r6ZBuFgcf2Mh8
M5IUgeCGHvIwp92RTFt2DxJeR35GJJD+dqNgzgBvjcwSvle5kZmx1rb5HgJAbSvCnV2PX67PuX63
d7DFky+Ol1YaRxMQELN6GdS6ThFYJHW7n4dzpLDzmsqCnhmXkqbmyjmEH3K+fiXgSAVk5DV4jafu
hNL4OLrjcqBJNQbEGnlFWuaequ2BJoozW05xVtYb14z1M/1ayfrYZ4J6hZOFc2P9kd7psFYJ+gtt
ZT4VislLTQFmO1SjcZbSMs7Xr+jHhvjF54dVAd+ytw8VLqwF4tpZFsqwCTGDwS75x/dseLaipyQ9
rY+Ym/Bb40Y0ylOxR/Vknaq8IJZtpNOnRSm6sfV1X6YI+llSIa6MiH5xky2SGZIsWhP9W+ao5+uj
rjcqEvCfd1EtJrtqTN8wVJUMntnHGNb5TpCG5YXuXBwXG2q345qnlg1wS5TNPic5pdMk3Xmj+Aaf
AiBWneTbQtUqWG7pC1EW5EjUY07WPJWDucx10GTIBsSCbsW27Ok8o3TcuXn5lBfzdC7XmynRcftp
dIThfkxnvbljHytOhD7mx9GMbqK7eDQsuG5wLdWhNA+keIOTL1BNrjfDlMD7JdxKnRBsZmiMnVaQ
uWFzwCFmOWrFaXkRxTvO0uzMUl8dcVc09OKJplaWszJry1klXvDcJnl6WOAmRQvfun4fHGntqYZD
psH6sGS98q9ffa3BvbgOyV3ZYVTApLHnZ5xa9a2FO/YdfViCgAwV+naXWxsVircWo0ceiGs7hy5n
Ihcl2dOEwHX1SOSllzJunOcJHPqcj3uDmIvKJ3JBBAVqPgDOGKsqYb5cL6xG0KSzIoIikAVml9oo
88vSYprEptGwV+AuwdHtdsZ17g3qnF8A1JT+aBMkTo1jY7Wh9MBp3oNPuGtYdgWlDWSxTAdCzyX8
eAjD2aFPkQECW1spg1K7tU18rrhCXmP6PXsiEG7Bp2t7fa2zT/jZaHWYaXmcyFU+srkqjnMInkY2
47Bd0PIEdSdwXCXrY8aWAv31q5/f/HX/+sRELaO/H/kvD7/e1Xl7tiCibq+/2tY7G6B2DPVvPfSv
J/x26J9fFjQm2lCPCEr755lcf9/11y85+DPM82G1kVYMWfXXSfz2+KZotY2OVWsjVWIRPaWminu9
cdY+0q+7tCgaXIZ/fO/6034wop1h0GJ1dtBzCHUPAZwV0r4RfY1kJ5sC1JN84KyvVFm/Ij6vfZXE
EGux32lHDZc+AS+WEmBB8/LNBDM28dccsgkihWmAJVjBVj5Kmh3u0wGeaWr71WTxDB2lZmdkwbTE
NPuybD7klfZKJedgUS+BNg+dCLadHmmS/M/qYbCKfVTMD50G8ApvOn+zEt0qtN97oqNTAjdJz9DA
VA6IAoBCBZbMtQ1WSFIDtYWsrwxfWRx2e8JWWzssfU07ukmLs4Ni6gFhB0pe2nttx+FLRMOWjUrX
lPrbWBBUze7T3mKNztH+X2y9xgXUtU944wGZvUZDP3nMy90eijy2VKOeqGg4Nwnm0jSNIOTmynte
5QMOWoR9cnL2dZTq2Dy03AekjTUU+/e5xxkIiYfZU4XjrJXawNt+QGvbe8XQurTHh3YD6TbemGV4
SIHUsUShoBrW0wHjPkqNOIIaWbODFuA6WEiKQ2QOM8V2dQq0ulU8iHPAuNtu8mrE1H7cjtA+WYGF
q0YkFfa9wvvQxG2yh3oee3kqVT4jLVrdKOJFGLOPamgP6Wzueom1JRXf49U8kquPlgY6Ed32ZVYE
JZW8fUOJgNUlNIYgnlP0QpirwyxvDoRFkbStKGtkUvpU6Vi2poUGe7dY72wPJdSopt2OXJ6sxay7
mdiTM3La9+LF7okRXTJKQ0rZYqaA73Qllk/219FG8qMTS5Fi1NxVFlUcl14GHeLR10eFRcUEeJns
Iv766p2yUeS7F9sZ7ypK2UHYE5ypkZlEpXmPlrbaZAlaQKd7hbjxGfXuHuVg7dvs6HFEWAd3EWTO
0+tuCjl56kkDNn/puBy72FWRt7tsGihlsvcovYy0JqNUm2eAqpFLXbwrf9gUZqGl9eoJz9w4Fh8l
ECm/Vct9Q9AIbfDu7CbWmcJydCGIYkd5k9nNmjaYLUG2AAgdUHKeRDwgVUTXWWvifVrm+d6iXt5E
aXOJR64lFJvUD4jXMzsuUKdSbxtleMz7I74dDUumxfJ5McH5hljELGMdk91nN1L6oCaXDppzCEhd
ZLsYtYoQPFA1ndKLklxZE/Wkn8rpnI62gC3t7iKTf10CDnT5rNX2i5E0fKRCuR8aVez7Ud9HvRXD
n6XsUdgXORe176pHVPVZUGolsa+co4mcpDAl0CFi7nKZ9PtejHsNZKYIWWUTRukLdT8ggXlxze4Z
bdrHZMENAf8lqeroYgfUtRaG5Skdw4qJj55yWSShjpD6gE3VDohzfJ5agV28Jf2kysiVaup0h6LN
SnhtlwIIrj7uzELgViAib0sPwDgl6a1Fvq1XR5GDS4/4vIo81QkDJpsjInRc+Rai2jmM7fQ20i3B
t9ndRMiHzxB7vzgd6T1A28jXJZNVgxi/tyZX+ZiiJtsWuGZC6PR+PnPeCXaAjVnncZATfJzDht6a
Mn0xM7KG9aiMN3oVkeHo8vr08xzMIlFQjzc0j9So8mNH6gE5Zpd1iUPZcGOZWbaDvNN5MP3hhiGq
K6VcJeDzgvBQuSDDikOG/VQZtlpXYscd5QMaRAdp7kBshc31qKDqpJQDTF2zS/xsWBFZyReTnW6m
D0cWhQfswd2bjCGUeUnELEiVIFJt9godwULYuAdH/UEyU7iP7RyhhJQYvdOav71PbjUcZ2zCeWl1
bVe0GdVtG+G2wruRmKPciLj6Ls1z0n11BPR2A9e1X8TTOztWOkHgu9EvMlY5EdJMlnbhfqlctC9h
yRUshktjE9xKu8BXDIujtqq4aH3uERw/kCK5IDxNx4dosb9gMUAGYTjw69YRr101D12dvGlF0wVZ
iGaH9dMi63RNEIxWDkXOwJ5tyHxd84LBSqOl/C77o7OE4SPaBjKw7nLik0m2lo43S+MHUYxXoU+/
R59HM8Q6MlKNked+ESsDJCOtjz7Ou640yXHG74OOjKG5/tIUTEpG1/2oYqzqOS807pdB96N1Oxrp
AEMUdKFLFj+RacTOIs/vxJrUGKv5t1BjBnQR2GoNmVq1SS7ICOS9JJBt1e9JCMkC3ZkB+gsFXu+X
K4icKLBik7f4F7SCxlhGCplDLnvsPFD9vEj1QY79RUWbCa1VwSciGzIuM4YT1fgi9ewFfzslbi3x
3IkCekb4xzIQDm2NNFSIC2TnWZvE6xVmVfqQ9eHIQYrCDQMQJUyCubDejbzvNqvaI9HaVSn6TSeZ
1u+NscMEHp9Cuy42ausSd1Fu6lQgFrHuyHLb9AqpKE3i2BRJtWp7VzklzY3aeiwc9T4t1kjkKBrB
+7ffs0LucZ/gd53MbxbF4QdD+XTyYd+DO3qYajP2FnZDFmGCotb2lTm8NQkLCwdtky5Z+efyo8Cf
vlHSevDySLJEXsAAr/GAGMdKrAGzTrzQUsWfY218sTrqJgwiE9akMCWQgoeH4Slb06cyqfMmEvbj
OsjWmBgL3xoYdqvVvp870wYOKGjkJPpix3jtcUN5YqKwpYviKSoo2sjnKl++R0uVBqkx91vgHG8L
GIB9Ga3Zq8ttWfK+kkhOrEupIveZ3juUbDTRZjzdyGGi6SGuu40mi29WsfhNgqK54qjKngCqd+wS
qW92a+zRQKJP0iDjT2JE5lg08tSgMW7My80QNrAX0/Id1jPy0/RhHhGVm7jf4g5QzTA3OxoaJpU4
+UwLj9zodcmlY8ryjIYJWkvYnWbr3ncxXcLzXOdo13IH5gKFkXmh1UWXvwb15prDtraseuvKeOum
QICJ5tuQQRUHTbu8ko9deYPFFmjCikI4ons7OzMwV1OcBhsxJT0+nORu6NWNu+wmYnBAN4S0nafb
efxhiq7ZTrlSQAJOja2z0M4lava1R1hI5dt4LHr1ZY4asXMitvBJf8G6I05SHNGNj4f3NF0Q9lnE
RscNBi9gZPo0AsLR8X/PRv3m2kyquWl/Kl35KYl+XPHErldFMY30tkyCKNdL4mFuSqJEiRWi1KG4
IWZXg91n5MQHwzkYlePsHYmLOSR3BVjC2J2b+6RdVD+OiavKnHJBLWAQEErIrl2T9FcSFXGiPfC8
F2r5XlmBXDJxUMbkLjYkaHri9DY56unCRdVFWLuB/We1ObZdyPo63NNIl7ejoKNTDZs2b6zHuDd+
6KCgvCmWJgpG4GoMxQPsdrU9s64rU+1rxKKph1YAE7Mxt0ltO17GpnRLONO0XHo83TWf/iOSX+oO
/OlzMu3G3n5NQ5QdqZ4Pfo/tOUjFWYOmmsPGPJZLMwVFPsYHuDgXVZHPRVkj2l+cxmtQW/i2lX9R
zPmxG2ggW1ONmtZtvlAMtw4ghxJwRqn+racy45v6Eh86ob+Mc31qUKH6WiMcwmVvM7REZDgWzLr9
yU16JkVFouOoCFQdcJ3A8PKI0jICUdWkxKLETcKSjDbXnydL4pqb6QHiZfWG+m7QowfVNXLfQdW3
KabuSZVnSysGGI+AHtppCXKdHlSuKyY+UzIXZA4h25hWjizYCkqlr21IlGoHNzM12eEgIb+xWyqB
MHBurRxlykKvOJXmHWKnk5l3Fy3idFhUXXidiAcKb/UIAJTVOa8zMgx/KtuXyh0f0sp4qUXPirdz
B79Q0odMIy4iqmYzyAItBgQWvWf07fFCZYOfJsTYoFihtLGbpxGsZ+jsKyW6qE5tn5Y+sXwPvUNy
bB2oCvpWFW2Bi0kftwKQpGc15qHWBgLQ+uIma3FqraNFVRGuIUUo9i1V/mg7DvobqIBkgyIhCiqh
30wFiMkhSgVLaekErqJ/r3BontgEAfqn+F8hy3MXs4QvfmgmDmdH1Yn2pQOpBckqfqqXgdr1qxV1
1XESzoIU0cMTUnwX2WNfpzDspXR2nZM+xDrxQHNDhhcqUMOv5CcJw+O5lj2t157WajX5qk3yjFM5
bL7wcAXopgvexSLfQsPaTzmTIlG2rIrWEla3d6iTB+x6rE3KmtjISWCuLdKH+6nchy3FBYuhA/hu
uhkinezf8FbaxiVNnGHLlUx7fRqfdEyYjdM6m3CGwpq5ypPtyhYcOU3ytD2UyGHcpWd11B3GJN+j
1z85JQh8VAs5U+uaRWbZ2PSMntzcBnXqqJss8ymR4hS1d2wrD4Sl/QjVIdvH2FoZyZF7F+AP4FSx
+FjcY90vOK6QTu8G5kLaq+m0qV0MkH3ZPSVtqx/biE0PETzaKR8aXPYAlgwV/ZjE7gTsYItT7Umz
BACpunuYbEiWcljpzb1FLQ4Xu7eCybDc+W3I9N7bx6Fvi60dzyyC1wyGjAtKI+MY/mFN+oSJnSc2
8gCADlNgleBxBBSBwR+JL7NlTdCPB2fq01b1GBeq/BInewcZEZOdkaA3Mt+xAzJ+kPmgpSFGTtv+
mGWVbZysZx1M/kqPwtyl3ryR+HM3M0od1YCawyvG1kZY3ryM+2GynpoQpq3WQ9usOqJ7TYZ+xDxf
JMatU1g4LzJsel7jgmrNmiYjejbPaoHIikBeqAvRfaUtODwwpk4qbeKlfheUrLX2pcmwl6NcKy9L
rMy8RW/pHLGbbZSvDUUKTZ3EudVqmCkLyEC5dfLaflAyiKRU349dMVWUAeeQMoTx6S7yZW6JNssj
GEF8hqAhiVUS3eYrS+JlqW/AnGJci4ryDiBFvV1YmwdF81KQN8Z8QiHHVrJtZwAkyeAdk3qDOjpP
HL9e1HA3jPmTkGEfTB3LUl0tXltBDXiBF7mkC5E4KHd1NShoGlVzdh/xjlHjTpjn78TIErpTqUFM
E2EdrnVv1MkP7Lm3Qz484TazA9ui5aF1hETxqUzYcA2B+GjBRwLhsHBMIwjwF2E1G2OOnzJ2ZgdQ
aw/QOo+FPe1iR780apjs6P+RnozFK4nxQYh8S3PyhaooyBeje+jWDyn1SH9mv4hO3ziOsL5PyMjS
r4THrJeagWFunGnTidDdxrjxkl5BOBcZaLOWvYOgDWkxCTJux5Xp0lLdqfa4HRPjZbQkodVmy64s
Wn4saNuCTkFlUeMYqr+FctiJaHxc41R6OX03l37aRfC2GqcGRYBmBpMMvHexxiGF7g8QedO2qs33
RWTanmkTCX3WzhuaJ7dcFl2Qz9gpUH7D/snxHbbr7OjMCoIksDNu/ZXIMkxE1ZMAVrGNQ9AiPdSo
pk3vVdV4GrNpTaVvc2r29mutpzQhkUR4uRbYpOFs4uWrZsCjm+rmFDUurjiTraJsDN0j7iHIDCs5
I7EHzzKx0xnLWyKaQz7XLtScEbBTJbK3RogqiCpN4Gg0Wk/TqdpSY1E2deG6+7wHDaHCCJP2fBCN
zdJaRbNgfEek89Rk/W2GFg461fRREIbkabNTB5bAwNm1F8qTPricbK/kj0P7NcFxSyCDeMfnDXKE
3qsW90DL1FY9WNN31pjJo23RbTT7AXZGeUA5QhWwctmUj8EQJUFqmmzaYgQ1kiqYh2e+Xbuin8uw
5v8ZGDJsVuR121J5Ke5A7rheBBHJB0jHqTFiVyBwIQGV2t5M+PMzVXxPJYIcROrfOyjae/S9MMNx
hvlzH9K4Ynnp2Qye3qRAVs4Y0HylU6hLygKCcEmGGlZi1ZobMiJZH+Kz3VWO3PEB8rRk7I+oYuID
fKOtE0OnSjM8rkk9P88daDH69bDkSPPu4hp325CQAm3Qgyqdehf1nHFpLqY3FFp8NpRLC6mY5XV+
ayTteS4oHjZ2ismH0vERBTGXo3gtcSAFJPDSf0CrFbN8NaEEGT3uwk4Zwalp9p5PDFWDLkUymjBn
jk2DF7kDmpYr2zrRVkepiyVdc++6TP1imeqw0cBXDUPpnoX1nMX4TbJ23R4lYBAKtfcZn3a5Wnyw
s7os6kFfFOd2rN2bCVeP707Ke1dRCxuoFOxmB1GtyNqLAtdgM4FaCGaTrOqS8C3PLG6G4nuMr8kz
xwNCxY6/iWDEAcT54BrfYqvP/ah8FNnd2M+Y4VFGBVUou6BSgLcqhRFuanMm5YQqg6I8OGKPBop9
KMImFoG5TxGIurl651At3RXEf3JBjSzqM3GJDesJb+TOdLp+18xZ41fDYgPSx54HypQd9HnNr99g
Py19UWn3hTOfzASxTYUv9hBn00UHD+5XcHCJ7y2xxlZUozFJtVMciLi4X1L9g96U7tnkxswTEjus
PFoaU4Ue4afE6tcmcuUDYzP5JCFFFJdG/xo0vc3YKAVEWMdIy+/iHMQFXnxAWUDKekn2p5IftCVt
9roY7uj8t3RxEE8nicaqAVfXds4oVA91ymexIFtsGl5JvO+CpUt5gdMef1RHqk7dRS+sRISvc1Hj
J9xEdRYflpaS6qy8hyC+w9YY3uzZ2inqMN7FLaAww0JtOKtkRCMWg0UMEWJXOhFpB8TCb2gP9Dtm
8VU+NX3YXAk0JPadGg1cHy16ByOTG0s/m6DoPDmXz/3aJ7paQvrVU2LmpDH9tIhc719/0qyOkV+P
uT7FkYqTetfHXO//evSv78V0sbF9xyofBY5QIAxeNvmCyk5x9MffDvPzt/7bQzoZoUvq3Or+zwdd
j85suGaVryf821FWbxLwyIRVGpyLKAz3Q+pIFrzrn/jr/H4ep8BNREqMC5t5/YuvP26anvxgNYb3
+ueRr/d/PvD6l7SO+RFhKg2uh44oPXGEf/6WX7/q+sJd70Z5ERHkDoHoevfXK6qaWrGLhXaKG+U5
JCSJbiO1yjip3oHBQWpSLbIE0UFSvBsib8gUdi4DM+ak6+wkUyZdHaZQPrApZs18fwOXU/WdSXcP
iSCsUIVjLjsqYSBKnjNGuAQ1qaHJb2z5wZyUSY17th9J1psZ5vOMGCPa9zAzlbBP/GlGoWwVxbPb
1/tZoGcx0RcPiJjx2JoLglOzT29UdW2ZzBAUZ8UmIkue8V2ehjr5trYwmpkAmaSvLpVYPkiAI/Kz
Ns+jbuxctCSQPsk32hI4dyNyfIzZQpiRQKHnk42XrDm93piHd6pgQE1sFAKCpG72R0DMlsrG1sQC
0L2F2k3NdVixppDXEvcIVy4PYmF0m9ja9fTivQIzwhQvw8aykFCD+j+NXf4VNFfpl7S4RGUHUoWN
4or2uSvAYMuUdo3NReuJbDowse2VytlRSAOLZM0fglrePCpv6HSUjdSnM9KcDbHQ7HsdgqXMuNlV
COODKBJb/G9fkOWwc+i26BJJfAKMZ0xtGMRjQ8vcqF7yzPpejmLyh3r+Pto53NfUYOAW5eAlkjkQ
JFIeDMtbJPWnMmN5WzGSYc6viMN87VWqoBNh2OQZoQ2ON7g0zf24Oh8KDeKh09BAT+KlQnfk7GoV
HyvMtDCMNb+ZqQwYAgZr3zGaDhnbjd7WtEM3Gq63KP1bPZKdZhvp0xiyrrCqZEOz58sCEplCmk07
Ci6IL/vs68ykBllwjQoD5aPF1oifTvdjAyoaJc6aaERIJ3TlUX/eMIwBMEK8YHaKgm7Z5ORrl7CA
8B4OtkmPDLPk1FovI4mpMFQtoIBZve3mLT+lzUQOFKbX8rZb3BfcI0cQkh/5FINdo2tpRMCPJ+yk
ppYZaHls0otWzZNV2e1PI9pPfePdz1yE/1X0ZP/GRddipUKd+HtUCH1cS4eFYOCNYqmEro+f/2ZW
ikIEoHFPcYpsCuHlg+Ie7ZTOQqxld5mKuiM2wicTP3ig5AV55l0UbkHyW7u8L7WNIg5I8Alzx0sC
4ao/abni3hvT7E2Rnd+mXAil3T4yFMj/cOJXF9VvOQ/XE7dULgdCToRF3f/PE1/iorFmarQHGsHp
QbFM5BqU87wJsiBZAWTBtolDTz+Lbs0kIixakBP4m3Tz37x4/0pgX8+B+gf/r1JIh1Xen+cQ13Fi
TVEO+7fv5luM/4dUS6IDKz9t44I43pfgQQGuPDqgWi9xrx5BZUNE/A+w/H8ND7qeByBoF5ucirTX
WlWbv72JaTnPRpPaEs9tiCMHZtFhdYG3KoPg2CZvw4Ids8ysJ82R9QWeAmpsii1DhSs5bJXL4Hb1
mQW9d4UwSwQzzFcZM7qGodqQDNMoQrVLSFhzaJiAY0b020qrI2ynH06GRO0X2EODEvOV5QzDfoKw
kLqlfb7exOtXXba8/dcv/7+5dleLnaGB+FuTk+z12v7tz+7VziFxO5IHS9OBsoPaChKXNERN2tsK
w3ZkLBA06pG9JTwBU68OZKzT388Wlu3TucglUePqaOw1Mx8O8Ioh6EhsHU0VDjvYYPq+18fHPgTV
dD3z/2nh8wUAbNmWP7o/pc5X+fIvHfT/X/Lo/2T/BATZN/+qjV6f9A9ttPuX6uIOtHVrHbl+CaPN
v2wb7bPFx/CfymhD/cvSNI1hwmYHj5qT4/xDGW0hmjZ01eYBqoPKyvjvKaP1NVPpt/EI9rmNT1XF
Tox0VNAW/vNibDQrqftaRkcgWBvHkNSGim6XSp1wikjv4K5mJJuk4e5673qD8iloVDXZq3NaHQbt
+9VJfb1x4MQA/Vid1Sq7/Y3aLTdpnPtcpBS8uszaIyN779QwoqRSNGeNhnAk8k+rRQjJ0HhRYRnH
AwX7ee0PNGgWeXpypiLhy0mHhNBrt0AQY+jCkiThIkL3TzZ3wSYvmDUmNqdfHgfynXfVspz6nt2z
lVruIVRUyqBOPqJ08ZEW115LxJZP/R4dGVzD2zQNrNE+rh2aV3U6FiDxsPRlhB7w5CL8in/QgsAZ
EuzNbi3G4dRS2iMzHU0Nff+N7syFj4zc8kQ/jUfdDOmahtUQTAomp066Yh8dhkYLvbFGr+XU41ZX
YpeqQLqJ2ysLEdvhIKedBjB9ktGHhnbP6xtMIFOlfgr9CTYIJpG50AP8pmnQWrSDmCQVb3Fo9ZVG
LYNsLcZWwzPlQETgodkEjj5vV6q/QPBNaNAPK7EfUsSjhw4NQzwYYJSEjX5a3jnVfOi0hHKzBQ4X
0MHGQBSj6f2wI0aydcCXSKrPcaDaUBXRKqxW2son6Du8jCHrmUiXYUDL5c5WbI2tN8ZbN21RgdBC
j4FSesBYG89eeD3SMIWVl/Tkdo7DkS3LMS/hmvfLR6tvp3r8nFwIjER5snW0OoxYTebjiKVJUGaP
5uhiP8ZmWBZYf+qO2oorI9Vj0J6CxQaH5OC5w1TUAKVVcCpFSnZcpnsiH6J9VqFOSG3jyc0b2Acd
CNLBuaw+MKx09snGzHeSpvgclpzKGLpLf9R4exVTuYsHTpOdA32aHVA7LpyMWq7dtMB8e5vSdjqg
ZDKIlJAVjUAAD/OBxkwcpI12vyzQxstEj54chUBiWHYbvRYoozKVpVnXKbeqzouZ4gCmFPFl6k2a
BDjGN9lafdCsIiCLQSe7muA/NmdSycodLLroWLTUErL7OcpczkAlGYP+DSoK85lKBmevm0fi6/NN
CWTKHyjYK7q26YRoHiyZCN60ehN1fM4c5H8Hmv0zWEfcrI7xPQu1/B0YfFubUEbzozHTU9HQMhva
wvbeeZJL8UUrerhGcQwpIw6xN5QP/5e9M1luXNmy7L/UHC8BRz+oCUmwgXpFhELSBKbo0Pc9vj6X
u+67ihd208pyXhMYQFIkRXTu5+y9dkyqwLG2+rNvVoDLNJgawrEo/q4nBjTl0aaxcsJLCJ6JvZdo
MCb1CYFUUlNrWcXRoAM2pXixSRAnS5iTp8WnMKy9doJcNXWncYvvzcU5Cts5OtbI7JbaEMNi2egQ
ZKWTrnFuXEG7QPp8G51yNSQwsI/xsSlKShuQ6oUJCKVI8hthpHcouerA2qepOd+W65eh17aT3XTl
XvPOotTiTyYvv8kI/dZ178WdvAte6/ZgaO51XVr3S8mBjNtsumqE/U2nz5dudXNyyCDeX6fNxNCd
9Z1nA1+J0y/pjMRgzLvkGMMBjgyK/wTNxBICg6Bk2OsV/LFi1LB1llQuSvueYcB2N/X9szYlXzMr
R1Nt1Wuw9W196SLviBDxQOv+G3oBavROcUT4DF1rW4MYFxeWZv0tpuBFKyAqU7zdTOQCKvO/kmIK
R0zdEfnjtwIhyW6mJUQJiWlBtxCm2KxbchA6kvIItdC+Beu6g1JF9EqLiZBWy4Duel+4M3K09Gxv
TOmswrjaNufOTKOG3l3TBPnYf7NK2ui17/9MW+t5BPR/ERXCfZpfd8ZqplC6tpZEYL05mXMni+PZ
oeLSdlhT55JQ8saCur6tUJRpO2znaHL7s17WBCCnyY0Zm1dUYEzuRKiqU4pobTUPRy8vQ9Gh8CpS
cd/hNDGjcwYm8tTQVUWUzqwIjtYtM7Rhe3IXJq1RDyLa27wf84piRXCLwClyncztfevG7TmroRxP
6fes8jIScqk21xr0sWT96g65F3Srh8TCW1iBgWrZ21uXdpwvHWWK3kCy1lBO2jUit3ddWsznXJ9/
rUtdB0Zu3cy9v8KJgzGZLe1+qjYtINO+vXBredCtT21d2z/c+clJi+fBxeEyp76NpI67poW6YV/o
88/BL6eHKpseadZ6EIGZzFSmf9VvzJQtQ39NJY4nv0HzEOr1cliYSXdLiSwrMkLDiSGYFw2wlNg/
wHHQd8RRNbthmr6X9te4jONPelLhAu+5qpS3q4/2Td9Wsqt8/cnsH0YQXYEDhwUyydjgPF2ZJ34z
oMIaPraZ2EOKs+K+1usyvxVJwoUZisNATfHoGlJlBYOY3FMjiOv2VQMPGpiFcPYwp6Ojzmx7zzDd
DBJn+UIz4znFeA9cgen0jEyQ4+O19oCN1/rwAvjdI/A5JkLDcOf9UGRwEOujay4VJz/ZvrZBsIOR
gE1cU8TeyI+eTRffse1oPyiKomex9T7ogCwcLI8eA8oQoH10QZGRkHE8+0Vgz9MF2695XxtzeYkr
dqvb0gSsZDU9c/ODg7HJyfsptC2Moe5EsyQHvXYqGWwUrWyC9jSwuNfe2ZD4PSAZ5A7USaiLgkmY
OR+W2G+uUTC0u9Tuz20Xg7VDjXp0a/2JqsOzmdLYWvsq0E2ajksO/KXOze/JOh3oed9qfUMvRkBD
bowCHjDXc9g5F3fUHpnm3M8cRnsbxE3XcxqnvfadnEzTmrXPvp7dYXeNEdQPt6RUFsM2hH6arkGS
wuDt1+05bzh5LYFUKo4zqsJV/8xdxz5W2DUOi8fNzLVxPXT6Bjtjo0JnGig5dS++q+N012NVpsRa
kWJFw0evjbAaivmoa1V/nBzZTO9fgTZTSlndNOxs42c6MM6AZ0jKS5udbDc+grE16Cp7+sXG8RvY
JZH2LajEvYs38R74MMp0u/iy0OGV9Qdj7wo9uqUzsgWDjznYlWgwjOPIOxgr7JNnzTCf+ZbrvvcJ
/CWxKX7qbSz+rn+ysFCfRoJHnK6umDbqCeApOws5vWQpey53mLnIQq6iPWIc9NwlLfjZM68tbGkQ
/1Pugk2s0f7PGZEC/HuoG0HVhIqXTpxVXhoEysMx7MjJpMpFdRUgfD+ZBnM7oMR+Kq70JSoOYPgI
0vbrs4OMFMiSdzPanzk+RVDPerZbHT0/4HwItanETDyPxoWbN0eGORyA5Q8BdLCKodmZ7lty5Zvk
jJZjywBGEz/BwPVBaaCBo9N6WJQFOZ8vbUx4ezUREA45/thgt+Gek4BRJzveROCIQXgLALfRPZSX
zsL1d5re35mN9boIjpWULJrNL8ksye3XysNmseIX+kxRXD8IiAaYH9ls6frsCPsoucnr3EF8/z4b
GZyutn0ZODnI+oIzlhX1J72zKiTx6XY96/L6XfgkM1jNdHKdDhLHXD+2pk1ZNsdvDPj5qYz7kMA0
3MwtYe4MR3DF6dVNNjBgt+2k36/toW0fNH0mTLByE3KZNhl6tzExaDP49u69wRxjH2kdfQ12eZlx
5S6bNOIgrJ+mtnRutii9M8vta6NZPTdhzboy5kMsDq3X12cPgiZtZBuUe5bLTFdGw5gbcD/l35YM
13WRoDl1FjAYhS+uLGNwYCk3dz7QisDwS+fg+Cu9+4KW2tjeOCmqur69jhenDfLePFFWYf7hoqMF
J/IVATijauyhK8SKS6fXn3BpR4GRAPQfUIOReuNcz/mGzzvvTpbLm9O1F554BBr50qf+RSTuy1rX
FEbzBA1VjcC6FvE+Q5iwXwx8BD45JBOw/M1ME77pDVxmqtAG/wi5tXs73jjM+j7Y4lfkPGvYwUWI
mMEwcXjuPCs79YLbqhgmgpn775DXrYfCKK86XPo7xksXcyB+rmsqJ7Ts5hyHCbaJUxJP323X827Q
N457SUjP8PV80rLpBxidFlcsgK1Ue5yQhD4ltlOe0uRHT4L3EVjrcr1BD6dvC3013KylBfvx4lMz
oZh1p2OVv8Fph+oTuixjVyAxHajQdnue2Gtva4ZUbMmrX3GgZ4Rou/R+HN1AV9Gi/xlczunEa3di
EuJY4CqhNnqkos+hBHZPn1HidyK+dE56brwxhpMAoJVO9nfh0FKcNUGB1OHK2E79l7jBAWE30FA4
SZOq8w9i5Tja/Ec3Ga+rGPYfFHjuA653qS1jPREK8qjpOIr9xbfeyswOCA8P0kyrfogMLvRkcGo3
bcsIt0I9UnImMwcOCO6kV0m4apzedYMoPoNd5QJt8/83htaF5gKKUhMR9hTTDrpKZ6zM77IXnN2H
jfI1qi+jPuUugrW1v2scikwpUi2m+/FJ1zED5hCu+5Lb6loPdxj6X8ymvF90MV5PCIiPqSDgG53v
vqgrObDq4exaFaejsdEGQF+d9OuDmMx5jw3hqQQLd3SY3C+4Do6dvSIOoQW5TI1zpLq9nEjSwnfj
iK/Yj/Mgieb5ohVihiv3vffAJdtu+StDV5J0WXpjTNOdYLLNKDMnFgLf3YXQmc9+bjhXnTVshySX
3W8TxgnjgutKzAzGypaMIJRiFzB9N03T/0QG5gQInQIU8ugR+bEzUyuC3CPjA8xJdfCrpr1ps2QP
Vf4JbFAa+FwHjgtRz0dDn4wbZBHdQNcRIHeNwQJVf+ESrmHpu7RPv3YOuVtEcGZcTMWnZMB/0U9u
SIcH55DrMtYhOi2VtOqY78Zum372qfGlX2Lr4pKb1MVXekQIyNAwhdGDeNdryaGYuJg0/oiNRuSP
1mpdCWttjzMwooAaBAbWCIWJsVT1lZ73ISo+lBC5zuS8NlrkxnSam0HsHLv6Iur05yZ4u9IkYQOb
xL5YaEF42ZsQRDAM0XAd02SCsMrZhsTTQGnbWLc+HgsuR2dndZ1dxeCtdZXUi3+himnTN63+1aE+
kDRkLExrgyWhu9O8zylkpADNHyoyY7yvHCHCVtdEyHXKLXdqm7xjM1RratEgVhyhj3pOjx5ae2i7
GrmBTL1Ti9ZujbCWC7XJxRuUppiLPf44ETZykRSzxe2oS24dx8lOwkrQ0Rb+Pd6f6KI+rZdfQS0a
NBjhRIrY319CH3RShkDpBosM05vkQq3902Y/g5CutP7iyi+oy6y+3n2r9cq4qA318CIJ8/nU/dQ7
g7476jJ0lhsDJ/ll1Zo5pXfApLUj4cJm+f6sRtOXwz6+wEUTIZFzCJPkmplV1t4QRr63xswLkTJM
svvmQkpJ7ocBL6Y7COtAWtiAHK0KWi48YS0Xas2nPve+Bm2jUa8YGACIQHRYipwZPQ6j2SGkZjKE
Zh+PODCJM6KzgBSc8K8RCQd/tyw9E1B2E2pKAAtTfKirdgo3hJ/viwXdXMFv8+8HJ+4oHCW0SJjr
3mtdPoeR7k4MI1nz5eLjsYrROpz9bO8s0RwORHS8LwptwiDnpZ8XqDkQlIzHGNYaliBYllNCZ74Z
p/QgFqiXHwtDUhkZZDch2sP54Olxj9jWSS+G34LE1fLmvHJ7DouxaEOXMToHNLopq9Na9hA6TQZe
yBLlppbrxoGWrlTYUSHMSofQDc7Ei+G80ISaQx01/KlN0uvFrInYkgv1uFfn6C3zdMJR5202mn+4
4Pt1HafQRyUbtoWPAEfLB2yA5YuR3QDDHsN8sYv+3KTZGGqul6GKmgFSxs0QfiwK/OBhDu7qWC/V
g3qcz89CQgEyfSPUIDbMHmbu2IdNpSdU8QC/rjgdiPVzQxOkBuaCBI9I7wzhx6KSHyrDAgqu9jxz
b8p3MBBjkALEG7byW4xroTOGltudtpI/V7gdwor6c21z3AF1wViJnSN2uUy6M+pQnWlSVQGu8uKl
PibDk48ama4o1KDEsF4nyIDkt87URTZiGVqqs25mXuZcu4lwEXqdm9Bel5pxYu92NnSy/Vy3KF3s
6MVz64c46U6TPtlHArs/tab/dS2rGXLUEQg3nN4W3foKIMMy2uEmGSxgEo7zI9M+ATBpA8JOiFCw
vafVjq/NzCqOI6N1jCSzfyzXHyVJDSeP87icqNLBprotNAt5OomX0h6Dw4hJw5kES3FwvFATZRbU
ZvEUe7TGCXfzc2xKw+hL8VKMWKsrPtUNoTlxOfxiSDdeRptRqZY/pTmpH07G9RLVbLHaBxJxYQjJ
cjkdyR12pQloojveZTVv62keVIoYg/iC+aAENnjMOjKMi3na6QNJZKP5Q+Lk0Wozn3AQbGRCe7F0
jot6dVzOKsCj0RIdphk9vOM7b1rx1JfudrA7R9v5BRMu4TW70SErtZ7dS+9ndOEy9MA5SLgbt+qI
X5qe/Gq6mbp6Ddua6RlWAxPhVTve9yM6Qs380mLdqEcGyyTmfCVH77MGYAiwl5xlVtPJgM4AeQFX
G3EQ9Qv8wmEHdeZYhGXVfU3tYsT35FDb0MSFFvvLaHJXdR3hBnW1iEs8P2XD3H2mkrVzxEz/D428
X8BZaqPiYYlJ/4DZcrRd7m+tbyyBa4zPk+0x3GspQA3OGw2b4pszjS9IPzE+ucm3YXPTXbNpPmIF
doYWj2ik5uobP/hXUWSBV7goNkEpu8SjxZP4ge70U4q8Qjrd4ji63yJ3JUSCuqdv2KfBpwBCWUIC
X9NTh/YvLy2PKzga8TGrfVDrzl01nyMdrzNZevrJrF0QKrD3913cof9b4p+YUOydyYCc3oKsrk0P
W4uE1BA5AuCRmZ3euDujJlbHytqD2ftfmCGQk4wlm0ATyi39K7WC13kBAhZLdBSuJCZLJreSJK3v
UeqB1Wt6/Wx6dEPW5MvU0XjvsWEgKgMw1lfJVWncd4+b4B/PSc1lCP6ymd6AQGA1mJBOFEJbDFA1
KHEzJ6hNoC3pbji1OLps6zZbyxFtvf1iAZE5V+NjXeJGXczlSTdK6xhPw2ukjcVBs/WCuT2HWZ8l
VC4yBj41ab1J9RKzY5iH24c6Tqxjhnp6PzJj7Elj7aoWjf4KfwqBM02oMvoMhByROC7Uo+GC/zHs
5IaTaydbGQWKisDy1mI/le4FMkCDfA2Jiwvo7NG6bxDzH0yAP7K0lVCLMUO99d6kGepaMo6Zntt3
jWgwy2YRNjJKfSuGD1Q0r6vlkfPVkHJjEBIVp8iSksJ4MCL9GcvoK4VtGOoxpqW5uTSeEV9xbUWs
O5Bbyj/bDU6gLUztEtxYB0J2dyP33pON9FLawz4nNFaYmvzAEJ3uogQkx7Qg8+TuhSHYdI5eoX23
rRKZ6aT/6maAgNtiPNXpvB0TIbk0VvnZmTERAigBVhblY+BavnMso0UnMIH6M2J7rlnSkkShe0eq
RnO3aJhw1rBJnC9zPoh7nVjPoK858iIkxZe67uN9rjlvVV9/qUg7yF1y5PIWuXTstefWtqp9lUOW
TtfqDAPT34kizgKcoYEZczvFNQJaPpmO3rBek4x8ywULwHXK5EaQzrkrKE0yubxNiid7kqS+rn0S
WxaFmomvy49RBxrp9jRPXn0YIhyt62ZfSCACPW9SohUgfrr1XEh5auo/5U0KWNyzxMlAuEk9pDyt
a3oz5TFyZoafFpg5N1m/xaAcTwSW5Lticj4z8PyqJ6ZGGWs5AYWbwzrpECQOiK/KmADprg90/+tI
+CzUqQK/9DI/ET1HNdkN9dlkMtIQduSuLkl+BhRJ/WSJFV05/RgmfHbDVLl+q4vpa0vnQPJR0HhN
b2k9kzDQGY+YfghEFhrMtKjbl3U8X0/6eNeXxU+Kgdbk4ANHsDdZkmURUcftQVteMvmYekItUiko
LCXeAvLkE3VNbA0boxS1aFsGpyMXXa9MKIut2B1Tx7qdgfHrfvdYluBFUaSDSAmLCX+CUzMyUAvI
NOP72hoN5PIlRorFLjJAN+Cl9HdpI2itjNp0tUZWfEJxt/cwMIypHgcpNUnadFZ0oP0J25WWX0ym
YOhahEsWUX5TFtx4fL+5SxZu435meMa+mrslJHj5kuv6ygg/XcLFn9HkUbg9FDXjV26SPSMUBrEO
xlqR9fVFPU6ItThB42VS7z20lO+DbaQ9meaPczQ4+I9KPzSxM4fOROiInYaNGKkUlqC5wEVmF9dj
IOT0hKaCN5wButfVDg1qE5CfW16RLl9cbfiFr6x4piLC9CpeSaHezc7gY1zDYwyCmHNP9Bn6Foad
jlyoNbUgPoEplVpFMluHyJlhrV5VSAyvFolLKjLjZzNaxGJ7nNuERjfMrAhZolr2I9ahdgyaAyq+
BuyhNpnqNTtHG87dSpaK2lsuGYbve4sopPmE8f66Xdz24OE12W9dlh+QvJAPGqW4Ppj87VP5UdZS
UTuPq93Gz4HQ8EEvU+1kWk5JqI+Ne4Bh4MfCrBgq9iKllKtW1TMrBsxIMF8AclFeJQMi06lKb6uk
eVG881UHHLjPU6KkqpkED4VhUY8NTn8zQeXgRGXm52wEGC1ioqHK0a2Y7GqNfvRwGaunWYaUq3jy
coo5E4ieVqR4PwWtIBeQSIgY36y8IBxyOPhmSW1GziL+YOPb2SJwb9TAk+Y+vRKTdsoq6tT4Wc2d
ST0v1Mglgzkfpn5HLc9cXPz2rUe1WQ7rId0Tt+B2HGNyqK8Wbjr6RwEvBfqACIfU+1mvVEm5rV9c
WvOjmTAMZwhHzFy0r+Uw3I17l2nLQtlAajpo2KUADHoYNGMDeNVw4GiKCpfKx8JHSnk2YqawRGsX
O37XMsAP9AsQeBNqWcJURi78v9fM1rf3pssxCjDPOy7peJub0fAuIHEguxD80JwJTd1cnegZXZwH
x9pPco5Yytmij1cSIB51XLUjYsmyKbYVNUffucR+0r6m8jHMNPEZkjc1ph2vq9CcouAdaAFRoCwX
7bTZkPrjbKOe6jfnd4Fw3NTTaVwtXNaoi8smeox8vzqqz5kV9WZW+B6olNYxMueHwdto57hwlUuU
YaZtDXzZiWRvgbFETYQ0sA5TXj8ryz7SU6Quqc24FVPb/o8QA7Vp4eg/4TW4DHKSN+GROUSmDgmA
pHdiYeRc0E9acN3WyAykh9I0JDSevImisDl+c8T6mJECcVQBAaASmxD8BGgCtb1A+j6lXcpvMdXj
lVsQrNhQVlASnIXwGRwB8ivW8vjscEjhippQ+XJxSNpnfEfdRcUtoPhjQmSK4cbt2YWTShlQgQMt
kNOt9Y8xH1LrK5AX56zeciVe4a93V9t6jgVEfjatqhavGQvRL3zRj+0JXPC+srYHbcxfkxj0+gwS
q59WDjMhjy6OEGPbJxsm8kVeXORjneUQzUEX4qD+Y8sdUTOr3yHT+ucNu/YhW+CiyEl6cl0hxgld
Qk3Coe/39Qw7TJ2b6itOK/E1RA3Rp5PT8q70vkXI8QtZHunbNT4RG3Gntoil+zEt5RS4W1SHEe3D
vZVE/d5wJ04V+bXU+aI21WKTT8xjMgJQp+auvvmyai0MXHENVfU2tgrUJezdzLXlXlmh25rHHBIV
odvjZSpLgrRMTvkSMyEV9GfuYBqsk7JA0tyByjkWbfPJHHF7+Pl4a1QG04c4AvYl022ptezgXN1M
qX7PCIJiJFcuUQwEBE5ohtMWuh5y1PHUGgnnoBaKml9VNNP3hrrmDs75o9eI52xwXsDh37aN4R+Y
USIXJ9OaX9u+LrJtO0HB5HauDyEohavebV5sGN2H1tYfgbjByEYrvl8TNAZ9+Rr7AhvAJMqgIF6j
gg5LpUTfTaaXn9rU+jKuV2Yb3dQINmthz4dUjLfgYl/rvuA6a92MM85WrD/fKcf3jxO1yoloqG5J
1sci0s8D4zFkoWjN1+rittpwIN4AfHjh3FCmv/dI1tu5D4YLy7axgIMsTnq3SKti2mDL8las1IKJ
MYNUBirDDCio/s4ZucGoY1AmUvIOhY5Nrc9ERyQ18ge6BdXV2tqElJrVBaLM+K3W7203sr4nEf5s
5ifc5WvGqBOAXm/Wn2JLu/MpXASZkYMVn4dfhs+4vk2mh6WFvNLXmn9UJyNFZ+LtgNovVaefZsc7
qSgUvxNE0qrVfInFpV0vyBBQFKyDcWcUm3b0k8oPlxLE8v/Xeiqg7v8Thet6cGv/63fY7l8QXUnz
/b//56auhrfqj6AP9Td/ST0N3fqXLkzHtXTDoKVgwbX9C4OLpvNfeEsMOIlAiYWh80l/0XAtBKI6
3hddgDu2LWQKf2s+LetfJqY+30ULatuOYxn/K82nafAF/kPzaTu6Y3C2Q1HyhGehIf0PAXKz1bmI
mC7eOasUIDEawRdfnSvY5rtS0y9bVbvHrDCvytHLgmJKX7GCU89dHAOdQUJ1PrkaKb0c0VJkh7H6
5ckZMakCL8IbHq2myzCzWbRYJwLnDYwoDA04K8A09Xb9UM42TU5BgGCNNfZzvg7ftg0qk5ttEAAS
ok478yXJl+8VyboOgNm7gvi/B8lPQO+3y7UcpgNJejvboXxRWAvTKMtkOmwwDrpvt+1Js8uvJDal
p/oX42jGed2p82SLY6SHTMjGdmrBV+/jqDjF/BmzJUojFMuf0fONkAfWH4tFq5Ffb48mPT5vpNDr
Fua61V/DeHpbNj1/KIc6GH0Cp3oGvfA83SvUWYwztkjgn1yxB88Y31I//UES41U1FZIjohMjcTBE
r590D2n7QqEVwUxQWoSY8orlJBooIXbuhHpCDFPicymyDAtdEf+5tYzjNUb/JpbCNw0tZtyU3mGc
iVLE6XfIxHqfQDnCS3vXVuVBNLl9GCxpnzX9T1qaMvru9PthgmY7atWw3/KELNjmE3MtmbttE9lq
Fc/ERhA6IIo3Y0Q8RrM3Bo1i0yMl7nkfed7RzPoXqO10hDazDqCThMKv5+uG2CNIWlzr6ESVRVcf
U4d5XswvUMD4memIvBrF9Ohs0KRgJOmMBLgrMc6hX7htoKK89a6dk+4q9Qoad5q2W0pQvFTIk8G3
wJzyHvj/nuA1oV9wQa0mhXhjVrScTQgBzO+mS5GTJwofNToXdit37HKrmS1ouw1VTSqpnZUUqyye
cQIOdeRMuSk3lErAv+hLu6/VNlT7mliW3bQOCFdusRBSOzebN7JxMjyxVYDMIbttjU7qfDbniCXe
FE6oxfjf/C6biVjmtlKIXz6IrEtSjs96SiW0W5j0YQkJlhqOv9lh9hqc+Gpwzn39PSekJswqgR4g
qauTZdrrta67svQjHuDMkOPQQTJKkqcoIUsTXS4SzpR7Jr4W0FWlgZXOQEtKuO2SPi79nkRhMiis
73ZLIjqmV727cylAHkm68lBGQZLi/HaNA711ZAOg/5LOyi8r5UlmMyTe4ogj0yDad+QyYzJ138ou
+kHbUt/rm6GhzqGZy+SsX5d0Z60wD6rlxtQr3jubqdO24wikZeZQBy20n3qDDiKTkaNhg4jwm+YM
+PawMjSMKwhyBtMtI3tuEc9dXPxq9yi6KT5XA2MXNM0W9NoupZUYJXUXbAQLHMbizF4rpSeVznPb
9TvPQ+GGFqDGCrd65pEr8D5y7R/84hVzbRgR+Ux/C2mE4bFvB3QTWsxYpbIuC8dsFwP1dACS6rW4
ytP5jbbZse7H5WyPKeGJDs50Ryc/m7xCarFTPV+Q8j6T8n1LhE13SKRUDD4rxai80cFbgeP24Br5
tZVA96sDjNDxUbeq5UQw314bCbTxNZ+BV/EcEx+yn6vFPOHJvsNsR7pNMHb9ellwxxYW/ToCNo7C
0t48s3zMi+TNrtK7qjTtO82VZj4ieXErrg/ZSFLFlzQNisJYD0ZG2XahiU+F6wSWpz7qTuqdBFa6
AdP3ubPIIYYuosn+QdHdJZnIqekzi6vGaaQzS7+jwBo4d2FKTyYs/KQHSivRJ7F+9fGQekWPD1/Q
8lJ/8/6c/MPftlH9wWLbqEhmnjaRVUPhSK3RU7rfNOeHickgS0zjpIb5apKtQtDUplrknVMCybR+
DVQeSHFz++W09v4d/gZM8nnNsBMOLhGsc3zXbz1oT7R2UzSDz0zADnOhPjgJ+ReecLXbhOqdvuH6
TpkfoQMki86jXQGUT66qRQ88cr/xL+GnZWqpFipdDlI+jOC/HyP1xDhUgIn32rIx5uQ2OjPvpi3F
lTDbukczrWku03yJxfa59ipZh/duNxtDT58W59Ua7wjTpgUsFw0YUGo6yWXsS0RhnZGHCLA5rvIQ
hcu9E8dfh6h8oOc/IBlhjoA2wRs8/2KiO4Hi2sTluctFMBhyz9lGS0hr/Glxatyj6jH03OxNKjqX
efhS0hsIYaB4eb+e4xKAkagojyze28DsbiDZ44pUlV9YtexA82iIZ25/B0kM2K0sIiijiO7eUkEA
6WJqVX1WEyNXfPcnCYQEaRg78YZMP7F3seFTWJILX9JhR2qCxU6tGgOXxy6uh6A1V/esISdtBwcH
5OJzA89LMLdWzRX3wwCtPMGEPuWh9QAz5pOllxMugjBx3GUHeRD5tKFfI3xBrOlOr7qh18dycC7p
3JZHHYhFWU0CrVyPj9eKCWeOctS/6ggw9RH4pTWle1UdUp/0sfjjMRGPHQUeQBzlPJR6oMosZZ/B
0m8guKhfqUvRQZdp+/OjyKLW1KTxj8e4M3ZHNJSPk+ziqsWG+B0pNLXNbKu1FV8GNWvZRmus2VlA
4PvzbpJ7I5WVE7UwiX2iUyWeq3wp1OGwaZy+sQUDo9XFL7GC/lnjEXpGdJq9NU2+JUXyXVsSb923
8vBe5OHtyWjFj80yn6ryrJ5Z3KXbAvVUCRuN5JMJTgPiA3hq769Qz3WadbSmPsn2PUWYj3eaKsJK
IWguO/Vupjzn1Nr727x/hPwGau23j1HbYzl+8eaW4/Tvl6g19TbvX+fjoz5eox6rKTdaqwa8oszc
1z+e/B831RN/vOf7V33/OPX8+wPqN/vt3/htVb0KOcvGCGTJYWZ2Wv3bj/Xbm6jVf/xPfnu7357/
bVX96cfijy/tlhaYFJKbrYKBeWv2ydViZclVvRoL2lrdOIED787qiYhOP6p/+Zoylm6kWq6qbbv8
wknCKZ/Yn9wei3C8ISXwCk9wU//H1b5hiIeGV6Z0YdExaLEezEVqBFzZCdBEQXFQ/anaVguDBAco
ztQ3jMmg6F54w6HpF8BT7VVFZ/VoWaD3ml7oB53bKEn0E7KMAhaEI4teq6p/WdyIEHU1d27ZhokM
DK1n8kM9ecipzSXVOXI/ttWDmjzy1doff1LPxXAmtfygyaxStUDAQjqn3BQ5/ikrYxxAcBxyXPkm
NSly616tTlECjEB9fKkeVau/PYp0+LmyGZA4MsEViDE0ybp9cYyNi3FCjWfMtOIyTA1VgczztWDJ
xRfY6m+xcJgHyfNWLQa5ljEYlrTdLBBr8a0i/RgJJ9e+bbnKrYberD+eFbbcWKglT/6+8ZoB8Egc
YPypQnP4QcO9vKg3ZGJKboN8VwJ16X65Fyedf2yzf9+WVErU/xHlzqdIqggqdUFQj6mfgWuve+Hv
Pr6fkHfMCRnX7uNXbFRkbC7TY+kh2YfILpU3j7q65j9Phm4GzYbMhd4xL7HkDu7A+jSLYQd6V+A7
BDdFMRZbL/wV97JG5uMCWJIhwXIY8NwRs7icF1n0JwYQglVqSGAy9siD+pZ+Ptx2wEnRCPH+6ntF
TrpcBnG3mdXA6M18eH/h37tWbVbj+J2A4HSHmYPCTJ1RSFWfMsp2GcnQvFmfMPVQ27mqaxvluanz
tTAJU9YDA24rqKahmm9G3bXOSkzkyUrvLLVFHAu/mqQERCB/f7UnevXWf2+qJ1LP/FlMYAJXvztg
svI5S1wTIY8EyntThMGGe6kkIak9ow7rWJ/g/zK9iGrr/ZBVz6kFGuy/TpWPPfl+QMvTR/3rf2yq
16nH1LP/41sN1bQw9rhRp5w61tSXUZulKm99bKu19we3lDKeHrvF+/6KtdE565CD1EvUxzLX5ExW
q4s61d5X1fmtvg0jv3+fgLn6oI+vHDeVR4anda3542eFxlc4/USLtC1Qpwllkxqj1mq91l3VnBBq
5zhiEmK+1MvfV0lrLENYGeSZMHySFwZ1pKq1j8XHYyvRB8fVEEFjpLQ1/31NUv+TWgyTwS1frSIZ
YXyqVt+/fbMtUAJulhqm8cR6X6/gFha/ZHBc0LN0rG+e+iJWF6L11i/qxyagh9NYftTHb//xGDkJ
zMxjW9t9vFh95Mfmx9+qtY/d+PHEx/v98bdp9WXMkTyq30JdOEc36aqz2lZnHr94Plyp7fcvv5EF
Ko2cOmmGXE/VPv04tvztLdY06rHqh8c5vXIqsQ+ScWQoow7Ef15Vb/F+qVqwLZ+9pjgAxiVGQS7U
tURtqjX12MemesyRo+D/1evUi+fo+wwd+aI+X30/ivYcth/nTOTJw/j9YFaP+qIaN3Q4/z7v1Nr7
q9Tqn9u/vetvr/rzA/78K81AfDxAW9h0yIPyN1S3EbWm/vafHvt4iXpWqFGgWv1Y/Dd757HdOJZl
0V/pH0At+AdMSYBGNBLlFRMsKSTBe4+v7w0oKxUZlV3dNe8JF0nRiCTwzL3n7LP8Ht83l2vL8/7H
Vy0Ui2/g+ynLA397q7+777dX/e2d/HnAH2S3mts0yznbUEnQuhKhxp/5Gcu1ydIK9IHzfPLbX77v
g3vNKb7cLps/QzW+htvlxb8f+vUa36EayBi6lUL/4euINqcMcd33ifLL7a+ry3n1y73L7eXxy3n2
xzOB3Q2IOdp4UijpsTguf2JlM1VZv0lI8mPz1AC2LOwtHhiZ2N2HeMiIGKhb+YHhZJhlWuJCXRiQ
69SWD4B09nqJFXCiSfyS6dnOLDXpQVU8+4Y8jdJRve4O5Cxm32qwcUnEwR5K0CCbxm02RLS+NWz+
dHOK4zSGmSP8hlwMPT2iwaLcSJ0EzQnKH6tLy20vqNbBttxIyxj3+wf+Gk4miIDtvKmaLQ14+fnS
lul1mVi/LwCK/XO2/WXKXa7+3cN/u2+Zupf7vt7h75739Q59bB/NGudDwNaPU3O5sJZz9/s2PnY2
MZTOZ/nifP7Ot/v55Pq682///tvTTaMZoQyLAo7NPKgtT08tkUXXyyM7Qpg36lBelj+Myyn491dJ
XCTfJMl/KmFlrjHV0N8CdJDAEGLa1Ge7T/BTZMdWKvihc7QQugDQ+oyzSN+EdbWjYCeuemyHRKEZ
NLMb/bEuwhulMo/WYJ+1DM2RBUZrDj5T69SgQWjcog37WajghUKGZzdk6b/rFbSn9YQmVw+zHo7z
VDstrUnYbVINoIH0bODxyPiiOT2EOuO2kdpD9cP0AwMBBCtDIpsb3uLGT2RMA6Cz3WTMK6xEaMf6
gATKEPmzjad3rRjxQWGe3THFz+QomJ65MBxJ8h7Ntn3xgwGWVJICO6OXOVBno8pH7GVGIXxVWnMF
3hsr8ukgfIth0KgUjGfwLVQpTC2mZJjmGy/21yQPJO5YcI2mKCKcftr6dR2t9NojWlTP3yXFvtbJ
BWCr3GzNQvpMpWF0U8iobhHwnyfGY0KwJdQntuBFLm5AQb7i6fR3MBPWlAnQzHlPrVleLHx1ANFL
Us/5VruEnIY3zc6aczs2E7hbALaRsRGVZ7pJmr2PVrE3pK5Y5cEwbNgkt+4YZzdlLtvX7Pt+ClI4
rmRikAgeQRE8t0WVHnlUgiFjLeYEm6zYlFhU6smMNqqXpTh6k5rKTeKybaNyXgekIGfmLql0xCEd
esBBJmOKZMRIpolAUHu6UQoiIwCPZZ0lARihbKGQfKZh/FtJmXaHGNs6GGOpg/+COVnWD/ZEtqoQ
vo3Q0r6LhmZcz+HNl8honwMQTzGij/scfy4ADOUeKRUMRaIqVgxQ0aFVvFM2VdmG3GwK2niK5r70
IauMyc06xVi3vb617PIV4DmpAFALkZvpBCcAKjsKBbGaKWUvrXXGZzuSXNzUiMuJLKOm95COyiu7
T3aVuN03WQ04yKs8Pu5A0TmjzNRKoKGV7s3sE/LNdfwFiWQeSw0utcDMPI/+UE8Y9ag30fFdJ2Ql
NGOSHavW3wa60sIBA+yv7ekuSq5UhC/ISIdNTIG1bKsdbMyG5MfEpFdhKxUi2vo9xQ3uJop5r+Nk
m2BCiEIJ3kZNfouKgfTnLo6uMiMnYCBXHA455dyM1Mrpt+BO6A/2FFp3Pfloomfs9PQCwbZ/HIh8
2vUG80pOh61Vc387th++CLObuI/fLaXfhbVVuFFFlEfWmOcRsJqKL0xt5bfJzNQTI0VMBQGhMtPQ
SzyAKQd4XblVWT7PqTcu0idiZAFVd3W0N2YhSNwGr1OD7szWkis7Ry5defpzvlFzdGSxWf8we1oJ
0fjs92JcTY16NHv1h2S1tptLaD5JqJbr27H4mZVGcInktFoVRTZs/Lqi2EScSUf8xVFYGBQVs39R
hclBQo14DEOfQ1r8VLzAJF0jJYRlBlaaWuWKXCnWmizuydVI55R5oFHegFuOFB+7ZsSAP0yIAXDP
bu4lJkVK+m5hv6eU2tKh38K3mo5JkF1EGR8ox6IiF/sYT1isJE92yGzYrays4vCTKunO8nkPm3hL
lbpnZhhbXYsvqoW5pArPTH+mEaNVL8Xe53d0x/KOwB/1J+K6osufepQWWNdJcukTb10nfJGSkhz6
CPNCxds5/vioGt2T3QNCTQh1gTvIj5K1N6mRHnqcN64mTTAYijTYWTo+AKXkrG11TeOfNh47I5ev
So+sItpHiXBRvz0CuEQtYYseEb56sCq81XrkXVQvdPPKizZW29QOgcCHKpmL5LLEl5ArJ6sNd/jD
hrM+SB7EupoZYmReSn2EfDQAxiPrGSyS1aee6+auBMXYkEM9eSABO424rxDAXaNP2b6piILA90wu
ts6O0FR1mHgKZ7kP4BWQ99gjqjI3Y9n3J69oyGWiybwpaNqEdlHtwhZJWYSfcB75OQNb0kwSCrsb
3GOMLkKnKTvoDVSFl6KhZ6pWtIJ82f+U/OYnKVITQJVL12sowfOOFLIKiI0eI4xHdpcZgX/SJvXB
kAtYb2McH0gNudLG17IupHOiThwuQXLqJQmjUBp1e5pyq9xAkovUfg6g2FIoQAmTdtDGu5SAsao+
WL5AtU29/4nx8WCS9EQoGwdqNurY8hisVIWwMk3Et1TmHYDT4VbmG3NizY62Whz8iJT8DIsJK0bd
wx6t8on0O/WkSt3N1EQHu2J4az3zjR3zti4p1trhiaa4ujYiE9F4zGwkef5JNdVi3ZbW2ZPhUmsV
NEQocnSrzOFihAbk5QQaDYrcnZZl9uFKKegFD5yOB1l6SMBxr/zZqG57CAK18Emue8tNXj2Prr40
4X0eUBqjXGwBvz12gInWHZ6+JA4BLJmXYdS2NOZilGQbikcaOvvxaPec4qVluzWgS8K92x90tzlB
PV4oh0Oy84D+GanyANq8uYBKB6KUq2Rr9Ps24RuCSrSp7CE6KDLaY8lzq+LYD7V964d+v6/0VR5C
HVBN6JsCdGafEhTj2f0uIhY3pqOc4HqISEYYTfKyml6LHWaoKzW1m3WfsB6HNupmKuTcokkHFxgk
Q98U3rXqiEI/NVlNlxI9zMweITnXPg5N4sXqsnzwlBsxkcnbA5QRPzR7itej1lHawn+kwT13ZXOY
Cz+GQS+KJAgjHOfDVpqblu3B6FQo8fFBl57HPhZbX+s56xOpwuNbv+D1IpxEm+6RrEG8xSOfZXGP
uhzSE3PXNlNRtveW8YI/ArNTceilBDXxgBFVG1IY/l3/aNXBThFZuW+ialibkB+Z5PZE50h09oN2
b5sjmFWfBXMYCITzN0GLJJ11U2H7jqYU0y0GcyrDSSDpq8mXCSfyhrPXE7tCBJyrwshbVSBAR9Jo
OiN4L7IJp5zwXPq1fBOhsgn2ucCTQhTO9ZTKTqHdoZKwVnVoSPBOmFATcyaMgjgoi+mKWYlOcFty
CoYkk6b1c4f6Am9L8WIZ3R6kk7KSyWK27eAzHeMXlCb4YqlLHKusuUV8b28CozN2g2+9BWl8b6Rz
zI4fyatGYGqpE/zsvmLcBeIpZf9DOxp/QZWQhKIU4TE1TkL6Ifyg3IYte4dROkj91B9R7f+QR8mE
pMS6xW9YijGa5lkc3IZdfRD5BMjD8+na40IORwblUkWiOSqCrm8Pw7rFXJXeqJoW7fu+fbRG67Mq
TWVdpODK7a5khhpPHTKAGFzr2sQzsSWJqg9miToBAftQurFVk3ADk7nYUiH1iDmhAwgPqXbmXq1t
OLKGwZ6BhEHDuxr4qXbkv+gb6TnrVRbquZ0f1JBmemohFjX0u5DRQVh7RvSHdLIcYG/jQa5u4gES
cJL2PyeCXWCsAYVBAoQ6Olqn+qmBj+DAMsMx0dmbEr6oOTsbcsOGquV5Z7nu1JVf4p1l2R3S75zC
tt9mUVk5MhliKz+USTXT5hGIwU+r+5t2GK5s1kGsqpLtVI8oBj2f497uWYTH8lYaQJ9rjbwbolS/
gMZB9EIjNNjhFX6Bb3KuDb86Nxnm/CGoJISiygZgAWGkRXFu2ECDe8zA3Q0bvZm3Jj1BmqP1I01V
GoQkLKwLE+I5sVYPAT6nkRXA4BW3kSA+WtHRuiLWbDVCBdGZRk4CxzUBseHTlnQiYqmRrr+LyU8g
PUVsFoSXbApDS9dJGm3ZNjyXOQasFs0BWQk1ru1erC3yplbKVO7srCLyGyWBLRB1j+Dp4BIjvRVX
WXTTytq8Qod/bGXpK3DZowgpAAG+QcA/orJoFaMjUwjMSoefuOUo7FW4fqDz7obW+mlYRv+cW/ZT
WSUVhrDkPYwk0/FaBbWNwOyrcXwl+rmKDfUxqcRTjbKHBqniNr4JmC0jWSwjpUNqakgwA7okr/R3
ShYRlKCnd0RkGg7knPUwIXaKQukhiwCM1ZBmvHxMXRlYNXu16QkcXunKQwJIlN/SNCKOnLx2/Aqa
kDe0wcZkPVCNyPEthGnrnNqdEjidpJ17jViQEg/Xthi7jqg58nYI+urVRNn6wh535hRhkcKMWZlg
PEKdhQ6u7H7tw1N0BBnmbudfVOabDUZ9+jAJUy62C7YZK5nyJmIVEgsm8pFzw8NW7wOIQv9pwQHq
WHIEInZ7CsXJnGRT9eOuj4uGUx/gwthQfE6sYyyX0LLaxnhK2S5FMIfIUoRWYVQVkXBI2KYOz5ol
N+lOCw15VdEWGypcs2YEMQ53h44bv7puIux1CZsPRrIEq78hRmNDqhwBO+mIdnbqk9UUTObK1Nkl
d1a9TUErJ2k67sY6uqSmyEmYHvac1DBLPXS+USOuMy8FrjuQpGCa8loUVXeJSLgw5hz1QOh0TirU
aeAxI8BoDSccRyCJwIz+fmYoV9j7go03Jo9yBHZCZdIiqo6YQUGec20F3lWV3w59/WiFt4HeYNaE
xNP6cb4mxa3LInPPr1H5tbnyyEazfX483ZpIqRkQWLUlJzSRkVoOHdoK7MegAF5N3/tCcKS5RVGW
bQWeWUPBt9JWYOSUSUFZq6bI6TwWM0qlqg64tFEEnwnf5ZoYeFBeYfwR9uYb/fvt/C/uI7P9YVDl
AuqRPFRDTzVsbHZG45P3HKXkWmaV07fPqgfmSNjHEDm9obV43Brj8FmSdnbleTCrmCJuVbYgKxJV
i43up6yOiKwyJn7SghAy9hXYQ+vg3OZiWhkDUQoUhtHgVS3TQPswqe1zqvgqUV6CeNCpOsvQt+kI
5Dg9jKyGxZZkG7vS7iJr7sGawneUZq5BjNdtSX5sDfrLCUtA15mm+K5oo+RgKc0XgPj/ObL/m7ZY
tcx/qy0+f7xVr3X8V3Hx15P+EBfbxj80Rdd1Y4Yny+iEeb1/iotn3TE2ZFMTliJIhEdB/E9xsYa4
WFMt2dRsE72v9ou4WP5PxMSKKnjDv4iJLd1A0kxYhsAfavCv/VVMnOCwlEcv6I5ZpzcDrgYMhqdF
JeXNpc7l2vfFf36fP/d87KWq+u9fhrMXm7kPp1d3FC0lCH7pvi+96OWZnQ55tCPDaSxSuInJxZtd
3sns9xZqvyW/fBXPTvCgf8ytXN1nU4/TZ3aLW9jGqdPtea2CmFAc5RnWcoiY2MyjosTu8dqiqHXZ
REEkAgFrtt1WDmANaN207e3i3rNQC84e9goze4OpvcHcns4ud2P2u1ez872fPfAeZvgk6h6pBuyT
2SVvz0KfZnbOFzgZVa3CyexJqB5yGsdEg5DT4M8Jbo8CA34/O/H12ZPf0lIuZpe+Mfv1Y4z76ezg
T2cvP4i51Yi5X2Fzn2L2z3gfdo1qvGEjTtAlSAB7ZgPEMyXAs+AFyDM5oAknGc0vBSPif9aRQq5b
vREzbSCauQNNkT2qkb+rTaPd61L32esBVvE+u4shKOFDhl/gzSQDRKDBTDagFf3o80O5wrqKZ/ZB
PlMQhpmHoOyAHhWGhFS3z86Ip8kQAp9AECv5suO7N3MVOgvCgj6zFiagCxiCHm0/tdc5iyy3q+4z
8Axgd2UyweTmNIbEPfV5clMFZbAlEWCa6Q4VmIcO3MNk5gZakmJbi/QyFdYLEmk8izMjIvMJHa3a
jvbIQpAAJTGAlLBAS2gzY0KztZ9dWI5uP/MnKEj8YJ8SO14PmyIxH7HuAr6cqRW6DL+inUkWAUiL
CMS5JCjZZMrZq+QjuwUWN/qE3bCwUTKU6xhjEBtl1Fr2a0fetZsVgco8CbaxICJRkX/mXZc5kfEq
CcKeEzklkNeEOFDF5dHqktTROSFJXqky1i4xv15eXBepbTrwKyUO6aB0Mehe46kzwdriHdOoqoM1
xFiL/rbrrdz1zfwRLwCgF3yJm7breiCKgHJTzWWP6OolqXnqZNwOo8JiJsipkwY6unk8hdpQXRUl
DFVTYAMf29yHKeaVUDPkyJXV4Jz6EzvcRNpBoG7X/KtEFZfiLanSt6AkGFYn5bTTxW3UJB+yPLfA
DdyZ7J5MY8SGqL9m7IZXgs2d2y3bfmOPF/idMpfnas1F7zSVfODcGTCCXhQ2s6qf/IiD2JWV4W1K
upeAMKkd1DfwQ032ahU4r2v4ppKmPVgFZfW257eS1BICUXOQ7LdBKe7m8XWFd8jmR9MxOWQnu+yH
XdNiSfbUDsiDLm8zlvWHxgs/zTi9ZXh0J9snCgxDLskT5JCb8Bj7QM1XQOpb7V7NivuKYPcdiGrW
NGhPvi4E4QOp/hSmY8uyV72JKvMSN5LNwiQo4Tdi6FZaCza/is1cCm9E3G17aCRM6/JhwlYA+0G/
GnLOCRENsQMk30Dae4q0+L5J0axwdunSRP4hv5hyK+WI/duUVEhFP5QSLNrwyZjofkwN0eZRCSRp
rJNDgrLfCa98lhob8mxY4Eb9eERev+WzvE9+p5+0dDijtefQUMtdW+prvxluysSnYOLXYidSgK8i
fhilolj5otAc7AUnX1hvuMf6Y8WO2oqBi3u1wP5m3ebYATZ+olKAKIVrtBOxSRrpwIO1otPADim2
Rlcy4KvpbOoulCKya680YI87hUywn6lGL7qNNrRgt+QDF2UpTDG/GY11oCPaTy3c5tCtWfp9FKmx
g+TRb+tBkMWp6z8Kb1jX7QkcJDtLzcFKVjjF6CVI6I0b0tlahfp1CNd7rfZsH+vYSM9aFd4qZrsu
UaKv6RPAGZ+kt1a3IKgVirpWdQJeMEhDG+oIGSks+ybzHK+T/KuEtNFVM2vwhc6GUhpNlyIiTmfS
/lbUdNUpaByNYux6BHE9n1rDRFxkYpijG0fvaorGw9CvqkkNqG6TvAz54qPsu2cGJO6N4L+0yjEP
8vci76+ZDI4VrZwV1gkoOnpysWVIjX5OIPxIsaL/DFUEfVlafQSQHFaN1zNVNp+jNwL4iYP7qKmL
HTUUJ1f8aYN4/JM2DbncloVITOjH0CjQsyluLGhMwwhuHXPehcUosSgfWp9Tk7J5Qxncx+wt64bd
fgplUQLFodgkIreJcS0LyTxrdEzX4xDkJ9ojb/2g3lbjeKQL0u6DbsyOnbfBXktLSk0elUYHjxVr
3bbJgKxF4XjDAvyhlMlH8SKbc4eyozGh8B89SBcmi+qZYd6UM6yw4ERGmBgbcE+aQQAA+rDDrGap
LrF2AJ0tT/rBxoDrZtbw0vTUDbxKe/VKDx4Lr+2L9hOJv8BKQzQ5ZGd05+FlTB8t1Qc9ltwIfSrX
Qk58Nx7NTyMBgWtpSHk7tXM8EtrXjSFueUncADGDXi9HNyTAc3Sq/jHuS+nYtcFBLmx6N5BRdjq+
QECNWx7Mbq8sCeJsbvuCVQYmfqcrEAWkiZ2Q0+XRzWyhB4R5R5/Qrp1CUT7KzgY+Rw23N4vntDTC
NbTaT5sgEIRp5bZhSYf4nc2n3fi7rq5HEERdf6BXspYrevZ61VWsLiqLMhXV5Zr+glWyTTIZ2FCT
H0If8koYV7NR2GVXZa+1uLthHQmJdwhCeHkYvjSGY7cO+11jDa8gIAbiH2sCzrX+w7+SlFzs6iy2
nXySXtQoCrdDLdoDawUgv4leMNnbAOGVmXU66PmaKMk3hZ3SvrKanQd8/ijJ6SGvreuxUfv1BKPB
aX0ZNqekOG2q245OKvMITGlHLXM7NnKzrvmxKHLTMbL0wpFHyqmJhmGA7y9CeFl+tC0DBjlBbP9D
esmMZYQVUk84lwZA/q7EioMaPto2Is1PTYDpU8loopgyBxBGJVyw6Ycg24kOR8tYtJP78D3jlywn
FX33mPZ7gVuWFo4Np2nwRuqCNCwsw6euK6mcRpJK42c0tv3EzFr4ggi1GOMZ72tjLF/TtSw3AE9V
pOlZ4lBIoXI2yBep1gp0gUGzqcBPbrsouM1wORwNqZgNLywYdLM9cQywBkn2JUY3t6RCvyqy7l3U
8fsUyW+Y8u+8gO5XoQ+z27v9UQaT5Y6tZVwRV9BADFAD1zDGBzqX0c7MUmChnnZvT7BWcxrOawoW
hte968hGcDDNQYhTveoSLqoxgGwKOdUM80OmtT/VxscuCNwgxVY9d83v09QqLsCYQs/YWyWoSwz2
OJts61TmYe5EChP55Bedo1mUSSbNb4814ZVmJJco20Xl4M+SDsmIz5wa5rWRyf3WEOAHxz6AQApm
ETGz1N2D0bnOq+qM4YZylKbnOznRkQUwr8keALIArDPAw/Ac5TQvJjzMlI3g+JlS2q3lQuHkzcuW
7gQrG82EqRqhvWFQDoujTGwmHvvyQ7bj8lDPJovlGrkt15ohK3tVAnGWC2hrgwC80QeGRiurf5LG
FAp+PB51dBXnQHBiQ0DdjdHY7numTbw1SbaN5E5C4x6dhzTWYI7My3Zhk1o6l+NUMgghUnknkIqD
E3WFsQGBsIr00dsxURyrWjSHBP/7rvamyxh13m6IPbHqZXE1iEZbxWA2kAuL26QrAF4Sh7b3olJ+
TC3tJqIhNyiQOmPVDyjZC0I5qDiPsnZoiyE6lR5ZCwwkrZIf63ySbwZq0JoyBkeoXC9Y2iCi6WTI
xUN+X5IhekiL8s6wC/CjmYDFf1vL1nQzyVPollNabqhYesSe4pkLVdNEbOCJTW9N0AxN6U4mi3rt
sbPYZB3hs4msPDWqS2q8vqq6tD/3apaDzTr6Ho3lyWJxugAH0z+pgwuP8Lf7rDj5GfqsOBb+YGF1
TIvYKCjVfBMI5UI4dNz63dx3vlowhCCiY/xqf96mjxfiT5r3DyrmpS4dSSnI/M8v7N5C3Fsu8tQf
gaDAgvBL7TVstHZtZjruLKmE0WLbZKaDCsVQ83W7KV99HHRf8nEllmYazKx6phPnVIFYtMR/XIRa
6UgEF+5afQi6AwO5QVhovBZDirdqkTqmuhfhAJvlkDjaLbdV6qdFCbvI274v+lknt9wcJdpzulFt
2hqQT+tn5B7OKsnlNZYLmYGdDYjYft/19QZVCWGrC+jUzIrp5dUIbUHuvVz9vtMmXzRX4fZ8q6FZ
a6HqXcR+le1Pe185/iIj/kU1u8jKyrlCPwbS9SIxZeNBibWpB3M7UD+IZ16h3XopX5c0sUVFdw4Q
DBwN6EH2Gwu6EOkTHopZRBjMXqblQpq/JfMYozlQ4TCyYvToboDR4Feaf6rl2pBqk+KGEv4vXFcL
eVKbiTLLtUI2aCTrg3huGcEB4MOzMGcReF5Q49uNpIj7My6TeQEfA+LBqzibcT/LbbWCMMn6hD6r
pK0HP6+umtnmtVwjZKvdGQLf5GwJq+eL5VpCnoPbqMNLNz/Uk52mSYMvRONy8IUKVJ7Qmp2eHW2D
tYKjgO49H9lnraO4ywfnR5oPxIIGuiC/M5w/MQCTkmQJYyh2PfyKIFLMrR/DjFkujBmfAbu7vOpr
DzEZ1MvlrmkSuYMLnj1w9oBeCb4OTePiimCK/IrMc0Cc80WGwdwdtBZcv9xs7LG5/Iv88luzOQa4
bWN7dsjOknl78Y8t6vnl9nKx3JwkD2pKldmI31K24ajp0dpP7ZFNnLdZDhyJLQOY4RTxkYl3tZo/
wfKBls8y3JIsh1UPODq/yULOUWcmCJjS4ipCvbU1gZIsFFUhQZfC0ppUCCwihhL11tB7hYzGmTgV
zQCqhTYVc6I4SBAI05ml/ssF5/Qf10ZzTsD8vr38WV7upMvVu/bIHvnP50GIl1E+zbebVk2r599e
baq1dF/LH0MxI1tKnePu66peEnnAXMHaZL4z6gB5pFXIOP/9yA4HEH5ALpZrywO7gXmY6s2IMIFD
Qo1atzDAPS23ACH8QZiyteq5bJs5B5JHVZCUFVf25Qw8TmE4hZSFTpTT6dP+ZFItdKrfbprkedrk
98xWNnz63y+vabXk4HaZo0L5bpev9RvutdzXz39Yrv3dQ1ASGrsuY0RfzKgLd4YAAk92Jb8y8TcG
8zZbT69zcO7MfRDFZbJc0MzN2n+xqO+Xq+WonkIRkRU03OQjDWZrkeF/W06/vIeUcUtnKmdDa36R
ll9zQRf9cnUxnsIz3Ykw6LbYJxkkvyhGuZ3puxj07YLc0czOIjJYBjnJUPL97y83w4XPM/9huRkU
JSKAFtHmPB4t4J8vBtD3ba8HOme1ErwePtlCDVquZYyfQ6eGO8rElaMagKOX+5cLoybaGn5NRhNl
ZIc3UvubRxVOoKDaLVcJyCLDk5b5OlkwsjOTNpqvLTcHv2IHms4oqyYh/1Xp9t/GSCBaJmPTbJTs
FYlgEchWfz0I55sLJG05Jg3qbxul129+Ob6Xq01IKTQGu7JebhZaEG8TRTn88rjlyJYb5awYkrb5
5eBfHvP9HqWCsDlLC3rrM5wNfALnUzbMeC5UWV//4PKU2pyBCsMs67XkfnKiRba8IPcW0F4wz4O/
3Vz+gHlYrP+f9vJ/or1oBOD9O9rL+aP/r91rSlcwrD5I81tedP9OIunXM/9oywh5TuyzFFOXf033
E+o/OK0oChqqCRBGmaEu/2zJ0MiBwkKihZgbOhDOvnkv6j9MG5GXrWlCgdAia/9Ji8bQ/tqg0cHt
8UqmpVvErNAC4n/4NW5SRz/kl5aYdrP2Jg5N6nOBa6E5fCiPyQ6Y4qRuSnEF+BJNf3vfvOo//fvm
EXgJOlyanURzDhNbm6emOLTelrRtBlt2MgaSO3lnk/CB9hP7wgNhVWVGMudtsgU+ssleabegT1Gi
Veo5wYPyXh4IF9oDloq+Gor/Yxzsv6SqLp8RjYJtGIwUpk1g4q+fsfJULFSpNeEHE4+totwGLZCX
eUPS6z/bqv2UpDnlIA5fjFC5/eWA+Js4Vd2ev8FfMhSXb1jnlxKGLgvZ0H579xz4aRn52rSzHuz+
IH/mt9U13Af5R7MhZAtEl7dqP8WdfpujzDxQA4nvpI11su8s0PHXZeHqF4Wo6SMysdf0PO3jSwzq
+RxWq/7SFmuyVs7jq6VT2l8ZdyLaTpGDbfhn/hgctRt5W1gfEGHgvtrTY/zBzG/e6C/oLYlKziG+
rIxTk64msVpRUGav/pA+dAhEtD1c+1S4wnY0YpqKNWkUVKZQFtXH9IgS432gSrFrxMoiJlU4TDKW
U92VZ4C/yqHeWleak/7IH1DvBT+jez7OZnjKPqetdDuFm/AE7R8pkrrqoN7u+iPMaaQam+hj3KVO
60yji4wrLlaf6oFWS0NCQCTtYefXbwiRWrGSnPSNAvCgO9K++tFZTkqE14MFip8oOXjzaKPusY/a
D169TaLLeEOKvX/yzXVl3eeX+MPXocespFN+b2ynW5AL2VPa35NMRB4AX4d/HJ+zV3PTw6ClnvwZ
UZM7mea+U0AauOzxfXap1qZH4wGTi2QFsYp10HHPHcg+7TSxWEMAl8kXXd6gaRaX6kd/MN/yG++6
yc/qHTt32npdvgv9dUDM1G24lc4YP87+FZmu/o15QGAyOmayBgNWvCZXpYUQZBVcckf7jFzCydoN
wmWZovdbE8H/3wRs7qE7r71nwgWK/Ca8b4KTdQCLR0ALQc2RSz7GYdrqm8CFvYTrF96P8aK8eye8
voTVPGMftp30msyGH8FJJTeNr7YuHDp+yFMou3qU+bfiOLDcBJV5sJ7mAG+yAHIn+agu6JuGswru
5Vp+AZ5p3Pp7QfgWWoUQftu6Jzr4vuObQJnWkLF0pBum7qLXdg9u9lq9hVZnPfhv5rmtD420Cp+8
B+tCKZ9DG1Fn46DF0/bmOb3u93KDbusoLrXuYjAodtlbv8kgze/KXfJswzVZ2buApuPJvrEfp3KV
t1tBSojbrFPOjlXy0Z0R8rcHNbonI6W8xgd5Xc9dQsQ4rCRgyl31z/AaxEXHdALrDYKKk7jNq7kL
KQ6tFNcO1iReolvc2BfjihSD4FSTOAbWtt/jMqfQ+rNas5RRd+Ymc8W+izC980WulH4bncadV+x0
sarW1TlN11SoT3G0VhDDPFCjHMn+6KgerFvT6XyWvSvlPXkIXIxoL8i6k626GnfDDZsfc8vi0thH
D82P0dmNu+AB6jydXzbV/rUA/tGsjHvvtf6UYNWiYj113X58Yt3uUqayLy0iI7Dj27Hay2hut4NP
WXNlXWvtg33pTs1LcEVeIKE/t/KT7KSU/1fyrXJd9f/L4EyO7V9HR0tRDRwacAgVpjnjt7RpNZks
ozdpBdUASzJKrajan6ywdv79MPwvg/D8NoaNQAEdgqWac9DtL6nK1RwiIHtKuTOU/n5+C3sc9qM/
fFB/p8CfEqw4lUzxf5Lf/mboJ8TkX2ZXSyGO10KJoQtLt2Wm8V/fFgC1juG2rnfUv4GOhZ5rDBn5
k6xbV5mpST8UoyY+JNl4xWPk20gTrFf63DBAUel1tDb2ejHe557X7SZL5VSjA7RpDUqLoSYf43Yg
CxaRLuKEeqNo9KyQNequNajWplIVEs7g6Kzisj43A0NGMmGOzvUDtovoOpu08qj3o+VokSDmYeOV
df2oFi0IbAEPHAC0jfUkp9dnTbdNyj6Xo5y247hTNdJTrPyBXkR75xu1erKTDDo5VdU0FhJ7X7/Y
2019pE0WUjtnIvPk4sXu8j3l2sRPwe8bP1u/J4sRFXdlStCVsZjlKfLm5kpOY2WrydMelifyJEyE
cxEX0Z4HZLWq1oWNmLxHLs1So7sJMz4CP3vDcGCtsv9m7zyWI0eSNPwue8cYtDjsJbUW1OQFVqxi
QWuNp98PwZ7KanbvzM59LzDoREJEhLv/wqlWRalIu0yGZAGm61nNS2mBb2++gMD6sylrLAY7uFtB
Jt9Hpqsfg7bAkmZEkzlTUXTPDIkS67DBZOZqxsgUy0OCaC1FDuwSNC7S/qk++IpLm5r6/YJXzp15
cZ0tDOwwZqo0AtYsEnRu5XQlqWgsaKFsHevKOlLAh+cod3R8ln4eSixPTUl/75weDxz04qcipksl
b9O2KsCN2qi2lEyWfRdetAwbPpUrS43xwUDWjOvF7iP5UWa6uzFyk/5sVM9hWx/xdk3mdWZChAvM
pyaA0aRTuu8mF5/YZJDQAoZTSn2cjaZ5b4x4N+YlGA3lJANmlQbjovQ/it64G3MJHzFveEb4+inv
Ca/Ojewny6qv7no/vQ9d70ENqh+h3cOC4AUe9Sai8vw8zevdUukCe1IGxh0hwY2inxghssRfjPQN
2jodrsxL6mxw13R1oavQzpIQy9ky9E5+bjyigHyUJBl6gMOTttUdLlbSWop1aVOi9BW2pGU1GF/A
L7qnNE/mso0BbJ979krqP0CiL2Qpfuhz9QduCbtuSEsaPrKscrSWomaYEX8RYjbmBfCxNxvoGeoT
cqSzAZHVmLsTj0dloJqbe6umuyeJg23SpNUfLXJcBHQqEancLKZnJrvSqo8/nNhbWdAZNN9YdKm1
LDELqFGo1y9mntKDOlQIQYxkcH8iBLGTZm5Mfs89dexy20CuFglp5c1oMYUrMSxm4JUaHyF8p/5+
bA30UNpHu+oOICIRLZJXOsKpE46+AipRMURr+8Dc42xg7jXP09dBkpwH3wjhorhYAUKZnowKG+2A
DYKNVYJ1GjWyJwg9GbXuYheF9O+QKsUW9sJApbXZVBFUL9CPfbNPixIMgOeu9czzQE2E5TwzKGd4
1YgmFS0fyVC7Wtit6iHF1+6UpkKMEagRAH70VBU52A1ZsLIqzJHExBxUdRcHJWM21an9dVHbF7fG
2zaVjIoyDcU1DF3zZTdJlPd6F+0s81sYTQgXsSqwnxEJSnfwLaAvTTsZvhN9zrXqd76IcI/lB1UX
jxxtUujt0kMQZObXMc1n78QuGgDqR+HhjKSqbbC8IMtH8f883lWUAdHabmb5xl5Uxwxdj1mwxsiJ
IaP7qj6OG/U1zJfVojzGx/6ofIuRot6j0Wg6Cwexshltd/Q63PPtF4ces6+f5VpZUvVMDtrJfp1l
Vx/FyFesjfWz/6066KseZY+Ze8reUXm/IP4MsUx94RmZL/a+uvc3OvQnZKdp589WvrZAzBgwCFGm
4kZNSAaskstqbp3kCyAu9OI88ByIRKL75M0meQ9rq1xtyLOUT2blq4L2pnWgNMZhGIlYc6pbxrt9
sX/Y2+IjaF99ALLhQq+pWXNg+7PQlsZTd0DjGoq15GC3wKhnHuEAenLW1lP2wEAeh/BZ/2StrbV8
DtaY9WB0DdfQuWo/4zfE1bGaex/fQqwj1kW1zFRG2pTUGDYvFHOBoMNGKQhVVhOUfJeBdGhpQJ05
pspkfUtjbSp7hCw9ivIdAJAVGspUAbVqr+hbin0DX1u9d9y5fEQGi7bUkGHzwIuZ5cCYSDHBZwC7
s+zMi4ErLX/vWtA27ZNltwzslS+hIE2DQH8yLzFUx+2Ce5gvvee4XucLg8HpCbNaC6TwFi3T8kXF
iRhqJ/aAw5wsa2zMJbR0ziqKWFsmR0g+eF9i5WfYKxvPnUWHO8cs4vsa1kCcSw0ZtLltHvpmRc2Z
gi9S0gOOqEDElsE1424xuvxAYVEr9+U7gpw8HgyHIfFEM7ho8dkxdxHkKI/y6V2H653zKp1owpyT
YezMV7hd7YbXIpG23OJJb9O7t076jxZNu2hJSFZTVJjocrhuMWa0H1BoA5sfnuxgb/4wltJ1fHLP
xE/VawmVOr2rH+AO8duYN87Hl/SQb9sfxGQ4WOsf2io4mcfkW5PNZW1WP3ePQY+l9dw58dngHz95
XVKVmmeP+aq89wm1qFm/8gVo7wnBWrgATQAQ28H7jxf8cZJ0XBin6NFgqDoukGY0w6WTL8GfP7fW
zKNsxvXvuF65Oap48jHs5lYve6xl5RlQqXmBHnixLh4Vf0ZOkb/Jqdv2kikv0JcRobTtg2cs8AQk
I8tNtAgkT1E5Nw5KsbT27s4mArWJa3hSuI3PimjBA0I21H1qoidvXCfm3CT/1+yldz1dBneessFl
3HDWBQOxk3OeWAfjjKp2v20PESKO3oo3F0dHaVasy30TrfpdvcNr2VtMwIEfA3ZaL7JziA8uMrjW
zHSRPp3JSIC8l3hWEM3NsFHMvJn1wntFYRpVzcn6BnWkDVju9+Ydu4cNUpnVwd+k/cyyF9FLvK7N
OYMBAjCkVZ/A6UdnTGAQl+xg+ZGCnUlwcdWZZM87m1dk7pnL7lAQkKeL8YhiHC87TTP0grdSInCZ
9+ChrkTk4M+iB3xVcXB6sJ1585wxwunX9lzbon/+oqzUtfkYr0nmvCaIQ9B9bONjsNIeU/IKS+uw
R4hrvO+SJaAvwP4XvOk3IGVW4aQOoR8jmjFvkS+wDLB++MHM2yQnJC5f2hf42G/8hyuRrp1u/F27
bseZh9frATDjuHQwiln0Z4zkhnIuU0VE0PLk3kHmxK6eqA4My4KwvL6rztJrsTfuKY3WLzb6qbM3
f1vtIcMuGSZcEQR3MGCn1W7vw2Flr6n2uFtn5byry+SJLrS+THCbA6ZoJ+9UfscWdgDOc4yCuXOm
uKYz3HrM35uFcZzABw/aKXiM9t5GV3eettMp5wwzdQAEsYmjQ15vc/liXvWjdZ89gTtjgIkWRuoB
hQW7uSl/EBoA1dqXW+WFqtB4JqQ70cOQCiFGDN5rB9uWmeMtoZ3i5GA1UGnmSbLI3R33HZDnC1Jo
YGXRMH1RtKVGff5sn4x6XiorS1pTvfelTa+seE6uv+K/ZNFVxidd36rhnCAVJozbrNIjaZUO8ER2
IKpUflTFO6MKB1xXfdCv/gMVS3umrOyrunbuYc1QdoQOhIAqkrXYTQZIqszKra8CTZv1hwDJiKXt
nIoTBlayfiqQmuCr/NlC99/y2nnP4/fkJJo5fentkjeyKx3V3zegAQyLnOVwSdZoS169YKcp7/A5
Q/vqdcfgDSpQh0XKVGEENbO384YR75HGv0GYOdq73UOj8KZLP4HgYBSDL+qF9scB8xc7D9GuvcfJ
+rvyDIiSiKA7xq9kILQX5UwCpNVmyjnejqviqqCuyHju6r3RL9EYaNo3p10BizlndwHApe/1yqvm
ybMsz21nAecFBjdhc0hXRvsIWIR+2IQe+djnj57NKHweGWtMrIAC06kotHav4VttzaMzKtjDtX9x
sbSd3LPm9VbjjQ2RooB9i7fMzH3zEMpGZUJZ5u/FY/aWuQf9KQ/uwoud7x1K9pvwdRp4grL61oOH
phwSLECMR7sQ2bLNSEfxrGwgk6wx0cRGg4TIRl7XW8LT5hgA+ivXhbpqPmxjgS0ezaZXAOmcNa/2
vTye3Pt0AwbutfmAPZkzCnjAoIz6plYu+FC8k7xMHpHtcy/ZFZjnXX4Aqhh9AzFf/NRWzVtOfuPn
sEu+qdo1CeYVQd3IbW/3HWRDBuH39HnBFer9pZXXRrDFH3A5vOnNonikVQeuiVmlR27sBF/8njIq
vYi2sZ9gJ4K3cM4klL5pK/mDBVzSOg8+HeS5hd6vXQAt2I4oc/eBclq6N+5gVBn+yo+vyQfW7na7
TD4MyPXRdXT2kbKSlna60qyTBxDv0ppbl25xkN900i2x/t6OMsGJjKjHy2gCDYjooPRlhukzn15A
YAvsd1Z0KnU34EUMgQo8ovBot4CXVqFLWk1RZ/pxIEB/wZDPPZbaz6r8XgLKuPCfYP7CRHe33gdj
mBRvXm4KssWuN48ZJeyselmWSzzg8leKqDw4/cPlMaY7IyL8mMHkQ30TWPlDewCk9b17AwqLCsn4
XnwQNQL0yzBW/FkhVU1HAynR3pFLNp69HqskeqE5tlK78TgskkOyThhdLjocDk64UbyWOcIlaxB8
SrsA0tzOilOwBE00KCv9h7xliBisgXh7e/2IT1cN3WFWLL1T/Jpuw7UPcPa9yTHD4tIKAHhQRmf0
FGd7XZxsey+v+4/2wz7xVkrePHkYj/4x/e48eOf6mCCb8u5sg6fyAJ+e/Hnx1A+rIf2pjJcBFHM8
J/Qawm2KMFi56r9bNtS9VY8BjTJD7xyUFOZkQaLNW9tTwVQMIKJVTG+h3RnebiSK9Q1L3nderOx7
sUGBJNAmtbSW4Y0v65jeFgU3ZS8mYj8xJw6zOpCmaRRVNMqNsnf6AJCT2AwtK9+5wyX2apAPoX+t
ZGVyy9MAo+Hw69PO1EWlL2wEG5agNTSCKq9fJ7kJybNPGMvbc8sIz2jS8GEnACkTdOEWhhVdA8ff
Awfh2oBiosmdyKtWogcZLdmZuWmhQzmkzK22kNAbAzpsY6LADgRr5klWDXFAXlaIXkD7lUlGOQZ5
Ttf3lnVYvyqR6S+LpuruFYDHQZLGq0Ilwy47DLhrCluLwkXXMlbL+6rS7EXm2t9U0MIMq3GtHhBp
iUsPomWsLhCBKJddXJI0V/HO1ILefwqClVFAPpVCS1lBfoRyrrnlCrApQANAT4sM7updwejI1nzo
1qE9K3uPYK1HDAdFgL3e0K/n0Ugixe72fhhfJReFiBbz8aNfaa+mjmfPOMEsGjSo0oFMpi6FdyCc
d3Zu7S06JyDz+xZumzLGNeNHRshd5l7jwH1DW6Pa1ZjqtVlP+BzS/lWjsYIxAScT3IKVbSNvT3x9
qXN8BVV9JCWuJtFyCBIikYFBBdLw2Eg6j36CZHsIbNNvbZx8vYOb9y9mlKrbtpOok9XmxQ2/xU0J
2MZRPvQ8JixrbQijQxiuZRx0pwRI2Ojxq24TrLgRopyjnUOXHWsks9z+bvSuuMoaL8jKV1Imo7ZV
v0IBJL2MgUroPhTGT4QfSgiE8VPrx/SrRQTxpXR+Fqm1VyoAm+gekTlJuQYAq0sgs8tOtfGhxshe
qu12U/daMCtk/+eIr6ZSEg3ZsI79rvU3Lrm8ohkfCyiWG6RIEWmSEJD3EGAhuOqeh+nHVJXoFPSj
6mBB02O5AhvVWZpATnUFi7AgxIm08tWNnJOexplgPUagdiN06melum/GZ0DOz206+S8TUzvAacs2
e65Rx/w8Fr/zn7K9jZScxrojfiefFljwifrYPsemXAAilR9qWX9J+wj+wRIkvoTNuIz4B4NrB/8A
/Asb2+MKJrGX6jkz8LBLCIjzlCGqltWPaYE4bqprjLU7573sF1jSvesmQ+OghSmTMWDOMaO0UINw
9FcnVl7Qy6gIQSlg1cgRYEN7yNpm5UGBmas+JZSwCJC+iuO1Uibe9s43Jtj2QEQHLGqdKQHBTCXP
1MK6OoP1JIUdYZOFKaAlv0Z59x729DQ2Ws2DQz4oqbfAPoGNNQgAhS32p+EjXsbg+DWalFgmWvar
OFv4AdA2rLqXgE/qjR0U5sxJA3PXKnQAlvfQ9Lq/trR1S1wa1i1IN0lGVaNZVRVyFVLw4KJAZehK
SvYJkrJd11s11iLY9FA3YhX3Cq0lbyF5+OFUBRm9gAoiTeRSG9DOKF2MBzTqbV6Tn20nvQZd+agU
w5QmG5C6qRSwIPWd01Ug0+XuMdHrcAaig0jGgkGESwZ82hpJsoxysmx5mxwBCc+UVuhBXjVuLW+n
mqJjz5DWKEGUt1HzjD0O45GYWgxteHJwiif8hiri/vDVqh3KVyHqXToKVqFnP7RdeBjNauGqegSW
VF7jKw7rqgXCZ0jSsAijQT3n1AElOWtXpgO1L0ZSFYtYbwbw/h4kOCmF2PlWxESumZ889g09ErZ0
Ey+sxDwVOS49Kk45aYa6dmFR6AutbZ4RsROK2OHMjMNwmQ8U1mS931Xtzq7UN79nIJvXr7K5x7Hh
RF1jk1twIuy6+nB6CvdJtZABeFtSesSkktwMHpLzu8w2tklR3MuOfepz0N2dSaWtlrttUpY/ctSU
Bvmb5yV0p2kDBSyA1i5VCHkNVvyKR28VUf0tcTmNJ8QVtQQGPIQ4w+s3E+cTbF8Y2Fdwj9KWPKkm
qYe6IStSSlOsand3gY3zXBQGVxknNyM24KIXlH37rAEd7dx7ZZiscEahY43yTVWNW4zVdm5Yyvus
RDArlOO7vq1fETcu4DYgou/hdIfRqD5Dqv2aSdK3vkW5zNfOXpvugU6cu97BOdRpqtkYEkoqUOAl
oN5x5Ztz3WDRRHth48LRgGMP0QSGCOOo2FpkTvKY9R2rctJqZdfuAXk/yla/qLJ2HlWGsobwFFNa
7cj+tuq6ojWbmXZEuqPVTsqIkkE7mGvAz81sjAFXpeO30Qj20GCkLTpQV1hFU8I5f+z6mCDarO97
NE7mbmddG97T+aDTwKsOFogVjolNTNxErdXTCatay1hXbo7cl7Zwg3yjadI6yEn0abGjzAMl3SJV
sG/t4F7i/z8FJM+jLHqJrMinJ0YWpKQjU1KUZ1Knk7d6K4MuRwZG1RJSyKFGO1XqwcrPCeytCufB
2kVqJMBVeRuGxB0jYiWyFwYruKjtGSj2rg1tC3d3ZMs8FdeVsVNWGnWd+aQOoQcqoaE5fNMjBx8L
1GDmWR5tRxmF/cze6mHdLG1JkWZ+gyJSmqFDOfaLDsQGMn0ouo1qNa9knr/pjivNJy5DRsOcu6F0
GfQ62Ro5viuljUJag9BegcHHOuzUn13RksaNMah9aCHOLW3g38UQEjrA1qpUqCVN6y9HVCsHu76v
Epu8Zl1u8Q3axFZADqI0rl1Cl5uPzTZAujDiFsEpsA656UqL3KOzoWgVx8F9MVR8MZXxrPY5tLIo
eY1c+bEr/WFtIPZVB86zJSMWpbb9RIlz0ZSqkM32zBeECMg6hNLCUIDG6gkUEEWH79PE3SpT1BcQ
yIhVmeQE7Clnbajx3ShJez8f77GX0RnpQgRHLobPONG7BzvNULSylR/o35dHPazW5PHRZgGIumrd
+s6rtllsvZtqIONZbe68ZPgZ4nS8skECIk1gzjNdXzY9+TVFYsQW6L46R116XvR81Vbx3SpgOSkm
r4RfAYGu+8pcRCsliYq52qYYp6rKoys3HhwkAgUddETmNi0GJ8F9lKCbRIFmkhIBFVRQyo5aIBCT
DqPrLHoqGkNHXsOrraOqMTKgYTtaco+ip4PoaIXLOyZA6yBtz622kmzIlKrfaGsk/PRdlXT6Tsx9
WezjDHcgTFS9InoPqAwtFa0wdp3t/z4R6+xycJZYxr4JQrmYFC1fAA2WskxyRm2uor7KTabtKjP9
jspZhfCQg/6RLKH7M0HADb8lw+d7BKUKgWwIRHjRQ7UAVEVOMyZym4ztW8/LtjpZJ2NyIYyK+I9J
M+RXKdGsFSLm5q4KB4i5qpFZO9XXzM9JimTIrn7FZdyC9/TPSQC8AFWzYntDRSYTSNIANyucIpLO
JiumGelFdjsVVQsjOsQF5n2i2v3/sg3/TrZBQ4r3N2DA4lv97U+WcBNI8PjRB9+zPyMExWG/XOEm
DQbdNOj4ZXPCCf4m3ID3G7g1ami2rlsQVX6hBDVrOggLOY6yHFtoOlRZU/v//V+a8g9NdRTT1hSk
FyDl2v8JStB2vuo4OI48YdgM3TAUcHT6F/xEAZF+7Lw0PFTIf3qF6WYzDeLBOor7Q0gD8odRCy7g
hUwdrNLA/ihzSWI04Qf4eRe+8V1PfMAExiHrMFimE+4+J9rksOziRLeUkuEtUaAuaDl8BSctAGuL
2dSGc7gUsw1iKZ/bxWJkQcyRIrpfASjOECLa5VqB70DTraZPEBchJkpVgVATs3Ae022Q/BAA65ub
jzUpnt8Wm0RD1kVhACN0IsZJklfIRGRCe1rM1iPVURSRhoWwf2kmRK5AY98WxZxD+hxnhxGeDQYs
wr9Wm+yHbxOjYaTd6MZeGOYIUxgxEW4xnWRIqzEATTERaeCe91iz2MG8EMaohEIocZmCD9Fm2V1M
5XTlthouqHoLk+Jz1oI7to36OyMvMYzWJvuIYiIoiIlYDIMwxWBP+lmildntvYAyzVhZlKwMKez3
kzpZ7OPlYLjupLv1o06Gi4RUBP11SgDgJPAYmzMil95qqNq1DRdjZknRpI4Q1Ou4b6doYa2gZrBR
7OSh8SmtoGt76hSyn4OFNlMeehdg0UVd7sc0Kvf6NIfqYrZuFeWby+DK0qQplaq3K5x9pBkCDAmy
52McMMYNJ0V70W6LZxOaxWM81oU7UozTn8Tz80agh1Glo+150bPOpPI4cSS6hhycqw/6PJPND/SD
UMWeXKxhrmBlPc1BR/hj7rZOyzuyqbdlsc9t8XacWCc7LrVn4gAc2xsMzn6d8N+c5utmcVpP9SkQ
i9nP7eQ/R+gRt980xMXdlm+/95+vK3NqMVE6MsAV3t7TJCnlP27Il3Ut6c21ZDiwE1dffurzFny5
TV8WwUZ11PUqdGinn/E7JV+XsIDi6XMJpu9LTNJfi5FAxd+WxeYynUw2xDFiy+dOtyP1YITHSzLG
VykP/d1pv6y7/Xw+TL7TXzaLxds+t6tJa7KeEp3xQuwiNvzdfrfzSR4O3iXK4bdVt0Nv627/7bYu
qtRzaZoDb/gkcK6a1iNGFB4DeXOyn2GSV1kpQ9OjiSxViZrl11nVntgdg3cOAUkj0llUMnoYDB5M
yfPm4hy3s31ZFOciyIASKLY4fGygLaYfH9xQ39SIIoh9/u44se7zYLGPuJDPM9yWb0d/WZclvbol
cZkhaei3tJBvJK0SuGBEkDnu6TGi/mI5iE2w6l9njWGiIMZTM/p1U95skKNYC9+AwJoaiyFFoyMI
KNDeTFZK0SX8tpMndr0xEG+7ChZig4fraoiMUzixbG52LsLTpVICWmgG4M1qxH9VrBP7iTlDWGbf
lsXBt0Wxj5gIaxgx58sUgJwU/rEgrH7hrxqZg2qZPabz3zbUaPfgpoI0qAL5iRb698nfrasjVJgw
OxWEOUHGFHPq9J2KuU9fG7EFU7pNrrfKGi1hZxJQ1pvdYGMcqqTB6evOn8eJtZ8uOfUIShwdGdLf
jB/EpGldrj732rkgFhKx/JPDOpENxaLY8El4zbNnuezbrTwZnomJKozx0lC1l4bjvfTTrdIqhIzy
SpN2HonBZW8jyaEDsCThR+NkNDR/neAV/ZqIdX5mvMtpP4GA1RE+tDvCumSSGvzftK221RQCCBap
mAuR+mv1LN8Kdnw3UeQVhMwFF9CHoEyuqlXLlaePd+XkwTOQAZ6LZy6er+B2xu7ICyNWNuLdMSZJ
LMqgSKpwvIY/dZQijesiXkX1euJeChamS5KW3J21dkdZh9Tq6Dsx55Ms+5wbzCZDEy5DOzlJwR0I
Mqo66lNtj3ziTu5L+GE+xooUuJCcH4pqo/bVwugx1brnRmU75A5I8OZAlwwDAdklFqjeMkjIv0U+
iM2erAL59MDZxaiiA8WRABrYYAvUdETYQEKDSXjkiNGb0L0Ry4Kaq4uVYvkmi5MKC6hcjVUStT3c
CrF82y7mPleKk4jlGPl1MGD18fOUIyPDheOGpI0k7d5WOuCfUj2OoApoTgTJVEzAhCKu2Gkb7JpM
xTOQQmW7mGjTyEvMVYLwKZbFQbd9anQngHmJc/7a/bZPaZLrUEfZnQuzMjEZm4A2VczylgHsyqfh
7t9uH0yg41kGQ/TLPmLv/8M6scvnr4hDXAy9PMcrkV7AWus2uf3VtkfvB3EKZy7+lLhbt7/7ZVH8
0UhaG+O1njqk20SZOqHbojf1IO7UfSm1u9JKmNiu6Foy0ZvddhRzvRXTr92OuW3+PG0Qa5gJ/fpB
sRKRKO7ql58V+/yv65BYh5QYaysTNTT0vnnTxaT2Sk71dVYspyiVfO70dXNlGDzK/337byf9uutv
y5+zv527V3u+OlywPk/9l+1i1zHIsm2lIIX2dxf+29q//6XbRUeD8jA4Of4P08347cDbLr+dQuz0
dVms/O3wz+2/nUqL13qFSUooRepvk/jXYpKBhEKCE2lX9ritvx1g6TKAqjF+u61y9VpFLzymHCxm
xZYmtpXPn0BEFsc5UOwMVbHcY9LjoLYbp0kUTloLYlasFJvJ6hIN3/YUc7hnKgt02gsKKb82mygC
YTI8nfO306lpUu3ULocnKmbF9s9fEsthOT6MObigCs089P1/HS7mfjvn7ZLE2cVmHvedpGBXp+CO
gTSO+iS+ldsXIRZ1D8b05vO7MNswl7ES5wMUeyEkZ5F3ppokuOWdsJPxxQgI3ec/zGvEnJ3W/tzB
ABzRiAJuCkXNP+jrgsMutSPUXTGbjJEhz8Ws81E2RrDr4ajTqU3fDMojuMlOw7nbYtKvwnBn2Ha6
HqSm2qGy+sZghwzCoIHVqJqPodF/uHTkcVas+yjzyLHeewkV26xpX8AcJPugAqdQo8jnI9i2FLF1
xGkyZ++gsLVEMQEu/J8nIsIfgxIKlUc6QWrScC83KogPjwGuH2k7U6MzNyfwToEMM+h1NNeAw/Ff
DKPfI6CD6g5DVN4dCn0xaWmKH5KxCMvofItdRSpCRLFJb3TLwqRu6HTk/v4/Yfd/Y/UqJjycX0ye
v03YvWZl9CVdNx30T0Kv8g/bUFQbTo+CcCbUzl/pOsv5h2WSlDN1R1f+4PveSL3ylEOTZci+mm1a
pA3/SNfp8j907DoNBwVd2yCbZ/wn6TplohX9iXJqmJpuGRpqQAa8169sJ6U1i1ama9oOshefW1Tb
7lwUBUM4hB36FYtRcVFwcnQ0WNyfhhl5mzGmVv7bTfsb+pMyabt+vQrbUWRuE/dC0Jt/Jz+11G3G
wqYglcZOgRy5e9+SJhrbQTkZ6GythqQ8lqY1p6AKPkCRlp6BeFyf+2vfoPaoq5gv/OtLUmFvf70k
8qUqQ3pLVx1QNWz/nQYmaaqVo8O+VYe8RQpfqhdyMyokC6wfSR3Kl7hvNkVW1WtN8951Ay3OBvIs
tCwE6w3pzk0ta9mkXbPWDAOGKvLqM2vyWkhlGhtLljBz0QplbmW1t5x0IrGcLzdSV206nNF2ktc/
/ut/pEz8uC832ZAt3jabFwq22Rf+diHJhIQVhoGyM8p7zSL4sH34MXkAejx39I3qlsG6inp1o+Q6
rkjoL2hzM6tzLLnShyCz1HOq2s+uKjvLf3NtfAV/uTZedE2fhC8hYfO+/3636wqvh862ki1KfHcu
CbcObf0tWbZh7clIZVYOgMNBK4AoNgg6GHBp1K7YxibgMM2NxnMinT2Zwsy/ua6/vJgw62Wy7VwY
dEDjK+cwlCVoQZQ2kcfbFnVqzbH0hkspQY7KlfRQG4iU+bWzHMEFrFWve8oT0K9IPSHZa4zKMQF+
+K8vyfgLP9EyBDERxj/PkmT3n28VaAd59Ny+3Wih0uHP5Up7swRIDvYGcl1Q3sfuMVI170rhOXxI
FXM5oJA3H3UsQZIS/VkZNNEJHzGABq3ULNo+1neD5oGBG+XnsgM9jrTVcdRimE2UwedGpD+YQ68c
zFbe6Y2+SpUQlnl/Dm3D2OILYgDenszQGCcMdq+hjDW8Zw2akbbk9PhPZAed9DDBXbU1tOzVrwEi
9+j7z+JQQWaoOmkdYsRZVg4n9D3sYfgZhIW6lH2zWfQWVEFLB6xeY7uwNB0cnkYE4GZd2pFxVu2H
f317Vf2v34llKArr+e7Rd0Gb8883OE0c2wuTutmoFCFNNclOmufui9RxYAJr5TYsQDdEhd1eenxF
qLaP+xEbm0vop+S5QSObNU4bKeDdvdOWHyVpfwyDuEFD8wNDOf77ULj7yB3dve9a3/MCJcIgGPAA
bMHrmjqJckvKX90acKEPcD7u1WqduSp+eap+iWz1wRn8dutXlnySSiZiLnI8jzRWc2kdYK2aj+Bn
JSn+WUxi3zkprk3aC8WZJYC+vVWldzzG5hTXfb+pakN5aPV0uPruGaxSc0nrRFnLOEA+jBUEnqr0
zw4K1TO0W6TJhG5cVB6+6xm6cTXGEWhOlXMFJNXcyMCToFWCgEMabvHVjo61k0dH1XgfGpU6Z6/g
9hMjQTqOTbylg1vg7Bau+LiRglTLaIOZo44VF5yHQ6SAGzfhZp7qIg6OCvX2RPWAroXPg1Q1G7q2
CuzPOODH1ion4DIquqwn05IvtlFIyFaW9kJRU+fQ+UW51acqaSz3VM+zXNnSscPhl0HfdfqQ7RV7
4vpRgzo0AUSLehx2kq/3SCrnuIs02iaq3G8gGVD1zeydeEYm4jPzwtcUAB5VvdI0+RVuGVy3ghQh
Qa5xwGVgqyXSiWwOBG8ptiZVqK1TWMGV1N8+AVV18JUouLpSC+AldPxZJhcovzIalaRCuW9Sy6Vl
ttGf7fWVoprewSC3fCrsdDh1Em8LsNMegdPhoFohQDJPL66OGYTbTCvlNeift6D20kPVK5MKB36I
jYV/B7qku8GCb6MN9PKh5CVLu9Wp4vdxeNCnSTXIGn6I/ikaLXfFiJwseKbQzNr9XdilmFEbSnDu
Zd9bhWQl5mMDzCo1yxgijTZeQDTLFxcMVhCEwbYYmm99WQyXBq/CS1snT4hb78emBlmu9NqdLhfS
OYBlJpY0XX5Ix56brGSwZIYUbdXK2RnxuG08xzqLCR4qwRZDQCB407rRSe3PDZHB/6hbDKDEOoS7
sB0bc9CxajYexM6aIwOGtVN96SSwuhJLbtG+rLwr/g/eNcZcZstHAiRpWhwKGtNS8/ujXpprsUpH
SBWddWVXaQk6TY7tr1U18u4BH+KIFBHC0MBId2Iio7juoxJ5kqc98BRpcLkhm6cBW6g08yIm4EbT
3aAP38VSUtrjib+36Bk44gzcIqMd+PG9mPSt+2qPVroaaLRnVVOTvJJACs0soOQlHhu7sS/yi4MX
J9KoTn3vwTClgx0PUk6Ns9GcJwWfYATbwelqJLCUzHvKKU7i4W4Nm8YIazgZVbOsGxhsslNJSC2A
TmpGFdKsW+BqVGB3Zv7ogih4rAdeYhkdEB3XSSjqEPGyBBKhDowKyWYQv2r/Pc4a54Ip3f+wdybL
jStpln6VttojDTMci9pwnjVLodjAIuLGhcMxA47x6esDI6sj82ZXtvW+NzSSkiiSAHz4/3O+Q0b6
V5E7CONhy3fTO2qmM5jQfSBhOPn0AxDx9odJQxBBWLxRXQgnOlLHketia2AT9bohO6IIq7ftoD3K
g96la6JwlQRNs08JUdzGwUyIk8DyBFB72md5Ou/iwQRBgm/5aFbJnzZD2y6k7cXIhXsrQyW6achO
QL4+l6g1JWKMvBmjJ5nlX7VD3ovL4HvIcXIQjyFuJaTRjREhyDf7fE8vEkHyZL8pTZwZQ1f96EsU
iubwGo0GTil4ojiiSB8JrbLAlR/KbSTiayaT7te3iYPYOM641CzPxjSYugPxRR9e1+lHU/voPZGn
3senORPO68S53LRfhGlUT8xUN0CAhC4mIep7Mb4E/pDsO+9MZRRaScazLN198PQjEfDD+NVt3Xnn
Ju2NJi8c9YFBwgex7M4oMNtqIHFOzQcpsCJbjlxDyy8+42x+8TEJX5K4DUFLOuU+RdNujgNRvWFi
nGqUmnSS16G08jPH71HEyXDWcfAYECu+SkFpIhtNDSz2wYHIWDa7llh3LIX3RURD2BXYDPhoEyh9
CDEjpF8cZ2TnNIb13TQKqBPYvyulcozgXXlWvYMoPNGS0C7rrKUYLm68daxivlldfy5KZZApeEBS
5m4GJLPIVbP04CTVbe7wZrAhy/ZBXSQwy+VpHiaAKP1HUk4sV8bolXA7VMem95LG08btJB4FbRnv
cReLjRzLfdj1AY3ueH4U9VPjKesUtQlu7mqs+Pdk8JlaMLH281mMTXqUExK6ESTfg5kL/xRiFU9Q
bMYEDxzTOieLQeSswBcN6lSV4UUu6wDyFEcNSNGPXe80t9iJQRuq8ocpynRjEghwcLrqWmd2eTPD
n3JwelJfcB/BtTimXvMzWWr/tek7R0OHD1bnEN4wzWT6+bm3jTM14B10xmfU7ta5CFymY0F3c7ZJ
czP12Dw2YCtx9/nuN2DH1WcSyHc4gN7JacEzD3jJN12WE9JjOc7R7WIgkGTr+E21Fy0ibZH06dGs
/Vvd41tJFu9niWauzQ9F6j9aJPrssU1VVVUe6xDasQ4W+LFSCvNx1Bzvb97QcftUdeG1jCsSZesE
tM6ESl13iXkN83Q/xzkxbYBi+rphGOiTo6MxO7JalgcvUZ+1nIyrRq/r8snIwtQPrpL4Ht0kP49y
JIxNdRGuGzpaHXCi0KkfMgjUh7FFsmxUx7InMKwffzZeUV6HUgybOWr+rGaEaEPMBK68ap3P9ZHg
QQhM6PsPWek4Jya1Yuty8IhTpQ/kx5TxZBoEm7ZlKOyi8cPuK2ctJz5Ciut+kxqlgYGOs2l5DR3R
nyow1u85g45O53ircFYEcdix3jp4pOMh9bZjTNgd40oI1dm/0IzbRlFlXLIl92tuPPKH2mDLaWJv
tEZ86P/MaGM/Iue0E6LCbB2KfaNc7EiTOHVVZyO7EWqfUKtY9XiP27DPXrthQytNUM1rakxWm6CU
zmvTWSuBbShHnPwRAWEmCyJ8tTuAl8lMUshQk1Zb1AjHyQlDKyjUWzeZfzZorVfRFKjnpsMw207O
t743ZmBBebWzDF2updHjetN9dc4S/g+KX0woHSZoS6ub3wasTYn3OBiS9IH7w44cDSyoHHEEiWep
maN6Dx11l+fH1Ai3fT34V1HI4Vz5Xr/KJh8se44dLrDT/Islo0eDHNOfTtAeqT1cBdmhsCVwRjV5
4Z9tEXrnkKLpFsUu1mKLC4RnkmHwz8LG+l/PqDBVluCPuP+kuv9VRyxpH2IZWdwbWZEQQdDF1aYz
8eMVuQbrFEwx3h22SW5j89CI/ggtO9sNQ2XuEi//2rAhO/fkQ17u9+43gezlZjDxa3pxaTQI3F3j
HCrM1nYPn3/5izZJT4SGGPtxDv8MtE0QpDndDE9RZTR8+9dNkXH06r4mHxW4BKZdKs9tsVKQNsrs
QczJp1njYjXMm8WW7smtH8fM9x8NSMo4XKpnM7O9Q00FZ2X0U/V8f67zxmYdN73Yt5VjsJQ2cOxO
snkuU0LgtK4f74/QQ1onX6A+vD+MD15BgjyncbGp/TzZ+sKrtpwyzhOh2s7TlBJqmWZgLuQMEquh
2nKsHRBGI+klN3PQl86M6xeIqWumjefAEvGpnOr84IIRXzeNVV9EmL5ZSKQvlhZH4Q7BxjWhc5ix
tJ51apnPkiBDt+UNRjp0iSg22YHZ8ZbSFPke3XL5CGIbquDAdqO8CMZfbNseUkzDeLDa0DxNs2me
YKbj+b0/DiqcewFCqY1Aea3YIJ0NetVrO8+mdUsR7eQa8bPTiWY/O6M4V0jzTz0Lu24Y59P9psxE
R0je/34sJzgsAhrK1uZ7Zsqc/J+J1U5b3zr4QQ0LvvaesqrrTwEX0Zl1OeYlSBJ5XoV0Vht1DmRM
Xl9b3+xohgSWeF8ME4dTFhAyzLrhSGKLIgtHZNsuzoE2ZF+a0v+O8Co+GzBlzRCuU54nl74kAnGe
4idzUDcSnm8N7ANf26+s8A7K6kjp4K1Olstr56BtBie7aGYBeE3GSk3j1zqTuO1t9WGAlbBmE4a5
Sl4BulMVIP+GNVofwT6nD5xwCYY/vNn9FszBYRD9m1HA6OpnPOL+vCEtFZvgq6yArfValWSkEB0q
BebWAf0xcdsH5eonFicfcplhMnfYTyUhf7g3q/pgW+oYZ0e7kY90uqO9Rltv2vDMrALvZzQgAM6m
+GK4REMG7Ya82pPZmt/K7pl1frSNUHCv5pFVDWEd1lE5ETG2/XjoXRebf29Yh8znmqot8gpMzJKm
6H66RtDt6AJ+G1Os0xBkPuzS10c0byNh8xzfzD9SaltPfYbJ3ypAvTJc3m9yb+M30j9YKvzZznxO
1bX72vGPltDmFhbkk4/gnMzddG2TK036eSXWApDc0GPITx0D+bmCneYbz4ZDtE9Z98Q2ltn3McSW
Wy/lnRxQaSreTcLitpEv8Gu1I05k3E0wjLHMl0QuYHWR62SROJe59WfEV10NEd5/+EYbw2IhoNP6
W/rpqCp/rBaWUlyP+W6pIBfVrP9g4HhgGFqy022stgZK9WII6oOTl38OCABQ6Hv2zhpD7z32nVtY
e8cy0SEVUJ/0DXKA2F9J580PK7xRSXZKKrbALp6wtQyx3dg1QJW6Cp5SbJC4UJuvSVFWHxySq5FF
700Nsj1p6m9+hyko8+t53w6kU6BDRV8vMeB6jCF3IIwbWCP6eYeCWeDIm5GFG53YBHVi9Ni12njv
GX6KhF27mhYgbsX0JaIKVK3lYIxtInnQmYENzXwO51tXJeW+DarqKUmoGEKvzbuUaBk/CNiU+6ir
rYnsrSi/9FmFa6d7My1tXszBqchv0vhCi5ov0f67urFq3IyY7KZerFWEynr6a0HhaDWI9oSUVe4Y
9xi/PPPByazgUVKgLgz/USgot5h1KhO/7hwH7lll5FAqs/has5baI61/MmegfpGdYC7H/Swsaa2y
PvR2BATrbfY6UFQmRUv1G6rUQPDq5CVw040xR+LCUevXyqOeBKQ82IqUkrLCZRV0s392U67+YzCm
NbZfMHP3eSM27Ldw8pwjC4VLmcYwJlrefeaqJ+EP0Vupil1ZTYSQIRgtYhuR34T1TsimXM8ITzfW
kD5ZBlRCUi7o9JNeaFXzOrGJFWrbKFp3nNMraGoPfdneUgOnilT8PCWiZZWYUcS2qD4MbW2vSYol
+Sc5DjoFb1fOwyauRgceEcp9Pw/KXRTMb3dhFK4LoOn3u79EV20EfUFXXzFgAMczX8si3JGU6gLK
aWkHV3lmn2TFnrIKXEiA38WcfVcUKHAMRxgMe9sTp/vjAnsC8SXy+FtscWe4/1ZNuNaijvsffxwt
7dbfvz0EUM3In3gRdrG3KrBpvf8ZpMRHtEDDyLwy3F0+Femhr/Pw0Cy/sOiMZuQfzCbTqgkbQj4W
5c/9pld0Pqc/JHtwB48oi7VLlHXJMTPAH/oPXUW3hqTzpyKqLrh2xKnInWxNZsq3KceXaDit4LTv
jBPEsTYnt429rtgG6QIK8eWwi2M1P0d1Tip5NOc7a4ifgkXGmb8kQf/WmAJL4UIaN5d+8RiHZJFi
7ZyseeNAjh2Cl66hrRL24sMc8/I1hPn0OgcL2RBHaD8cUQvCaHTEdJNTUm+8ADt3WpIWhdOSryaD
VS/NQ6xx5w9tRyVjKo6zG6FEIlAI5Mlo5CeBZJjiqvsyMnBVVXoKy/kPDnbAkG14R3dYQDG2QrlZ
TV/sQYc3MpCdfRb6FRtFbLwzs3HTluwAJ3fTl4KybkZlpcvi8sFT7VWUJUi8DvA4Z/LGMIuQ3wJq
6owSZFO7tcWcfvHzvDlHBcWGKGmLTUu/7JJmxc2xSuO9ws68C1gjHDMd908hANel/aB/jCm2zFnD
P9HuSxDIcs8lUBwiKYv3sojORaGMbx3orrUrrJ6YD5ndmKLZKIX9loR1+S2uqPF0kDmD0f3sY/mE
3Db4mcth0+O/thljHrLIIbQxxmzXmNOhdlv/e16A+XA1VqTApJCedfI5HGnokPCUwLu0MM7FbUo6
yYDnO3fnQxfBc5wLho4JsQxzi8ZgR2GyrAYMzfW4p8RB875oFbq0zr/FNTgHignWxiDN+RI0RryZ
WqiIbPb/dFCXsaH0jz4QfehlxUNq9dYrxTY0egjKsjyczh47uMkp5UujI+hyPMK0BF8o18FN244F
LmiGH+d24Pam4lWyR1irjl1w3ECgUKIv9y4BP340KVKASuNpjK+T8mD3NaQ3mgZkT9FOR+9rMWp9
gytjjSMmSs+0z5UD5S0IAVINajR2TdUH16HJyQIskgsu0Iz24HimO1keGTOvvaW6Jzv3v6UQUnDL
52TaTeOjMgGL2pJJyhrFqva7565lMm5jooRHMYNeyfuDG7lYMymuopWWJEybNHCbRu5UE+PZG5P2
iqt12KgBkbYBkIFImObQddOnlJol+tAsmHLKUqHn7Gkb+c+W+a123ApoDllRvRZf/IogM1lJB0Tb
7FHFqHadjZs2Ghu6nvH8nkx1cbCn4YWjNR39Al5HkvbzrrA7SGUC7FSI52Cfxua8szjBGCIyOGMY
1lOqw23J70un+Qh1kMG5BB0xmd25z/SFMqcHZPYz6PKHAj78k5wx9xV+rK8GgJzcZUprhnbce9Pn
FA63sAjNS5yC/OLrPZGk/gWi6HDuff+sbOXfSBP+iAujhKQRXQIJ9tQZfKCOIy0bIrYeQiILiajC
mjrH7cNMaTsO6Ni4Q5fs5rKWZ510zzMxD1vh/VE7BC16MGOG2GCxTSrOtnWKZaeuqUwagvVxvu0G
J9j7vgcmb9A/zGGSZzQeyabtx/LQH8pGJ/u8HLurrMEgZsD5tsZ8HWrh7R2gkBuzqiBwL5WDNs9J
ytagJ8MYJ3MwFMc+xU6biNo6TClfB4GrtyQXwWfzhmc69yL9MNk9QqU+fYlHO7mpqbLPqbY2PhKc
LZIgD+VlVV4jY22F7CJD2/YPxuL3nNh4Sgp6Q9eZ5J+z/adUXH0w2rMKNxVwIFV81fORcK9Th2fn
5hv0mlkkgZM0iTN5SGJWQgGdp0fZMhw6jTYuqjF4UTt+HDyKAWMzX4UbwctqoWBZbELgYpEU5c98
fyxs/bMsRXfuyvAN7y4ML7uJAE8XzlsAyJiBhz+qtAfFpQt7OirKPo+R+tk7mU/ypIKO2T0T/Nd9
IVLoS6eZYYNiLvaSHEkq2a61r5pZwiXBWCrpz6Psmp4s5Tv7EhXmejDN/uaDQKjgYUZKuxdyogCS
j+W7ayl5gXNK7n1hh9usikjYy9uYk9BInwQvsUnEOOOhVRHJrvtujtf9GBwS9v/nVksAbuHkn0vW
jJGmcJT2tt6zw62vHhqh00ieQOGV1jWR/ruZu92BseqdVgWJ9vAi2924LC2shoavLVrqSzZnny1g
XobTAPlTD/DaQ4ZXmiYphZPIgla4bE4XFTKZhP3eTabLPVvKYVVxSWxG5CbuICKxIqxMODsdbalT
4tNsrhLrlVgWYGHKSDZGfaaSmp/x8C+hb8afWVSDwOii6tVxRf9gpOneE5+mN3mvrdH4rzNFf3Lv
PhOz19cgs5qL10WHYICpYc0qOvGNzNTpklc9Vd6NwBP6eUITiUrh7JwTcn6WcSbWBbEZ69qqi/No
2GwQwakZiiWfNF1nQ55hN27sOPnpqzrbddJzT76ZCZiz7/iF6BxYCt1skLb5ymdip9xqc7fJ4vmU
pBUwOUoWUBoZMHiDI9EpdAVA4Vi7sY8p+gUKM5BtxP1RURdqBjKLD1XX1oQweiOIrNEmr475Zbaj
GHKProab9IS1UxmN+L7Qb7aTDIdiiNRER5sWU1Y4w5WEyzlkSE7b4KGpm/ZBLzf3YSfjCkaHkh6C
8YGmJWv1WoviFixtane02qs3AoPy5EEoRnhVIOqZJit9kMu9IDF+piWb7kIP/mHILHqjYb/pm4zn
ouLql317IedpL1jGnht/9FBAptlRqpydgpR0WQN2oCGItiZjmnRN0kvIdmLmjv3roEcFrMa8pnhK
w7bIz+EARoUIkv7AuDdvHVyIFGNzQOvl/E0GTswOOQ9fEKNfC92Yn5ED9lYOfgEWz3rsWjb+ed4B
zOaLBPpUF3u3KY0T+JSvg2XLTTqE56rwiqVrHryHGNlY75/Il45fG21RsBunc+whu5MqwE/siB8g
XZo9MsFha0j7LOkbfY5mvJl9YjsalqQ3qyLRzB3JzK29futSQDn1LPWsoLS+k5qIuy6ne8AitBBU
/5CiN/Q2bSo7e3JiSZys2/BVFeE+BNY+sHa9jBn1hD63T5bV1A+1WT5Qot+mqV1BITB/enGHRbgo
D1HYTq8V5WlKC69J5SSHQVNcup8P9zMDLvLeZcmxrTREDhvK8jGLfa7zOOGMb9M3t0EjKihn7NvC
bZ4gEmwmaUcr05lA1VAqow/1tZegHC3mjRXN+OYSK+uVBri5yXCrbHv2bjsqW2z7aHcCw2ufoQC5
x7qkUqHGOV31TTm+F6H302hnnsoycFuzBnTasWotZnsGS8IgTJ6hYJxjTeeN+seALOWaN625n/q6
hBxLZ7NRtrHvjMC7Yh18l2WpXwszdK/kUb2n9ZNP///FT73kNWxAXskisUh/CpEJLCJW9655Rbzx
d53tPcTnt7z1/hCtJjKrJAmZ6zRTQqLCo+OGcHXvmTb3m6IYPqwmzTYjEgx3CazpgorOvbnE2fy6
SwKXeRymK8VmsmqWG29RtYfLtut+z7wr7UtNAZxLHlzYYiLFHQtelUYo9qpf96GlgChsHOUhUciO
f4kv/xVL7tdnS9fmsXW6P1Kd11s1Lx6yYXGz3fWl93tWWi4RDf6HChY1eL+YJ37dvStT70bQOmA0
kq0H72RJurIW68B89xwsD+/P3W+8QBKAl9KrvRtO7y9wf8FfL7WYUO/3GsIt5yAuDzkbMAxzabbg
yYf3+w/T+3P3F0jNkrd0fwt/ecG0QpyFmPH97iMt/YEDYSiSvH49Xhym8RKUNiDK2BS9064JICzW
d6suvbsSognb/d8PI2mwUAUE/5fn71//X577/fD33zt3T8jvV85iD9cZdAiW9hxA+fso3h8bRrW4
+dr4xMlPMnOU4Hxxsb9kg4RLrQnrrSk674dBhJQOX+6/ALE7tNvqOAZj1Z7vjuH76wZzwdlxvxst
2U33n9zvWVK0W1PpH7+fuj//K+Jp+d02FC0m2PL4++Xuv/HrNcuRwh9ZxP7mbuy/YwTuZv/7vfvN
/Qddwg48Szt3nVQvIc3PI8RqKri9n23JgWpOGWSYE+siwq6d7Hg/zPJ+uv0+rICt+uWiul9JpI8S
3LXc9MuN60+g++ZEEm41jKe6Ir7QpjxPUY+Hv2/uz+VyZmdoUDVPdVSB28nL7f2D3HXO95spaCAA
ps2IXEQUb6CKkDqhFwB2UazQuTSrRdckR/Lwml3gAxWaEsp9oTltRR7sydVBsSVe8SsTxBr5e5UX
I1O0v4Ny80eekClTFM8EymabYdxOtPJXlM6N1RxbyA6mPQs0+yw8tvhWCjWUHd6K1uFbltgPua3E
zp7SP0TIfodG+Jtf8g9zvXQWA5TfRfkhJufYFy1hqoDS9q3jXF1ON2h9CPVi0smpgr7btfegSb2/
xC5GzHkpNifRJQKodgp4gyswq1P7nVocvXIaoysEYGkVcWR4QTQZq7bV01ZHVP8ngrJ9Kne4FHNE
LSkMQt+5Rq4LzKu7jktvuNP5qvUVicghuR9ttKZa1+uaHmk3bby2+3Cz5pGK2b6LiGWJrY2cxI/K
+9A+EMtSh5jT0h+M1huagHyeONkrQ6DXqqcfxAisYMpxuGnMiikkzr3y3uwh+GaYIPFytR4D/UNo
+ixTGGDfsugXRC0u3HyigyNtNgtM4wmOaelBpUo6sD0GKWkdNaBrHCVf66TO2HpkFknG47FEbKHo
3BB8efSj6DER9BPjiaV84UaroILmSi5NBmydbg4FGdAIu4ECqquBaqNHmdm6WRqpg3jJMmj3Dt9c
y04MzEB/xGOrKAxNclfJjP55aH2W/h5wwcKUZIlfNSQd9NFTom8F+KRtmacw6Dsg0KxrNhpqIHva
rMVaxfKLRiAURdex9hFiGwCCdUfHiqqkbSfXsHFeSBUO15GvuzXaiGdKVFc+e7uqpgRFccK+Kkj4
9prQWilvtleVX7xzdf5p6Y2eqZOqlgY3C/yjG3NyWZZ9iGZySVpH7uc+Wehl5nc2EC2XrE2+Gue2
2rA+LDfU5VfjLtLVx6ShRVZlAgFlIE1ZmBsUktF29gJ4mbn1PAXeH5EfbcCcVSlxL8Q+kkjUmDbJ
g/lEEyWP9s3oHlxEXmsT5c7ONOp0p6Ue3+yss3HHGRO2/NreF7IwN01dEtQdj+Haldp9HWHQ4GQk
fCaUqAHy3HudC6t9oqtO6ArbhvtTcQoRrBusZ7OYDGYhL9y29fxp4+G4grcLjoFKoXK5lAvm2A7I
kRiDV6OTNR30yNzRV0TQ6UWvI+riY8gmcVXWBReok4Dx9D2IlCUpAxGfoHWr4sn1i/lFSgKHG0Jg
jClixWNy2oRo/NC1oFdyaKNRmWj715GowhvYqTcmiv71fqPH0zi25gtA3CTilVTt/EGeVMgeC8hs
4DZU+00c02r+mSUY2e1kSB4TxxA4jHdOFdmMVVl4CAJ4bFFrwJCWwUm6zqWkMSt6rz/Xs0ePAIIW
VOxnRzvB82gluymb+0ccJy910fzAIBryo4la9eQUD76rSYQyreEorNRh1GgQ25QWcLocUGceNvvS
bYFTsbPry0KfEX5/Y72T7hRlROp+I+k2hTtcAvWeVwrucTE02wjmeGQPrwg9IK73IPIsEbJ0qlgW
Zua1Jlfs6tmTC2QBueKIrmHnk0rPlawgB1d+Rtk/WCextC6u5T7VPVFNhh+PIEs5r0vjg0wDIse0
uIzorg7zXCebPCdWA6dEtWkSvajVCSRDH/5zyuwXlBXyRVOel5HO33yixuc2fPGkz7iSfuTWNFyi
cKquyrCe76qbuqEqSdTHKZ6bQ+/z7/+9sthaHAP/pL8XqK4Cx8PNYfnmvwTLzL2twiRwqkNqifQw
9DS9dQ7qG83gm0C0+DLmJK0387TzFnHH6Ovk//IW7H9xe+COZkA1Lc8CEWM6f4nQCSOpO8xT1SE3
kDtFnf0QABnaGAOYKyayz8xmfY4goNqFZS9vLlS00M6hs1TQzNrayVHGxfK8iE3N3sofoKK+aprL
R7ar5m1Rgd6rUf/+i7MXwfVfvjhCKkzcE+jwXVTv/yzIxs2QOaokAzYNtb/NPEsc4z66WQ5QD8QL
7h72JUTv3jr2PmEbbJvSzxmzrQvKCX5i1Lrht3FbWUKCtDLfS4o5FH+8nwhUPJfxiyUw1ZjHtvTw
L4Me/OWe+h9D5ex/MTfwrYc2LgIR+nyMu+D8H6wkU6vwzFh+yVBXsHR3jXKT6JYPQb4xgEfziCqj
WCN56ndzFnzp/YThwb0qAK3EH5TuFm3/ZRDfPbI0DrMvvoRLBYQQnU+uvEc1VtUeIu+wbnPp7bVy
b67Ouv8f7Pgrg/F1qn7+5398Y5VXbJJWN8kP/c9uLn/xTP0bCxhVWPm/1t+aMkuKb/+HP/1vI5j3
N9cDpQFw1QsolS5WkuFnq//zPwzhQmCyfKolFulPwnWwfPzdCOb4f8ObSHuRDGLH5s/4q//mNjl/
41cZRG2Wr6ZFBf7/xQjmWPbisfnHy4yGg+04YeD5NikrTrAkVP3DaRqkY503WasOiem5e3+s3jzB
GtBU/bao7O5JOYF8itVAk8/KUAqyLnQq03kuuhzSZj53J49uazoU/nNl1HhiWrvYJbNRXIaJegNZ
1N5jH6F4qPpHv4tp/hXqBUkTuuBkyC/tUkN2mmtILmCamPPXqCM3EvIg8hVdVOcU1M8qVi2KwcQK
nupwhvft0SoMCDlMYz9eT1bkPAscADttW/bZK5PwzEq421lQqDa2rKlgjvQLy6kdf+jQuEphGbxz
Pzu7hZ8d5jHKl7b88MVsmg26zvEzEcgqaqTGVcNsCESi/JgmewTeFiDQyxa7ady9jXjoV9JgNun0
rN+ABHarcik/V6LyV75pyTfKb5vcyxAkz9R5x/I2zU9TJN1jL+pvYRAWMELTvVWP2S5PPHFR/iz3
TWcgDiPWQVs3x0k+CMcet4EPNn/O+0uIdECk07mNWK7wZb2bGmh45TtHFc6vpZ87W8MDle/77k8D
NXxZ8u/MdqYFOtfEEGbjsKr7TUHz5lDMwzOCuxCW9MsQ2MzDbr4rTKvdGW6LYLO8qLYL382zejJD
+HBxB2x+yIddPkIqmnKF6LrpykO4T6E77toBGUyIM3hkVH50x/757s/IOzWC0szkHm7+bPsXA1wh
QOaa7A+Wk5QAc9TfwoZ5TN2mcxv1Dmdxg3wRZ40gA8CtrRIkyB9cR/UhVbl7APBKPyGERByVzmub
kr69DVowHLJ9EHZuQ8GOSBirehaNnj3uK1sDV+Tg7HQo6eBNC47VbI7ZWBtENMKKKvIp2xiK1blO
0bwYlSfPFuXssjW/E4I8Haa4dp5MeB995Bzv5hKvC9nl86LrLEpYUJl+fHJsen6CvcqGlaWxMyIV
ErSBjUOBIn6kAyjoW+ct2A1yMxyThIflhmbtGVpzcpAFckIzhc+JzA0RvnPKI6oxQfjMFGFfRTIS
vOhQ4GkzxBiJq17SpNolnFknERFzNqgJOnuklrUkpCzhP40O6QWWJC/Gb+nCNjk0a94GG36TsLm4
bsk1vfcVY3SpuRFADuxNDj/aJKNMAmidmMV0Ob0Xk00lnq+c8tpc71W0HFOsUiqC6GTnDry3ye93
Ach2q1Ld6nUYi+48NvK7E+ns2NRsET1fE7Cisk1pomwTtbGfg6Y5TPPzkOhzjZ7nMTBzYC3W8vEn
GOIIz5HnGvW80a4AgrucrFXEEqlEqLxprQqQdp8Kir7ph0mV9zEsbYTr6SmJ2HDbsXiXRlSeqdcg
xl0qmX5cfslLmPVNi+iWEfjKtfPh6RipG5TinZXNT/NoT0cz8Di5E3VG5SB3DlKqrSxK1DgdlYQO
WPpGKRmsOpOUEXPKxCbKUi40l2GiKSusjBi4bk6S1FfFXkw1xVfXrUnEEKVC2rxuxzeDZHTtJt21
tJVFOiuN/LBTW8N0NJWohD05iazFWFQPAYTrwEIJ3Q4j2rQ5/CJCmoRzEeTsCvNPC+Za6bvRrhZG
+ZmgHZ5IOOlqzCZxroubH47jM32bfJ0FlbwEE+FwtaBWTf+fdKfCg3dr5N2DDhr7yU3NBxvX44MA
NjvPdPxobbPriP3+VsPRQ64ffAfnva1L7xhX6j0e4pmCSyW2xabslTpSW/BWYICSYx8sero8oCXW
JPjd5FJztA11UJXxneSx4UVF9kOZeTtXUqbwTR8LVtaUW+ah8uKjDS2m7sOcGPmtn2Yg7YeKs38r
zcS8tUt5p1hgMPHYd/s4nCGHd1gJk95Fmd4C7q+Db3EShe9ONEU3t7EIiEdfNFYRWnhFN2xQ+Xjx
c4PUKHzSO5/dCaag8XGWovyqvMF9gCj3hiPqnDd+91YG29aOXJI+AoH8S/U7ZA5/qiTsENDapPa1
JV3AgroMgsvkkKfudK4FWTsJbAF8kmcRyQ3cgvS1mX5UffTQSVu8KcP4kgfduaoCtZmX0k9qD+2C
L/0vxs5jOXKlTbKv0jZ7mAV0YNGbBFJTJlkskhtYyYBWAf30fcDb8/9jbb2YxaVV3SKryBQh/HM/
boUWkYN9WeJtYfHuaCgvL2ohl0yA4XPFzbV4fObIhegwdG3A0bIKqJ5ddIiXLj0FvOKjPg46vCGo
4PZvVSfBW6tasP9CIZoUTTjANHjJlpy+vSW9zSJvj1XHf1hE7suEjt7ZjiOzCcaro63kxDTmPU7c
NpzyEmBYTvHQKNfyOK9GdhzjBtMjGv/RS6wTGPz6FTKxHVa6nI9foS5p0ztl+v7B7/weE6UrQGwz
2yVdI49y9aa9jwHjrCoxRTJxTFjslSLvxogA/fvTMkHwj571bTLr+ZJm5hODGRV2jufeHF5DapoO
Xm0iE8YmnjDXco/s1E1kYdCL0B/+WsvyA0Oe+baYVzFWwdtSTDcORj9WlAkAwGRdnFx/U2OAz7YX
g75bW2Pf5PJH4izTpTam90ZfDNPGLdk2dai/Mo6Oef1nI/GX7EyOhl0x82E8tbAMO82eSKrH4gzA
lD3v6GtOHF2S1CpoTLZ+WK1wn3Pu5edCtPadldvpIWvZqRMHOrijK3nq+oFOMDOpX+s0g5Ek2dYH
q7N3ZY1vo7B1fe0sm1RPqUzo2MtFxIU88XanOnr65RU3EFBEWRmFH3sTy1fX5uYtL1Tk92NwtVsA
iiD+L9qduosPHntwxA33yqwbqjnM9NItQGAafBm7ocapPkNaNhOPJhvd6GcdxIjccXxXx/YQJjkZ
B83I/w7u5MVr8cpkDbqXXxR/2rXlVICxlwjSc1vyyiZ8N9+UGF56bbivHcU5Re+JkCiEOMheHQ1i
8ndl9lnYJPJlv/zuhFsjyMXonAy0tgTD/bymw67XxIx3bq7gfYh62I2yQMbMqeXJVfkJYgO1Vqxh
M9Hu4eWWeACl34R101EUtcziwDNtY6n4kJScszTWg97bvaHO00p/3kpLDwau4XH08GTIDAlhwV8R
TxRB6s51IkdSv9yNVnLnufWfgRTZoaYzic6CguyJA9x+kt0T/oXvU51szs6X3jfql63WhYwq0xNK
1M0b6rR5EC11YlM+VO9jux9gmM/G+mS6+S8/49jhWDpicuLfS86FEfmh7pisyJJ+8FG5N2Kr0yPW
H5D7yXAsaTOXdGMLM9PPBEgRCXv/KgsqGGzPvKMgqoc5fIVD/td27eSuj6GlV2plU/BTOwyIjzJI
LvNrj9AypPGyr8wm4bSW9U8lR63ZmRDns+GJMyvVLzyKDNSxODiOKk4J/M0QeNqyG21lHgrfeyst
TQ1bvopTWbtraPm5Cypf9NecEcxoYwF3ippuSLl8c/SQHm0rfvWNLj0xG0uPbjY9krjnQNCtuKgH
xOue9zzzi9CzjNcMCS2W3bvfNvwNUTNm7WND+ZqtpufASltUcxyeWX0SuRNHgbmIi2tdGD+aD21G
eQoHmTXqOgxasTfOt9Jp3hJakPPBbc5yLNk7m/WWU2Qg0mS5r9NuN6t5fqoJCAx2ap717NhncOp7
MAdjZMNpRu+s9X7UuaA1qPpdbX2ssWGnd3m1MCtbttK23nceqMwY2O289citqwRAb0OvTwysx3IF
ar/tKJqkWkl25/x1GOL7Rayd5X7smxedDs12C7AesaJAh1+DOz9HhBuKhmodq3nxZ2qAUjPNDm1S
PDPVze7580vhSRw/OTluQEhlSAdstzenEaA9LTeUW3Iom/wJcm9CLC/2LHoS+yy4iqn8REjCKWFU
xV07ZC0TDlIFvpHmd+5U4c4lgB74SwO5pl32AYiN0zAT8vJGojOt4p+aC/els4n8eTWzQcFuuQew
uLdCs55udgD7o/O5PW1/mI4y4dtqdmvZLEzfKPEL3BKN3OC9y3KceKI/1yqAETFS5UXLTHCg+3jl
iNEWnCqDs2Fz8B1SztRGZ4cyLesTbkeiPDiajgydT6Sx76uggyoX0CpqipHpBRmQevjEgcPLjnvA
znPFPnPmv75sZKRR6aOiz385luANaTcj4waymllOz1jl0OypNA1R0wpUIwjkVnSVMxTCUVoE49lS
SxaiR1DL15gUPeEfi2EhWLwEErIKhcres1wqZFXJtGNbBnjq9rp4y7CwP+rVomZrld25b/NwTRSl
7fU0nbzOdCLLUg8BAe1Xs6neg44TcD0GJwZvY2ThRojiZU6uzjy/kKgYj3Uv5HGzcHK5YqebubCI
Ygu+DCnR/3zBOt3VB9f3cP4EBOf8l4ZwMNMUMHdNPpRs4B5NwV7c0fRnjMciW+h7b80H7EtYgXU8
QcjjZdlBlTG3qGKZ5/fN0nxPE6opCw/LnqzsFB/H8qHLkTaeLYuf1bF3kJp5+rTGPKFp/j4EtE0B
N0ijfFj1YZQeerJBedVE62Ubg5EtKN25OHN+hePbns3W/W3KbtzPGL0pRfTI76YFHXYqhvfcajta
xpqwp46+LtypXHIsV+XLsuQ84qP5F8HfwhKRZPtEjb8Wt+HpLshFtA7uPS6fYaJJ3wdlS4XNJtkR
ueNgWwpavBZDHbrWF1GTV0wecdlHdVLaB3gVOkw6SWtFU50cM0ii1MdenzfUSeemd5+baX1vOBjQ
fU4rTsrAwiRimey0+yu1Z8qx23pPdtfCxNKTmcYzzAQwydnuqQVRh9gh6eAuv7ZSDO6dp1XPwX0z
UjlYV1Vw38bGuZlzfermzI6+UqAM0TyewwWBnIx9hNZRgLPETWat8f0cj5/cXPmEYowvq+y/S59S
s8Zy+6eufiLjdmQX7x9j9qOjg5QTtVjNEkSr40BVFQnku3Uiv9ozRIFr1RcH0eVmJBj5IMatf2RG
1fPczgR6Gy5h2SLvCsswXz2SIHcprnliiU0LfmLC0m9Wt4SAqO1a/SNY25oAkEqOnsyjQJb63FUP
ODWdO2aNxTmtYk0TQcUs0fQxoWvU/70ZsPnVGkRbGWP4MJyCeLIumUS6FZ3WfXOAVxL1ZRK/Mcg9
DqLJDyrDtW7anHagPRPrXO/WoDxiDcvp6DP6IxF1RnGFEntaUOjdI3oeerYFAGDbAufOEowZsm9e
1893DabicclP69I90fW0YGKjPziL9SvR8VLbfegngXvPveOY9ZV86mdxw3O66TlveKrsnfCkBwEh
rjkTlSyq2BUxyOXt9zoGRxMj0Q8Ai9vYHeiUm1hfOms8+VwzS6KQZ2OVz2apzadafo6aQL+Y6qfG
xHavIdiQZHMjg+3gTKw37AbnSge5cVpwxcLc8OZD3iBS+Y4R8DZOz4t5j7Mvoflvei96Q79BhkUw
qH72hpG+OEX6HmebGTBOPr92rAzbXKwhEZg49Q71anwbEWJWOiJekpz1xe5sqDU4kJOhH48sctaZ
ZYUj+7Ot+uItsWn0WnywQGTBAcXQIqgomUtH63ESDvUROlbHmhd5z3QXV4lX6xPAKeglGBG4iNAk
QUHNtlc/WNtPOxs21tXKgSCRTSCcSDyc0+Xoz5z31GQupylmMOgojnNtZqE1meqvt/oUshXeScCs
uc0cAa3lVroDbXoo+rLP0I7sXB3kXKBNOfXVrbK/mdOJezdx926JtxPelHXOTJjAwYyvs9eCdirK
xgd5bmmwYCYfMs0/Yq83zjpd82s62xV59ICiyLn173FdG6dWDi818xYqLXJmB2V3wqFdHcckiBER
s3prHE/vi8m1jg1OnZ1a5iWkOd75OdD90jrnxp30u6kDOLWomjtW8kcm9smpyGKO+JSDytoI7kX9
W879cZ7bJex0T/xdBB+JwaMl0WdCDnuKPPLaPWkmw2LNqSrCgP7EyWZ6aj+ls9aHye7aqMNO48Rx
fVeWhntLkiTKtPiejL39qQwaK43hmtouJhgvPnuWr66ZLC78MNOjpykXNa3u6GSSEtSUdZ5d3IgM
w0CMKcUztXXEyoiKwIbfHJjkjXL87C/V0B4D0gSsmg2laDGv2XoTa+1J39y0Q8yUgBczBm/7NaNf
uXYqFgtRven8eSb8hpTi/bLshISmQXrAcTCKDtMrtmX/0ZnO4Ebcu4B92TKn+OTquQy1R7WrHzjV
bvUorh/LOduXUsZHhPMNmOzzj2QF4/cYbi0p7jmEk22cUoLuu2pY1KHKYxk24xTvrF6rg9uMFBBu
isWItY6puF8ejRSuL4J+vx+VUR7arssPhMzo1eatvgKXQARKnmpjudU2t/HCcx6GeRjf4E+ueCMA
6Dvy1wjG+SXPzOCFKvZQzWgT0nmaGMWC7yG8huScHXTpnQ1CtqEh4/YlAXJlcLi7n1T+HRiOvrBc
0kGPzvCMPhLWc53vp3UuzzNnPWR9CslwQxD3nyKDAcFlMck9Gwxnd2lb4i21PixUc9KM3n4o+vS7
51OfnndvrftrHEE7oXDICCrdX49MEZIl8odUnJyTOTj7Xt5e6qal1A3UBdJd8Uwx1IvH4P/I6Ws+
F4vzwFFHnZXIk1OQ4CRIiIKRWzIAIteUBMWt5eE3wmwxDOaFVHWHFtzRujwyXjNIpEq/4nzEXpFZ
zCIInfwcG2qqp4buI5B0T3MJkk4a1Q9pYE1cc3VMrfrCjoMD2GBJ/oJZ9zMwlaKjyrNgP6Kbh6SV
Px0z5T/4otWXsQvngRpsnSEb58XNYMBv58F8MbcP4vcMM1iX+XL6AuP2qfsikFAOIAI+jXaLkNcs
k4NZ03VH/s3rUFwNPsmoMnGRQ3JaSinCrqUOV4/ikROIffjiUPvaobkT32qIA64+uYTrvJ7ty9cE
NvF+WdBHAk7+3gBNh1P1nEggY8GCbJTuZ5sqxEGp6TLjDZM8bGi3Xb7zCdRyrcDQ4RqYn5wHobCL
C0IVeqABe1rbZyfeoowFNFAD4/X+6/vMR2/l53W5Yxd9QSk4j39Qf/OH+j6jMYx6dS8qRjmfOFKz
uNaA88zUrSMloJP8+kqofUG7swUfUrmAaGtXDZCED7iOKLPyxXlpEQeniY7NEpdQAxnYHfPvdVf8
buqaokSt7krtUROecnW03eKvXw8reWi6wBCaMeB3VR8lRFzJgPjHaW5/kQNjFzWQqnJSC8HHGr8n
G0jbWn3nVOOIcQ0KmP3tg9rQ6CpZ6DPejJfCkESrwCdEzsY7//qA5EsihPlLZATLeAFRlR/jgTrw
DUm+zHTX18n0s08C4N5W/oJp2gw57tG1RlrEnMgIOUKGqionLg0jN0Lm/4epym/VgiHNSys30qnY
eVQIoQ7WB2yUQGTL8m5DtVHKEtpbjrJaKB+i22m2cnruV04YRhX8xOLyu3bWY9/4r2tW/ImFcaDA
TjG8YZDBLglmKjgvGx/dtKmHshLxFgt/xOuHRW4Zl0+XsMiOODqnwOKoZ+NJz9I8L9TZrhLrV5iU
xmURFN/GaqYEcuGJaKtvwqYbcxBC/8N8l/MT8HS2wNq9/wK8ew4NcI6Or/UEjc/MmvWIPsGLR6m3
0Rmtb/Xa0wmY+yeXReDst0SwFVlbyquXb0Fh29HXjGTVdXe1q+3fergz0wWcmhzyD1n3ALE4fbi+
xmxuuq+JMVtYmXz7gufozZpmby/S3tjNeHsZY6hjbkys2YNy3hcPX7qJicSMaejbnLUoVosIG8Yn
3GU8idWJlnkNhX5vujMZoFpRdotOv/km/2G166YjMS5u/7wuLdz0Czojtjrvm5OO993iv5bBb7d/
69LkZixJvFuH9geBsgnlgkryqvIeZSnA+A/531nAsQlwQHsGbdJGgIHQcuQWsTY206AHnTfGQVY7
9qmpfOti8MWJVW2C48Ycq3p/24xDG5PoaeJFSVkMGuLBG7i3/+KYEnj2PtDajFLDuZsK54bi+A94
3sB2Ia3mU6S0XVXVdcw5AHsvs35aFSiigC5Ww4d8gdzwTnT9u/4lk4fS9AYKSu+ExoI/Dtul2iII
ql8c37sYE7LMMt4aOWwGV1x1uNRjtCBvoCHSxNxJqvVbDnU3NuQ3inRAIyTmfrKz/ORu9u4ZCvtp
Wo2wnIkQtvbGdKSjJLF4iL0Kz6EemAgNnHhXFLK2xUWIos2QGdoBhd24MHqug61JATA8mmeZzyaF
Zp4qI9cqg4gLq9iVOf5NpdDuYB7UqbrlVosaUZmEGXT+4OB5XNnCl/RFIT9xfCG+ErDtKHtao8Qe
GR2vgdgkDQELAD/e4pV7Pcy/s82OXZ2apI8kLmzWHyBJOEqjZrHLc7c6p6Rzg6PiQkRdzXSyFxzN
lIydMLeCRFbsUSJzLkMLCs3Ffn/yKaFX8EcI21WncdqC/W3LNckOftO/RPBUrZyZSwsnmo/0hT4Q
Gl7GpTII7lPPf+dATHKNTDjtdPVlaMhe7mbXPKlOwdMwbX0pYqJ3Hl9vZtQQuYvivRGLjGjJoPYa
0B0nJRrZgqYt6bAQd2NMRonzJBoe0TJl15d1Q2eVLcfqGVLRzptnvFuUqJPpfWu2L4uVZsNreXa0
8cwJgTLVIn4UrD//rl1otrXd2WqLMlc+UUlLV3PCzxfXetdt1nNglC+tix1HxTYHYmI10QhUirWu
5a5icS8sxkvNhHr7bjHrzGGitsb3qiQDzQUVG1e5qwf1IAR/RaCIUg2PTQ/iyst5o+f18kNOzV6l
zNH6quPSvO3S23f+9aup+DGmsUWJ4myFc228M8CsQ1GVbzP93aTeeGCbBq7iwsG34TiDPCvj0KpI
0tAL28DdyDD/sV9Rg9C3t6DOHGJuZJhcQaG9ME0CRaV/H8zmTHHj+N3yyx+D8uYwpUsvNKCNc8ez
aAgM7J/Bdjpx94HN8mxXDNUk5n+D4+klp9HqEvtjde6oNnHAHhwHc3pzXfYMlvN6t8akK5MAZERH
PGtXNq2zL6TMKPHMVFQEMVtXAWgL3g89Dqb1t3UIULvomDOJ6a99GwFrOBv6hy2MV9q+HmGAgse1
46tS3qk1nZvGh3P0tR+HTZ+vqGVMEfxxeRx0sdW1H2bhMZxsvKNjt2/LmCle3t1D3s9XG0WIVG2y
X+zOudkdpIqsoQ2s9OY7nskeI8D0qsbpkZPtM7c1GUmXvvQy8MgEptVf12SB4K4cUYBGtGQtvkve
Se0AwyompgsY69R/z/Fcnle9+GEFBSX0aBjdO+KPnlpOTzX8Sla6+JjinN9PcfzScQXEma67RxTR
Dlg6a7I8xeDbd0HRzJdpmI9FgUccMHoR2X6tDvlrmxlDWCXJM+tEjKyIjOEy2ZYo243JymgqfR46
LOQa73TW+3KHeFs+1aUQvIGNY2e38dHNdXFSZurTuviVYTMOQ+mKs5D6UCmNXFDKj7SQsLxMDjH+
8jgyErl2qURNwHEzpNNjrzABcDApuuFHnFU/BU8x5aYLFa/moCP8G7Bgxvaz8qxPIwsLu3evoqGI
WWQ/KxMLS730uAWkMZ1nlwIwLuw6rLhZh3A/QmO81XSRceMx2SV3WSBG2HW2tWd/rKIgJ04NVWqE
RGG/BRDyTubwW5jGSZtWfLZJPxUYxfFsu08Z2b+oBztwNEufRHibvX7l0vUynPIxNi+T+yeusWIm
jjq73CXDzqPeO6j/dnVcvAf0xjc0cVo6yT+DYxsUKsw4QZ4mp3JIu7p/gkZ7+0xrf9cvO9T7+JqC
ndxRUCrDMW3OtjbrPT8ACCIPgcxxqQeSlRUxAM3Dnpq5nTPDKIwd740XQeisG0tQNxb3I4wBCkjT
NpmPgxJGZqFOVn8TI9YdAwwPtCQOeI7iTRVWQv0gAUGD9Sh+eZRORoLfTFS3r6kChtgT3xxj/Om5
6LwDMQze4CXZbm9iQmRSbbZMCqXppaN75YwFayHp4wALzMYn5etDk1u7MjB/I9+7T3LwS65S9/2K
AX1UjXGcUuS6QSO6F8WjyQXbLeFha6WOLFDZSdaUnnKVfi+Hc1OI33E3oU3YM+ixIMCThOv0GLvV
MUYYYrXilEJTDLw8gCTQIH1gcmBe55lmGseHJ9d1OpwdXFuk0b/blgN1uYNK40pvDXvX70+W7f8Z
79c9IXdmcmU87hbHMcPayxiWr9G8FwzQDnHmfFrdq+0D9h0mPArpDGOB+RXOH9wfe6E9CE+IXDUd
3lSwP2OukAcfPBUDZSwMpTzljsF2lGPVdLhBuesQMpXhGg9va+yXiXnjxLircq6z2G5rOHRqAhN+
oa6eqN/9mbAOXQw7VkG/hZHFmZpkI2NcNAsWDeOrNTsvfwZTR4v99o25DXW57QLwtYqdU6ohMKaJ
9VuiB7fiarhztVdJ/lo0rXldaHq1W4P73QgNryU0ZbDNQQmPsINRLE2AkK7eAdRKe+OWxyYtCoIN
9H2bBKmLdFjOToEPqNPm3jWmXVJOhDLW8pnoYxbZ6fjT79yXte/GEJk/aprsHD/SNVkimjI2QncM
i2A4C5gDEjzXpdbW3ltEfuoHEoNxYR2yeGJ66NID7tjkl3MeO1pRb/TKBmHCq6PJ3QuD0SJs4+aY
OQb5CUDx7iwgNgBdjZRvLTulzV+MfsGVN74d6QyiyGrNTwJqZDTfuOF0pPXWEI9JeqBMlxDJSCw8
bntEr/ndq+9VoDvmN87PYrJheE2+AGzC+7ysxw/MP+U2o4sJPAZXBsHGsYC4LfmSQwENt6vmgZPe
jA1p+1smTzj0C4PncnA59TTpIgUBi4LY6ZVgogvgRsxvvMiJl7+1SOaTXeFsp9gcvinjCO6qkW0l
bLx57RwslTwSPN3Fce/AbbReymK8U5U0d7YztruNCNK0zRQJo2bQzNwiwr/ODBozUjOVe2Woj856
rvpq/daUR1zze2fiaD1ZlnmAtdiEmlgJ6qRA6/UnAc0muMM3ZoPe6OZ9SdAEEuR7VSxDSFsGRpeZ
doyMy71rQWQDPReKcns1aJ8pPGVKLjjWjujqXojsdfDM75LxEY3s6CvYRKVZJ7znvhX4EA9YNLim
8/rARGbrZzuRyZUx1f2E8ZAGRHjlgWVepRd/T4I6jobePxAWSa+eQ6FKScZ5U/F77WGMGRRIMc7/
q0GyxWRiVC4TtFonyQkOjU9tUzzGPnBH0+RlI50uxtwHubEtUxoKYRx3zfKRPcyD88sueLsuTfWt
6VumvGPwmUJhPyRBu4OOsmCDMzcZsrwWK1eLaux5T+AGG3dE64eLsilhb68biCG12JcDRmGc59O3
2AW1RsO62jAOZ0+4FKVV2ztx5gzN2vd/Y5OtGMYeauE36fv9WWwnd387XX99+Oe3Phcnj9rv6Ct/
aixtjsixNdKVisLOTVj4+mD+61f/v/+vRMXY9Vw816Bwon/nE8dMgCCduWcu3mAeZCdfBFfCvI4X
3EbE/7ucgrWsny5fv0r+9auv3/5v/+/rU/79Ff/bpzjOzGUhdYdIO2bOStPS3LlhyBM4Q3tlriSM
6h5n3hIDzdHIM8kKFCrpvjmT81uBJX0EPD1BNcv9ndNKAttkPxpPVAcHO3Lo8VnOiM20t6FoxXs8
RM2FtmgEwYWx69CjFk5jdscr78gSS3Zp4UwyBMn8ONHn3ScwKit3ETRr9UwqkTlcRrU7Z0ivij+n
FWA44GMJB+A2Rhd/fhIdDAj+/WXNnOkPZZkDhenuvbY/uk4AdtD8oTJ7iJYYsno1oSKZGauk7XOE
GnaI7+YFDjHoZyivsRdVs/3ZWPHTAhXk6HOF34bYxjD9tBrPvMZpDzyTIajnowstpLny5LELMhvN
0Mb8OOIosjxJqRgnSnrK34byr6Ca9WUyP3pz+YO4mkSriL+pljBkbi9HW/fNpc5zwEUzvpq1s5yw
k8e8oRAgnrjZT3P9e12ye84ubINCv+GHRpdeWQoWWTxwXNhLbkRkJP18n5rDrYxDORo3XEQAfyz3
2wRdm1t6ymcI0EJW+ksjUMAPTOcDnLHyZHXytTISm7fatETmkPbAmsdHYiAfcpiIz3BwEG7KiaeE
oVM3DmKLUle51X+n6wrAduv0HgfpXpxavlISNHDm5UY3l3O/yUVz5M+LPJBnfigGqFUtZJowHryJ
wfDv1uWN27f8hfXW9lfPGULWs0KBbX3qZ2u4C8yqdyyaQ7cv2GiitITGuNRBRTK1fIZl+ZKQ3mW8
bo1Rt0E4ja2a2yvbeicX4t7arZwzIUrs78ippOaPX6XfyM2nqiyXY9AJFpTAOgPEL65LUO/7vJxO
znbHG+smZ37Qx/A48UoENY+FqUrr6vjrdy6KAK2ogFLBlJyauLvAscLzPcNX2X5+s3u0PR8JZRYP
TMtRMhePm3f53c/zJ3e2n7IJ31vyRloxv0pBy1PMeBEfvnsbMs47FvLT118UuHe2x89kTEjOiWcc
ejSDMem8E76NZVesaLGBbyrcfDIm024dyzmYTm0yQttdoNq4YmFoZTFVr6956rKcPWRVdqnLgX93
RNOnV1H5Xmi48cVvDV44nIfxuHL7z4MDh7yPLuEuuNUClHIaw6Xh+FbAd8vSe+ma3/vZrUI7iH/o
xryzM+/YFz4pmuJ97kY8jWB3/Cn+sOMkZoqdDS+jnezEKpLLkJTcahiZObaD5bn4Ipu8m+0gDj64
m7BNlw94IQsTf/SokWqwfZxRfS0BjL3UbvtHkEPukjy70cUld6L1wmwqjhNMp1uVMNka1uLNl34A
tZDzOteHvc9EitG0zB7LPDsJI04ORu0k5IK8AHQn9L6gRHWZnLt6DowTmW4mjh0RUoIOeLwTyM8m
15kfnlXkd9VKdcGwX1r/NiPlKCaODaaOA+HW52K7RU1+TT8dmNBOMnlg7kg6tJheZYHOUQyZT/yL
qUPdBD8z0ge4uQZKoGWxXKzt5de7SPWB5mFX1apDxsvXxKJsUtF3FQpOpGHMOYPkq35IlMfcqsm+
Z01j01YF0480RQufgI4H9m21svqRZyVHRYxT4QMGxT8hhQOlCPyQhrKAK40LOwTPDLOd6WMM0vli
DwBVvz4EDZVAk4Vu0KTdfWWOIzhl70HamIKKloqhNbvEvSUYIzTPo+nSOcNA4+vD0GBQcYUBCVnG
b3M+eztyB9RTu+mwt8f5dylqP5QBVud2gPB6WmrSqL2d9xGM5teq5KBIcmLajQjWFxK3yE7bh7Ue
kQh7Jotfrd+mlb6tsD6YI4zsap41XC0aTtay+22lOZiu7WtwAHCx2tY0woR/KfUBKJI6bw4kSTjO
DLRbm5nn2N1L/E0fTcMEr8FoVgGZ7rYJNqC5jRae/8YulZxH2YjHUeN+9weoBSo13vArlmucPmEy
7sOZJgluF7lzmLSn2TVn5gCCxGsjqyFCjtvQVH8X9HpuEs7V0ylArA1XVK1m90c2+yos3FGFzmSy
q9jv08CgWAjMWO4k08fcae/Qz4sjjoyKc9lwTw3AuQuq+hb77k/aYF6Uk6wfRl1fA3+a/5Q2oWhY
UGvyAeKvhgjnpkxwGtzJMqM4VNVvFnCmbHWnw5ih4C9EBlZqxwksNum7NQQf9uR2vxf9HewdOGbx
pHrH47Y0uZFT2X9jHzNqVisAtZ3M9vFocTesMGzZZFEiM1EJmnf8J18dfNQ9OCG633aqXqv7xcci
2plr8OJvFvCg7uQnWdq+0U+9cG9emw4A/1R+1lTVyrL9hkbF4KrY0gIl3LN5+eFmT86cJq9VZyKj
p3ToMtTnncHK5rfZD6vo1NWFiHjX9/Zw4JTdnF2FqSSv65caj1wTC42/WAuusy0sZlz7gT3+E6sn
dN+9NklD5W3Hu6i6ecsAttFc9+0CXjZLzRivAMaupW0UCRiTUBTPo5f4zVlJNFhr+RMA8IXod6xh
Wv612uQsOyzfXN69QzrxQAWgyR8HoqZnlsLh6OCweCHzxT2XTNMfV53M1WhOKyfcyFfrcFWJS2Jm
MJ82Yv7T3DFW9D0P4nANnXdq778aQwZvSI65lSABI7fdS08899ilsS/r6l61OdPVDDF1BAvJmj6Y
H9qipT3NKcbxtzHF14eSO+El/z4lfXNf5VkDdyb19pIg9e6f3yLkH3XvLBSfZPeLs05Psk/ek4WM
F3Q0mwXVumWSOi47GPFTtWmzL+hhOfpdAP0t6UPokD7r3ZyTPQeBmJPYP/e+fieind8pd3vMG5Qb
JzeduzY3vrkDHDB0gGrfJ39N39u2yOWNcdDIHXXFD+nglnYZBw/ku3l6cDnqJsfkWqwXnbjxw4gf
wC6mS5os+ZN8mbwcCxHgC5o2BgwSAVi0rjK3RgzYH0bJkdhy0JIaQjM1i/HJKCu5lzFUvf8n5/j0
TzLwPwjvPdVp1ev//D/u/ww0Exh0yTNaxAYtn/Dg/ygUG5IYBDpgnZNnaUI8q7bux17QGdwHzzxc
hwFt6pI7dtXv0G32HqgJdnEm/2tFKIWjFGb2YkkLHC3Z27iBU+sNnJrmqXHCvlKWofRK+DeN/d9R
KLtIrLDu/AJSqz55c5qBr0s5O+eF99oXgf4v9s5syW0sy7K/0tbviAYugHsBs+p84Dw4nfR5eIFJ
LgnzPOPra4GKbKU8syKr3tssxKA7JyeJ4dxz9l4b70drHM0YHX5uCJ1Ggj6t6ScFO1F4b1eWUu2W
0V605rmAiX36deGkWb1L/PbRN0rmWuQIFB0KOH1UEphmWxfrQjfuW+V6/+ZjtD7bg/kYHdNg3mUp
x+Sj/GRvBiBjMGNofGBo6lvR+cZbW0XdMjYjB563JulwdOHr9FqMEJQmvNAr2vjmPWpH0AVJku9b
KzHvmb/WZ0W8B5oFDCxWiv2FZvcDOy5mnFY96mOt7WMXWB8tucsQR3LFZ1+vcyk/YJvVB8TBwZ3A
hojkInhPqgRN0TClpMUM2QooAo1TK1BL5J/erTLavUOO1RFJ6KUR+PSsutw3zJ2pz2rj2bGYn//1
5mZ+Nq/zAYHoogQUEpus+pwRl5mtlwfoAnat8FYD7PC19Opt0ee83UiMlJJ2BEuwbI6djpQ16DYR
28C2NwHW0h6+9Wb+Y8CEQo3Aza8Gtshuyp3tg5BImTcuv9lF6p+ddTlM41M6hLeDnsKJidEyal76
Blaue9B664iG56/fG6/7z+Zb3pyc/yEXJg7yd/NtNuJizboJ2btMkj3yUtqnmz43w/egqLFA+nnJ
rsQXwfTK2kA4HRaFFmpf4Tty7sopgquk2FmRnawzh2Er81Mwb2OrP1WuTX5DldLqZrMiQxvGF62r
+uybKvmHa7EdgJEzm9uxJepGE3Hz0XGIlPqYvUgYERso//NIAleucTvlQGh9X1dvXpHuU4tpXDbo
z3oTvYWiC5+obtptggNmZwH3vE8Qgi/QIiHE7CFpTr72QtdHPmCViBdtFBJcxJpjmecuWF7mJrsR
KjqoRPYc4yiCS+XA9i59wyE/qSZWlwlBD1P+pnBBtrGY5YDg4aWsosEDBp69dLXsvncMu8jpfc/b
cUTjjhRU2PdNh44hVnZJ3A5MXNJxaU+nA8guFtTgzDGSpiVyPtV28rUc8rNRTfZ3Dq07up/eUUJ9
5ITteYumhX0QeRbsfMOWt9jscFxo6Q7TJSRtTIZRsOG8XW0mDYtKv6mnon7D9oZwvN6z7+Lf7d3m
RkS4XKyO01FfFa+Zku6CUJQntFjWIQrsdNeY1bi1G6SYXSSI7Msbc51QZgRebrz99VZo/vORyFbK
sJUJrUBXxuc9jAFPqIEeSXYuDdOdjnTZpLV5Ut1L0olLONPMLL+Sa5qJ4pgAIqPlB1AWCT0rfqdv
iJ+auYm6+Jra9HmJdvK3SmdOro82k95xJLoPe4eocQq0s6p+apyFauoU+A89SOJl1mbu0r/3gjeE
bYg26I4urXQ66Q33TJze3sEN/zc732yv/2R8R02B6w26hDIN3fgUPqnZpTa1QgW7SeXnMB7FWYyh
v5SJFt6CDzymmSC8xs8ec2iJC6vT20dWNGetb1lgVnV7qS08lp0STH9s/6R5iZyblSYyGTzLRYf6
2087lIOzEHIavhi4/xamhgPQj6IndqJi5TITi6v6VprBQeT2jnZ0vEkGj/m0Ku1VIlJ7U9rbmvnX
amKc9W8+AkP+81cPkcCyXYnfg+7jZ0aF6vQCR3AZ7DpRdOcx8Z1TW5nMy8SrVE1zN4EaPJR++KEs
tBtWWLz0obeqlD9spNJpyKVu8ZbE56YzHpIxRsWcCvMxVb61KOEyOpxEjnZZdS9u+OYhU7h0ffe1
HHR9J8oRn5tm6c9mRFBOI9nT6gi/ypifG9NDvs8YO8iT54zB25lM5RfNb8Jl6MXRAY5o++Aq4o+y
4rGlI7QqUzghbZtfEpD354oR8s3gj++OXnfITNNNXYyow235XANrPjcAyM4cL1+JyNFXUhhspk3Y
3KMfMmEj1reibG2Whin2kF47tbiKgApZJI/1U3GuGdWsmlGcrtoSjtn7OmHJ3+nwmO2xnO4L27h3
2iI/tmV1b5ozuwZB1H3KYrBwJxTH6CW3zFqPWl7gOWmycOu0Nm6KyQEM6x4bvWRU0Oshhzznzjba
eKvJRp+RtNa61xCkYlP0CwsFuiqcG2HXGqIl5C8D0rIN/Y9vCiriGjd1vMAClgHbSbwLER1nOg7J
NuqAWhUOSuI684lRYvm+1o2UDC5HIb4ztHgTiji76GG7Q3KKfC9kXe5NNLttw48XU9BHRzTd9UJq
NM3twPHWRmmIrdXEHAqeKa6o/8AakeeF8bn+ahuEeQK4Qco1dW+6MuvtFCBCwRlJ7ddicCzAN9M9
Yd0Af/cHEVcXdJsnA8nWuU9pjlo4TIknw/DBsutSJa27lso21wN03XUI6JTReoYWUKG2GEP9EZ95
fpcEQ7jsJY8MPEmtPjnPKMUWpmLdh8JU3qTtyICn8LSnvz6gQkv950OLEsqShmMZlnQ/Z+4GhkZj
qFMa3HUa1rOJ8JwoUgpQdIvFOFnfOhbR91kReavRqJM1eQHZoQ+M9y5TPvQEGncaYOZT7rrDpdZE
sCfJfVimRF8R5xzuKpAFmw5m7s405UuTAekvxvRk5zbQ2FFDuld29cIMkubWBeTs2k7OAu8CRji4
zOO+OwpSvBWGUOswQ/XrMZwHIRptna5pFlDseJxPO2VQWcJZyIxhxCJ+6Oy+XUGusU82rK9FkBsG
k+H8C2NzOtVOfmohZqHuZ3sMbUPdiqQhk1SG9Sboq4ikGKzb6di8pL1Qlz4O1yZus9mnt0mDQ6q1
9Qe0u31IIBNCy4sQX2lfdDstZ1qew5emiLhVVLicSfp+BzwE/YkEtc0Bed13vIovpM1cypt2pvQv
TRYhuWEJxmhu3MO9IFdl9sHb6mhK2noJcNpdSseGfJDefcZGe4rHEjqFdZdNaK4ovM1DYLvYARuC
S7DPg9nzXXNtYcNeTNDDznFGaY4w6QYd5tLQiplhlx6qBGVMjzXpKDNf3yBjn0VtsxICcTV6F/sx
wnlD5wtaXOehxYzifNq5TlzehuhBJrAV5MdjxkMlGflR+uHGCAPcSJA/44mjIGZjdd1i/89vsKL6
b//Bzx95weDSD5pPP/7tMU/57z/mx/y/+/z+iL+dwo8qr/MfzV/ea/s9v/2Sfq8/3+m3Z+bV//zr
5nT1335YXzPa79rv1Xj/vUYKfv0r/O/5fM//7o3/6/t/K+mdNSwl93+N+TkHYf4b3OfnA/6E+zj6
H6h/XF0XwCBmFA9rl19wH9AJglul7cylPdXF31PejT9wCgiKfpb9/M82f8F9nD9oZuocNkwhDTUn
ov/9zf+5Mv/5rfFh/IuVusUT/VbhKNcld9y2FSQhA3nnpyWm10Oopgll7zNE2sqxxrPnDvACbNrk
qW9/NVtaac5XpzPuCxe6ROICFWFF/lq6RCbaltUtm9731pXV7Usf0WLF7a4ZTZvY6S5JTtPB6Afv
kNME2WVYOm23uitAXlH9ONnC6AGxEDHDGI8xh4/zbz9Ft3kj4uWYIGW29bc4RpilMocVwmOWb8lL
DXapwbiUrsLBqFux/odv7198JOJffCRC5zPnUxGmlJ+LPiw3lWf0rrWfNIU7UuB09hPtFrvsuM01
bSszgbi/LihAJhM9Oy2EKX7XqKyIaUpXiHCnXVNwhGpdMkMAd7oFIbLQFRcCQMGGyRbdb1e+0j8o
9n/9txt8fZ++UAe2CxHu1Gy6cuSVGPWPrCYvEMBKWuzMnu+9piWQ+cJkCj+Q4Zc2Ll21yThn/UsW
AlcYi9JlRlVChqycF+Ix+61RIToeiJ5a9j1yD5UjyujJfuW8LZlrLeAJrwQGpEVa4n0oFHoEZpq5
4+OjhLJa28nRTNCopRBfDDHdhUZJYJFWfU+RlS3AshyJa+Zslg/HsfNfLDFhNkalSPLiq+j8J1U0
FooJAlknyFA4Co04Yq7vXPyANPG6aNsNB/+niVBDjuFaJ/ap5mEZdCZGP5ipLXy2Jl49BmVLfbK+
VpjfF4HEpZmhb3WsZcrjln1A3JRRrWtql4UhQQDJ5psISO5F1rZwIm8kDMyv1wHlfWLJl7IfuF9d
osBlzCnJVWH4ueyE9kEYIWc51dh05dodZ/xxiTKAYbnHCYA21k2JnmLRBwgybF3tGc4/ZoKmcTVA
xGp4Ei33Gaq01h1nrQ9McdFC9N1WRYg7MTp/icfHoUOsFw/WFyfYGw5jJ8QpF0hQKBYLi3ErcRTE
OBzj1NkQ4fk2TdirPcKP88qyYAswXQvT+lRak7nRAzNd2JPYqiz7MsUjpAP0HYxiy1XbVa+FXfFd
9mEBoZZI9TIX7cJyVk0VHFMXVy+cGHRUEYob5H/mmd4/oVM4GDzjxh/L9i7WHhz0TrO5Zc0sfpFO
hiAxajikqiE8jtThgL5mM1mbAGKaJlPqFVpbKw/OBrTV6c53aBONKC7S7qnqsJknZfZcjNY7asiv
KoF7bbWvyqGK7prsWx2FdyJgCGOE4bmKKX/DtnsBuvE22Uvo8/DAaOgsJ21a++jCbcs7FhOTs0G3
XuF/o7oUp1KfKioHsQ1HUjRj0mLwSbA2LQDh6Kjk6Tw4eMEtYD8BjPfAX8QNq6Cu3QaiuQnyattw
1naGfl/H1YcSdzSHD62bPpHsl6x9ffiiGfa6bEH2IwCZV31EhnIxjYthTgKne8OIV70HI71LLWj3
dkoAHAqsJSkvL06sHhNapZY23URFoDMuRrYURL6+w0e+bFO0l2F+H8n6C/6ltyAhpcFPNjZ7EvDI
9r1xUBDVvBzxv3BwEEAaIGhQ2xJDE63oWHJglY9TzvJdJV+ZSvxAN/leMbvLLPOLVgfFUjQc0FWN
/XBwL2Fnv0Z8n0RZnGMvPMYluJCqfKLfdyg7/6Js+wOlHjFL1hdr7DF+I9DAZH3v0G+PXA3psh+B
AbbvE6taNxbINSrnYOF7qM2mtNtCJ/mesectHATbzMqSJ1glG8ZcmPIkMitbD2NmkTnEYsKtwxrd
XK3ye4V/2IgBQk1NEnHUoGgvEvMMAIoGJ7TmtLsj0vwSDvFdJMdb19R2hXJXRoEuY0RatcbFzOEa
r2tf345hbBLQmltLMxf72mv3URXUi8T7Kuz0BlfzgzvS3pfj8FQkUpD/ysLM6/XLz9eNm2nlyXzT
dP6OAvlLEqvVvH+PdQ5WhV2JlKC9BybdjPS1MaJMsvw36PfjYiJWNkn92bOOkFszoYAaF68w7uYb
Ile9xj1TgcH9Khrv3pfJqu4r0sa8emk6zjumnRvfgRG2V7U7zye6V4JWdNCupYFECW1xnkzDOnRZ
JZb0YHtNJ+IQOXQuaCYoWQFeCGxSu2Tw6PWI9aOw3Qtyc1lUMmqtDR/DeX/W3WqfNcaLaa+tiEiw
WKlbqfIX363mufxrk3AIcyaL6dUXXWWsu1loTyEdIxgK66xFjhrR6lJZXSyKFuM+/ZDHuiLv0jaC
ZT9O0b53yUdTnN6WgPpQc5vPZogHNTH69ZCJfkPD5pwU1bMXDBepMJGTY/5sIJeO4vobyQ3lginU
NxOoTt7QYci4gnZ29l521fWm0S3vC4uSnATusXBYzgTmuyCWbCoScHuVvwrcCe6FRTt3QOfHegyv
cIxPR07dj8FsiVd0l4OffpUIIw5DFbHWYGrlInTFmzlUm9zsio0Y7fM8WoSClyJWbh+JT+0XKBU4
vnDuGQ3ec2x8pDQ/FqZHZxEv3kKZ9lvM1HOFIvFLoXkvVdCeTA8ZKGiPjGxUfWtaJAZ4+ilVqMKF
sDXCF0YYFiM6aXe0ToXAWDc6D5E9rDRHvaYM/hZtClLgPSpCAthwsUnb/GJTiEQNAYGaaFAYI1Us
wiZbx5W6ZbbD+qVlUywaeZkA2uBt9uWSdQcKwXgXhE11sUKQuTqzJRV6/cIpzAZ/kM70iY7PiTxO
/chA4dvk6I/lgOiQ94DyhA1eqwkFV2hgWz1fAdWCrS7z7yF9pkUCwWwxmljyxmjrGy4T+HJebdLt
cexHCGw+TpC9Ai2IcFdddAv9o2v136YQd0Ypxq0gcD3A/AlzgHGSAYq7Veqxh68d+85BNESZ6QuL
GajMbbjJsAUdjlve1Hwh05ZQCjaJ0wZTwqn32pfJsea+asqsX2DwsR7mBaJq4uZt/uiICPU5gDNH
sO1Xv2y/TRo7cRror3BREGmh1GJY8eIb6UMKmpENnVFcbryqShQbZYUL4DrfuoyIjYJqG8lMviCw
6Ogm2oXl6js2aZKQGSMTqfkksxF/BtSzRVnmzw5KCHrht4Es92S/3muiP0cFxp8wfqT8PGjt8OgF
iGRsC+WjB+TEcBc1j4Jbbz9d3x2nxyU4jQUhtFD8eVlToiiN3QeCiL7X0cA2P6jnQoV3He9QWvUa
QcrO8W4ly3HNrfjDQVwEkP48yBcN0hCUWG5yabuvU4ec049JJK3qLa4ycy0LglJsnAOwCdS+GchF
6Pr0zsyJyuBQb4xiXWbFU9+MbxOOvENL1wLZwbA0k1HQmx9zPBP4EWC0HoZ8KjFdwIcj381buGhI
C2SfG3KK11aRwqR2+wsgRLHWcoT2ZQYPqRCEN1YEWlTpDOfriCS0kkcDrs4mEqxgmEQyIY+MY58O
wPexjMIMexIa/upBC5NVYDmPwFskkoaar7Fl1BvrD9i2siwkucuOtnj12P2Z9VOXtDvyxL6HfuWt
MxhqS5b20wKiTngzikms4ppBMPsh5m+c1wODmPssA2di+CHEq1jbxi6W1iKzZgtUWy+BwCySej/4
DHu0pAYDQL5X4UAkGgSje53AQGgR+r5U2jGxiCIYO9IyMt9aycRL6bbi0w5UTNssQTUSzIxmoW1r
4mXgl5LuIyeJCsILkl0TziY+cwzJkauJfGwYPBzAfmFPdbDI/frxes0gjKqardbXG3tyD/GCZ+Xq
euPPB5iXpJoGKiNCU349xfXaSNzwRnXapWwt1IO97q7GUufcbm4Df5pN5sqA+BJCbAiKPFpqYHGo
ldlgrhdi/oOuT3T9sRjEJWMGtynnTMihq2hrXq/GOkkKvVcsfcd5G2yyIrPA9JaZTRdQ4XQDWGLs
00qj665UuWWeae0ZUFsLFnBkRzcZiaY+c6jRe7RsSO/Xp5+f5nrt+hLMnni163MjB2BcZMFLB25T
LnwtLsGWoohZGKnO91X2N6DfFcjDfg3cjJQwiA97xHv60XNbf8FYbLrFY82KybSLLTCJnRNa05FN
Bo2mZgRn6KXGRhuV4jhQZ4SIEUyI5Te6DTw/WQ+9qEB+uS575fTQ0/pcDuiZ7kF548Amd3dDBUM1
h20IlsWI3EXmxYqBkn1nCyBuIgXB4lskoKL7QkRPYvM6RCyQ5qN2yj2npG5H5F/H0Szi09ayy9+p
RzAa+254EwbVcwPfnyoxW9Og3Yx0jJnPmNMFY/fGYI6+DhBpbTSjIEPW4PVre/Bv4J2/0V/4mKop
3qfYJjg9eAcAtwlTxX2YYgCwtMK6R3Z3cMcW3ZA9hTey5viQFZwqmhRQFnqI5H3ihOREBEwmRVcd
yWIqkPR35rr0q7uUmIsj8QZwRvrqwQJuc+qnWcOXjvUGy4FxlLQ6Aln5Z2NA/Csye88a39rXnRfd
AdyWC59dhlIj+9oRMUiY/CG3OIHVqCiOmUElhvsFLuAYohjVXKpLwreR3HUJAhD/DvSdogEQDZs8
7PzHfsp+mCXH774ulsase3F7DyACorUyBoWoejWd2ESwmsE4ZjHu+4gpOmpM5RyBMqgjeYfQLe8B
ntA8SbJXujAs9wp3PFuyuyDHhbjb+l/tvBn3RY59YVDBMfaAbA1gXlezPOO2AZN6q5k9Enyf8WUr
5GGcyvERLxgcwozUEzsR9zaQqkdfq7O91rXpMhekYpe1vAzjDMyKi6mjMT9bDyNH3BTzRadbl7G3
8fPBbF5fc6BCJS8xvoNd2A6netSKi+t6t31kJDvHbOqjP/RP8BDQs2P+mCZ1cVZZ1kb3FabTmxC2
SuAzuWdpcj+OUFKiysacVVivIYADvsS42/S26eyDwYfZKX2xJo6nRk356lGNME+DxFXbeNKTLl9b
pBncFqWNKDv1rb1MsDva5gX6hr7TZtpB7Cb4P2pAD/2jAf2dGl3S3w78sxAMNfxE5FtIEofQyrJN
kHrfyDQv7o1BJzejU9sxsJiBGDYfmDG9ddUQ78Jmq+Hy2bdZfDQ7HQQMWy4MxA0o1ydoNYcgIPoY
fVu9UUH24k1GfK/Q1xleVR97jISlnoLzU2wQ3UQrvk39o09XRmGNQ8TaQHG8tclB2DtyuGPc4W4g
6OGbt2J7p0+s4w27AAxWC5OUqUA7etax6ZwRRXLhg0Rtv2M+Cc7t4Lx5qfncuVQyw1ShoRiru4ot
NwDMdjBIBJjaCbZxgOerC/Atz5hYaglBHyJ8xwre3aODXmtNfKjSzL9jQnHrmQgyEBJlLEBAQE24
FTPtWDjjjE9Ko7U1PU/4Azcu3pxtGJHe6ghaL40aaCggrBubowXn7EjkeFbd2WF6CSlpjKWHbWgr
R2hOTmsW22DI9COo7TP1dLTJq8zZe8CD49Y9ozbsOFcn2tpXqD3iSRyuNlQ9Fe6WRHF5a0vEVVaV
jSgTPZSZMntiqv/KzFI/VS9lpYWPEFNWNP/bixcQYzFQMGKkv9d9EwW1n1jrzDLWJWTfWFGdN1Ve
UWT38So1mXfPRvEVgINvEJTH7dS35XFIppWyEeUU0MDplW4K36G1Jq2n0U2bXWdDR2jpwA1J5O4K
vB/LqsluqvipEhFzdw+wYtN7h9FdOk1xTAGfHKakPgpg1Hf0LBcO1r/ZIt6brApK10UUzcX1Whje
FCWnZK2EYbOo5qtDdXMFeeEdnfHVpPWNyOojBAdrT6eXpFXA75aJRgrWiJR2mTLIOCRB+SPTDPJL
dU0gKkw5LuhQmBiUYxe5pmX/vBrO6dkUNAl+7b2T9bp3Fskc5uuMDfUH+xoR7Jt+iKeD5bKAb9Io
Jc1BjQdAaqtAkbXDCgN4wPyr6wUU1uehpdURN3mPuG0OqWTM3v15NSaLfK93swPJ1g/jfHG9Jmxk
SwucOX/+3IxJuNIhUOGVnbEbFYlp12sZ63AqfIsZjxx8k/VOhkGZu7ShP3NtsOQBwioOpSQ/TUQS
P2UO7eT6O+9auvy6WXLuXxNq/M5hXi7t2FX/8NjrE1wvfj3g04/YpVJMPFUklpXPGvTXQ0pFPQsI
d/r8hIaj85DrHX9eNfDt0X0DR/Dr0f9wp+svHU2iWqixxn5+B9ebP/19rmMULIGDaiaCFYeg9OSi
EYNa/nqBT4/4V8/y6y7GwJ4bNjpeUrZHDoRwJsh1XXt5aGJEl/CcAF3ioZpvLi0szaJ3eZNRdR/6
0FxkDiHkeqE87FY0T6FjXH925lsGMGDwLJJ8jd2AxRup2d1Kdu2cGqw9JJnzKHEWLMW8BbBffbi0
fNZ2Pub6mk08PzDW4Aa/YoFPKA6YNZE8uM0Ee30otzPBaDwmNRL7gcECLQBi6SJLfx+yaV91/bcg
zXF7Yi0iQrIVBTkJCqJEB5ctGG0yhBVOI7Yi/LHU6Xb3ZMU4SKu4eAhD9SPIi7NrlyvfdC+54X8h
bwdgYhff0on9gUGz7sJLOaCYHFpg7IUM9yy7XzEXpwtGBUsjNb/KmkwrGj7NQq+I9Z5tYhAa0EgX
O5BBH3GamvQ+BrgZWmstle/w6s14Am73w5MUwK7xkPXWUxT3j0EJubMVDog/Jgik2dHhTfoPJNUr
P2dlJEXxUlnfnYFOrk24a6p3O5Huu1kzpFc9gVdB890CuRmYw1EF8THV/K0w/Hcxv2dG/kVtgs9y
jspm9F3bAa/Wrxrqv6jF7dPiWiUe4gHb7LEfXLgL6SKGhJzZ1lnY7TM+ejOgmZ6Uz9hG7u28Jm3R
srZNqH2rCb7BihCCLh8eHGN6ivNuIAwmCxaVm980Vb0rNBLuqN3i2IsPIIH8HYng98XMNe88AEDI
xeISZmLQs0D2oNXWJKiVvpmsQjnrkBKT5GpijytrItcCUbXjJk+D6UBX66eNc6wotoBjQgt26UO4
5WQSQzBMS/LVYKZp5X1TPo3x2P8QLE0ZpMWO+T5q/QYw895ovdvS7ndu556arOQwac7l+a3uRI8A
I/WFAuCFUykaT6UNfabpTuRBQ+IZV27z3vW1RXtT++hd8uE79BC5bz2DZi9E9DJ4OH59DzeUU0RH
puzp2u1hh9FEIDYDUaUji6+5mfInoyvpOJBszchUyxGy7aYvpQ0/h8yIXpSwyQhPInIhInA8wqFR
MISA/E9CQ2HjZ8XhEzvE3Fo5hbw/L2RkjoOzTL9VWj8sJ9FBzN4Ry0aQnZYxcohrIDYRH2DRE6bl
jqwFWakfnI6Mj3tXCwHoTM431SZnS1nNUgwesM4yZWP07oh+Jjcsi/0lLcVHB3X1mtCHp5Acvgwb
GouyPWsJuUg7vjtLdyEykUQCSMBbFUhG2dOnI/7L73m4AdnykCfuDzQx5RpL1cFFvrIwycDFgi7e
a92UcHEG4OxY2yw6qkuBnWGa4aiRbmEfo38vXvIE1z3hnzSCMFCv7Fq2C31AksohJYb1CQqR+RMm
CAf2XnnEeYN8zo9f0ersW6QqNIog3fIRFJlmo3R9TzjJbcS8rxUyZdFyQFh0O/8jNjiEscreMhbm
Om44v2LvfmSD50gjAzatqgEST4ZGldOyKxO6DNXEyTHPQgohUqKHGaUVRsT6Aa2hxUA0UY9po5mA
g1SAZFNGBZzNlKJC8G/QiowSDKQ+amKd+Jy5E5LGs+atpt1zrPM42EyOiU19qIZVHteEuNcgSZz4
FaIAAcBphRu9Kh+8BCBeZSXnuJ5oN4G9HxQDqp79SioadgDec4TW5fxBQtdn/kXAJqsVplreQ2eN
77XtflT0Q/g2jHdn61dY9cEuLKJp+N4wh6zi+D7EIKf6zCFTz3+aB9JMu7BtNQEEQ5lsqxnJcTXf
qRgmSV86yEU9SnojngYcP0QVjn20Nx2ysbDfgWxs5rffqHDllFTqlQm22lXbpPRYMVusBwdT8oI2
eiZbv8DB7NedLD+wT9Rb9Mn+uiTalUEaactsgsJi5mf96ABspHBJ7E47D3PDHm9jtMxabEq5vyJD
RM6pkYvA1T5EEN3ESf5Rzf10QbwC048qP55AleMfgLwBWQM0ity5Q1PsPTF+lOxBFW1nzTCeO0id
6BNR3w0/BqyZyzjDKJ9XoBMZ72q0vmM2Op3WqS5/xLQMNkXB6ICOzLJJgKPbUwb/CWNmymJmThnJ
R8DDwI4serCLNrTfQoOpcRTjoBbJ2k4mOoIRkW4u5O2pcj5ijqGFZj+p2DimE3sDaMezlnb4JQ3r
SwO6dMH+XS2x8d/2CWi2DJTk0gNHRZ5fC4kKYCVAyhV7O5++hCdEiRCV16/CemSwBvbarVIOVCMb
hKdXm9TV7h12S0A0MOKb2fGfee52MF3CELAYaN8rECH0DZjstDaBf0aKLCwdyuc4OScIUVdw5cSi
8pemWYhT25YE1xVqHbdwfrJyXbSg0AmrcHUcr1ZEkYTg0+WQ4O+uA///r8r5d+FbFljw60f1U780
637+1PPMwqL/+7/PcfIlyNPfY7d+PuhPZY5r/UFIFlueMIEXmbaL9OVPZY6hm3/oukQfqISOQGdW
xfw9dkvNt6CARg3r0P7/PXZLGrYNRwTfy/zY/5Eyh1yKT1IOfmEq8OdwaFAJkef1yUVTdTHSc2mU
By1UxySnFd6PlMYKegv92ueevOViAFlWECa/arWHmLiwZd7Sfgxich0YrWMF1jlMwDNeDmMMQY9h
DaQva4/kTzvoWDEOlnXIKr8yqen2QZ+FR4qAQrfjpQlya9lXzdehJAgAIl5PBN7EqHFaWaMBP9Nl
D5euc5jM1D0wXehWUUBRI3KpDoW0nwt6jfBhCTSudE0euhr77/XarwvNWg4Ci+aohytbYVW93iTo
aLIunR9U9rmC6ODXG5iKzy7jADR3/p8XPhwcwAIsrWOU65A++JFSFrY40qDlrztfb7hehPNdrteu
z3K9NmaUca6NZ3UAp5NWP4J6Jl85hIbQlkiP1wsQcumxmjwkyKC/5YiVzEV0efh5rclXaayCJWPC
jnYseAavBSkyTcmRWRgzatfV7toyVJvcuwEyAkOslrQqTT87/rqIjC5cShkzk4y9CCgy0/YVKSN0
G2xRHIkJv2EwPK3r21Ta/bKsEWNmcR6yBEovonc+ZEE10jG+WEs9eU0mFodBWLw7DuwYd1R3Xh9V
Kz2QALIjJ+OknLGK9YH6Otpb65DybHbJpiu1eGm4w7QjJ+yG8CMYCFWrVtZQipPfCOM09KMFNaBh
auz6Ut9EFR5kHGh7zTFh8tU+BpTWCG608YeZGdmpc1nV8NeciP6CU2Idq8hsycdo11EjvgIK7jAV
S+bDiOhOCO67pVE13sq0c04LlY0Zvusdlkbdw0i3eojd8UYOyHurWdTsa3ZwEoTPcwqbkk2P1Qv4
krmDop7eAlSs4NJU3dYke8zi/N2hQan6cWuRKzVY6HBwYcM7SPubDMsm/jtyZujBHZ0ht2/0JJRb
5RCwNN/mFj2fHryclABgzjfcQUbS2YtK2xq89ROxFObJmP/qpg6ewciOGzCMm+tt03wHGabnUdgE
ZunTk/SRnjZWA64zzqYbuGnjTS9DPg872booi9TU+Jtp5EzdG1O0tcf2JNs5Y72el6IR5fcGP+5v
v+urN4zkt2Hjz0nsQXrUhKvvRq3agG1sDixyGoyD+pTM652GtHd++etihh5jEiTkXodOc1WuGxav
HMEjv/4kBkZBMdBKWoOkG0lGMuQxe+uyupts/2kIqRPZNsQRocNPsM7AzkKUyCWZEwF13OAh1PJN
7He3V6Bta08FxVNFMkEJFGUh6aFhHrvEaGsOcyN53Tnp+xWh2oux+0/2zmNJUqbN0vcye35zNCxm
E1pkRIpKUVkbLEUlWuPgcPXzQHX/+U3Z2Fj3vheFQURUZChw9/c95zmH0mcF0BlMkctBz09/dhFG
bxocJwcRVNm0/sg8iHzW7Pk25g0EPcvmm/N8OsQFdbvTAs9segLiEfwelpv8huWUrlv9tjGRhXFJ
IJBHG1iQU+WkO82qRZRhviUVh7wWGjRgZgworLh1PlLV99vINOpTMm8WWueyt9ymPGC8aYZBQwcE
2AbU+ECbH/LOiQ9V709bq2prloz+m9n42a4NK4Cz86uc8vBNjxt9++eTlNToS09p64XSCpByA/R/
OJCUXW8Me9KZM6Go8QuIEcSudEyQMUQKEENrMyzJutPIlFoBYK1OC28W/wA2qgBqGoUzTDfi1CVm
foDQvROYdOOi3qOgj3a55oy4qLsncwY/1J6ndkZZPDoBH3rcz615bSA/Br0kAciioL8t+Ro7so8G
CvMrYzTpRbXAL8Lipu3raGezDi/M3sdpsdZlYQOdQr4wt9VIimOoWHYXlGs7N9OWPSbgoOBiGMul
JkgIzBX9t/kHMC6duHmvLcsHspigdul5cYo9k+ezCWyF1NYXp0DOgxcODAInEoStLtDTOIFKozXw
aUC1kXeXsS4JO3M8Gb3xYWCj35Lihp9uau+Xymg9tCb2kdXYvtrt71CHYUkLb8wACzGKusRwcaYW
Pjp0pUfmOvKcL6KHGng0PDIDokqQAQvM5dGpAy4I8Hm7ChK5dfOkOsC+jg+22e2a8VgXo0ffi7QC
sFzEplGwAmVnvRjZw4CS4vjXe18O+xiLPnzs8DK2cJmXjwGj39oQyCSXo2WjzR+HrRzCFMb3YSaP
ToljnqzeLLY2lYA/hFEjj3HA19E6E/w60vkHmgJXnsaJ0qVBhTeoUf5HM6txuirXLA+swHbtTEz1
iuZmmEnFNJmRPDhU8KSf6JtARyYaO5Y8NSF6EagOid5As6bep+yYMjazANFHP0THBYLY0BAB4UCD
VLnyIOx+881vnhSdbObrgkqLnQE0WUMprY5RT8Oak+OE8hQhUBwcMoexoCJGu5rJas5ck/veLLe1
k7wXYdPtlsvbsjFnGOz3IcvV6pTHGrWK0G02URkytkryhuezPxQ6V4Nld9l4vu3T1Hdn3UV3gyyf
VbwgEMhRwUAZmU2no4owWrilM1iaYNSLE3UEFhV+vGqN/larQFZ1FA6Xv7tcb5fX8tfhFAhtXzg5
LGDqoK6/1oOObkdaOZxA9cii2MteWpv6/1LqXjatBrmpzflEShFaN7oLw9bo7K+c+ddWRVp0Nixt
MxWVOhjFowYcCfvh/MuMwJ2WODfpxs+nqd9Gs9lvlot5GKJAeNANH4KaVrq9Snra04SQvGY1WT78
x9irMTi6Bhfm2kzPknLcXo0TIJm5mJ5PI8+17C7E6+We77v1/NBKaYKZ47HfNy97+Curo9v/Aso1
V4sTm1wGrnXzEYm5LP/onUC7+s/DP3umkx5NSMGydkIdsjj3lmkIeHz5HCvbKftzQtSZVbgQZ3jH
BfCNk5Vk4iaBynNjS//YVxqLSJeQjbgpfsd5r590zdRPRL0Reeb76PwoIS9M3WUvmem6RTwXjpfd
5cbvx/y/bgP2Sm6FFqKBn5/re0NaQHPQwTt+3/TX/1/ucGYs2LInFdmlmkbxZDn1qiqHzbns1o1T
6OhWscIbJQUNGLob8E27mnbPQc0w9+8h9Ptw2esnC23zcvdyvAyz34c5lDzSeiC/qCZeFbpQ22XI
WWj1iHpRvS7Hw3we2ciLyTodMAfpfnNaNp5Q4Cu8TnqHvh7Wg1nJm2WjXLfcjIzIJBjEqHr0CpiB
4aLh9LlEn8ZR9qcAMWt7iPs02I8IuGV9sEY+DYcAAKqs8y7AKIZCEE/l6e+7/vGoWCaD2CrEuH8e
VUCLK6vj5HL12RbLkDOfDcvespE54Lo/91SpMzXn5VZWLUhAlt1pPlHIxCuJqJ93R1Nxurb/fhaD
Wve6clWfnclgTDdlzVqAOv+sZfnz5P+85fspgxjC/PKMy22qNbyjdNfLzX89Khojb/xzz5/d5a//
eSHLQ5fjuHZ51HL85y9+P5VI8NgavtMVZ9eFXf7X83+/ij8v+/vu72f/L9xW5ufErUXT71gIHadg
HFvWozMN23A29batzOkgBopkBRKQCewI2IP6aiWCBFjSrTBJFs9JTMha6VfPaWX2TGYne1c0wtrr
gXvXpqr6yVL4iyn6W+dG9XaKjARPrkb+jMHD9RJqao5Whhyu6AkwlNjIJA1Ojk92XSQR+QU2JbKW
enIWk8DSld2jWcaMNB7pORMjysrp+8dp8IaNrMULzjhk71CTEaueybY+a1HckCFBEid1M9i1OG7G
Qba7TGPgcyBgDGO6rZmfrlWXkKTQdS15BPCM+6bK9lXR/UYwHc+yc2hUon81OkXF0vnpJR1hI1VC
4q3br62m2Y1K/2VqQKn6XV/SwTZqymOTQ3SQK+H+c7oc0jY9UWsvUJlZZ1zkkktf/Bp5hMJG0ecw
vsPuBcMI6rZPtH4XFtFLRzsHpWp0tGoWpAVBm6Fp7s2uutWrsOOrqkHIh/LTwTRfCd/eGwEVicQp
dmHDyg004IvmOp+2tmmcuYCRj4yt/Nc5mfIhJRvRTHd2gzyxrXIQy5mzjTLznfbdvU9p4rnP32mI
byVTrttRZm85YRqCtImNGYu7enRHpAKmQWfPbdaUoVlxWBIJmPNr8j0B48dvj2WKhFRkUH0Tk3wB
Vtl71VAxzAlpAasBOIUWxN73ujcxtdFGNeEzAvjknNJ4WlM46TYVy8ctDCnSolIw1bm9VdStd3FF
Sihmq7eEX/opYaQGbdtPWC9ITVP6U+DO3QVDg4bHBDRntgrAV9+rLjgNArh+RK/8MIT6D29orD3Z
NMcor62H2PJ+eFV2HXywckkIiqPTQ9DW6O9rNUDJ07Y+5QyU5wGsXcffawOpeWEub4ivCD61vr3h
X72m/E0mzdDMBn0ucBAUW4q1XCZjsjFItdwkJc4d20KFMYlbP27EMQ275iTc5Eb043jr46fFc5Oh
nwHHQ/wnuU1BubYQkvdkF+sl4BBroPngIRTZKYMmoUSRaUAjtZCWndquezfmSZYHsfY4VC8amQOT
S9snMyEzJ6D5bEQ5zIk6+0K+4WwgAUJk+GlytoweGHjvPkBqS0YiqDOIRYWd/qxN+91u7QfLE4L0
1fKl4hJF4l8qVl4txXqYtSwGURMXIS4xnpi1q1hFWkbZ8Ci6yBmtBfq6V7JyYBPA00r1e6eU7d1Y
fJHTC1qppYthgGdTEde+R/emFn760FQlrjdlUcDSPidq6UUc7LKIdJkKV4OTkOmWh05HmAahKGPa
xuuibz/RWtqbwPJ/2G7dHuqzTFprb1lQ1hCEkWwhFRYoLZvlwwGnm32aqGoxzfNwds9qzz64aVEg
IQyWv5nkJitLEVkccHEq8x49XAY4WdI1yVv/lGOkQAqUXOtA77akXv8qU8EYgEWqjaipY3HACFIz
Ce2o+xhV0dDqCl7g5SWgrpMUQPshGsSPytWCE5mGu8iFidLV1jkVbn2vKQTKiT6kgI/bz6EDtBNw
jSKYO0cHQr5wZSlW0V17LZLhDsOqg79gP8BYHCROKp8UCQRu4jN2jLM9mqQZD/HbNGSkTkdiHYC4
XeFZCXaF31+IiXk2G5tOC+CRHfHsLHGf+z77qmIUlp7fuAek+oWt8fOt3ihT8J56GhVAQl/9QB3Q
uT7qEYoXulGfsqT/XU4RXndrRjxaJiptImChKG6gV0kkxDetmTt7qPIPPXgsdJEO1vqwg7tNttLO
H1HhJhVUe32qtrF6k+HwS3k1QXDDUxdmJ+pX+HtaZAJx/4RkM13lBtq7NjqPmrotDOcd0xOQQcxU
LsLGHp10TR+vdAdvo8TXEFViA3D8y9MLUm56cuN8t98VEz+/uIID2FbTFRskqwcvgggR4lNXfkf/
0Aq2mp7Tek2rYlOZwMR95kcb1AHv1bD1shIblewBDMqOmXCDnI2lp8dQle0BMl8I0vW2JsAPAigI
BBKF/knAcgUn8adl1fi/SoIqyrZ/ly29E+FXnBfQLONIJ8abBBjjV++iIA0qQlaoQ1Ul3kdHWtew
jedOIRagcfRW9A6djv6JnzvEVGrRq2Vfpjy4qsqjfD3AwbYC+WqZKeEKgDebwT5Lx3GuehFdGlEW
OCitfock50q92dslMw0vDGlAEplFUNFY3dPSPDAK11u/s3aJG5tbI5lekJCAX046hw6cUWwiJo2r
gX7uinR4XB2zx5AauxmpNwvMOHK+eYqWPWMjVMwZjd9GeRfCylhbhItulDVyKXwmLfjcvlVR8mRN
2lvnx/VJBbJZ61OfHlmuXrGWIZAD12z2+sWK9GJvV7d5od95U9NtCj+pd72mtpPfleuwC3VsglyM
I7qHsjefQAaXKxkxLlNAeLA088kNuECmcSXuq7CQ+6ZITMo82oNVIgjPsYr0Pao+2eUIFUrMlSqB
Oh75GNG79i4FE2i4qNqVnG5ikd+pktjjhK8sdzEohjD6YdeQ+OC6Z60Io2MJnv1gNRl0ZkjekDyY
+XXr0HWfqrQ5yyK6c+O6PZe99T5LKfQKlrcVw+EAgAGjg1pgBJfXkQC7Al0USCGDDz1Sj3Lic9To
06E+x9jAODbrMNp849fMYHvjQbfNkx0m1wkgqqGZ3VYgBdtW8Jg2GNA2Vl+8Z+VARGBNOGsEwYji
L04a2yNyoCda1Zhzdv32VoxNTnsO04Hp7hMP7bNdhr9Zc1DFh3fpvzRa8eBXYb/SrXikJFwBtgDC
XO6Hws2Qd8VMn4Twt6lh7io5PLDKZaDmrGsIFags26PsCaZZWaFAujI+stj7gR8vvRliMmbQCeQE
snA19y/RvAyZ8gcohVinRL/RvXS6jGZ1r8dCP2v05Gntn9ukI0yxqeRauHCQ8GdW937fUGv29O0U
oiEhy5c2fF2eKYmjvUqZ3bqs+bSfGq1SWtkK/hz+jnWZejuqTcVdGPvuLTwV1ZX+Ly5HoKqZzO/o
f/rbTCr92jfpuRHihIujhcIbEmDRF7Rgs5gODKHrI/rU0hgxTo3qzjVFvhVYaDfUwOM18bl0wWc0
kOUkyU6XBwNsCNFT5Xls0y90jjGNYLoIQhYfZWJ9xhpzrcxF5I3umKpxJoAnA5ZMB8iH+HCMsnK2
TiaP1SAi6Is6vAYuDVwQfXE/kJgZpTWBxp59xPux8bLB3zJN0uh2p/RaA8Y+u72mVtSw9kKYUvYU
KH0Xnbgm2ngPyWUDWqo5DnqT7E2nyehkE9GKeMZBwbPujNjZlXRuGDvepZMDrMi4KscGFgy7DW4S
ZBlMtKKvuL0kJHLnjK9MI0n8y6sH0/lB4JL+GDT6ZgiHdud7brU2041d169tT+FcdsazZTC5913z
HpP9Cyr2DQW8ex2qHeu+otsqfSJAh9x0dIXTQ2loPUY0ZL+CT3yM0JXrQYjfrZKHTJ17mSKKdwHa
WeoB0SlZHogiIRafXBmhRsmNu45G57oT6sMuvHHTewPiEMlNWqAFyLKmZ8+d1wWBQSTSLABB+INe
rP1F0FuMTXLqNm4lmMLQF0PwlUv0IcXIaDN02eOYN2rtxvmnWbjEZON1Yj0GzViPoaWWtXGq69/g
MDowRQEhqqk8xaN/KBv88o1LyTdF4HbQA3SHiVvBVPSTLascJN4SoIeZXzKHv5yVdrX2W+Rjg3kr
UEMw60q3qBoTrN5QNzAr/pJc+9cw3SZib53XpkskFzwPBSEuLp0gEkd1j8iB7y3IaKqeqDFgCloH
EzpsYnDMUb2NRc67M/yXPsc7JFyBKq52IPBiTUuikbQiOWwppJ3h9UWcqYjPWgpAuecfsQ7P79JY
hXZySx6B22MMa3PCgc59HL/b6N+x6aGkto3nIRm+GlzQGPTsHUEwv61xuubp/AWCBOA7Y9lmgU3N
m3E3EHsHoAcmTO6/pJO+r9z+t8zVkxGFBFtbe6b1b0Ea4Vj3mSwXvvMgoGISTPaYJmSuZFoHk1Lu
i9IeN8W0s1OBBRy31KoEprnpTXUpgdyWQYDW2H0j2xfv7BD626lC5x/jSH9GtNxinyv1GymMihZl
rc6ddaU1FG6ciXSWaMqfRBrwOcGH4ysjQDkbb1m7UAmyNVyA246rsE+5RnTyecLIeGWVYmBGADrH
R1aN+AeLxtrBRv+gb/sVSTwF7UThMUS6Dp7qiavEZ03zbFflsKf6sObEiMBq+Vy1A9sDvo+TpNd6
BtHQ2yR01ldhR2vBt/utr9XPTkhGzCbRQu+Bs2ewq5RVCkK90aOhl8WfYoqmlZvbr4hXiARGPpcS
d+rHc4gFRT9+k62LhlLRrl7FPS7/YoqBwlFMbJvyC8hAuo6iEZ3w+K4XnbEmr+MYBPMLEH1x0KNG
rohkIVngpwwJtWNwhactX8zO/NFg60ARfw8J69ZP+JbyJKSUmiOq9Mns7RifWMjXkpDnOI6eQhf7
dgXa0AxT7xSN3QwkiFghR+Gdb5T6PsrhOrIKZQYAC3ULjaBgBo7fEDIvnhxypFA+mZk/Yo9k9i5V
wQcSMERaotsMpQ3yN6R3E41w9cUI0T3G0nSTUmGIbS3lqj28QRkErE5YGmIwemQ4zLMheQZXEBn6
KyEQaBNbbDskBOODttZxr7dX6L9uptEoUc7FMF37PGOOkbqRawoFgnb/meoT7n9YXlgvRH3tsWVY
Uj7Fox1cGgLpPcR0Pcgf4KYN0rVeQr2mlJcyIo+Vu9M7IbZ9mn4R2UljshYkUhXhrjWjcBu5JHb4
5oAAbcQSnHc6lURSgzOwwjtpPxCt9SSHLz+i6u3oT4NdS1AQ3q9ZleQ6jHJmTzhP6R6CjNUifSIU
SVwB3JC/32RJvKb5dYwq92pXgojMMtRvCsD/5FUWzDYtZg6IRlVZxWsd2RtCXHede+1dpNEUrFOL
y0Ny50fVBmLEux6SmI57hrAVnSsfrzkyvXJb0zPXmY42vrjMa1R8ncFKD/SaE5K3pIR6kbLBogy3
N9EMA5mszfTbIUGwwvreCRJjhmwj/bDagih+wlT21eXl16wpsfP4ti9KfcVKJeA7buv4OUIzuTFi
D+Z8xuxc+4kJGxsxxsCLG39YWX5n55N9RNiEwJN5J7aUcWXU5kW02hPmZrrEDriIPhAr/TkPJPyp
sudiPBXwzKIPrQ/jXZ0eFKt7VLzVI4Pmxaymezfk55lvzfl7Av7hk7hu8h7BIKz72sAuH/JrgZ1O
RGBsEGdTMTfzH8xBfyVHFxcJ8hfTOVYJicmR6f4gMkARVHZJbSQGGQh7wEd31ONw6A4pwALap8gs
6nZ4dMbkMe6nB6Xi+zAej3FXXSEQ7mD+26nxWvIWAjjWbv1RQToJByIr8W+0pnajZq11Mbm7eWE6
kUjFicuENtRvSX1+MwLzCQcOsSyT3Muk/koit8GyUJ9geBOhqj15/niobHHpQXitmniWowW8Xcjp
uID7e4NvywysLQZtEJ8/vGl6rC2VHHRSuGhcMkFkVbp2kz7fdTm/mMYqyrVnN5tu8kF1N78m1/2F
npESgn4Rev4lW/+XKeV7UbwPbYB4mgZHTqQDbaT7WiPxzSm+DF5sNlVf5AX9yOzyseiR4VOxxNhR
uO8+v+d9m8rXggk2GVJckognSFcgst+ypDk2jfujiGkRWRmFAnW0xgJUYfXDton4I+TZ1dsfg5vv
IiR3m9IL7j2FrRcdx1fqpfd++DwQk2e02k3UJUcpso9K0FVqZourJndIRogdCcGdNn2d4yzG4WXo
9YsW31VT/Jp27e88vJqk/uyrigCKsPMuJdacUka3gY5gQTOx0NhfNqHn69Cai1WGCS3UKNf00Kgi
MdNGd46gExz8i2m1mM9+NirUjnk33msBS0EXB2QWP0zx/n8Eff81zBZVzv+voK/5HZbF/w3aWv7L
f8j5dN35l+U4PkJrz0HTZ/1DzmdY/7Id2wY3qTtc/mzn33I+y/mXASrJRgCIc882fV4DGoUu+t//
y4LB5fvQhAHvWoD6kOf9N0Bbuu/MKK0/rOzj58zIti2TlwBWShisQYXxF8g3beWUDtKP74oA6mTd
ngpKricHKAcF2RGwLdCOUhJoXwcnCtUd9fv0yVPxZyiido0RuFj7s7rhe+Mt4obEvFGOrW8yZYIF
Qhu0bBrarV1dUt9ybdamyKNpfXXzMKm0CzRrgx4lm9LFXDXliUHQK/qRvqmPjk4kXRchaU5gIuwd
NUHyCSPkRmk/sPzO04M0+3NgWh9JpgV3NXy2HZKP58LDPj7ZOIBosmCJasJhvJN1Hd+nXn4kpeqq
Kw8YZQuGUKbNkUvKeww8FBqkdg4t5DY1Oa67Wp8N1UsvqZk1IMveko7gGOq5GuaU4dKhllJUezuz
r2kvUjoqRG30LcVVFXyAOXJOKsPeWFZlCv7IoZ3pKZJo+tghTFHuCp2CUjVv/B5vmpm9DZhtzzWr
qk2DD3Ad8m60hGgwVAPmvKG0Vf45XPZITn1UKfXQYP4OitDRDhgWV6TnhOd0IgpyIndgVRC69d3w
8ilgHZhbrroUFsN6eXOCv4a7rsq2/dDFW8oCj4OZ3CSRIMdlNAj9KT0QCE3qnjwZ2Rtm4LesXGfT
NhZqFBS6hi5UhAZ0Ygq6mNtE39I1dEgLQxUvWZOf4s45hoHXUiovCMnTO2oGtnSMlRrc5hxMpgF6
pKY+GXo78tfdvXB7/Wj6//zo//omvr+dMk6tLbDVL9Mq9oKZ/IFGLmIqT1VbHIvoPeYNmqRm65X2
b4GHJlvJoT2FpG/uZW03J2c+GZa9742ao6ONjIgla7R3Jn/+tGyWN/TXIb2e+oQ4k9ghA9BFNKso
1uksAPizS1rf3ZCx3o5149Waew8U5ejrznvfh7jzuMNtoFwgIV2+eMaM//jOl8PvH8OyN42KfodN
yWk5I5eT0Z0KVrRLQNZy4/LrQJ3w08wpQC7t1eWj+95832ZG2NhA18LAKU7hfCJniz7CnOUPS2bX
ck82DfhxKlJ24llakP57o2axwHKe54vcoJ0zpm0X7IXR49BrzNlGqM8SsH8cZ+nOGbt7q0X0uvXm
VnJEK58lcfYWklh66voSpZfmIZUHbHQCIghzd94sh8vG8NFUWeQ8rlg+JYg2KNjvq75ID4jZCNRW
NDaoxSHaWTTIc0IxwqZiLPaF6s6kkb54JXWmktwVNyZbCcLd4+hN6PUXqd/yoqxtF8fZidhdLFXz
q9TnK+GyMf+9txz6IFbmPKS97iICG+f/gBuHOCFyfhggiP4s9GPaheXZyWmlaUILt5pZTrxvNkLT
RkyyQ7ybLPUzzhv/FIOoPVnTE59sCmyBzMNTYLLpI1/i16+5akc2TacuPDeu9Qh/AIr6/BIXOkSU
M/1UjkHY4Nz0X+7o4ySvf7rCr48j5in9qg/J4zh2MBN1Qd7ldE8UAU6cwcL71rfXZFLvXYNW2tQG
olj6G9gizWoe6cjCCj5jX8+OVAh1Qus6AlmaH5kn4gMElmdh1UBDBwx1hf+WE1i+mYb8nvwFv8lO
cS5uhjzOdkXNI+q4o1xfThs5QCpsx+xSeW6x95R6VcRP6yp9Da3SPxLLSes79yYqqhNzuvmnoNSt
2dAX1aV4DUYmWCV06LWS8hobpIiViZeiM5U0gvqYJAbeHZPjCrT76BBohu4pjYqbrJrIASv7+MaC
H4jSLLfD/DL7/Sg6TGfWnmh/rfg4dsZFrzHwRa3OQj5A1pi7c/APJMhRMr7ZnjrgkyOOcZCnypup
Wypqz346PquG5uyYEAXoRcVnCkiKpHb5oaGIOk2V7m5NLyPqvm2RK/X3gadFW8DeTzHL+32VjLda
4nXHcBz6HaQQVuHkp61ZfN+auOHObmvnxyL1CCZDjE4IIPqp3NnaQQpthb4dqBnCxMfyrDU+EZ5F
jS5BtfW+lbRkzTbotmQJGZtwuC1DdLO2VXdr00JP2ADBYn6cANeNaXCYLLyzxNO5hpcmXinT3Jmm
hMSQp79HfSId2x8fJQWYDDzLI9mZxhZiACIF0wV515msUibMWhSffd2gUpsE1a6ueNKxze468kNW
fPGK3KFUA08T8Z/Dz2jMnKuXadmGrE2KSUH+pKpObVM30XfIJX6VBLAwL9dOBOXMwMUuvBuz6gzZ
Wuwm+jya1mhXiaiMhRNdUZn3ALVtEmXRpLdwROUICR2tqCf1i1eBWsn1Fjs586T3DFnOQlNYxabM
sNEOxtrzzBcM4ZEE9yNwJxXGsYz6jRDxZxpGtHRQNoBlBMzdG2tC2cd1z3h+6BQnUF9ErxTmqo2Y
YA/2IFSOsJpGVlL+1kgd7cKL+XStEZCcoWuEnqO4nj71wrxz8+C+qNxLmvGZEtH6i37nKwq3VaD8
y1DmJ8vlvCXVHSVTEl4HM/IORuZSFOdUxZNBFB8onpUdyBuizO2nyQ203VhSAbFZWzggkNKR5Y6t
nWSjyOy0NLnJRLIz4LpvBgJTqXxEz6Xjf2RGwnAikFV7wtauxMbLvEz27pxfm+k5oUSDwGoFIx/V
tbzzZ31A79sOM4PhI5zz7NMsSA5ThrCmO5Iz8jK0wthUmvXKqv004EtBtvjUxVAKIDF9wQSz74vm
sRnnaIVQbd2wS48N0GGyRArjVJQ9LzcJDq2JlTmw0xx8+KHRDHU3Q6V4oXdxHMp1iyzhkszGwjE8
trnzOxnNn1MVGmsCam9MEXhbS5B4E5rVJo6sK1blbkenzocJIDWYX0K75MEANCqLz8KsvyrCrFZN
L6JdmTkkNulasTKpzFBWrLesQt9BL9wmml/vlKgvgCOSbdlHzlql+k0n1dUcacoD5bg3XNr5IoMr
3XePltyYxKTRtW/OETlxzRwJRdcIwULa66tUR+rFCtheNx6+Zy794Qo6DvyHijJar9qXIZ2IvL2N
S9KUKM8Q9jd7Zpw225up1Aicg75m/wK1FJybgDRRO4KeJDjriRalXZSmd4PLVEZYqGl0Zt5F+06V
P9u5NBinAli2LH5GYcxMfKKImyE4BhX7EnnIv2WMvnSyEJlEgzzIitxfBYLQt3z8aVr9WdBmPPJB
wLdLbiu7I1VCa+4mj+QkTNluYlNwx4cyVQxHGI8IKMbcNpRqhDIT+qfFQGpWRHkxYp9HmHxcnuSV
sTRcV/KuQW9BcyLWNkZh8MGOwFYdvVlRlyBBj0SgEcvqNkVpGCQz24l2A4uTeX6yHC97Yco9y+Ew
cydHjSnZvHxZNsxN0Y78+5AhsSCYrHhWFuXlPi+SLRt7Jeb0uGSeRC2bYZ4b/XVYSmUfQ4Xcnvme
yWiCAmz8YZoNGW9JhQFpaOOzK2nYVDUdwEU6Df4uY5VEzZuedrOPLGwPRfZklmLcaX47bjGHM7mh
B7qTWfSxiL/jWQG+6L6XTaIUM2CPaRAMz4BMkRz5uGUnM1aX5sNsfSjMoDtl80anobWPo/imsQB8
UFJ8S0Nt3Jo46uOB+Lrl5kaPacca/SEXzsos6/HkhOgvWWNguBB2t7FNguc0yI0nzzM+R+xRWw/R
O7PBuLKx5p8kTKR/bLp5Vm6EOUI008e28p/K6UU0nVfU5/wFc1CD41oE051F3uk2nI/9jOzXNHdv
Fxluvshrl91FbrvIcpdDnUjZEwaEeWY/pB0+bow09YlrF8IPwcRQDvsM2NuVbCNCSy39h22Wz7Sf
+wOjCJVKJcJL2NeXycqtRysM1oCfAE2V/LhLXbul4/8pIzPdzxYyupASZkOFai3oEnUF9qaucFx+
T5mT7RaiiDbk4Dgb1kdThGBpk/WEOUeB+BUXM4/A+YhDwAfWCBcLdby9tuefCGjwmlJt7pBqPh4C
IkjJmXXeJCT8m7pHMBPF4bXwK5amOYK0lIg75m30BNvGeFMsudyhLR9oZubVD60uwao0L3qXhI+O
p5EYX5H/xmpcW1mkvD/1aLJPDv0HfCpfI26GS6eTFQAkK9ym83pRmIa1tWw8TiRpNrfRnHQ7ODbz
T1GiEkjsM7882pgRl0wn1gvOynJyIBfY4cbSInUx/PFeZe2lcsorXwRNumzOo9N/U0pLr1Z9TIoJ
HmFUORsTcj6l6QwxxYQQPYfCumv9cQZGxuNtQgDETneCdZ/qACpKpciBNpEaKxLdhpz1Pz8YCrC0
Yqp6YTQSui4mDEth3hwVkKOgsJorMQRkzJcwkSoKs+hb4uTSOtgbxND8tkeKBn4Y7OEC1lOH6QpZ
qBqtuzb2SiDUA4JDjZVM3vLSbZMAQnjKxKcgBmZ+D2ZCTGeuCvC9AFTC7E5WsK4MOCLtZ21gJUug
dR9I9tlpfQQ5ocbsPcY9Z7k+3g3AWIGl30U0zo8j0hANBuR9oqJo56XqrfHDX1oxmnfdWPfXwqrW
UMO0C1Ezwd6XdL+xqu2Bh1lowoS8NwWdndFW9E6DiZw7Wh96kZ0Lu2c+560LbDzoOR3Sa83BpCbO
lSpB476Wpl7f5uga3fgWKf4NFjHrmhjaWSCjPFgq/+jIftiOM1In8pLkanh0QQqZAVaqw+LQM0gP
bFg1jzeuMk6CGcW2J/JtPTW6fmyyn6OXsDwp+V4zW9F8lVAJ5RAYm6gla7HjHQFca8kvTap+H0We
DxecV0NiBEXlqd2302iuaQ3yTrGc0QYpTwZFh4Osk5fSYSE7pd0N4ctaGtyjnnjAaq8feFoAciH0
UQ8cq6U14BrKlCDCetgCu0pvjRg+FFFLN16gTOiq1ol68j115uGmKdzhZtljiWKsUy0hvcVpin3G
inpVME1l3QPme6AFzarvokWg8UYkXsmsKglEcibrSGy0ktAvBiPCRxCaWWWMlxtDzGpOTd4lQJGS
od+Kmg644fgnKyexKk1l9IBsYvVSp/YeKc/sRBP7dF7jaGFyC4dKAR6iAN8/RSoQD6J4lR3nF7Dn
Xf1/2DuT7caRLNv+Sq6aIws9DIM3Yd+IVOuSPCZYcnkIgKHvm69/26DMUKRnVlbVvAaBAEknxQaA
md17zj59pl97tyDAMRfJOq9/GOhO19gsWrRvOt5SM5thxSnGQ0+2wzgY6W2D6OtWlDj+0ubHoIdK
LWzVR8hZ4VM5hydkv+JY1bxEKoufgwEzXbjAcolqy6A/oBmri6tuO3uJwG0VqXy0om3fvNSwbnzi
ewlzxJonDYdflSSMLbWO7uAU2s+u9Mj3tpGu6bn7nNRFj5BfPnatX1+NyFG5c+gf1DW2mZuHEGnC
UQud4WrIjOX9hAUEPiExpjVJrdl0svWUA6GLkG8LA6rsEF46x9xZRZPdRZYO9KT+3gRGfcrFeO8J
mhhxwRHYEubelXCBnJaYj8mmCoFWXltN6Qhf1fO/caFJj8BFjyyB30unTi9TiO6xdb1xF6Sttz/O
GOa2qA7EphjMk0ke9C4VIDYyXQDr4xrJEfOa4NhlitkiHDUNUqB8A0dfb22oGrsoLnE+aW6CainC
ZVia9e04D92DqqaOBxWP+966w54seuDfBs4EVwWyFzBo4qbYh/kPeyDpqKv6A6J/4zQaP5hiDIck
nzA0Og4c/YgQAVcAPeiaapcndOm1eNxj9Dv4qfe7ZNr+zWZ234ENXNNPdLGggszMqsOUT2/SSx0o
F5xKbg9B1qaxx7BiBt+SS+Y7Rxm76bVPCuee6TWkizqRBBgRFa1ADjRF/I+GAINV7rYtU10U557r
gFvWArEKCibYnZE/VRYxyzOoSRENyEVHU9CFQio5xrB4GpMJ7Owym18sNhXA6t1Qm9dlKkYXFFCp
Q5wMvqDnlv7uJqoL4+Q71jdSfE42WEbkhp1HqSEcVlUXJigjialRGGBnGOFNTxRjmKy3LXVrJxAF
egR0hCZsQDPQUIYQChR26ftYT/4mm3pA4eYzzO72bGn22ZddC6fErADV1ysPTsRRAB166vROaRDf
7GGOzkOKAKScjJ7LGP7dfgaYifbw4mcTk3oTEn0W4QsGDUJ77ZyDAbvQ7C570oAHN+h3MJCmRwL1
9kkDRJlSFIQOhJzboiENLorT6Jo6zL3JZ0x2PsvXKtZXtRGBcy6zj1rHRYa0dXhz6vIhTsps61RJ
j5snQOk5Bk/zlFiUNTW5SsBMXHya1VuHMENEMMFW94j3nZn+oBvwWbWaj6ykPvpZH2+8BkEyK8YG
vr354bcmZRPTOkKl3EJwiTdhAtYkEgUuqZZCR2eSpFQSmXXukGz5NZIteAX5N/Ri421nBbcunA4p
uxe7k4xsc0qWpGjeRZJGBpjK9qq1EZUockbOeTPtLN3u76saHbKGHokrjB3snaTWNnZZU/5sjIec
gS6sMv+GdJKXiUTA01ApJzpZv5hli+qc6SiDe1vDYZTOqnOaMB6O4L0idDE0+lKNxFW9X0m/qYkL
GQ6lgTg/VwesVQPhtcdt7pbjxfYbiLt5+apXor4pBhmdPd79qHnFGuWXiTupNA7pHLwRMVx+mzgR
457+4BL6o1WQgkstfJQBCBTIM5ssp/9hSARJcyOKvSMwPfotiUjZYG9SlrbbTA8dYux0uY0QnNOy
AK+V0OI+DH7en6ManwTDvLYJWsu8xCpaiDYm5nhjZiBFnLERtNmTTGJVbh3jyaKdvXHHZlgLmjUs
HyrkVfKhcHN/S+KQvRZ9YyJLYYaaVMVVhNcxrZ1zndQEFVZLoGR6b2j4fv2BH8DzoREOIcItetEM
ACyx12LSumNswoEPo/RCYWI/2KAaaMY3Z9x07c5uergDRBPQCvKMY+sW71iSYX33ot0Tigs02qck
kVZGeGBWtMOMzzcyoweOZ0Hp2OwJMS4E67WirjfUIPuNN5DgHuVavl++aCOCR2EY01WrkDRZgX72
SubBLM+Q4uzmPN7ZshKHFmJBEHv1vaGTBl2SBBsPDqWu3zTbr9a5KJ70VM7EeloqNQmZ7GS2lyIj
JzydDa6yaJ6D0aaimHUz+FrKqDdDk7zapH7uETtYN0GW+ftqyn60WVIjJfE9aFx6Sj0yp3Ni5Tex
y+QC0HkNL6GWZ6VO/cx8GulYHhNEdEcahWe/kLeMyeFZtEF6cTMbjVJSXFu93Vl8sn05xiwMnfAh
oLZ5yZFuxMNrnMfDjUjacuUGVrW1ReueUs9nkVZoD46U3nnZiLqXvFwt1yQbZrdOWcLpGGDbiZAp
ZJWJeh8PnndB45hf+Niii7VbW7rfHQd7Y6ButZ78PnI8nFnU9xTwuRYMhIhlnpZfsVMUiB1NoGhj
fZZxCzOQNevWS8ZtaU7DQ642o99s07x78HtWqtCt69sK2Jjnd2fbQRXG4sEk9RvVwlwhuU5SWZ3n
2JDHwk+GTZ4adyYCtkdEWRzrRAJs4nFG9mWrOBF+uHXUlN5R66RYx7q9Kx0alj0A0n0smLv6XLvW
VRdIYCDzLRYV41AU4w+7r+KDyY96zUlc0bIpvvhhJ9bosQ1etXsfRse+B4yx8RmSH3vQYVGqXzV0
b1fWvMeZgKebCrU6bh4m5+nRLpzm1ifpfleXKAXzprulQAi1C/EI9W07IduLaaND4TadENaLeoPw
gMGApSmE4mSTJ059LDMuwhkqvYs/smKh4nQnWg4iCz0u08ybrs6ri0fpMHYwuqWl9TQ45rmsK7HX
ZBgfQ4Fgz6xamieVn9wCrLoF7ddjOZf7JiEB2SZYE6xyTp0Gi/Rgo12V9FcbA58wDUx/RZgJReaM
Fg9xvfHWIOt8q6ywXD98zuseI7usf9elW+39XPwgqeQ0NH1GShO2skE2HYLbqts69XytAb0RToY+
OaI4vSrpD++ncWz3dspQL1k27QjrUwW3qtzFWrkXFZLRyAy758ypbzrNtY6WR795nrxyP2XIMvV0
iM5O2j7ooivXfdHyXkem6aXonsrAFzcUcElmZixB3EOvN0bP7Hbe0VMmhao8ukq3zJqbg6Nj9Uba
xz5zqO0acwXbycRe1lbiHv9ccRgcfAyaptn4ax1mPR0VpcpofrfCsTjnlUeci1McYplvLUUNabrm
JXeL72jk4DxPw1tHCuMoRrldPkcniOW0Zo/E8ZwDOA7Tw2B03yLRd1ty5wErtLdz8OyOdoj6v5q5
BLoUiH06t4hp0dC39lOZnAkEHl+RmMebobYhbDndZ49v6fYtzb+vvt/XfbD8nqIKODHVXIq9maol
laoR2zXFtgtojRaRvZ4FXlqaT/lG87uUKwFmmQUUYeR6tk49pUFYbsumAQWXhUeKh/BUfWSPFsm/
G2OImL7b9nhCsJ5uYzuGjKKH9yEqs1UbyXiz9O1b1cZnDjUcENyiAY+RJujZW2YJIux17eDXt7JG
qhAqD/CgeArwgD2Y1CW5I64xnEIzh1xKztBKSlxzyyZK5TVoiYrVKNWcmgl4hz1ycGd0sUhBgcfN
lOaek4XUTLd6dgB2sWaJ0YuxlinOMjXAAmYQUXVfUMZwjbIkkmpawaScjqmC3IbWXKylcvp7ml6f
/EXgNmOzog76zZAaKQcSZawPNodMJpggcYRHlSUIuAv1SZaNr56aqiLf132aZcpdMhXffulDBxaz
pITViKNgAcsnX/aKEhv6181lzysnuaktOkksD5kFK5LFsif+2FtuRuoLK0zzaW6ra1Rl1jorR/gJ
YZ9uJyfCdag2PuR+THBABXu77k7LxmH0Os44M4RyV8/AsDDKq90Sm9DnZrk5m0xGpSx8aNrjTS+S
6dyEs848gC9DvTfctRx9m0WGkSwihYSrM1V1msZ0K5jwSkuliYho35T6qzFZBCOroils7OaULPVS
5iDNyfecZ2gSJJbQWT5lCpOy7CVqL8pTBwaFvF3uopE4HiPvuVUfp4jl3zbtwnPpsfv1qiK8KGVC
V5wg3JPHoJX+anYJNhMUzcgbxVGChwXb2983vVXcdEDk932UoBpx+ph1laoI0xw0tr4lEyLJXMqI
VDLj0b6zRWLs/k8g9j8SiDmu+W+Jb3e/56wd0v4tj/+R+vb5xL/JxDz7r64PRdtHs4yR7c/UtyWq
EWcGD1O0cSzjT3mMJjIx38U9+ndY3B8yMcv/q8eFxCWJERK9q1hx/xuZmKl7/ygTs4Vn07L1mKLa
HqI2Xu8vfw7wSwGGz1mpT4cxLemOIssIMvlIjFsBjpWypevvQo0MP9gsO1N3Cd4x7WaXCX3dcAYc
/MpLH0oaCY3S4reDvffntt66MTSOzCXBwBuRiLqkst0UXnM/+LDWM60FrBWRACAYFaKbrHcFkUm4
G7KO/yyI7qE1PowDbRvfeMkDQGlBPDPCop3ktYB7CksjyzVqT/a1Sp3grvgh6z6mQ4gl02HNOw9+
dOD66G5xc0cgJm25aaqk3NgwSPcT4bbESoQvvpUyGVODXOfjm6oHV57xGX6T0QOTEKYEPmXGVlIt
Mb3vESa7vcGMb2rCj6HBq2mhPUC3znyr9G/sAqYplwZtpaUpWpoI16+aB2R9qqNRs6jCg6xa6XlA
VEdMtyoF2UxKkUEYOQaStU7f7OiZ9Q/adB8R/b1NYWnfCJyCFyBZWnYTMRF9Ko4ZBWKq6OaFLBwS
aaSQx9huLol1GUb8+Akm8zyC7Wbl/kAxZh431M7EcUwgQjMlro6zqdNG85P4OkXkdUlA7YXbXyAe
tGfD/dFETXJj9fbF0iwPEQsU/ZFp17Zmar+HdQrm3K1YqY5eslO0eZu6w9qbkA9MZQqyt8XL2+s2
iFtljrVk/GKb1PSicWpJbZQsUcuo2RQzAbWz1zzR+jv39UDcLC3cCEisoHKqa+17YJDjC60H/JdL
OdNjcWHjB/FchPSaItS3TXuZ01Q7Qii9dQrk8l4cmVef0IGxsL97RtbeMqjfQEIqzxpZ1xhTjQNX
eRKgCLa2Cm16CjpG6GaUa2DT/nmaHY+8qfpI7DhMiy74xrokW7vEiW4bMCTbiUv5jmwB5OAJPVST
gC4WOhUqGtemISbM8dClBYsfb3D2VfSzhmNLw5ISX9b0aISynZNrvyPBb9bJOCukJw+FofWAMjsa
NO8oWY2C3MdH3xBLFwzUFnU3NW54Cl7fluMES8Cw9jRW+aCy77oenO0wmt1xLnv87L33W4tV8KAT
v8ys3w23TdWCFmz11xEBGiGSJmsQ+iLYqX8OecBTxubRdwui4ZvgN/haSLPzxzkyOOLy+GILvJ8D
7eg8SdwtKlN9Y/TWK4Kex2ZGPQSUDQ1PgwQ70Pioadnsi8m9FG/x7E6rfhzz1WQ+koCdHcJ8uPc1
uilGdUAOaG6aKQv3aRw8IW7/XcQ+gYgjOTaWMx0Nae69KnmcXHAZWaurXKL8I4N5PzdY/KM5sDhe
0Prr3k4YYX3jwI9YCdI71nnDdQuk2pk3a93zLf+IJVOSPDbWjLHdNjW9H5VX7DHcVbeW7z/VRn3T
oGvZoKaVG2oH7blNvvlJfTME+t4u0Qa17pzdK6J+/zOBlbGaR4gMk4siJNa11VC2YELo7yoPGaFX
8yxfg8qAHA4PHfJBPpc7MsXpF5sBxAf7HAjiS7AQG6sxYQE6VfYPC2HuyYBYlo99tR8oNMAAJmbQ
Mf2nHL4iSroYpkhCd16nZI2yBngF8eNxZUALUVoH0tB3VGyIz4B3V45RdiB+QKN75+2HOT40tBPC
aY8Z18+/pWbjH4uswuJ7TrpqH2HS1XSuD46/tyFwH2pz3sRMmraZqF4dMSDvTK1qX+RAG3TrpUiR
ubdTF+MYnqLDAJiaPD2HRsuYAPjtgw3NbEonuPC3fXOcqtyjWeA0zwSbrPWhfWodl6DfQYQHXMsS
i2p07isjWLuWYhba915v7oZimNZliPm8kBPZhyiEYcCLh9c5JXMngXm5ncVx6lukpHRIR52ooREf
w2TpCa7ak6VASrkPHcs6DUOCsXdqMY0h6bwkbuzSTnonQAPLVGdt/ImgIj/z3jXfAUiVBXvNpOLa
17q5bVqbUMOE7DZ0vZpL78BzftqZ8aADVFgxtdS2NctK153BARfxj7klA6OL85cWFaFJbLoHpzo0
5AbW36YNYDgGBw/jjd7H1ba1oj2wNfBC1A3CAqCyTwKkRrFu5ciZK0y7sULro3Lz58ThgkFfC2dH
jXmSxu3OEKxROkfHve2nl2BOHsxi4lBoTX8d1NajZcb0PlmxT1XVHTRyAFZMRPa9TkBdnIebsrGk
kg7vHHJkJ0u5Qan3lIBUi2KyAGZe2z6gdErjHIHL2vI5iFSEo298r8A5bMdminYIoBSeuT+2UHJO
kQn4waE2OKTiUS+MFp+3iQ+wVXY2vT/OaAJ2VukxFKc2Fhe0pfhVY7QJq9At9hXrlLUbhPe1MR9z
M9oSnkeTeD7SSjNWE93EdRTEv/U0Ky7UDUELJHwUp4PiDdtgVVHUIBD9mvk50ToJ/FjDIGvAZ3nu
t2JY+cPwLvoK2ITYo0R7Awn/zZ98gH8VBmInG086Vpqkmt4TTYSb1gpZ8BHQZvj2pg0TaPbekTqt
u66cl3gS706UGZuufm6EBuGgvTPs4SWERrWRVYN874aLQqC0MufWxabJG2xzSPV2d9FsJcR2Fc0/
cY9xyiDr9e0251qw7gJQEk07bdsAOjWzjX1aBse4Pzp15YMgRbkupuYHPqMspoKQoGnHqX1jlBXT
EZb3nUkKdNYSSNr3z8lE6Fo8CmCqHFx0aEnWgqcvoRmtUQAdw6J4qTsqNDVXt7UHqz42mm++T8HW
mpKftNDFbtSs2zLvv80sm9E8oUv1qQwPo2eew5YMG+hmIgqJCilLfveO+UoFiCdNH3IMhHlVwYNx
EWnkI0BEF70gKYGpeLLJk1pxzu0Dfdq6EQpjK+Los5MauSOxuDQnLYSnmQMrqHPR+mOzP+m0AUKh
D9aBkR3DpkJjLZuhdbJVB9F8m8CKLandY6TF5Usw9TCearWk/dos9y2IvOU+DgCmnG6fcAGnVpH+
sVmkI7XOKauFu+kPUU+8eByW25yc6RGDN41o1tyBWn3PvQuFsARwG8TFdJTlY5Z0NuFyuOUW1uZC
3Vw2SQOX7wvC6ZSDu1k+iLZokYPFf6E0xQuUdGrzoyLo7Jf7hXpw2Vs2y79ouuodYnCz/bpr2fPV
a3y+5rK7/GOjDBglyykpj7L6sYAZi/4xjHX/6IIB2NMlv0bwYFjCI4g5Lf/AmyedsieZmI6N8nwR
KYlFhP75J9TfCTqJ+44xa02cRH6qlZOhzjzQe8vucufX5pf7llf85b4A+lrWWPXhl/u/boqAwBwp
aWETn5kgeySSsFQSpkWwtAi8SpeIM+Sr3Gmzrk/Lyd8uMq2vn3WB26UYfWHnLXr4UfFvl8fdcXjO
0DBu8+U+3QuLQ2MTIvjHMbHs/fKCtZLEu0oSvyDovjaLqmwh1C33xUh5Maen0+qLr5csx9jygp+7
hBa/qET37QIk7FSNa9lLFtV+2hJo31rdz09qIo0wtNcDZ6ub4x6elBjcLdJjaDTSWXkS1eTnzxaG
0Bz+tr9899Llak7jBxRAPvJNLJDLRYm17H2ps4b2QoNQP5qzrVivys7wubvoslIR7h3Yznys9mU5
jZaN50l+hVKdUXRip42gVQjCg7AnKn01sFhOommimLXcXPZoe9QQQ2Wlr5fbfi/JoNDbbZATMWCV
xXfNFwhziblbjdwD96i+427En2X9RGs2r7mUmC1ZDVWAPmIeH4zmxp7q5EHEzt6pg9c6QJ/uaUO8
rZhKE/JU1bvSC2hOt3A57PIpLywiBEV2n1uQThyYavuomBguOxRfXC9ZzJF7si1mNfMwcbTaDtzB
CDPSqhKpPDSz+24ahjz0HVommFjUgz1oIxK1QZcaGz+2xJo8H3k0RmYRYaIdRdPFVCOb5Dwo66/R
B9nVNAtGSBI0N2guOmIWUGgFHs5XJyxvdRQ9rqOb527sv/emalKVRHBGYd1sZWpamyqcEHQN+Qdn
+BNq7/JY+6zLNC2ODp2up7sMosEmJWYVSc5d29DyDFw3PE4aIb++CNb41/Bph318NS1mhKjXaJEu
hMHEbCtiU1hqlgowmKmrMhIlqIMLT3DZ/brzl3+zPOorC8PXvysaiAo1oiNKjpflMfri8AmX3bmn
kFvgsglUQOcs8NUYarPc/NywLIHInjDOd2g90YeR7pnOQIgj0mXLEQur3/mbJSJK6/27UcWDLi/U
DMqWo16tVslPiQoUdUf0qtyzPBao0NFeSwaop9xXqSW+Tjbp8mCnnv31El838wYBmqmiTlFdMpQl
KgBVESOXlK9yif9adr82KUqn/eAOR5kis0WSB9JXnQoc7JwjKQVUlqCkfKr7vh74uunWPsyZGpbS
vsu9z3+yPBom05vZkAb+9W/LprTXBvM8UOp8X8v3QmRGvId7inFesX5t176BYil2pC/DwlYbZCI8
sPyuYVb403rZNdW4pFvOi2GBEACrT/qd2kzYB05mFIVQBWex7n0v2HQZH612QvM0yNJEdjttFq8T
8/K/OaF8xIGfPriv+2zymiB3mSQ5F0hal0J3roZff1g+MpigilQ8uQ3m+yKL46NG6E6Jtvw4TBcz
h7G5OJKWvT4jIS/VhkOoXF3wMKa905sHFq7htubUWLHIQWL76cBaLoiLS2t5M/Vgm4oMHG2Wvz7S
+9kVpXVd/GL0opqj6H+blC1k6Caswbq5XwxaKH3qnS3E/ZfTr5Zg787L7VHJUIndhQEhxzAmghfM
C9Z/1LU21OijSAiW4eK/bOiD2NmhUxYuHTUnuZZyKkhBTk+LeWvZNC3os9rj615cXcvzlgc6RyrA
wjJ+yGWLTXLaRBnH1p/+lXrxr7+4/K3l6f/lfWJh9n69wrK3PO/rvq+bXy/z9fa+7pMVJ2sQUjNr
PPkcfL3y8o+9BeL9+d6/nhOlIjrMBur2r+9p+Xia6VE1WRRApUWjQBFc0T+5u7JG5bfweScv3nYM
vSzxOZWx9qEgdPyoOHw594p5JDuaIHNbSvcwD3j0lT68CImKsQG6r+g4ccgsR+5ynHxtRk9cyYY3
d/UsS3073EuLds/S8IgFw/8wg5yd8wyRel6gsmnVOFyiqmL9r97P8ib0un8cTOCWAsdpGMNRJ58V
UTdWEbIVQAMIGpknPkJRt+3JysgmjOxaemvUpfK4tDFI7LzD6uDHa4bsVWuQ1bG8BqM4Zrlhdtp9
baQ0XaKewEqEQehpVv/XWPgfNRbIcKHG/p9/r9r/U5TMQ1T8/P0vxyZ9y3/+g//884l/bywYfzVU
WIxr0SgwBbkqf8TJeMZfhW/bus+60hWe8+U+N//KM8iXcYXh2rpr8tCX+9ywHd1Y+hDO/6algInx
146CwA6l2xbvgfdlefQ1/txRqOqwqzPfR83skWsAMvA3qgIuomfRmns9KO4gMrTbyap7XFIkxAz+
CP4ql0xHDAMfg3eV6y7M7kTVP4kCK57pvCImIS8kvhGNYkQaqyZJ3rIguXiFvhs0G1XwhdDDY1Nc
LSe+p9xE1K9frlHt7XvsIL6PSr0qhNijBH0g/kOcjPKebsUO/X+CBmgAfUz6XpilVwwj7aYVBVpb
i1V5lVCFSTv9uZsvxOFSeSf7cF1p9imxUhRlEly9bmHDMZyPttLPuQbyMgLZEOnPmnSvft7OiNYJ
g1DKNhmDXOwpUuWm/JDTSDul8a5lytLTHI27JCUW3fZ+9pS4a18t3BvcZ25jH3wruyhxY2LahGQN
+6runlr0lSt00ZTGfx+m6UGjhjFH4e8kXXvo6PBFVSunG+Dfa48e/XPo1f0lCYpziKqdxoxG5HF/
j3PrErfppcjtQ5cXPIXSTIWEFjd9XHtXMu/OMeJ1nG93fqA/R5pzsPLpDhEGCXy7OjOeaw1PXVJj
OJ6AwSLaauMPA/oZeXkvQTM9xIgnzMh57RKaQqcmaLZeIa6eNe6zMbm4iXwznPk8DXzMJL8MRv8Q
6cHRDI9+gtwr7nbgyy6MGHe2nM4SfatfJ6fBj0+1JM1hlpeYdpRjxJfSgN4LHBRWT2ujYaElYKbD
3iEfGETldQBBVnjua0UGt6dNd/rsXtrpRU8pX/p29IFvhZmhW5xHJzoGrnEOKvsw5OF2QoxA7jCB
ljiSD0AVCGTH8ZeOxgZsC4AZ6zXpsTA76U04bMkqvSsj51C20UlSMQWbedLr5KJ+YSMYnrsGb8ac
/GDd9OGE0UfVjg/qayy1+bkSHNT2/GRUeyag75PeMfcnYkgf95PKzxGAF/LkWCXdOrSGBz8nmK4u
cJ+6JQU0wtMby0fWO9zRNGFeEJ+I2kwM51rMztWM+AbL8WxE9iEMp3McpR8iRA+rg3qJR5yadnKx
HOhsHJNz5Rx0XV/bxCUEzvguSvMixHZMxic3mh6G0n7F7nKaB2NtlcmlruTb8jemjkRBvAgNHibq
+um6q8KPoBHuKs3HfTimb54+nl272dr8KhG10YSwZJvjr53uelXj1eNXp5MfddJwkWh3GbhSHX8w
3GP84PKCkuoQFADLawy2UFyyHoCpnO/iObkkA9g3ybGq1Y8JIi057uuqf7DT7qnWMrwgXA7EjzGa
n/25e0D0WYTjg8lPUrvpW9N/9yfoZcP87FXzs/oFO306a2kCRDN7U1+MOh6NcHjw4gHN/vzcECrd
gx7qSWdTHymwOozX9cry7ANKkHyF0OYOq+Ndaw4EYO7MMTuGVs3r1TjkkhPhvFv6d6thcF6bsdnC
DT+AXv5B3PQccU1AbPzYadFGHdtJMp7Ve0tDrmUDrsHYGAl9MvdS5hcZcylA0n52nW4zB6rOnXXY
ZNKP0ba3cfw6QOo14vGJ6uxOHUyEyuwIwXkOWhCq2TPi+b3Ve69jCb8JMtyzThK95j+GZbOrHXnS
ZL0rLFZd+Xzn1eNd5IxP5FFv2nxbZuOd1k3Pnhz2IoevRYTumwi1F5wN9zfN6FztWn+PoPTGQbjp
zZDOpO5eLW9890nHzCHsUgj8aPPpDLVoXXEwa2G8bSdmVABYtzj974KhuLEKEnQHY4eI8lDNieJz
YbQBe17pd+Agq1HtOoSazGcSaGVyrxfy1NbWoTLTS1YtK0aMkRGHBN+0S1O2/o2i0m3XzWe/bJ9w
YcNdJIgkGM+UNDB6JRctjncFgWgWh9cIKN0JjXPldO9NMN6NKj3F7p4qlJgraZf7IIJj4MEu5WIV
N5xWM4kzKPPSExSEJ3XBRqRJUKi89RnZWjk/Y1B4a6vqmxk8g9h7QnAE2NYe383o9yb2MQu6+CUS
YlWTi+57V7Q1O3USNSbnmGHAPO1D8dp1ZQUkiZHGt1+rzjkwJkarXm8fXJtzngvVKunv6GK/tfyN
NOfqhjowolSiVJacatmb9AfOj+imjq7qb2Wmd13OOGME+YubOtDs31pNg4YbKAxndEstEwycZH0Z
TYo2RZM2JM7lNGqgykjhAROJQw4v4IuQ1RvkRhwb0niXIeWEisRijwrtDSbykWWce5JcYm9ACqLo
mvD1wXizEs/FEdh+S+N5Osie+l9UNTAkEwI6xzsfn+t5gtvfGs1vqIjslRWIlsIvbtwAb3XOONtq
69wZEQmBDDim+tM4RP3JUIuxJZBi2Vvum+Z42g9Ze+w89z6OpLlbKp1fNc/lpmbXfyuBoqbgbdPH
VwtOtRb/XHx74Qt5oOOmt9obOJjBSSf0Dm1BGqxZTsTW2q9nvAZqM6iUrUza7S6YWSYj2mYlEpwC
gX6uSF+imAJu2CLJElBiafcnkPX6ajfp8bPhGdFxwn8ioplLSKcfqtalDaRt57zf9HNCLry2he2/
YgxYFdqraD7cmuI7wThT7qzl1G5QGZLiRE7ldmqRxeLbxbRGjb3qNFUOLtrPTWfiiuTNzQe69FeP
FuGOSRFrEsj8EWTXVIvu8sIutsy/nsXKT5232fEPEaPAtorEW50bAopcL05x3v1GB2KdazLaklmy
wqYCoNUdGY1T+9kdPfD25O2iiHKB3DoQ3Fj4kOHEgT1L8z3VklOfO1dhl6CzQVMntTgU5fTalcp6
zWkuay4enAL51D1k/vwQ1hNNbpK1AiY6qBm/pzpaAETwCFQh2uNH5fI3mqi7pwRrneZenWx4Muvp
KbGLa+rS7wvEfnbit9jGlFefbSptf5rU332CmP6Sd9ldEVMu+3//YfzzNNk3gai79FNpLHsGE/g/
T5OJusW9MGD6o/nyUSXAYdMn3GRPgRivcEJnbTpXzKNGr9r+N38ZyNSfyVBUFnwT1gI1GDx/QF5/
IUP59tDliChyWijGHTBgWvSpe0w3LtBUKlGrGInwiLRE892rmir9N3/+FzCV+vMWRCqPd6DjPdF/
+fOIwUcLCERxMFsm8Vxr8qjdaVVJ2eIhMYYH14rfmuLYjvexQwqizVWNiW0kp0/22WdC57/6BVSg
5Z8IWZ9vRJiey6TNV///x18gRCATiQYvhfrxnbF/cJiZpNpZQFubSiYGyIA9AO4oa9edUW/ztHug
QbfNDUaflAmrbxNdZm9L7+Xff0VqjfbP78ynWush9jI8+5cozjIhplBOIj/4HUsoPT9bkXWvNRDu
IEowCXXQNSXdj+Xwxll6jtPpnZnYU9jcAd9/0/3x3Yq4ACzTQ+HMd+HedLUXAuueW4Yu0gzW7sQ0
hLmdS/3Lq8a9moK4/rBPyDaKOAHULF0HpSrS8SGL5Elk+t1sOYea32IIxQbaKgjS/kF29dawXzEv
7CoGv0CA66DaVYvmoZqGQ9o6kKEhRyKvinrI+m6906l7Vhbd4yx81kJarbP+4o42/lviyZFmCqN7
CLAjVX7Hy8u3GkYxY9gaBRuMS46aVaqTvpSy/ssKykPd0D/h5Mo/KxT/5fHxrw4PG12cY7iG7pi/
AtRMslaywrSJHDYbPJn6HRqxU5b+WGbW47PR1sd//7Mb1r/63REKqlW7AN/2awSrP8Cx4sH8ELqo
WlP5KAndktazLIaHhoFvJ+zkbRq5qM0KpNz1Tyx3T5Wdnf4/Y2e22zqWZulXKdR1M5vDJjcJdNeF
RGq0JFu2ZfvcEB45zzOfvj+ezmx0REVlViIygIOwdWyJ3PyHtb5lUNenvbnX5sewIQm7AG/fXx2H
TZyeX9D/cTGoFKRpP90bg08joV8a/Ri1mA2tHElLx6NjyO9mzkMwCsfldQe73ACBNntrJyhAl64g
5UpwQnhI+njEt7DGyHzr6aqQ03soZddT9suCk6Pgpqe/35JldcpxMUfNB3Y9ypSkcx2L3f+oJa4u
y1006Sy0BsDa+D4XQxYRmwiidEhEdYqJ3PZPvo3xkl7/U2tJL6eS0kkaybrgkifjbZD+UxR1654W
jArceNVTquO68FLTeKtpR4s0el+K1rYctrGZnrOpYd09ffY65Vge0bKH16reR6CrumDP2BfefnxK
1OwU2uJVLwj66g+ZmO5GJf5R9HKnB6ZrB90Grdu7lvoHCcrOuB9LYxdOJuGX05F091erx1NCu0fF
cpw8hdsVI+PvPqmwdno3c+yGhyp/GHUeWvwe7PTPjrUwXArkAp0rtf442Oqnb4uz1BgT/PMr7U9R
v79PPjR/yN1wlurQAf948s1SKSrI/jnTSw02yQhbTr5qN+mXL8uvjFVtl/+L0/avTn1TpeS0bcyw
pr7898/3KyqT5eH4P2qWHzKFy7kzExqyhsa0+NeP1L+4ZaUFRhgrrKYD+frTXxKFS2CmCvRf2D3+
dbNhiJPOT/UIlwEfD5iCFb7t6jrP1AZ2A/ccDHCY/CxVdu3Mx5ighshwPMfUlknLzlH0c0Lb0+vi
VXIQyjw9wMojy7ZeN3H8YVv8NVWfnKCxMJ1PiY3lOMvGWxeQFRJzVNd1QuDr7JVTBkvAYUPZXQ0+
/85P3uEfHNsWF3TOj0lfJo35FjrinJSCTDRKcsDaprzOw7gzaXSWH9KkDmERdp4M6wnUIJeM19vl
c8mEATP8HBFmasQnZ+ieNGm+Btl4tK34lNfGCdeLpzTTcWmb2jA6qbMkx7i+4/I4zsHF9hl9NMwL
9JohAtO91dgXL1qHwskPSSMDv7RS9ejH5HGhTPQkUXLqRzhbsHJSPkk7NcBOQ07hr1NrDpo+Nl9z
q3vKmtpLKvlK6Ceq0PbqjJBg+Fl8H1gUJ7igX/vnF7em/kWBwyXmCJuuSBXC/NMEMtdhRbGeBYSd
8vjMs35dVPAjopa+CWiaxeZMPRaYoNZayGekjNF2aMh0HJVHhFOpCwX3XNPmYX0/dsI6d8ImSOhm
spep6NCX1q3v75tsvIZKcNfY+l1lx2/OIp3KWYSy1WXB/jLZyXus8/pS5y0d8m4viOspGPzlJlZy
nTOvYgTQc+dTjS5FBRima+eb5+VUreb+k2w5ZHnNMfKHT8nJDzn8XRrFSZT8TZN9UIRJ8TFuNYYL
TO98Zbw6dn/Vus7tzHGTFb+WJlUC+auVcWvO7aZkONIYiyeJaof5C7vQWxWq9zR4I+5NMBbbpRrz
k94NaOaAEJ1xXAZadxB1c82gOU0dbnCKILNZRhYoQQn7sAz+78ttVww3sqIxWAfcEob/UDKia+2P
xCQspGxb959/0H9xilG4Lf9DCs9k+08f8xCgPW8HeOcDLrrG6VeilMw1B0guXORGO94L6+CXwb+4
vjAb/+fyzKZ85gmtaTq6hT8dn5UwyA4SXb5rQ/OW1elpec5hLe3TzhtUPow0O/lDCx+MXiXuXdil
u5qCp5wYvDDh1LlRjMYEYK/js2dkRZGdMNas4XYttRgibItBiijq1VIv2QxKJTtophvw3l57p9kM
VXxYjowhOnWKsm16a4sGSYIAI5WEKiybPtGLnEPW/oLhXjzViLPSk5mpt+Xcjbno4pwRYj4AuTJx
83tNnJ2wDbrYea4BRQ/1RFHNRNPyMMr5NGNxZ2EOQG15ysmPIPb0OqbTMZOcG8s9HBjJ+/I7G7N6
mzX1FmOTrjDUN8mHItPTJGj7+N4kIsJI1p5ucfqiulgKHSwCx5bLvqFzncmFrNJzizfA9F+ZBy6q
Ift1mVAEvYrJK+RxK87A+36WcYjdk21EZf5VVM62z8YTtFFsYj9A0km1y06WoOqY5vkT2o7hcxIl
ytrK1yANgJhxVy5l3Wzm7zOIH6i4lyD0LU4/DGdhpa1mAN8N7S6JyocJfEpoq6cyZRIbyzNK1/du
kudlaq0xr1umTRN0RsQS3jKEo/f6XH5p7FpPeqLdV0p0UCXTtLi7Lk/4iHtj6M1z4E/3y58xswJS
AbKZHuouOuWMk3vQ9Wjx0Vjgbo4SxE0+poI2Fbvl9F0ma6Q3PYm2v4DF+t3ETt2TPQ2fWhE/zgxn
ACQ+Kofl1O0Ykqt+fNJZHRDv/S5A22h5R7MZvgv8HLVickIzfc161EJ+jNolOJqm+bpM2jIIYDV3
b66arzzC8bLx+KC6LMPHuLIwvvNa6XRDz/kaB6FXEOsBn+CzD3nUUU30eXZQ+vgQOswRHcLBwaUG
ktTkYLPM2to2ZbxYwaLdUd0eynI6/r7gWXosZSRO8N048H5yegmmAiLPcRzQgEG/d9C3MEMEVjLs
l4dPLlo6SPPcN72bB5+qwlx/ueCW6WvMQ7Uc6R0acHl4X1lBMF5oZH9LZzY8IekPfcXhP/cEyzF1
5jhe5oRz6X//81NLM/6T5cZeuk0TMIJpcYiof+ru0skg/kiYxM3K6TNveCPnYW/4z8y5GHh0AsQI
zajdZSS+Y9vlHk24kZbZ83JhNXg2V5ix0YhCBgPbmV5TCDDLsf37BaT+UcUUuHX0gybjM7YVVjrj
mYf3o5M4LtKrYIWJo75jHjR4cGyQ7q7UgryACJWG6Hnm5NA/PTUF7DR2086oSoCRXXefSZr0QEd0
b5aUzPZ8yosI/xxTJGvmNhmtrN5oevVe1k7oBmy4V5KhRl0wC20LZpuqUQ6rc06PvragJo46kUck
KzlMuUl9vzmQHPv+R62Nkqy07Gc5X8KZGKA4xl6vkpBgnS3RHj2dw2k5cx5RAJ/VqmbTHb6rUD/t
friBN7qOsdi1JWRc7dBDRlme4WnUcg43m8X1Wg2Uestzt0tPaJo2y/3XSOdRMx579hpprN4vr7aU
SYG+tMbRIbnABfIKdgLLVZFIfEe8iMO8v2a8vEwGFNYJ2H8OS6cBouBJSyzoNdPnlPEDMLfPJlB7
jrbZ1SVVUNFd1buoghCrTcO2R6ls5QQoVs1P2nZPBpKj5YZu5T9K///5h7a2+b1d/mQGVgNkaP/0
x/94KjL++V/L9/y/r/njd/zHKfqsi6b4af/pV22/i/N79t38+Yv+8Mr87X//6ZZd9x/+4P3emD90
3/V0/W4Ad///W/H/7n/8t+//zt7dwK7Pc/q/3rs/Lhz2f1szTUij/A+Wvr9/6z827/bfTF6KbTwY
Tcx+9PDDd9P+739XbONvhimZ6BnM9WzdXgqSHJEFdHfD/Juu4oAA7G9Y2J0k9/zfV+8GW3kqVZMD
wdKgnkCS/8e78Pch1v/9+ILv4i+GWrqh/7kswpaqmqpgaqRaBq7DP1UnXaQneR1jMOfGC0ig7SUX
GoW4wPkjx5eaVdCVk4ZwzrHv3VBo5h1r1Z44PKwElr0FK+AUG4HR/yyrB58kRtfBhrwtFO1gsDBz
Rej7nj+dp7qsd6RhfMYxexMOW9wz0IKgyMbsMZaN1GCNhRucIVzHHD6qxwTCeJ58qHDZCCNWmzvf
HS38AnBlti1pfa4Z2PY6rXk2CNIuwQYQ+KpKhpKowOOdXvBELkdnQ9IKWAtz2bpV3HWa5pG0C7Cz
DQvPQdO9L/zoAEx4dGt1wLhQB842LyMv4ZG8YefFrpSOuyHTr2nK9JFjCqE5cZE71v27SOkLt4q0
8qiOBLxVA547gGlbPRyfmRgSgUjmxJ1ibrvRjo4lPfwaj3rzphjjSD6PsQ3i2CEtNBI4xjEe+1wv
i/Dyq05YTeQsOt2+0DV4CZ25UjSsPBoRA56Imte0iO6mXgnBE+W7OEbeb0SVwbbO2etcVSSaS+2Q
DsZHTXjN2m6qfK8Fexlp5hNNBNy4qMI1QbRRnoXZXUBGWEeq5UETJIn4HtOy6X0mmzUznk0aKLBE
IHdif7gaRC2DZ+XRg27bJq1iFfQyYlaTXf0W8GiiNOIyTCLbN06AfDGEfu4HUj2anXIEy5oeQqCK
57h3IOs55XNP0PzG6KbKnaPQBLZcTCTYkfxGmKjf1CidfKQPBti+GvLew1xg8yzn6k6t5W0scHgZ
JqOiyVflFVsFdEQFO2rVTfDyLKLVOpgjsKzDtUWEIXEg5s3veMYQfUJmXXDFJmpsqjRe21UZelWW
36vkpx0Nq+Ipp0cJmWYW49tkLle4kh5qaQBjbQhYchY9VzM8lYqTrhsHmYqSEtSU9rHlzuWA6ygp
hrWSBAbJwl8av+6KsbK8FwTHrArjrcy08n1aQ9RP/T5/UPpwiTlqekjxvcVih2lSzJQoL9XcLWR6
kWTlQSctA657C5ZBNZ2yUJL00j+RIFUewzG72rnuRV37KBx9Pkx1uFgtQsIErDun8Q144YO5q6Qh
H3wANKUONUHLgx3kvPouGnl8GK0w9iHkFXSkndfaSCUANwCgMrvm2CrzQ1X0yW52EpgoXzFb7YOM
VPrRLHskwQyXbTQ9FIH/lXV2xsxOVflcc3vJW843YeVQHWfWAsdhCQrokOwbfXSVMh92Co37UfeP
mvJLTs5TFdXVJYFAGgOq4IMCF2u7U2zfATIdQHg3yoptmoPkNnlWQaoopuPcoXO9qIti0za6y6iP
6SXfBmewU8fCGuPjaNjKOgoIYhKxDlHUZnSjYLQk22jY4Ag9+CP46KRn79SMsNIGwi+ctto4Rh4+
1fqN8L91ZhMBmqtadA4Cqa1jB5S4pshFXPzEESTvh6H7CRsDDWbuw6UosJgwNLfulvhkuM6G53RI
tUNVWNu4IsvBTgrY5FZ1Rr0p74qWOOvUVob1FAFG7Fp4vMJmTVVWwwEgWujaLCzXMIoMjzKYLLPS
iXh/9F/sBQQUo8TZqmH31bAaC9JA3ypBmuxig8FGK+pv2bE2HckPdlsWs94Q29m9SxKxfYSv9JzG
vr6JjAQTVok6MbcgnBRTAdsyUO5nVirePIa9R+DTj3D8W22E2WK0NFaRYolt8QIGAZOwDW84rnyf
n3u88Nbiepyya5V/Z9Qqz3WnLdluRCnTeKoi7rwFqK6BhxvtYd0Gcb+vNT3zFJ/koIEVi0uILohf
HgKEfqeunL79MifepyLQAhTZvGmb6iU2NTLY+9pyVb4GXsQrDCkIjRgv1qQRPedSJVJrxO/cmP5d
uEjwybP+nO3q0GE6c0Fsf2ZakK31hM1uDb9KToQTFmnqGZpsIAxqW2b/5JERV76OYA77WgtEJJg2
TCq5KZFv0a7TcxkLAG0G1bIohDf86LvRCffsyeWdEMrItiLEAjqDEbUg20qQIPnMwUF0MBuOYMg4
5glYnkU2eY3yIqLgecII7pmlY+wnB2PrNHyYYzbifbQZD1hNtodp/qYHMzPz1H+oawToor+iNWFb
aT7Y+D+J19RwDbQ9OCsrNknt4JdoRPRQh6gCxolbs8ZH73az4uUJTm5/hH+eS2ejJcEiqmdEbyTO
IdVaDIdAybw5hfmjqie7N+cFyEQkSZmrOzuPP+YZYOvAeH41E73BSbctVBtVGeDfoDHzcyawJrdZ
NrOxXRyjWHsRo4L7NfPY9LCYIy6dK8+HcY6+C8L8bNQvBg3MTm9BHmp5lHvxkL+TxodJFA/EPCfm
Yrk1Xd0cuUq4wNKKOSMAAVyr5b1lxcHzmCm7bMQbHwYz/grxNUkZnuY4NACLmBw+7c+U2dpT3uzU
InvV5FAyvwpelqEGwOPAI5yWDNopAvkHWKmCrk9KfUyOq68oB62r32wrqXZVGgyuA7fU9cFdrWUj
ra0j5+xR09t94ivkZ3N+L1mT2BH4BQwUWg+OZXlxrkSvU7LHXu3vsNQmns40fiPy0T+YVtC+JD3Z
WtH40ORa+NrruJNNEvDKuDOfbF955lhixhe2L1KDhy/6Zm0lCXv4iH2bQwVDcm+h7hIYyG7Sdukj
puCCZFICfiuVM0+tjGwdh43/iiz9lz617VljV+k68Z0V6OK9V9nhDXLwcSZqZxsM4DEMB3WFIU2+
m6H96pf+ewiyfq8uwGPgRGDuAlKqw3oWT72sUTuo3C9a0KNDroKryfJwVYfYjucp1XC+EiDBbJKh
pjleRdb3JxBTuavPSrmzUFrOfvhN+Be5aFYdPyY+257ehgLrd4Z5iQfeD1MUFvA/PaQDDfdlMogf
8AEcjendoE/fDGPuZCjLPUG+dLjE0M1VGWyHEAY6GZ3+tiZG+6AQFSenDuprfk2yGqxjWB4cPBNP
zuIHJamp/xwLawmuQ6bYoOz01WZProyHjf+Rt4odVxORkom3amP5c3ZnpDUgNeRuUSCtNRy4jg/F
RI6mVa45RuGTBWOVOqvPAGak+B1liPDCyapnnr0bqw6gPFQRE1rVvHZlc68Pe7+o7V+2z9C9ISrv
Eb2FAbNpzk/RMkEKg3YxrxBoH/lkfgbhWoBgc0uiD1xluXCQQ8ReUmDAVOTi8M2Nn7gZTJClwtpl
uXpvA4CamxcxmPWX0Tlvvl5GryqMiXVPkuH9EAtSQMxhYzBesoLiNmI9YYBS6msVAqLXZHGBrG0O
3/z73IhOvhzG7wCoUSjC+W1qjEdFmh+NkxfX3OhJk+5OnEecILZBxreoGBza0UXjslyN3dBureHV
ZNOJs5OqtFg7JcYprf72F5G5bGAH2r04zmGmoDX6MSA0HCuEZW6sxgvHitjesWF6qMmEBE9FoM5l
yE5Aph/dW8LNgki52Z0AGjaELitM9VL4gCkJjf8q7SRxm0GbdoU/vlToQKpSwSg0zc5b0tcnv+LH
j6VUdyaG+DESN98GSiVV/QeB0AgQwSaZtiOnxoiSHFJz8WWQtJxYegdoskcUtIRM6np0++3Co/WA
91EAnjCX7/n9jYMAEBQKAOlFxtdSoT+Wg9IgQQaNRo8VoyvAeXWD7ClBv41fNikdXqwXcKSQ+qwG
G4aXqgBMXBwMXUCW6u9/cT7jbSofMHmqbpHOjNuivS254nREyIXW91sKsBOgCFYvJfRpYndIqVr+
hZB2PET98KZBnSYoEFCVoWIMY8Ei11PtwQkeyP2xGI71ekYUNOOyfApmV5UgHbnnJfj8heqVlKXB
mDl+0Sbooh0AKKXBQ6SZY04cBayqSC9xFzTdMZAdtpZQNHScFY44UiMO0KKnw0Bt6SHDXcpm66Ot
RoVVL9YFJyVBtvfbp2qEQ9XYET3dHGzIoQKkMMnebafwoTKlhUSvs1FIXedKXgvYZzL8sJI+uWu/
QgSJ9A/xJTM7mJjRgEdeI0h8TIM92EhxN/YHZjQwlFsL8V0pwpOm+BAZEpIrTDu+oAtBWRbGXpDF
EqS+dE6w+W5FiGh6yYq5JkO61SprDcySAjlM4quGvbk0q2+HBMlHJfYLCHZKAquQ8V3ix8RZzP2b
MiikCs65ytDVfs11lLPFb5IOGwKIZ2wam0VIzMBvMNrHOXacNcGyb/FY7Ka6D3dqnr4im3+Dqrht
S+1ODuFHaDrkv2biRalPoUDy1RKlCJQCFUXMQ6v350vXTm8A+TZgPFbqkAa0H1AwA8sH5c/JFqrT
kia7pzE5JnnMepMZmrnyCdmuUt3FTYBsjq64Zma3y+Gk7DpF3zaTjZKNZxaQW+zdHT3gCswvWuSq
XKehtSRwqxeB5gtV8V0PMvRgdNV7H8/duovMq9LgAydjRSXIJkuQKN+SwSZK2bjn3r3Pu+TFN0rr
4LRoEEb1LCxGdxT2v18IY462q8pkV/k4RpuSB0dpaJ6vwlKQ8wsJA/rRL7iPw9qmLewBDw9FiZ9g
ufy6JBvoghgfgFI4+o6j732iGYrFHzZlKBqr1DrUg5Nu2SFcUBKvWzMXe8ARlScXGxuTQnloesCD
Wqr3buSQSa1O3SMHz0PUGdQ4GUVk5uukICOVHz1jIFF1yMhXw7AWxMVqupRjrO2BMpDIsiS74Yzz
90r7pZCyva4d2a2xaCo0gfXZHid7EyVEiE/Z2EIF5o2EDd3R9dhPdFbmQRiVifNxNhFsdMbW5PXK
UgB/QaW+VjWSYKflTHO64VHM2VtqtRe9i9p1NwyTWyjUUdQy6NCLbJc7YMjVgBUw6IBPqqGauj4g
tzs0t+hnnofRB6HRK9ecWATEO7CrEi9p2d30MgPSkZ7VuZ29YC7jNY/Xm2pNcAus8BTI9CuzYTCx
rhcbRd0CghaU7CnWAqQmK5aeeDDZOIoesoBKZqgcotCFmfQ95G8NtIdHXf+2ZueWjRHy6sReDURk
MS83CAedbH2bhpdsGvBeQlInWgZWeNq4fjhqx1i2H1ql7Rick8Shy22r2/dxoP3qNLfJO3MvOvWt
ZQZ4KMhYMqcZDEzXxbsC56ffBG4YM/w1tHeHicTKrFqg25PpkdBLFzNV4Pz071KpnNO5mxznl86k
jCCiapFlD0zGAjs4Wo2NTawhuLfS201hTirCykC4ATvkLjGGSwvhH+QoklRg09sxyuI7nVJ/3dZN
wHweKWvflIdCeATqrsQEJnsyta9hTENGaEsPwGSE69I6+kogkfXZcKANrboMfFVsFs9q2cYezgEw
rebsNiPhV0PSj+tUQ5euiCC8yIa8bJstnNt3pAMSExutkoIcKCWaQBHSAVdc1rs6hcY6p/dJXqHb
K74ret3VGAa7SPb2WknHS/kcynY7jOj1w/rmIKfFIZPeN07aeE30Sw+VgrVCip10TrZmJp/DlgOt
YBQy62fuayj4Jclf2XfZcjnoRnUUPjFLZj2QPd4TF+cD69ZBafVTyh44f1fRLVdw8is1BhnCoijx
l0QIQT4a8U9Er4+73uAp5xgNduaZ84o2Dt64p7QYfaTJc6GgZjHmVUH/EYkvOw6/mBs6Yfw4Blnn
JYbBB1S/Jlbyhk2XEfFe1HxyGqxRIbut6ZsPYcAvXLPKA7aOXII9SA6gJPUHNwmVPSroXaDmXzY0
8bEYcw+x3AEmA1wOJBeCShkyvIVLqlX3YlFM01Qd1Vi5L8lwYtpzCer4KepLssnAE3PCb2LqG4qj
K/cIiWcPSK++LT2LKSstsCTjubB4cxhRkJ9wZcB0iHTlI/INa8XublOiE4B6qlICcNW0wc5XvUar
sg2HmrJikXVftxa825ETtxcYZIqX2anRHYpvyAvPmYA5T1RTbA+3xrfAb4+fkZ+QWVhPCOmND2Ws
2Epm6z6OvnpVu8p5AIYJESbJISJr0GgL5kdmQuZYl76PCusjZxi/2OhiXGq5ffgcaFTOQmdsSpuw
dyKrWCHJfzYscz+VyT6I8Bw1kB7L9q2ozKeBLmAo4k3KYY5IZdf0SBwCeDChss0y6YayYOqK3hGl
tMEHCq0hKbUYHL3xZYcOFg9tXrWSVKKuTW9AavkZ/eYq6ULUvuI/sVsjk65xJ7v8YAx8H+5Fxira
IGKzPhk1wVGqmhSreQCGz+YUj0v10eoAoEBcFQPQVzAsN9z7pDdrBBsn1GWtuoRwpt+T2OeKzxWe
Lt2Nne0msR01+6v2hzfRmyAqNOrHIrc9q8wv1QzhzLhPCS4kfT7ndy+g0ThcUwHp1lXk+hUGuBk8
dZD4OpFgG7HkWrfkPBODTOZ9Q16kJWVBRHoarqq6Id2go7YOTeUxD+mC/FjcEuM5IQTewR1VFXz7
zAy6zUkkCOrxpxTAycrEeWZ5OK2Iw3gLbRxspm/MeyNWAawxbXGG8KfJjXNrQqWomGp3dgeboQOO
FOYIBorviTnYsgqLkLyiJCVFzequ1ZyJvZqtQmYc2KGTyRPD8ol012bRE6V27+9bJzz5SRPSlZOx
M/u5h3vjkvU+hSnDnLyKFgYwRy+KW3KLcuQWvWqwNyb/a/bHDyghv+AEr+oIJnu4hEn7DFU0YGv2
VC/hFh3aKUqYnSgrdsSqn9MrBi5I1mir1IylRMldp3T6WlfjDuYQTzy7ocesQ9jEEVmBaGqL6U7h
ttKJygBQSsJNCiaskaXYIwslITXrKDyBvCp5/G6FwbAf1SpZZxh1FS599rgExiMejVZ6ZFp3yNqM
0V7NuqIwMM8Y8MtDFtnUQB36+t58DjTe5eFsmdp7nn5Wfm882yEbgrrpVjpQ+CPB6ViNpAlloAhy
IjqgtigpG9Gur8HXEK5AnBSBlcILcyqtvI+NTaMTRB13BeNyQTxhxfCzQuPp1AEcVR/sTW2WoFrq
7mxe5u5TLQ2xHubC5ik3UTaG2kZXpsId+v5p0tUFQHGdS8DvjWQkoUonROsNSRFyF4sddt/Q/VZR
mWAea7Hj6WOHTrRNsD2agKMMP79NTOHqIHgq8SCsoAC/JC25SuYgLj2HlqNVOq5E516txJMWInXV
iZY4WXWoL2oLY9325rVsSBGfQkHbkvQfdRg8tRYUJtEEnDtoGoZCrz21aR7ttLU5DRzpSpdszxXN
5L6d8oAAdO6ruOQJUTKox+DN3Wk7MO0aoVKLGKFzL9BRmBrV2hRUXCm+eofmsMfqoe8S7E/8XPZP
HjvZmviZnTVrOYoEaxdWxeRF8Us9KeW9CMjUq7kMW1yJXUowDcYGL+yLdeSoNwrcei1LiSyPmQgV
SPrZFQqMAv05SGS1TxyaMNPJjIsazL8aM7O4ro3i3If1Jkur58xHoGKQcbk2p5QmbyhdJfPfy26G
mKghl+kNVFbllG71lJdFuibcqr8x7Qew3xEOMh1GI/sa2t5tdOSJs2K9CSu/zBA9raLcVgBtV3E/
v+ZNAhjHyR9HyQ+lPtiS0FYcSVS8A/XwL10Oj3bOCMPRBtUrTQYKAaZZJZ+rDV1FBQkcrLDlChbr
0Hkt+AaTWq7UaBOLPN1pY7Njp8+NrxBm1ZI2M/ngVR59RjrRyMEtwdcjZ2whlfgErMvHhlAJygJG
/2TYM8aEQEnuqOQedxp9oNeELQ0rnmG90V2nWgCLk8zSGzV9D/limJs/2fRloqmXKnFFWsnaD5rD
VQdw7sQU32KbTfG5zOpf9dByxaZvJuWuNY53UEqJMWHurkBsNAlX4lTu75OlNzDQW+F8bLMXa2Rz
CCWUmkutiBHraVMyuhTGXcZ2CXXSx+GF7SJOHgNFgkRo0/3MvCW9Kb7tMSUypORVhmCXce1FxruB
vF9Psi/wZWPgPMBsHNeaDl3TGe501WL7SkAoYNaHGpPf3CRrJ0g8aQUIP5tfjUw81AM3qjyxiTob
MZQ8KVbsBjX815WK6KPv2tfS9A/La9UmmrFCHKlYtzhlK6fGxrCsnMaDxrM1EsMWftORdKFK5q+O
TuCVal2xPkDL20LYfNV1eccnCdzD1cnxJTTFbQB1ks4aVAa+Jm2rc0SuRiqTujC9lEOqbpf+RCVo
pZhpdcrphELeJptbe7Sn+Slq8teRQUcL/26U/V1mER46FM+peOJdw2857iMV3Qb7kHp0LubQXZbP
q1MY6Gbxhb/yDOpHLawHv21+DSVTrTnu+5XV0WuPyKgKMa8Uf+cPww6ea4wMuebRgpB8JZitAzYj
WGeqHqy0eyEJhLe74QmgX3XLXimtuYqt+Z7Aag/C/YZ19ltsGg0YxOqhcR5ybbHlhPvanjZWmG5z
yuLVUJm3qNM3eEoAcOUn7IbGqkyUpzGv0fFAmoiZVCkSemAR1vE2TePbqIxfbBXXadYQjEaEqtEl
cO+xGWNI340ttqeUvUEDoT5cMrXKXlwqHdVWF34VKQvXsCKYcYxuzJ4RuGr1b3cGfnVCw62zL34x
2DqmU4/IES8W3Kad6gTbfNB3BV1yNrsDx6Po7gNr9FquEUWbTpHQtlEc7rs4fNJjCm/F2MztRJxN
ufOJL8VmDtOWrUsJaKwc2SppLg4BJE1m9+gzBG7hDHLsbkcBCphD8U4vIi+L8sflwm8VXMopUw+e
aUV/HmAN9kbl1oZ8hSp8rBXnjJbKa1r7mUX7K+4sNzbHIx02x1Wlvmg4FVbq9JMbiKjGrHmYuOVX
mgWqtegHZT1o+ZHSgzA+sdfVeps1GupI/0ln+lBSvxSZfiao6JzH5Tvr67dmtHca0qdVqGdbOXzm
Indz1p5Cmd2awgXB9sFulY9Za766TDxPuv3chMzdGUZ85a31NAFlVRRi5Nrqxh7zF2G4Zuf/Uk3y
zebmJ6ng7+XJJjGTB3bO+4FclGRi0Yq+wsnji9pvcQJg6O5cllSbyEk/dJU9sGU85nhw4Sp+MobZ
zcBOu+S9VtRrnTZvGXe9kpd3XRi/6uXwNrQKKU0AVPtE7pIsu59ZwRLNwHhTrzdVwgNoyQPJHOze
kJwlXBwreNYN7b7gMzFs+4ufdVUNIUEbNVzWZ5VNmsXzs9Ky+3h8Yr/07U/2uQr0c5Mmv9KSZZyM
d2kY3EUz8YoEiBoK6SKGOKId+45wTNZJfzSV7tXgprKA7FmTlrkRO9NEfUib6C3PAK3XOvM8GtyO
w4Qb7MVUzDszikjqjValRI0WledQOjujZ5mitsPFmMvLoNeHdjb+D3tn0ty2km7b//LmOJHogcGb
EOwpWb0saYKQbRl93+PX35Up11G9qop3487vBAGSIm0SQCLz+/Ze+5tW4EUGfMCpANIguyLU8pHi
0kPLPWWz0hGp9Bzi6rrrK05tRk9bF5sFLmlYGLfgAU/hPQI8bdMHUUEp0hn6i1PJ1Vfb7ogeX90b
ezEaBnDEL365xIE8WUKjuA0jKALtPq4hyibUrxhnQMW4XZsHYUnRCnhMWJgL6ol6T8JNuYlurDE/
+n35CBtkN5qAqSvbRJIHMU7UN/Dmd4P7YKbTyca6i0zmOoyMF3spTfgMlIDc5cF1ZDVmAtxotzfr
aF2ni3Hra80Pc46PEaTsuFivQrqo3bp+K7LurRiSe1RofhzDkXRdxPBvob+cZkgClVbTSdGNb32X
3YeBJ3E6evM+YbNoOxJwupfYWl7dQd8Vmf8ce1xypbXJra7/ucAztaiC0xY51MBFcRIwnTLb6jT3
Brnx0TFzXSIKezob6GLQxl0mn1pcQTM6q67TeD2EGXMkRowduT4szMDluDi7N2hujB1xTWixNfIT
rQddW3Cru/oT3a1rvzQ2qAPOrHGOiZU/WyOX/bRGfPp6EZQfarM7lnrL6UfhybZumfN+LLwe4oH1
/WU/6zdOgygvbw+ReTevyXcoYQ+ObQM4Z6ouBsrlcVDVEj1Y7zUtpkBtkyyiW7/lv0uq350w/Uvc
xNcxEJdNayDVkf9gYekPbmETExX7V3NEBE5MZH3HmRInT0Zh7PuxenYDaKrXtk6KCIFDrEPA+hAD
dtFi+s/yj+ai+T64Ecu95MPoYiwLBf4So74b4j1hgCb5pFX54CEpsUgDzAr/h9GBZMLmeS9WDMK+
v11ZwGH9T6kMzx1txPXZXAcsV4RpagQzJl7gWBRFtJYiN5MdoCgGBeYu0+B9FCBXwUhP83Rs3fEG
SChlQusUTt3NornXS2SeUDkeUrSg1ss4UMReHsc12c7JcvS84cZKXiNZypyqj3TyflBtJd2aHmgs
Nk4E7dl/okVzjML8I7S86zAO02BxmpMnuvc1dO4B3u+mIT55JRUcks35B8D2dgQ1rgyRdZEdKOEF
iL3fIDOJrU2HPM+rs55N/JSgPXcrd63ALV0CrWirBmlfIF1ANkAHqgwskwrAXBivcsiMuvnFKZoy
oPvjBFp343g91vBUNGecwL7B8Ihq4toGqgx2fjyX2qfz63/ln49L/fF//8/7L27lW+gKbfKz/2d6
ktRworn87+Sf2/es6v9N/Mkb/4g/fecvy/KQ4+Fhtm3LkQ7NP+pPXVh/4W/zTEs2xgzHxk78R/1p
2X8BQxI0hDxDd13XxJf2R/1pGX9ZnsxzcExfp5jMu/4H6k/ddKW6859MzcLnMwwhiHIgWQLJqRSf
/5PPzhdd2Ydho11SLZGh3ARpllwjwYDjAuFXdurwOHB2dy+sWCX1OTwjUXhZC+02X0KXhjbZRunU
bqwR4IUxrvBnjksG+d6SmV7TbURIvJus2xBQYNh6VDoENnqzpBmNA25fxRFpKinlah/k4eADjK6K
+87hVrx2hwhFAYWl8ls8l4em8W51eXUImAEns9VldGQoq8+vonUfQEg90b/4NkHEYLrHFM9imCyW
i1UyKwpnCQu6sjMdd2hM3KB0Dwsju6/65IeZrjDvuZUBAW5Ed5/R/9kYTeLu6oHIid6uKIHmoOBn
+wrQfd1x0/cKXB+jVv6O8/wgrPmSVPuyHndrN9wS9UdAZ95hEPXabVj9nmL+OMmTGhGW9TRMFuvf
7FlzKS6WJt/ZDglimDqEjdT2IKw7rJ+Mn6tuwVyYUKw2xn2To1d37AdCWgFegJDfpCApvVZ76zH7
1U353qOU6iFGLmBB07YNDBNUa1atO21un3SBkF1MLM64gdgIIgMnmeBmOdea6/bg4p5FOl6PFZQm
DSOMXfB1M34FqKglmpvxFr1LFZDNyWoEAGgmTg5F4Z6yuLciFNaH7Gpl7ht4EwF1mpG8s+QYN9pC
hMXqZcz/b7PIvqHb+mAN0d7hM/aZJJEMSdJuJ5rQhlmnqEgjoMqgQ0Kgp0Fizz/aIrvSYkAdpAEm
e1gNeXJfOz8FXpepzqdzz4+w1NV8v8woYJcx2/k/vCy5AHMVJL6Hj/a83kIdCQzoyodJUrFFBsF2
btyTboGmRqG0a3UAWnEePw3mRKhEK1G1Rn2pcQ+DWCfNNx8Az9vZfnSZ2dsd2RwczM3YZZzKqf69
yGfiAEzVp8muHNyDe70Nagu1Drk/R7uLv5mjXjOz4VYVj+VL4dUvGcqTTSmeLTf7Xmc1+OPRGjeo
fp6zsvy5jDBcymujyMhspu/TWNDcdcdF1DXv6756qCbnfi28E0lZUCfr6dwSDNw5xUDJOrx1bNoU
5TcXNM5Wp08KKHCGlXO0VzDMttkOO8Et1ayIupolkqk3QTn9venIY9lWJV+x8CJf0tNKLuhpeaFJ
CZ+KHqnXf9ByQsvgQSlbc4SyS1M81TWHCOnqjnZfoK/WayMLQH2M7qxE1rKtCRgvR/Mu70eQUkJj
xUXpvBnbdEt4/NZvmeXaPY0o3J9oJhCwYtheP/e+ntMaFqW0RXKvhKvAZrCy6nOvk3tyMN7Nlvfy
50VJrWwUMnWwvva1tba3Bei5P6/908cV3IutWkAZMazhPE89qP0R+r18lLX8TDs9oRdvGhL6Noc0
SZrCJfLC7v3AYrJ0JrTwpytYptYDdpMjeVOoBCkFFyWRKkkI9SSVs31agSRP+VV/jtb5z95k1rfL
Qi7T11PqL1JiaZM5cfdff89a5s87F+4l29UuCgjbkkDpQZqtzfVQrK5xaBVBVj0n5AvqT9SmjEL7
FNFFlW/6eqf6K1CtcGcBkpcMbjqNHt75+UmEFPCKemIkyzPyRyyHLWe3PVYP3UCvICsT63EqtMsC
xnQC18ay36XvwXDjma+UTcKV3ozfJN6hqdzmVpeTw6mfrQu6r8PQ9OllGqtHGHXt9WDExtHRy2+O
hGYiEolo15TJCeZIybQLfdP6jiaV9NktdVTKhNTF9kAsqX03RDgUITqNZXwsEq3alWPlbEJ31ZCV
5d65dY3maETVUyfltq4pgNvUSJ4h2e5ycLB93F+GlboPZQcA+ugU1hcm7Cz/tNfV9AT1ynY9zDOx
B1XWnTJDVOd67d6bTnePGq7HY7FUP6wZeHZvN/ExJsv9KfHDoHDc7IjizdnVmlecSA54bZbho4yH
7t6RxEODOA+T7quMbXlcyyE5r1V5O4SztkFjXVHey3bFEt8XaUwAfOdgFY2ddNe54mXsWbRkUeMB
C+OG2xFwH5OIPbfg3O5azi4iDsmIIzO9O+sl4pilHJptGPWkYSQbLmMsV2OEKpzQl/jgoMe25CWW
SsB53GIgOKrH3hik5uifYDEQ1aLkS2qDuP5mHGn/M5sozrNCAfd9hxPUs2SFacR+Z3UdV6Trjvop
T8/OLNNXFeB9HYjZAMKESEgCfdUmlEjV1Jcn49fjpYaNW4MNiWf6SoExtzB65QYHsjeSoW6ASXW6
pTnPHRYFTStPNW2YsyK7t3/vqee+Hrpr/ayVSIiEy2eYUka+lNzdiZGYdglzBfzhbkiJSTcIS+JV
q65SRErwnYo+MbFk6d2mLpfk9JUIYOumhxpPJgQooLkH6NhxRm+3JENztpkVGNaIKaOJ+jNFgP5M
/4QD8/dDDOeFdE6M6M4dgvxmGTT3ucvCDpKzfKxNpAumWf3TitaOFDyW9ykofc5IfgZyJ2GX5Yu7
HEkxCnopv6oWvAl+OgJ4ksd1LQpMGrHctevCARnu79VRjlOy3FnXHUcJ9f06yoom30lartpTL+RL
9oEkAUEM9cXzV9CCOhG+Hqq9FWtG0NczSVsS+a9A8mqTyIfquVolAIStE+0Lp3lSx97SV3QCaldn
3kC5ROteaIDbOzR49UkkPzpEJ+dQhAgUo5JGqvod5U+0yk2PcWM3lDRq1EO1Ub93lHb6wZ57LPFQ
5b82muAn/nqo9tRzq/PaVGl/8vqJ1pH6TdXppvbQjTqotTAmqfPta/N1Dn6diEAuToIL6zBqouAb
5d5NVlbr3pPDndog4ue4qKBL9XhK6prxqflQsP/PY/d5jaooArULY4qhLcM49PeBcyPNQ2Ajeetq
83UMkXgyg3cHpCpw2Ed1zX5euZ/7dlr/dFMgY+rAfB0idcT+5Tm39MegATmJhYVLWF29nxkA6tip
x+oVg8wauF/iWZcc5c+Lt+34BdTjTjGME+RAJ6Z9ZM8gp9qoS0ZdSrGEb6u9r+f0SD+4nUHXO6pa
Kmy4K0l5sd0OAJ4+IfBqST1Ur33+gXyuiuDJjvbgbmmTEOupxXCR/977l+e0tom2WIytjeV5YI8T
Vg57N0+o7AJXu/jJejDUwDGy0lF78KL0HZqHN3UIdeVLkYdVPSyskDFNHdE6KZ1jl2qfl6C6JKsu
jsUuinRGSjvzdrQZo2Ore+6fQ7h+86WnXx1J03FNqkspPSt5STokj230Lo936hA7VAv/vAl12x2S
e9CM8kCXjSLky6tVXbKhwrO3DY72bKA3rxI6/K/cjn96DJ6TpmpOUh+6GGpQXykPKvnhMwmiGHuy
y0kd+sx6kMOzTaTYWT1Ue2qjDr16LiRrOSwb//g1XObhigRUjZyfu3z+a+lHWDOyztr78iZTyC/j
LBnCM099hdmc/4H+L4yoXXfqL2ad+dFR7aq3KS7918OIKMQlgHr1Y6zJYvkR9llxiJK6Oo847s5q
72vzn54rNaw2RPXxls9NIX8atfsvfz6zVtlBEv6tns/V+8JIYKA3kwMQln+87T+991+ey2LSHdbO
5HT8+x8WufvuTpi11d9Wcx84XQV1tu1/6ZO8HZW6ZNdH3IDUZuy4O309N2H8yqm2aXtBZ/AwT/ml
0IbiYDryWKh3REvCrnqLevN/+hj1wj+9x1/cnZ2aV6X88nFrftdjg+qy/Lc/P+7zb8capuHG49fQ
zTE7qNfVhiy25vz56rhaG1FwomhEVuSUzTi1al2IlbtbM506qPy7cajK9jjq/0CVJzFgQRD+h1Ve
oxA26/Osbu61mTLq4DcHTvtQybmBlsYNkCw5XyCtgkMYFi+tgJ2iaPx4LMK9V080bSI5wBnoh4ok
LK8WLWw3DDLl+Ysjrx56auRVT9KtJ8RNJg+rbNfPjRq21W5NgBRffunvMOtC6yCfpbBq6Bdy6FC+
NoWOVw+tz+jj8slzwUkjN6y2lhx5cGqU/GwhOj++gXpKfSG1iVLdgXuRH3rfnutjJycDsZwlJPLW
CD8yBsLMLVBlJGjcGKQclnsgojioknO5BLGXMPap/FsVeqv2ur6Iz0SVrHIAtXPxagPm2A2NzUAs
N2pPt8ctntXh2Muhd5Z/qvZagniJXFmPJK3xH5FDezYZnIKfObXy8WTlFJVQFVm9Lci4ltMpkGgo
/AzbYpQMX/pxndZA8fe/SPyrsKOzdFsV5opvVX5PQI7tWe1h3EAAtw7XaWNTyzdkE4MrV06q1MYZ
6HKVIegdMuXo/JeC7y3khKJiLY/xQ4YGeUNYbFNMMOcp1vYxFcDDmk8RamR5NS5adNvY1bxXJ46v
E3SBbJvRWO2GCEhlt++q8aP1tNrEnwjqWUugdlUydUnN+1AiIjXlHFylKKg9jhH3ha8nxRhr26Ft
kMHIL/G1KbzUPaydSxH9H8/b8g7UR0hQ+i6kRGLZ7X7WtDv1aSp2WO19bSI5L4Sc+n0oIm+nPihX
9y6168wFP7wFZt1sRxsaOYuxSzhGwzGmU2rLObjaNOpUs+MtMXvzUWQaB1i9oFXIFry+eVcZ1eps
8/wCO5h6jGaa3Rg3DQfXfDdG41IWEZpNdfKpDbBxyHJFGf2m2Nfs4HwJPhr/14qG69TUJHn5EZle
QlgE6Xw9psE7HWWctQqnVqHdFYnjeBEb5Fwb9WySJPzn7PInKS6kWPvLeAbAQp1dPvy359I20DB2
k2tyRaBOddMgs/42hK216UCc5IJCEZHMeNrC/VpMSdA72sPo4b1IROjuY8NxAs+vyoNLoCD62EIy
XNdk1wpvvdWL+0WULrkShFLXzUPdrd4FSf/jaoXhsUsQB/am82roS3wlnc4t4UK3w6BXV3l0rEPv
mul2ej0swrzMOqK2FJI0rP0dgqR+l+g4Rz20T1Rznz0E5qdsrGHxjO59iv6FKkxPJLVwz1NGoXJO
x/DYEpaShbC1m86FADuNV6PphMepkSlfk73HZTtvV0e7HlyWH0uXNkeSrSJCJZDV+nNHa6bLv5Wh
ru0w9JYHa+GMdhpnOKGaPvoRgrqoseHduOtVmgwapeDl+0SgeDC50xJAPiVBXSPx18DKdYLYckNl
q7m0KVJftUfc5UdnFuPebjrgwbGa5JIvnmkzsBHqnMFaS7nbQK4AVjpynyJSIbUQhaOdW8k3IvYo
fLIa3xcETuYYq4RpVceULvKxRFG/ji6NJMzf5pB4UKZh/xOwgFGmFNMhyhHq06MKYqOVZZCo2xLe
hLbXnfeLGQ1Xhif5ZvUwbk3LSAPctujjPO/aBNC+d2lkb2JqM1aK2MKr7+xae8x9sz94xI3gO7Vv
CpNWe1JdTN+YdpRaD0NOT5xuGyGwfVxszdnfWeH4q9IBCCw6XVPEWU1oPtrIP67DOkmPlr08zYLI
xCYFKDdLD0Adrx4RicNbBQ0X+xIk+ZbK+pKKH05HEbccf6FY0zc1wVW7xT+uJBQHpjNcl52FasSU
fH/SNK/WPL1vHILIceJBB5NmaODK4q6zuFlOZb5dRWlsYSs2e487RZDRCR77yJAwqt1IETyYG6wi
tgblQENH7hJYtanEYpIKWK1X0RING4ep/96EbXyqV4MsoTmiPYtSmEQEkI4mU9irVUs/hB7FwM2p
cQq9lK1M4nvdoro2TS2l1MQ/XNtAK/NFj7+hIV6Yy7oYSU0CbvuBZkbiNR+9LeebJn3OjAUmpuJq
O2QdN3sj4m7ei54KRHFIzL4ntFY/hDjRt2aF6SVM9J3ZdP6WdvNE0qx3E4ri4oMthgDXH0VeF6cs
a37UqE+CSjf/EM/+t3v333XvTGwk/7/u3eNHWX503Qcspk8azOkX0JXPd/1p3Xn6X45N3cA1dMBt
3Lnhpvxp3fniL1O3TdeB2eKaktzyd+vOdP5yPHopYAsoi6r+3D9ad6b1l+8Rv+LT1rM9k4j3/0nr
zhD/Bm7xDN+na2cJ3XSED0Lm/23duUtravFkl6dYd7VATXtU6s9kmT3hqs9q1lWZKImCFQd2oDUV
ru+/52PqZa1YqCqpeZh6rKZlak9tvqZq5YBKZh7APMt2kZredHICLKKI5Yp6/Lnrme3JyP3+UDqo
+pkpoAtlgebK2Y/aU5tBVRnwxyygnM0bWa4666ouqHansPJXrAE8q6bZmZVSJNRNkuMrqQmAzIEt
ctJOjeVEXH3IZSwve7ZlzFmD1HNjS97VepmY1c4FFkoAPfmIEWeawEiVOtLE8pKs3AiLrsFVB0oq
Rdq2z+LoHcUthOu5fiIdekIARMjvjWmJVxgO8bcFar0N+HGfWWt4jFmA4LECiFbX+U0vxtvJirHr
LVMVLDoc2kVrtziwN/kQmTR+mBgOiOkEoQZH22KyG83Jpe/dPQROGaAYv9SteVnmKIWnQzKUVeEt
iXK6WeZAqm13SJgAB5Q4mpWOwvSUxWO8L+wa39/Mkmiq9wYWPgLAH7sJObkT+iwLc2zr5ewiTS/u
8CZnCKeJuLe02t57/oMX6SPTYIPboe69lDSZ6rqdcdOhZ10ERI1RwFcv0NWLpSLhEP5NULEu2E+t
zDhpKJOjtKjE+qTF91OfvuYs78pkXfGIINJCYrfNmC/TuRumretbmMwRnU2eRhCxi3Y0sh8KV7eO
ImkRNCcQPwZrD18HsC8Erhwi55Y4I+mj9K7x6M1Hy9J/a6XmbMvE8M9NXt+aWdvcGdnZHkFuLRLT
ueBRioRr7WnStoiqCMEpdX1AM7veu36HGKpD7r8QwpvkPpm0VHXnljnfYM6vRkJkY1YlOiIcr2EF
4PyY5Kc4y3WWzi8lzohjnaDdZCX9lmDPA6fPwlOuadaHLq+K7WLMt6KkbcqkDClkMpmBFVs/o94h
+cN0M/rhnDZhWp9AGRi4BdtDNyCi7g0H8k52aIscx6YgrUVIW3ETSn6jxy00WqRedz/Hvb91Mi+j
K2UydXZYn43JHm/TacX4V7cOKmEaC9vwzjeyk+1Bt/PGMXBa+8FIxh/5oFH2X6u7vheQR4AFagM3
WoY1gs2M5RRjFNehL+lhjW2WXi49q+6+bCecJnMSgNAmiti2txhDuRB78L+E1pCEq5MyDvqnbnQS
ObLHVmBipFh+EeuxsaxfiTHg5soK++hU4opZjNK6x5s5GRc8Y9UPzg7EZ8OU7ETimKjeK5mUtxAW
DTbHXHzMUO6WdvELFbuItsRBLfd00u7CrLQuuphQ2i/THvAzDcKKvGMbl2gppU+stHadFh2SleoS
/RitQjkIusgH+1PfVQCG6mV56Saf+YllGrvFIhOjQYQcDGbUb4FGdCewBoXuvGVQj/f6PrHFdmok
vhqYI0gGeNnh6G3M/cTUwv1AItgfHQ90YS2FmZZhkXafdd9zTrOja4JnANnOCMXiRisFymxSFTpc
ebV/rVuCw1Ns/FFqlOzykAq08LHvd1vkaylhRlOOtk7/1SynqMBQFmFP1iljYOyN8c9zaYBVAFxQ
3jjyH6ma4rCiNj3EhDptQ3EtzZyBObf27SCsXzlUrApA9QAMeB6T/hvKjSUY2zaC3fQQzn703Lk2
NoUlmY+YDE4t55gYFof0k6XexAa8wCUhKn5EI78iH7R9sIHTKH4aGY8KEb1HWtAmFpO6DGORJN4U
OXyM+H6JQg1KFiMnCeNBbUOQ6vNd1NWcjbFJOnqYBL7lPJszkgdwg+VmjqI8mEEcIR2XVaKhQOTv
RvC9sGatU4OwFTECxDBqxg2wCjwbY4nsyp4WZzdO3gd0U2s/AqA6LoRlBPVpQDLwljs0iELuVF5b
vNjWb61oYP1q9gg9M8G4lsAdqH97VWmcs3A8aq0+HKMpf5yLMKUl07aHkjynLWsD55aI74AUJ0Cm
WnhadcbN4VfdAB0JV/OZIti4nTNdYyY5wXQqfYOIYHfcGwxTtUV6Tb6cXFZdHis4LRwCEBddMGFy
4xTWplO54G4r9GJEbPEDFwyfY/b2BYEaGJW3cWzeTFZAG0tHDN8MKDcFxkE6PeUPDNfv87KvoQgE
gzZjdKqxowofPnXTsYy4Ea6OpbjM8pNrhK9tJaaTFw/cZWIgG0V8sG0DpERfukFurvlRQ/1zaOlp
T7YlUKusxa1GNxNTprUJhSG9RVV3iheH/mMvCZqXTueSpDQbbts4vVtYRQbdcwtjBQYqP1699iMW
hgUh0Dxj9m4KUD1oaVPUfmQHZFBgbkqJHCEu7bEpuBetxgQqSRRdkJUMGlP2245GCquTmbPgXNAm
icE4dZBH6qM/Ltf1wPTeoyftrPl3sDh2UDeIkyxXzl/K36XvaIFvI6ctY+xWJTeVqFtuwH49tk7X
Q9xNl6sRjj7Thiagb2TdR3qyS7XVvlCGvTBOf0ucOtrbZvPcEud4WMgt0tI95cv5oHXiJkkJ6uhx
Au7g4mlBV2IFcyznXtPso2+zci4rYy+nLzTowq0TFZdUF9/c0n7gynkREnjQ1DWBRFl89pnPfG4y
JhJZl3o717ivbQ9ZFSZKO56YPow2Tv646oiXN0gcn6pTsfriXMmNGRtv9KfTrWDZORP5urMzBvU1
y+9i2uABhsY3qiHFrkZpOEe2eaBEPTPWWY30RdiPYiQEJg6XV+GBV5tIt9a8GKMhwnUDG2H5ziJz
QJvB7GvMNCrUfVHcC/jGJKOnQZSS7ZPU9pGF0IbiZbMP/V8hK0J0zyBFE3SuuD6A2jCfOE6a9oMx
v9sjIb6J+tHeR4BsyKC0zMCZfNqIjsU9yycSs208rHULDAiooYORLFJTirM124aFlp8grAt7XAMh
x+8UO/9nO9EoCcyhNHhvyg7FROM036BFwMBOYXQ7mRSYM/MedBIdINltUU1jiCjRqeTf7KRcpegr
MBRY6ruDI11Jotu6JmVL1SCjdvtoUnvFZ51cK4CGaxrjYe5SiMaxvZ/m+GY24WYsFnJjSjKEZRDC
fKygIKieIlWwBjyMd192Pf7I5GGJn7Hzoj0fMHOp/47jw0PKkvjk+gVxOyOaCr2Zt/EcAnBujaCU
oCWE4Qm5OXSwC9/I91pfP3421xdm0vth1q4pntinYlCYGQtcLHP3SIbTi6XIdnqqfzS2RnZS4WDq
BI3cuA0Yx0YPsSkjNO6TsdmKpENOFQ71Z8tOdeuK8M3qYNauTJYpA0RbLhJhevdFT1D7RB/QNJxu
D1JrjKlUTl1O2u8yFBvQqf0RSMBuRdmw71uHbMdOnDsKQFvg9+OmzaP1XAnh7FyveCsSWqlrXn42
fF3mUT3ABRK435rxoUi9jylhvIhFhadC1w6VkZ/9xnyaWdZnTfaYNJpBWUaiUjqJBEiddz+hzrva
JDT5VNr5GUIMUVPN3JzLSY/y59UfsJHglIsK/4V5YIwEKr2qSifZZ8RNAnf4GCE/kbh0DqMMrpuI
f/dzftGHyjzX4rEGAnqKepO8XrmIwMS+j53OpiBXt8FQLSOzUeEGpV81G04jbGfRrhTMwURNgms5
Z3daYzeY4Med7Ynm+Nm0zqsuYNJXB3XZLafCv28XB0G63EzRz9z1ltMKnmhvNOWzCRa02IhV9w9w
V+BZkiqhRXELD9HuDiYLNwvfGL3O+pUZhb+xCwYb19r2EOUoqIqVDsjqQYAvnxoG271jbuN6GS9J
0jyME5ajanDHi+bNwbJ6+mkZju6aa+cu6d+ZPTyTVw1L0ekutg9ub0hJ2cz2ApLJ2XB8sUHH0mwH
auvngZpQ0lA+7uxh3mEwTTd1kRtnLavck1t9R1Ezk+SBbUO1mK2puDMaA0+elJSkspFANa45O1aV
HVBoLgQFV/reHd9cUIQnImTMoBBaG0RDfpXPuIhSR/MZVgxoHcXM1e1B6WJFiNWdes7GX/DOtn6E
iqyARwdjG/B+cl5uCzsfgqnn41wzeqwWEoP7tI8vQ7E6p542AnZdfB0OaS1+7D5HLny12F0liY2T
xG4uTklRGNU3Cjz+7YG4un5A1RmFtH+rzn8GNsp8QSpFlIZhiQHNMPCgfXRe3cR4izPy7GE1XaWG
fnFMcwAvt17yyGYiZGOSqgkDU6iPVjCldm2KfbKhleXjKbbeihJvuVEV47bxfiuCiNoIIWWYoW3e
YQviHJVrV4sQ489NXg/PY9XN+wkE1OdTjYOFyYzHeqc2oePCp88pfgphqEn6bqUh/SV4oWang1No
3snkA7SQoHjHcgZsmnzhLSHT42cUW77GHkhRpyJqJQucgly0OAegkWvNuO+/JwxGKLWEdU7AVHzu
ZZODFqNhtOY+RDaQTchEVNK+LjW81nhSNPgH03DsGgzxU8uy0mpuoVXEB+E07nGFOeQ2vn8e5Wtf
G/VcntKCjLS53kFd5Z1VEZ6dNL3Hdufu5wV6vpncGRLnF5Xh8tOirhIsstiaVug8N5Xjf2u0KDrE
juDOLFPO+4aeIja8Hs0CEZpIGl8m2cfExUL0YxVngZ6Ij5qqPgTRgVpBkXmYKfIWqzQEpzuWYv9Q
G8keWSjvknrMbDdt+vWsNmh9kTsPxtZEMcqwUTGNlUpLtZGMT1NzTuq29vW0genP5hpaCjyDQm7W
oX4se8tHGIKGbEms97DLor0eGgSMupxUKT2M3co5SlJuJTl906V0xqLaD2VKEuScNyzVc6xlYIPw
pIeGv2cMENxdYiz3cWHdqk2hiR9iqB7s3u2C3tefGkDa3DjDXdL6QA7T5FK1NkoOo68PbWcg2bSt
Q5fmB5dAzWsY/bCx9KjcmpluXYnU7TbYGTMK8a9zeY9ailAFFANlFW1jbLrv1jhAtsvt7hKu4V1c
tu5DXTM1EF5Qg844wPi3b0M/YVyN8199qx1CX+bW1QMaW2uttrBGlx38vQrOIbb1ITYvtovVO8PS
DXakAtVjvK2iIJzdH17LLh3xA26qOjW/d3VqEEIYig26weqSiYYfK8qCKe2Qa3tiPtmW/dEP+WMs
Cv8IKQy3kOke4onlWRgjhF5JsF/L8j0sCv1n2SDvcqbvi1GYmPEcyLEpWD+D6Nfz5I3IcqP5W500
v4TvrdClWFpWPRwvCjskClX+ye4N95pIgGrvFwvcFG/yr5L6hz7l5qW+mfPCumcFYmCkLYDzJj60
Z0bEalnrU4pYfBvVumSADfjWo8raLE5JjwCx0YHV7bZtyuaYhW17NYVzeBVZ6b09vS9znL0Z1gzb
gnyddDYfybR+977nkY7f0oN+2/a2/ghqYlP0oDpm9KCbOi6Xq54myH7VfPvgLp1/FVeZReBxrwfQ
Lbd+BFxrjGciA2x9O9YZQWbm7zYu15NjE0a6Mh1hAUI2Yt6Fj9W6MIsVTDBS15qvG7KKd0AoAWB7
049cS7obu+y+x8jDAyXEU9qwwY/cLVVL5oGya67JZvOSZAVa525P2CuOBRzqAVZKIYNc1rPXEudB
cvujeoq50HK+bXJ/oK7FZpGB8+lkNiDrVrHFMdieR1m/7eVGo0Xho33LPAI+TBBqdBA4AXNdVNja
o6dsgP3UjoC2IjPeK7GWkvAsRnvLqh6JZjWWZ0MVXWvDeepn4iiUbkltlAjSc5o9EBKIp/KO08S3
HYrgk3rdlGKDToknypi5QiHmOnCMjsm1kuoqkZPaGDPEk5DTVwiE4IMTo7lWDC016aE7BBhUfvNc
T3O0w/qzWulULGvcItYR2OrlceZEcXT9l9548QFqHjGXDvoPp/YvRgR1tRopGPqUVTAKUm5ZgH/X
EQdvnHOHWa6P6mBmRdkMBy6YkvSZmPFDu531zPwv9s5ruXVlu6JfBBe6ERp4ZaZIipSo/IKStLeQ
c8bXe4CnfPe5x65y+d0vLCaRIgl0WGvOMZdw4gTcadiS5mD/7kZgT6PpHBwnEpT/ZtFL34J3fAx8
KHmCfC9evYXsEj/ZkxGxeaF6HM7YHAJZ41WRl+eo5L260hRcWBdf+t6682wQdmPvnThaaeGOOUNk
LlcBiFRavM4UnIkkLfqs2+a0MH0nwT6DhoDy0QwUnYca/9Ia6hJ1JiLG2AcnIeVeReox9qMfilrY
zrS7eMAdEGBFB4BHvFrRPccRQC6zJJTamWNg52ZXxU+wqIhlIkAVWrRTi3FTRc9JaPxuxyxjc4TJ
pvfJSJDeufWHbezGVHpqjwRbN1pKiosMj91mKJmiEdgR17elqGGQf6XDcNOg50KFGGhHggskWZKx
3BlR/4d82Woq05WqoRc2xtzAsxZm7xxj8H2rdlJfWexCZkmOKWGAtDT4+O70avXqLorXpRzic+km
1Ogg46+KGtINVN+CIu+Kd2ZxEwPia9p5DJtIYhpFvFXtdB0EPhgWr9Ga2ONiWRtYg0qjOMIzoLSp
ReJMh3SVSo0D1AlpFVPsFSZDuS37De0MGDhuebKplSY0FAedmm7vlsjKKaMbVfoBGdDaydQbF3pC
a7OZ7kVN09dwoBs22pVC/3VdevRfCvHW1ZR952Vs1n/q7K4XkcRvlE7hG1Rq+VgXfOyaSGowFCkF
Z5aDYeJf2QhEBtHjYCD9MLjWU6EtTY8ZD6nIMivSJ1v6J8WaGP1GcBrmH7oczfKoouVAKjLQX/mt
SmfaqOYlcxOytSFm0fp5scxarIPWNLeqSU69ohTi2qCxKDdjn3Yg/MMaZMoQEfs5ta8DIXf07E9J
xGyWabG3bHXE/8NrG4VqjyH/yXGSjbBHd1UwZjGrVeikrBWIYbQWxtBQzBfFphV4t8Eb7hLLfpSS
hkDYud5aJwx9EvbJphRX12D4krSo7tIatEgK2Tj20C9oGMhkJdY6XRPdg7M72pjgR62kENBD4yIu
jk5vszR9Wj2pa7j0cn9rbvPLkAGOmLxY+lqesDB+94NL0ALMG30sKhKDvs7yYEHhhAIWBm/Hsukq
1/1RpIZcCpjjCs0G5uGp5MvSGVQAH2rVh1WZP8N3RpdwkfjZSRt165j6wWsWfbNTDSjeNfEadX07
AabWbcmWDYdHiI9gcqlamdoGMEDxVJscIGq6lpbusF8ih4lUpUMbfuRtw5nW295yst8i0feUBwyY
1yMA9divVi2cwSKGe13k46brKQmYASgYXzcgHVBmmSnYVhpB+XgjGKVbRVCZzEZ+hQbUpLJHKxNM
+UuWUipHVB0vQgHYoK3yTTMMLJWpJmajeKITXlbjxvc454rWfPJCt9p5MwkjjwnBbU1MqVO2sklC
sFPX2QQRDnRJcIYvaO0XFrp+SMBEGobdUpSPisJIz6qnbox+Y2dQOeFcxybtobDYTRnR3Y7SHgH4
NdfAlK/56L5ncTFQdQvcbcOQXgf2PY6uHz9CIzH2vrHA8jdv0CJ6RhmzUcAKKvJRw9czVUolrD3q
MbhDFrvKIJlo+7anbuzi3lrbBmk2Wm5h0Rauv2BiixZJqH3VGJEtD1OkqIFYzKprNeDIcyoMV6rb
sv745mRfBZXOz5gNMwJTsrkOtKWSZyM9dIIzrYyekWdgLIYNDwibZkXtixeCyELcOc5+cjD5Zig9
CDymgAdAghSvY+xOwO+SDWsaUjeddZUAnteNoOZlThO7O76I+FoWxo+ssFPTMuHYAayg4Jt7gdvu
0zI5BU/43BgND7ZF1jNqX74Gl5fogqI8eVq/qLXkAy8ci5WweaWJYC1LQ54jioPQnTSCy/G6mRNA
PoPQjCRpzuAFidjophRSaK42pBQiQVkUptQgSW+qKrCXjcrwXkGE18oyh37ufjceuORgKuyTH037
bj6hampEngbgxCVWoCzYDlgFpwjzRI13jo4Ng4s1ayvqgT3o2NbsgXS1dmwQ1JkH3tam51BkxFyr
D6qb3yVSz42JuXLo90q4+lOYK9pBeDCNeZHoG9/h2BziMdf3jDWraUj3tj47kJS/dn6prchSHBIZ
Fi4tmktGHTV2sKKBrp8TGX3SYSs3YQN2g+q9tTK16FrlsQ0kNH7sRg4xfaBhl3FK466EqZMUGb7L
jEAKu4ZGofK7NK2ijVMSL4JU/FEFhb6CoVJxdgUMqsrJN3hfQygEE32jO79SG4wmWGpH3Ac6y/Vy
SHesft/KBJpRIuEXlZ04hTQ4+yT7NL8jKzHuZQEatq1CeFq5ucdwtJx6Za+RJNiLIKvzNXB0e9GS
8M0Yo5alrojYHrpD49NdGBgztmIOcwqmdg174wvO7UFNtIIx91LtAafhweYRc+kw78w8cbYNVL+t
N69x/1yoWT1601f+474/N7VJNIg7ZwVimdUClyf6wuymfP2bHpYqQrmkhVOQETu7U5jZ8rubKPFv
z688Sf87TZ6L25/fnvO3q3+93Pzy+VxMsCWnh5iVlFCZzmISE108Hrxd3P72z83wJsr9835/e+l/
PP2v9xt7ELS+mBiqvQgA1L/0mjf1ZG9FqNtuby3sQOzSieg2Ymuf9QnFtwLqCF+v+aYoNu5agqiw
xTn5LmN1vS4i+xtx+67rXsMSfWxqkB0xBjmhFnh7SlA/0AI/goRhOlDq6MgWmL2cqFjNSla3B4L0
365mZVrflQ4bHLR2HzfJ5U31e7uIbj6j29W/BMC3q4F0S9o8869b6yq6Sy3qvVBr8lnOxJ1/e/z2
euqm27w9lMzvdrt2u7AlIsO/XumvO01iVdBZs3JmDv7zvD//1l+v9ef2//Sc/+k+U2ucvaq3N+mp
NStRe0qNQGJH4y9h6k35fNNA3x79o4b+c/N23+0Fbtf+PPkff/uPm7fnpS3hL5HBb1HNzZF/qMr/
iLL/JjW/3WkUFXuOP4/ns5A7vEnRb3febt+u2SW7n9bZ93ProGo5pOlXc9XLFZq/29XbQ7cLoB+U
yLT9nz//x1vcbho6wsqbtOr/VWj/qwpNmP+LCm34rP9dgXb7i/+CRxj/wWKPgB12M+R8GXPs+7/g
EejMDCmV7gh5Cw/7uwLNdG3TRa4BnevfFGjS+g/8hZbpmGxkiHPW/0/wCOpK/wjOFQJ5PeobJZG6
2QhV52ixv8Ej9EbTujJnWjWjqtvZdXctuxohss8yJ1cs5F2gOdIjScNnOnOnESStS5UJkefIU2SC
MNebchiDzsZy6L5Z6WdVIwzRdLUrcMEFevfkmkCxDDd4oLl5xYt9hNlGC3myll5HKmA2mc+xZufL
WJf1EWv7ZwYSVWPJUhInNYSwxQQLgVDciYgOSlugXWa1AlH+dcoIDjGD7IgKPEJvblH3rO9h+TvL
POvZ27gDUpESTmpLgEBWT9veiTf4BA+ybfyVP0006b/hqwM0iKVa9JWCLYEpWQm56vOQRZOAZ632
MELJNiQhbO3E07YV7UtK8XmCCMMHy7aaFj7VLrvJXpnUGkhDm0pScanoya3uj2AM0o3j1R+lIzZt
ZR7bG3hVBnsg1RS3jF51dwI3W6dGtotlesh7jX9AYsIvOl+eYJLrBxVRvZxvYeyVp9s1UdnGnvzr
k6NMcT+xX6YGGpLXQmAVn8KsjwBDaNxrho3yZxIr+jHaObNy/+KBQL7kpbbN8n46TkRUskilokcb
W7/4k4VqnuHvr5tt7pWX0VzEeuhuDDkGgMIwiKuOSm2uOpN+UheAnvBefS/TzkDf2CH6bBSU5njn
2wXsOu1cyPzaGV+pOyjEFKqBNJ3Y4KP8nDiFFEOwmXKfXpVQ3viVo1CL4PemkMCnuM5XhpUbrOMl
+5siU1QiOLyXjRY7x56l37EagYFSxj9Y3aCOsIEqhkuvWIVJF1yGSoX3YZ8QANMmDobPtl1Wuhy2
SZ9dXAIWTnYMu51A7GA7+mG9apXVXLPKMh/o4OOTDkxRPetazoX+4RuTd73dkJgvzD7vLsrCs9dH
9nOXOotbFgzL1+Rg6JTTwDhGb1MBZ5C9JQXR2ngb8np88ozmpcNa8hX1KYkCk2k+dICy7vIyGyCr
6j16Tb2lEEEMjOZrv0tb4wAeivuuFCbhw06+1jEL3bnQy5+kbZAoj5Xd1nuSnyp5hX4+/nLKdO/3
dBlAB1PmAcL+nvec4omLCoE2LiAN+zHA4/8hkPKzgcod5OIs55HfBZu6t92Fk3UTRm8A0SW/8wOk
3W4Zxo714Uz+vqA1+kXdfkkY9dkdmv65Vvm0C2aJpVMb9Vs85WtSUeSZglKLxJG4vEGziBhk0/cC
XRgONfDEtTPrlNLYwFFm+Tr7Oh51e7kVsCGWkakcnB7t+Kpq8TrGWn6pTapAQwXfxvEsgJp13f1K
PzVReI8xdjo0RuUhSTv3vh5QZfnCdrfJEDokRyGHo4pfPAU2eKqIt05qPAyUbDpyeKr6zu7ksyvN
E81c/zPVwnJR+eZ0yYU+noI4QCueotV0ONkObODU3eAAnUwSd7jmWj9cMyl3rUWcXF9nCDPn+/uA
UMMmHMX69gzIbS68XGAjyDOWWGTHhxhfwYNlNv0pC8O7P3fxW8YYJ8JDaNt0NIaseNULAzmYk2tE
CnBzRKxI7XzOxE3pSvRd8kqS1tkDaPCAei5+Hknis+P+w6Z8dMJYkj3VWXIfZrV/vt0a/N5foeEC
pcY5gbPReWIEYo2ajv6R2rf+igIMTI1lPY1D314qy32xEIWCx0hA3snkocHxkvU14iIbID5Os/Rk
VkNy0qjk5EbLxsmXdGcK+iEHTz6Z0uhZzztqkyvPuhamXS3GxCt/Uxlo6Vocu1LJla0VLq4NwrMz
Nihnfj/2gV0X0BjwMriS+YtvavVVy0R6aJkuV6kH71kBMNkVtnH2EVT+chxxdhJd+x4oWNn7RPnj
q2Zm1l3rzo76+eYq7wJzVbWl3Fe1CRVyri0GIn41SSFn+4SCjO2L8wb3DUw7h9cC6YCB+tjP3wg+
M1T1hnvJO2DnLtHwNT+dxvkkbXEu+rR7sTVSL/VQpPuq82C/uTX+El/zYHpaM7qcPr3XKLVyutK8
VGOdLTudU7jMHLrGbpqturbydrYZFC8KgtgyBV9zGMLs3ssLl3Q75HOBr/w7/uXoWVkJC/FkfJPe
nHFr+uE11fP2wenSRYge8lr2JmO1Zxfk1FJCk1FzjEunuxC6gELTidrXytIolOR4kAmCex7qql+a
Kqv3RRlCl6tKCs46n+j2KD0bFWusCNJp7/s6+eX0h6eLZbcPwp/IfLndN9+EIp2vC6LICaJpTs58
cbvWZ/w/fWcF62YA3zgoyWZ2vkamAhJe7D0rykAEZ/jMvkPG8KRXtb1yQmIyQykLSmEUYFM3LS+J
6Hcqrn8wkYqt27Vkj5iwhxG4Mw3ayV2YefQ10S3iMTERK7vOzkDuseTAB1Jevhu26Pdx6O+CRKf6
koegHiMm9h5ttqyUdyygIomsie4lxbrqkiJLedAYZRetD+tFs3+LiQWRyaSwTfVpBGVdl4dupgLZ
oX7tvTBaisgTu8nw6EU7lbvJ42JvGOW776ZbUrXkeujifmf11ReD8LQYS809+yOROVAiX0sVR6fO
HD5NMqvNFnkXobD0E2M6o8V4DTsY3rKD2YqHhbdFdkyYYHNnqG81Rk9TRATiSA9SC6jJVMODsAhA
qKvyB4PLsm0rfUWvv6GaJy6URemoy+6XMYz7hPDjBfLucNNoVrnITVxgOBJxWJkgxBDbQj63mEgT
uVH2UBJPX3jkfkarwi2+/TrG5udlLwBuJ4iJa9cyEOb76doN3RejlN8i1U6N0u813RuWrfnuFMG2
F85Dm2MujJL+t2oVdcsSJhL7/2e/rV9iZW1rjAnbsgWNXoy/46KmkpNoy7YZXi2v+IYR0y1dWIws
NZTRi5U+6quGZnYfBA/+lAO/3+i93q29zvvIiY9cZL/glnAwN+2SLFmgZa1HDboSJISQONVTCLXo
JS+70J8lsRHWZeuhoP9RJt8oAt8mE9Vd0m2zsSLGJEyPnkjuypk0OVniNW/0K7KPRzT3LiQMzif9
pyfXqR9fvNFYF5J9s28B+tTu/K45exM9P2BWHE2kKwA16y5D7SzRtWJuD7THztA+Z9CY7uv7mgpV
pNm7UeW7mJF44cjhCTESYletIF0AB/UCJA0AlWlJji/87uQR2dWTDKd0hZBn9nKWK85+ZMoOVQqi
VjaO5JSson0prXphgPFHNsOZbdioSwgLMstn0lpJImeuJ4u0KM/l3KWrgvrI+okkD7bnSAoXgxgo
1vcu6sy+XuHQww0nYVl7JUJoda5dWFqVgQsw8w6y5Nq87A5h369T/w2ibXafuN27SssDsWjfWaMX
21obn3TOx1VT9RFfo7FL5XTsi5JaY8mJ6OpiyUZsFlqNF0K2df79OFs2Dsmz8I3JLWqvY5weUh3a
fObo1XI00Ph7ldhwqOMxc8jmnHz9Rc+Ne8qV1NRcI1yXVvQ+lQbOM/LRm9rxly5oocmVFNbq7qVO
jXfscch3hPWOpvneaOkUjQ4go5HAO5NzxNDK764Iqde26CbtZ5W6H8oRX5HzixngQvecf7Ugg4MG
JhazHycdv2j4HGUDplnP0or8zfYS11bPPGmvQo2sOcN5GYX5uyOHZAzLo1lglkLGm+bp0cyCvVXz
k5Mk8R1Y4QO5PKiOrOJTgIkiQm9k+kL4rTMXdWHxAQYO8n7pbB1r2OVBcGLB/EaXdK4ow/Gz753C
fUiAdBMDM2cIDe+6A58d3IYJdZClEfLzKviFj5xGBQcgzGu0hHm96dqoWlA3PlexDYcJ/YwF2oYq
m0pWuVNfvAwNXF9lHCQTLm2DRl2v9RdNRJeoMD8sPbz4zL+2RhJWPkxUo+sWoKa5KzuDfFeCL9HZ
R1V66Tqv2NJ8RKYAC7dK07NvtwxZASVtIpi0NvCJgA+oT32YMUoyzDe/W6cn8QLDaY3EFx5oEHne
kkUD6QqTHe+MPjzXiSS7TnQXhyROSK4Abdt9rim8PZ0olwkUuWwIT23ZgbNuhNjaob8SZqnvxhKm
tJZ/oiFs9yZNBzBxmnXPfp8yYVGx3sglqyX2x8LhO3AJZT2ZESg6tw4uqvKof1c/8ViDquoIpDGS
jQel8tt/jK5Oa1xtNwuf4tx49TymduT22krz+rvOqtMNq6x6b7kcUpnboveX2dksG1gNJimKpBIj
iB3hQ5OpV63IZwho+fYnGpb6o5Y8hVhiFtIqzFVigE1sO6L0SvKJRkYTvxvGVemGd+YYECtqO96y
7CJrqw1I3VtE/kETUqJ2srOKRzTTLgp2XNGHmF/toPFJ6WzuR6Pz14WenDWtl6vScs5979SoK9KN
HblA98yKxiNkO9pHLQgtbfiwK9Xu2SfuLdDCZEs56Q6+/HsY5fKuStnFZ7X+SzQVCrhEo7/gQpYr
SCRnQTxuyDst32qAKU0FsYmN/5WW8Wwjsz+lYfRLP2fs+8CmaiKXNqdd47BvtvnxF6WBKjIP1UMw
enTNMmdZVs4jLBY2E5Xxokub6bJK4MbCCvIb50wy6sPoMcBjlz7Vrdats8hzKK4SzKuvKMg3iEVM
NujFqD3XUAK0zg1XlRu+WQkYzcrqT32m/0A6TJjKwmxXxKm/FqXJxtp3N3WLWqOyoV5gUpiZGf+6
fbvTcO3XWE5qfbu/T8FN2PX43593ezjSwzt2Y+X29qcV4Vt5SDHiHy95e1D3WBGag368veTtrr7E
AVFClpwoNC89w88OkFcwECHpX4L2rw1r31f5fTRSSMr630HKYrYZ9bdBMrbsa434Oak1+7xuzmZT
QeWVyMUbpEyt/WZhb4qL6beKxt+lgUWkRUhfk5xr9P3vKYb8lOfBE5PYIQ2WpdsMCLRmEAE5T6TV
yt8jWaCI6VZVIU75GCKi/DVNtLoSMpgABYljWZAiEaKRoEWrLxUhMsvaKQQjJ3I9WLHNXTci1btd
mxIStrq+VEvZqnbX9jo4Jh68XQRNk26m3nouY4hjHcBMtGT2HenFu643UUUVCuk7ep5BNi5RR6Sl
6iaER3pV1O4lhFGo7DCtbrcL9vh3RUssSPKQW0JH+4bwjp5Pv/CoJo1gte9iOyEq0WJ1Nsn0NTGn
YDOp2V+Jp4feQfQxORicO8OXB70zcG3NF/Jf12zqfyylfE7igaA9p8NZRtNjkcnomsx5drVxrynr
l7SpwenXRvovSe8f6jhdkdp7wlfxjYDkWaFSIzbJksN9aq/6OD3CA1hLDYmxQBMWTSdD9PnCNuXR
18q1SftOtvoqzLstSRzsZ1YJ4aQexwablBmSSkIfjaTZMkSucIxT7eEm3x7h+Nlq3bjaRyl8ZgaV
gU90fxWjsw9rdA0sESyyZRaVhysxeWiFdVDZrKx6gIqNRocwShLiIAXBAACxigiH2h9LfMTkSPXK
NvgQk34ySlpZ9eR3M2qUakrVUGzQL07mlqvgMYultzPa/t7Fc7rQTBZSyWaqzQMZuDbBz7FWHDF7
bdMBRVRbCuZ9eZZedI7nHLAhau1FRe5Qx4aaHm3Mx1QcwVmZPOUthcs8ubPYRTnJ0zjSskY0+Cq0
bgvdnf0F0At5NlVFEF/SfHkO/acq8qwV4J6LjPaG3uAPMYqfuCDQFDG2Mzr1QTYtYcNUBBzgad3g
5vcFA/9iYNWCRnQvs2FcJEVX7MmCWQ9OgVq3PZap95wXtr6Cr4HySeFkL86jmTnbynwfPe+qJWCt
mZru8ujSWihVm7pQy8AKLNaNAhVps00zXIiYWDZ9nr56rbMehIECPgyosAbhU2Fu21TNkip2ASw4
OPRJJCqq68Ryf+G4jVxWNhqA2hyfEYozjnQVTo3yPaDs4ExkSTvVIq3qbzNXdw3+GJRA0XeUpw4+
Slas8divZH8y4+Rj8Nrqzqg5ODO/Ijaq2JE8HZCHjpE594Jf42i096HJ6hGowRAzjSWO+xrFqAe8
tn2KSDZSdgsRJetp14bLqEl+93b9Kkzk5PH03aASRiIV0/KVipHB6/HkXBNZSRhkLbKegQwvXYPq
g4vODIAujq0EgWwd9JAUjvAxVfoZufEia8aHzi+0vWjeTLPeac1rq0JsPcW6b8u9npiPUUZgha7E
fY+yYwmkdbYEWD+VZpCd4a3B1J7zclywQj8lkCIXkzEa1FAITeh+lxOQ9OhiiPIV7USBaAUovp7Z
GBxtRjTLahCbBEe38/z3tsi/hR3vjVo7DmZ79vwXQBUPRscqxCGpqXC8B4EIf+WzFAGSeC1r/dW0
ogNJr1dfgixOMJsl8WFCaVhXCqNGtTeb/DMuR5J1QogTuYEmvYnb98B0EQBO5pcX2bD4CWdZplb+
FATxNZ2Kn4CBQk7lT4EgCPXIQzJnQCpxHGrAJXn2NYXDl8egIET647ji1LRAHpX6GKPioyXLh3Fq
VZsZpOOc2n8n8nSD9nqp4gllDDFa75U5RDt3mp5qR1zRL5ueCQ1Xe8Yv95A4zkdB5uGynv3BPS5p
/sHp5Aywp8fnNm2cjT/S656XqmTY/zRagxccIYLhGRAOw8/WF2fTpWGI2nkhxmyTT2oDawuZ2OSf
mPo2VNseEiQ1mvUtmcIKLIIcwe+GuG9Zvdljdp9PPZmK/gMK70fbZFE2USmGzeRY5cru4wu+lZ6P
op0HMlFrCwGja55CgcMyNNS1jOxoWY17C4Y/FV+H6rR473X3MQCc4TuhXCvWhvocBteXmBZVwscl
P5hvm6T3pRxZQSdr22fBM+XDw/wVt2nx5CYu4lBGhNgONrIJvjX2ZTO3mWUOHyGgi01oOxyYFelL
GKoi91kO4tTb3MiI5K4mIDo2EbF7K0kvTvjd1dZ4MsMAM4qlvSVh8m4QGcDWCiT2FL9UPgau/rnP
csGfhefbidQkHPrFD4uP5zTEL+oPWDYbxDtwxUubFL5+dKm2a1IuFckw1M60xagPr7AC4KF5rNk1
UpaoSDFNxtNJCvZFkDxoj/FaHTHyHDHM6OUS/Uq1DVr9ywvArsXBJezFF5YbBnm3vPii4bxHTzbm
BWel5AusIirY83Ybtw+SRl8c7QJajIjde379PUa7cOkQFbrQBnzJvknZaAai+o61G5k7luDiwYxb
z1ZpfwwWaBslnr2AAkfX/7DGfWmTq4VPbBOO0I56IuA5tgAsGQSd0nZiXgkd+FEEcLKOHKG0EzvE
pu/H6m0diZiziYfx0S94/6Tt2g36LyZUKb/gkJbQ1+6i0fJOVts+9wko1Fov7ydkmrsGSwzeuINM
oAEkNhvtWYyQ4uKh5Mq6tKb4pDuLoBM03aYlCtwcJ4ekdZj5ERU68T6JT4Q4LyMtmEUaoyh15xGy
rN+xhXzaBvgspw/WdtqJo5OwDk0c0lk4VKrFkFsN42izGjzm1m7IqLtLE83dhNKmqZG/KKA4CGjs
Fh56hSiehgj2EwrckKsjzPNFg/aYsK2L0gIboWwzl15JM2wCB9WNEosoDJ6JfxgYsSryo9zXCViX
0TffbemY5CJOI+ecf1aJ+1BLqqSNcW3K4bUw3PvOp5eRlNobFVtLz8g5D/Jshy0Pvi853DJjQgvD
8SsMxl04kejHNu9nsieMTR17Vvp8y3GQYIUVE0HvRmjSLHfvhV+U7RWnEEgdk4hzQ77XczWFaePX
4OhrM1X8cEEcr6di2flCPS7sGnUhjruXwGzXecM/0AU68SYVVWWMbWuR5v5Rw1WKtL1biHzubnak
8JSpsS3xl24a4X6zvHn2J3a59aSt/HbqWJOMP0PQfKeVuWlCxdrVDeXCE2jQPG+jZ4TI4dJ/ES77
p7Y+DynZLd6BoExsJHl/1vLAWLXdTAhoXYwt8bMi9XMRrFgstea9ssvh0OnEjyUYuI7IaNk+IE18
0QtJ1lHvu2s6bDjo609zsgm260hT97pTNpioIx3SeppgoLxWbxiex5VFGhddGzZYNbwMbXjS4wLs
BmOem7NBiwMs2W7xaUraSYG/b9KBIlb32yl0cgLZN4lILrBJPg99PG7CEp1wF0Qby4bvEOvTOhfj
/ZjXvzNsesCajY1JnV8UL6KhL22HimJeGH4Vh6FOIYd34Lhx+1vR2U5JQopH53dbO9T/6etlM+Bb
m0eA1KQF3a/519JNWqbVoutSsJ0ZmsfCx9YkXRjRfOOV331m7RgChVq7YnYfG62OWp6k1lo9sKF9
Crz+kxxktRgbZ20QWL9tdOO9StW49ZrWX3ZD9VEn1LdESOpmMCA+x2nG5CRIOQtXlqcXMAEZ+QyN
2CL4790QmBTVo3VMN2UtPaZ0luywBhXgO9gULEETZwcn+25srWGVdjNFwv7Vmzo7GAVrpDVIXNaF
vYoQ/K8QTP8qaZkt+yx6UqROLySVgGVFjOgCXXnFO0s6AivYKgS8aPWHRZIN3hkWxiTrrV3lhEtR
TS/4izzGHhiCvYNc0s6ccdXqw3eruMsiYslpgTw5A2bXPl1RGOPe4bGx2olIeGQGQX7o3Ho369EX
HiksSyEqKA2o6QupoWnNp0csJ95qFBOk+DJr1tKx01Uf6rOogMWk9eop48EcABh4IVVCR2DfUNl7
7gM5aF/aiPzBIHfHHc5dcTAqVImq3BBey9r2SRXohjsGmLt0gprWyE1IW5/QtIQzmc6TsYuUZi00
39TxmXQGTl4mmcKuRuYf8Ttk87cMBiZa19pUOQohoBp9muzjcTwGfd3v0mQi8MG0973LFBdl1Z61
9EPe0uyJ+uCkGXQbwmTYhzGELj3R934iUJ46LENs00TwOi0Ht/a2WhsjFzfCTVazRDCrYeNA4mSC
aZCw22zIp1p7yyuFOc+Loeas6jI/EBU+LHWfgopROWKNe1vedUmH+zqeGIty/C1jM34B8ZhOid7h
jM+RUqeP4HOmZUnij9fGA01aTgwIO3kexcfMC69e27PwAM5CeXYOULBwLcBjCIN4E9GdXDRV+8g+
dtPquouzmU5tl6nkrsvy7RTe1TK7WBmNhYJ99kJzkse+891XD9RjiFXL0n5RnVtPjb1NOvThI9OM
6dZnT4JbwQERbnm/T8yPjJoE5jaIx5cDwPCN0WVfBDav8jryAYsoxljNaNYjFRHTj+4tGBNMoY+F
svcdIMCV1bQwUkwCLyOb9aYHMGDJX1FsU9/ofzIsYGnMqA4AQDBH2TmswVx6NB2o+PT0I30lvjLN
rw9toZ1LsuPRCT47I9Qyz0visxYtrSrZFHyknZ/7Ae4edSCahZgin3II0og98SNLJEcTQIX0MrbT
0VBhsqK5s9Cb+pJWMa0OsiAEviBmB7IgVNf4NJfYMVVqWk9xcDWczFiWPilLhKAQ4On5tBI147l0
88cuaLDlwClgFDOeQ6/cTOYMs6PpuCc1A3u7iy+Amv9Gr1MIJtl0SbR71H2QEiUFg1i7R1SA8mOG
3E8ddQn2cIh3QtCTk/ZZBtGz80ZB/5BoL7057g3w56vet/6TsPPabRzYouwXEWAOr5KoYAXn+EI4
tJnJIlkshq+fRTdwfadxB/Ni2LJEJYZT5+y9trs2Ay49+h9rIJJLdgXBG9CW6QUxceixZ0AYECiE
kDfcKgUqIMj5JmdrpHL1Sze0XULImUY/K9Nn/FZZW1xvDeKWeU/6+K2aANolcUCsaAnJxapdnz6S
f1lc69tOp9ozq+RctoV30XLvGGcOIigLjFHUv6aoh3YTiW3s5hGNijNo6le6g6xEJEHlrrnOzd5f
saIgMKpNQiYf9qVQuI5J7oHOvPfKEos/w2UNG4siGdOkk83l9oiQ1ViLTn24ta2tHLvBFaleOLcL
5pP4qzq/WWdeRvKHpfthGfTncudHajO0CXR0QD9jTv2b92oXFATCNZSxfcqSiqZ8Y8FlYWaJ6c9k
NrpwLkMj54ztQLlpFY1vx0Vf30TRdLEq1NkZhItRwJ/KeyShSE32ttd9x0ZGmyv/RgjvbxYpta9c
K3Sb9Aq9N7oI+IiJ/TGlw3XgaFemkYXRhC/aT9WjrLP7jFQhvrIM5+/wOPFuTCXfpvRdOhJsOjqU
EJn+JnE9NLdVVYT1pLOrK2gseZndSat0dyX6H3BRWDyDTcW3xnK/vM/tUQI+xM2uag94ap1/mQlT
Ht2tHyLShZBNvPaM30lL4UQUNGSFZcmeSlr3Zg/1NuRPUmu/GVQ9oRLmVM7z07XFg94/ecZ47iY/
2kYT7bpBIUevajgtafHuTrhPMtc8gjX9ityKipban/rWf1DuLgG6ua2zgciQ5hIEkqi7NCGRJ+7D
iCbueqjNbufn3VduDDmLTyrgQvea276xj3AOg7CU+bbxtAjznXkvSU1nqsKgUAc8mUTPDKbaLc0K
vhtJunFN3ljeYUYquXjadDTW6QgByfdkWC+XJT8ZOe+DlOE6jjg/24lSdaHGFdMZWU8KF+F6XXZ/
GMWR0W4hvIorhkj06aopKMDuWksaBHRyhl10NO21q9jh2DRnhqyzd+3R9Ro6HXZwryWFg/ii+0La
xSIKO8XKdCe5mywLm10H/c0xwTukFJuG8TTr2lcbj/ZVJ+pDqwf5nX8iqHBMqmMXY/qsM5d+Z3zv
Wn/cIutu6my+jckhWQMmiMZkvIzzikOEFVdHnqgFjwcj6wxdByPFXKpzLcFJ+RagvRRy9apxJWCM
rn6Gx6C/wHK4ay3no3byl7gkYt7OJn3LWU15dw4N1p1FugXJJzhrWPozDaukc3ZLTpC5TRg7auCN
7gH5iB0fq+tz3s0jrALwJ7rTfNR4Ka5KQQhd1N9IYUlODJSYdU/DR7QaibBSbOLY2SUSieTUiThs
GntVacUlgrh6MNQ0XRteBiUWSk+UtuQ6zfo1jQN62Nm8a0k0bTgZ60nfAPcFRpSmg76Y5LmoLxlN
8dBRYA/dqU6z6CspGbGNjcCiEew0NyqAxnRio5ta2DfjsKE5shud6ALynGuWxW7gq+wyTe69UUfW
nV3Uh2AgFHiMjfuUWdR+1AnymrBa1Y5rEF1LeAGD/SvDD8itMmHmjcajQYfQsdW8zSNdW1hAxpVp
+e8ZluA12cvFFsc6w0McG7WhWLVAxjPsXnK84yFB35UfAz19MuYuIRpWvnewXmFlFQBT8L5NLR2y
KJE73Gvd2ihsNGtwElYOkIQDOhCdU8kbSWNwAIdK2zJ7J/gpZQzEb4T3pvpN15TAZwCQzn3xrpzG
uCYtPRzKj0h38qciKm7TwvpwClKTRAmBqMB+0kZh3gTbPhnuCnYFFLWyJT99Wf1qJKK6mM7ls9b0
QZi61Tby4H0VtensGq7Lumi/YAdRmAbY5W0prgdpcqVUV0MtSIgGg8B5itVUlTwPmcbZ10LaVwbR
blxWnF+pL6uLnaavoua6XNKuhrwFXqDLr0p26r3l24CqNWYqDbX1UC8pyqFnUT5NpIRbLIYBWq1d
gWNTr5lipPIlMts0DHL52plttI5o4WH9kH+GVhQk9RKKFJARs4G0guWjokDuB7ypnrctNfbXeejJ
QUdIUugtL9asgnUMBY7XnzGG8I6Ck4235CerRn/Wqe43Hp57PSbHuFnaxHaN37avJRlAgcQ45070
nBwsAEk/4YjicVkeXU0OUY1ZR/6t6ZRrswZXJkxLrdtZq7Y68n4knUkTxtb03sryW+ajQCjl3dSQ
4XduMDvbQnB3hCtPeUoJOMzVUz/wudkWEZiFR2q63tDjNWcy0sTwoCsIDM2GPO2JTHkfGULn5GtG
VAf88yNv1E6OwZLNoC9g8J/f6Kcg1vz/32ayeocx/p87TssWfjcjKIXWLmDe6mhkVbP+uePPfUTz
n0QI+vg+ES3/ecYoF2jwfv5Op4R//Tzgv3793f7f/wC5wLl2+H++ir8v8u8zcr3r5vC/b4kBjG+8
BurR0W0t9o/lzfw8+98X8vNsJpaIcv/7xELLKSF+7trk7hLJsTzq78Z/fv3dys9vujcSDqHYSQ+B
eotd0r38sqsPEJLNg1xSH4wl9ernN0xsCwT9/7rNn5c4mt/7ZIis6Kr9554/v8XLmfr3tg7OIw4h
0s+W2/9u4ee/fx/8+1y/j/tnMw6wEFidsbE2XProYdobBnVDfP37QhpTYwLxs63/+rXu2FfJMOB5
fzYOaRq//+g85uVPQkgOScLvoZQtEQY/P7IFR5MsP/657ffPn98q6Z28vAq2/9z+8/if23428vvn
TBXK2gfs9M9/f//x+2S/t/3cpaCRRQd+eWn/bOvntn828/NnIBsIWJ2TrOmA7H639/ft/vz9s6mq
F9m8/mczf+/0vzb785h8Dq6Crhc7d4lw6yrKMsMmzu7nTy8CTussP/75Ux8lGLR//j3o4Ff9bRYs
HRcdWNrPg35//HObXisSkkfgdb/P8M/T/D72n6f6X/czgojX9Lst9IXNFSjTn5t/HmAL4hf+vrPf
DfzX//95kp8///23FpRiP2V9+D8/gt/N/r6O/7mZnzv+c5+f2xIUZOHgwS9IsSKj80VG+BOWUw2S
0QcW7lbexHJIt39PF4P1pDkwxoDDmOLx52xQL6Qzcvnqg23lHsyypftQYhXONVqKLNlcS1suYsAX
DONd4jrYMf1tjxMypKOz/Ea3rrVZYrsiJHfE2fGeL2ZO60z3ywc9avV9kGS7fFQPTZ/SctRoaXok
e6xG8s9RL8RbEanrzqjPpESgLOupmbtyupmE+gLyv8kT9ARWJll7MIelB0jieDFNAPwIfiAqItqV
hv4VFOODIYJ8mzSIIsqxRlzUOitwxGlollRJcX4u6yZZtXgccc+I5OSigjrHyxymtjqmIOWlNNAC
MMR2NgHAlqNOKcwUXeDDldGtaPrDqE8eENJZJ6mErOSZPDHLZbk6es+UJixtJNGaQ0ehY/q4p1OY
vC10V02VLPX5TDc1axVWete2CRWPmY8WRtj1KAeRguJ90Yf50bKLQyXEGZUuhueONMmB6LJ6AjDQ
qzR0uLZToZySmIkUVOF4w4q93nTVYUr6E10J1hgZbUBNB4AYZwb+fqYAkbTT7dDw2TnS2kd+kjwQ
uk4WgIn/PvK7jWBh3vnTda7G787jg/FV8MpMnfGoCkDP50S+FWxnYbgYAhojs7OTqfQE0VPGuqVN
nhv1nUUUkLpORTDOjr+L5pWnCbmXJuNvrfUBObt80jbtdNENdkht/EQtOW67Rq/Xhey+vPSmjBfT
KFrbFb2gKt9Z2jTdmUvIEFQGKvNiXntR/tapIAkZ35d74mtzhAgJeYyzMexsWWx9NBqhafPGY3SN
wAhvx8W5D/JDP40zms8YKwDRMnzRxCYmuJ+ZQWKmj32dsQHHkjRZ2Sfat4zKedOO52UPMjNXnotk
/sMImzK5YzzQ2G9S86JLbfafTWmOa5PDb40MUK3GCalcknhibeuZzXrKOzGmGDYt3hCiAMcNCM+t
Zefabs519M5yYihSMltE+fIcpTlifhI20awp1IMGL5jnclGSbSo5K0Jp1IT10UFHp23LuItuJwOg
ZON/EDZqQ4GO3yelbaUPX2owqMsM60w/ITkmFVauIPnC0AwvBORQaIzzS9BMePXtvaH98QJgb2Zq
pQfL0MsldPt2lhFu+KkAXqseJgPMAYTs3qf6rjU6r7mCkaPln3lj9Nu5oTCm8Si2mv8EOQ0wbkas
R1tUPUE9Fb0QrT7NHNLrQQ40xQ3jOiZKMiyZvvb6u9PYlD0YziGG33d584iYvlgHdCrdQLwaUl2Y
oZVr35Jb0lSfaj2CMt1ldMaJGKBJo1hvGCNRG3EdIZ9i3JF5yd6xNZ062QBlaT8BvmpsbGtFwRqp
Kxt9U2XkHvpGHOoAbg0LwWVRTM9wdd6juGmZGtdf2fwym1AMPdShepowuzcf/SZ5xAhfHatUAgY/
QgfXXRW8y7H3N7SroH8AY60pyN3I/K4K9NS6+5oNzgVd5jOQgBPUy3hdGrCTdfR3crazcKEwSNGd
yAolnriadnmSuKt0rpL99OGqnYqKh7zq34y+Yi4kpxs700hVxjPo0knEJMG522YQ1gA5MqqeBms7
bGL2CaJRetRx2TuR6+h/BEIYbBYHMWLBwqbVrCVrxESnZvfw+3RkbIhtWzrRLWoUGQ4RBJxlhOyO
pGxUPScCjY5DUbwMYAM3RlAsynjaEV1XPgviH9eOnDYFYM4N8Md547Y6DZmRiRgq+xAEw5Obmbdq
XJrTz8pl6tukOVZKBBGp+VVr+VeZmp9dg+2bhuu61wl66b0Sx0xPuVZGOSgIhDQ+vJ9VMsUvBiqF
sUTXOUz1vZ41l6YDYwIbS/Q0OjsaVubAC07MbdBhvdOl2Yaj5i6x3OKauRWxdq69sbyYdWs8HmrI
hHwjVe6KLXoR2qMS4H5mHMi8uvY6D/NQUV/KnMaW5R2axn3vUhHWo30DpK/c2HqxTwyvWcWRlJue
bOit6w9XINNWsbuADbjqhr2VoWsH5rdxNWY3iPsm9A3VuIks7dNvGPBFatxZqcVkYECj5EHWHdsH
0iABsZT2rrbNnTMP5zypHqtR39pGgRA9QR4yNcVrSohMrdUvgV6Tl7eOE3/liOYODfADnManacGy
2G33AJ7ksx7dZ7NGV0NrmNTJrRuPZ8CWXk7D1eiQshque64FMpq6Y5JaM5RxbZJfIxQqqbsbUkAY
KUq1V6b2b0FcPLiiP42us8r0AYFrse/s4jUf2Scy2W3NntrAUqdkRkQEjz3UW5paJE/fpMQGWC3H
Z46cttiz6kZ9WDDrSwcXiX09kfHsvE1yfIs7ZoJegSTUr2kTpEx8y/xz8NJHqxlfQQ3/yRjSqtgC
AZ4eert8YL7KRE6v7wSu0j7VmI7nBj+s5N6eEaTUc6pCYE49iIp5Zwfxe+d3h7jHlkN3k3D4EumH
9P50djdvJFdYoOtIGCqb8ZOO3EKzB8jpekXsOR4hWd3mMYwZA2FEiClqN4Joei27bGmQEV49MqbH
pBavtcmuV0nKtVkzj03Rs16OFiKXZ+4XHXUjomolPOKqnU+9xHikDy89L+qgi+dU5ICgpuIpIGuH
M9992kZEIvQeH318MQRlgmPuZDbsxzradnvI21uQew4nCaQSKZar1cCY8C2ZGAz2nrik/qJekF2o
d5O7GYNTXtf3RQ8QlqEQJhWO3sGP/hQFoOZ8gMA0ts+oQk5mIG96v1h7/XArZPzmEErFHII2VDYU
r14QoD/A7LnuZppalk1veGbfWNhXZO1QNrTGQEUzguzQTxySO7uf5gPMx6guL3gDUNtgBsIzw+HS
P7uSthwxxiNAmfq6yGiQ4PLh07TRc1ol3FG3+CMW40opiwHpdf+Y0ojftwlTFQQ9Hq4FPAbozqtY
HZFuJYB9ojdsMBtOuebWJX7K69TZaoOzrAVMqAgtfZHi+WK0bmnoCrBQlznqVD/2tJU1OzT5LT5k
j4/R83AQlKisNr3pkSCOh50+C5PV8h49tWCfQ8yEhnrldG16J1UoI1c+cIGjkrwNvvSx709gkNdQ
P5y9H8kHzZ5YzQX9G5rf1TRpKXbZ/q3tgm2sfKYa6cR/kcwVNGlapiJFXRPeoGscPBRhDZrAJmZ8
xqwPQWqZg+BQ/oEYz2cSlYi9Q5qjBDpwamMIXPg6IeZk6cnGj6Xi4XoMMnaXJr0zOP1sup5jLYpy
xoTNKU7rb69LaY8bjMtz6zHq/AuCkw9jRJUytx2lNyahiJAoxr3nPgbvSrEY02RTQXyhBFllrXM2
0/yJWvvJdy2xdiCJINMdP+lKMWzx1XjxAy417rQBtfkei5SruXurkVsLQLRBut1wdAwkPNC7dVTJ
tMktyJbzqcHcwt5mcfqttoEtj05tEOzkECRtjMOjUw+hYQIJn0qNa6vHOtjtb7ChMuzV8huL3jgz
1w9aYtWOMdt108xMMedEEc20skCHbgy/ekRB9MFKuVk7eYPs1WDi77HTaN9mZL6ndX6IXKaDaUJM
mH0phQ4rKkFMXJQUorMDwqrL/XWAKSebnXPbBw/ETf5htGMF9ikdoxDJO5kaCCyxGoVSxQsCz0ZE
0ryObXbVV/PdbNGcUeKtsTXUqgGiMfAtj8JGMjqK6NEnqGHV6DF1J6Z8tLIYwH20HDoIAcQpjFfm
PZkAxMw671lfJitFwpgdu+bWtqYHU8e8lHEEJnzCuZ3Gi+Tsj4OgZFMAlGGNmBCqmLrjG7w65j6P
hcdRWpZDE5YGn5M92Jd4LM+A5HHGub5JOdadu9x51mAMENLFD6VezO6oGVtXHxkDONq9XZNTYLMc
4yRVYwz08YFOT/7i3R0Ih8tzTmyadYQJ9aoS64Pg0mkbmeoePnU4SQMoVlyAbWypCJ2Avb/WpiCk
MIEbmOQUVBYXCyR9dW59W4wrVu7Y/2Go/XPeJDvBMdfkLd6mqOtXSeNt8oDZvUZy1cpzzHfH9/+k
zJewCtYHyxz2ajIDJg/GXeMESKeMAFEx/DE9J9KVB4RpCsIXAdZ+9HMG4+R1GYgiPUP51AGZWBsB
Eh7EHQDOmkMbyaOGQBHcDdCuQjxmRXVOdPdKtcCbaurnQQbM4A2zWbnFYvnLNqu6my+0Al6E/TUh
SRLlnIHSQkxmdf2tVw2vXjd8pqXczwy1XdN4Q98JQ9Aa8nUFfy4aW2x988BAgJ1H2Pcq9257hqGr
KSvPCseSxoxyVWfBa+agP0H/9BDJu97WGYSydIfXC5RYh97LUOlcOPbJNph85rEMXVLSNq3uXQtW
HQqwBJEw+k1gD4+m0h71oK+2cTLd4XBTG9AGtyWpPUplEYjL+cUP7sjaJTjdLD0oeIthQWYU2BSY
S5zeJjPrzTQ4V8jGVqrtd9JL0A/hei4eGxygBHdGe/bJdSsSKxwzAsqR23FX0GyhZrp0nq+INEPk
3uHziwk7DHq8p4QBDI3+ohXFFYRScxeN064eo22tCkwvjdcjqZKfSQPX07EO1Bd4wikwlqANqkpW
X8O1nh+opJ2DtihPVBqgkFEuT0MMRxGA+rWCl6qx0OD52dfkJS+JTEJ4p+R5qN5aZ4GJ6Gp6ru20
CCOTVBPTX1UKwluHq8XNGO3Z/UteMWGPmHZuooxvLXBbtDDBgNvRwMLp7blbtoiv3PxxHLl6OzWC
VgGQb61cuQ78ToD76ytEQsGVXX+JyItXeSIuMk62Vu6kmF7Ho8hNeK8RbN2sZ9GGHrmRn+kwPeao
2GCoBsGq4YgPAw2elhVwKA1Dd6mmbQBpeiIZBa2nhHeWx4xC6wjoVRTahRKAaV0GAxG9kDT9qqPi
pHtomliCOSzrHbGa026fjLUkb67zVm1tfg0Wpo7iEbB0tUP49uahZvFmwHNTQI6cJb5qZkBbry6+
yNh8p6Ietg3UwzlGqNrwY0mcWI36fN0mwd4DAtu/cSgSUVG9p2a0NR31DZLlEgX4vFLOUYbXhqXy
ngJjPE6thpKjYRVfE8ShWhtdGdM/j+lVHpg7bWmFJ2I6FY4uSSev+m2KgNFl2Eyg1PDEMYoaxBCI
XAbbDVvyYnjcCupgvIGCdiAd8xEPqrZJmf492SbakaGJbmXyFYzPjW89o5958MqeahPqioPOYt1F
UbpC1IEiCS2lx2qBgpdjE81u3eya1t1arzqpKI1hPY1lr/GBtnc1H96qGqxbrcinjbStFwX3w4gB
SZIeiESyCOITFoKHeHb3xqJ7s+OkoxQmRAXBiM8aFpMi/q7eKunD4XpU5k2QxLfiDyfeCNbm0Fgn
MlBvC5uVmtvCb88G8HG2/pKApl5NZn1xiuFhRKewJYzhJgOiSKyltvKZydqMYTcsAuEhU3hO1r3x
jpT63cO53OnsmLnz5CXuvenCuI3TcxLMu1xiQSEZpGs5WmKs0z58fEt/6aXzoXlIQnhfB0xVW9y4
NGMyrv+g5gkyMNWh6S954547TgCBTTBMK43XaFm8+lp8mlu0GuSH5qY707jrPkUzLlqBp6Jv0DIk
yLUGgDq67iAWidhbqGL6qiYVUsdN5TBBriP5UdnqViQ9UbmZw5qmvyfw/ojIolszpKCmQmrvM7Hk
hWlEipfZHwoAg6GMKVd2Vn8mZbLPnPyqxVus585X4rf0qdpWED9uxNsx3ZmTuORuPq7bpjgINeIn
0QFb1s57bnRXrckkNnCIacnx32bS+kii6rZNnZCXcOyTaw8aQjcPp0qDfpO7SDdS8BeDdRdJDXdG
9D1X2oO5eNZw7Dxo+ZtC4+DMJgEJuqDmMtF2lmJjSePT6+XBDNJ7iDjxoa7yLxktH3ZSvE2GegZs
zCnMwmnc1bzndLhM+XCus/QeC8U7JcS7vsicvZrEUjG99SIeVr7OhVwrgxyAIllUs+khb+5/OpXj
buSUubEmWrN6al6hWqebkLwRGJUuM9VTWcRHVNB3ELvtladrr3M8nPQmuEqC6mxyCgeKspN1jcRg
MFHVkAI7pC9p0drr78YRn45VfERCEMNh1rel1qyQsHFycXHHRJg/QI/N1RBG2F5dOnpFboijVZT3
iCFXlYeGpEL9Mg1YmBIjes4yVLFOD/kFJiHBe7bFmBoxvVbHO7epQEOv5TxmK89L8+0ce8eirt5d
u3lDOn6tysgPU/ZTjpBn3A5eqPWboKrPae/HO7PN1t5AJoanVWsrmy9aRNBgoeZd41ih00P64ZKn
hU6x9k2OLlSUau8oFOaLnnr0sdgtb0pYwd3o0bwB08SqnIqOvbg6W8UTBJlNUtQ3bSJfEoX2ddkF
56kxVxXl0TZ22VHo5V+w++3oiL9EnrzQub2OiFdmlUBQRNEYoZOJY2GX9zIxX8vRJVlFJpS1g9j5
JB0mNqRzVaX3qBe4Dus0ZWgeiz2rsXuwvy9CZp+sfh8GX8qDhx/EquYlKKB4ccSpFdEr5UF/SBJK
lIhG/Unz7bBFR7VGbE+ud2nuW82mrZeBvsvMJj6Vk3aqPaFdWGs+jyW93bn3tq1ICaVy3CVIDSEO
hho643aRE3h7rmqNAQEbgGGlfbLuXU29erDTyN+Ps3YRrMqJI8tpYvrxlUoHFo0ENVpTp61Fhuhe
QD2eutK40gq0zM0MbDzOPRZqfqLvysjYTVPQHBzNR44/Bf4aB1h5p00dmhrIHLufP//eFpX7jONy
iYjxCvIM20qYXKukwzK+rHdFQhRJNb74dnpm8NNvXQ9PVRNMh9orcxwH3ptLH9nAQL3yrF7b8362
s0Gh2hPM3Jbw6lnaPM1F2+0UFXo7cA1TLQ3IVN6TTv/eSxBQqcvVZyaSyzZUsPOib88jqWUqGA01
9I3nrlHIJVERdHhTtH6SWJgo7d3B+IMbmIOGCruMog8rs8HmuLTQoSrZARZ5wjx4Ty6nJR/s37CU
bImGaNPfe5H3mQQm5hew9hMn4aiPDtacnsDUg14NzOcgv/RIEfAIn5vl6dJlAmO55FwOydsQ+E++
DRHDr/YkSyJTn7LTrLt3pbgWGRgGlDX3VYzDHSPToRU2LU3vGg/jqvX8r3YEimzHkLyc4pbASFry
WknbcGyPNuBmXBAWR0RQTWGvy6teoXtsYuJ16wnJGkI3DmvrUCn7T0BE2FaHn4JOvMkTOqFu1K8M
T3TsWZa3MieMdyCkrttMvcBGphwaM2yNVvk9pHN3lrncxbS3dYeVshUHXGBhIQe4qsIg0V/SyTsH
8TcqqOyot4sXgQWnSP2K02N2Xw5PkYUtRfms0ZIYeWyN9XuUNSrhGmVGkLF29pDlwZDZZaluPOcB
Z+tcAqnLabFAg3J2BgEnS9Kyq+wLa+wHVy+fu9IvQg008EYZIChiDVaYb+7SRQqXocjkS4xZtOt7
m84hTSp0mrQ9Mf7OBbMSLM2CZJpZcy+jk+c7lEE8yjxazMK2uu++zxgSy4FWZaQYrqiYR3UL402O
rOE0C8JSVfjr3HWNMJrVg1HUFKpWg7MY0s/KomHliK88a27aoBr2xbS4iwo8I6Z9kKUkqDRmMNXN
NJ88L3/vafJxtak1zKZ0zIo6OcSZWgpo89Vx8b/SrYx33Lu90Us0S4OJvG0ZPUVvDR0WjEsatas8
YRzANIihMi6g6VGM3EZgXoDM0ezsdS3YqYsiT2styp74lMppqfkZe7hq8A99Q8cvnfuBeRk7TGDF
JGMm5NZQ3q3GNu9vm5IhUOd0fDVDTYRido4duAqgyE9jgRx5oK1JLUUQhcJCw2pqlzQ22AGyZ8+S
sTuOUk5inunhsUnPla1fB8K2drbeN1s1kVfSZBg08ipMTCIk55iLQxzb3XGg3577WBqyfHxyK3yg
unxkasb3X83A5ujIRinJXkVNW511a4nx1T22ltpWutWuh6ZKT9Jjftq0NO2FNWrHlr0YBhiwQInc
kwXESxAQo+os9WctneOsDk7OmbRIQXWTOrDHc5ZxCqunK7tbZkKtrq16o8S35eUtdW3hrBZwODmK
7BbaYJtH5o2l5EBjmeU6T2WBbcwzqmhNgEVlQolwBoFvlkO0E6T4udF1MfIU+cQhbBUtqbO2baGi
a074a5+ly2cbGdKFspejoeGw35TjU+vyjhuHpzRzDGZjDLG5YyTj+urZCRwDKXh58mlKHuP6VqeF
wh7FoJtvJUzyDsojSIQw4rkNMW2thlOosVRZHrOe0CUNYZ3Fam+zcF/pWqmFZm9XO4bFUJ6rbYAM
M0kUz9e8664t70pCCFU2PYNjOAnlKagJWY2eEmsFKWjY4AEIjOnMnbRvuyTky3HiD2ERWOj5pMsw
Q6VxGJhBC8CCtrkrvkxZ8BFN2Y1anLp+5D8VifL3+JRINyGZbyXRoG7Mptn31bGt2JOdCNcUBxJk
FnG2J+LN6rEitcHE2UlZ4bDP2cL4Il7vXTe/1Th/9VVzGxBV4DjNzdy5JJ2lGMu76B3tHo+2TRdD
90MEWWozCk6ZBRWPqw3qMjBjdvFPZYkKu0R7DVrbR6rQ6mvOd0gKbM0jFML/THKbmQ5jLzD5VDqs
c0hloWJlXbsza86V5TjlGy7bh8yKpisXK84qZeljVz3FbFyPW3Ied4VI76VW6NvWvzFtjcJQn57U
CKCq0+kKj+2jVExE3AHfXVx1YICISXXHYubVx+ekk6+w0bsOgLlKb3xW+yyCuSoqNT7bJsuBHr/a
Kgk0avZ9WzvJdQzSW6stxgbUKkOHnrdWr8Aj0HRH57zPFWkTX4NPQ19ktOBVrD1ImgIEvAWr2Kxc
mh/WI0kfdFsLWYZoQd41lu5t4k2Qw1L7UGbZLXHOCy0fuo03C2InA/rXhmLNBzWO5r+o/ujW8CGV
TsXiDnuDc88ur2pYn8UHjvKIx2Iu0XxWxqbX3vGOMvYqfEWtcIpdYoHxhD+ea9m+1GELtZF103RB
dlWjS15bDXwkvICTINMEJy+cfLw2iRyGi8CaZbcIWUbQWUn/Pk31NVfYjCqYsE9RpzBRK3QgYjtl
dUe2LusOLFjiRp/FV9ahBZFJdm/qQbROGlqvSe1A6GtonGCg668rd52W2ie99uFNi/dMX5Gxa/ZF
dYzZ5rH69Dz4oJ7N0qjtLs3izCGYct7FUO2u0+WHQ/et1ALY5ctf+FQ+lUPnYckl4FLgPwAuGPcl
AvFVjgSCBlG+9bUAsmCrpo1oOA9HwnjI+jRjP9CfO5EMG8M0vXVs7X0Xz5g9B89EXwCVaelp1105
hG3EQqYcZmqhVTvWzaEZuwfliXlnYkAKFTClMbdjZsdM52CBNDsOHlzEPhYl6eP9NZjEUcJxjnVR
2bPyyuvQarv+ooR/V1R8oNWMX1UY7UUGkoDAFCQlj0cAr0nGG82QXbfRRJOfNiOOwo+hN2CSeozl
s954stzGQ93xJpoq2iUjBusadFnrXZdMxIg7tZETo5yPhLZVjFiNQus2NdCyDNNW5Cqs4fVV3vYj
gPMGeFh0AUp2jl3WKizL0MEKeLEaUQC1gR46ECT9peMfTrnA2Dz/xrDa26bPacO4kDgm5p8216W4
kKwE8GZG6iaLcI2njqU2sioJYS3AvzWG/+05Cu+hfBolSjObJL21N6Gw7bDiW9b8ZY+E3lnQWbNv
z2UHncviswEfT/NTUvtpqP6rKSZ5XTy2OWIKyc5ldg9j3h2DFoUPPs0Qnfmjkf8f9s5suVF07dK3
8kcdNzuYh47efSBAsyzJs32isDNt5nnm6vsBV5eyvGvX7j7/MyMUSEIII/iA913rWXANiHz+obYl
PnlFAi1nyQohYAap4Pkipv/itp6+sZD8bPOwf5BGLHwe0SdanLEBDPUn3IBVQ94CTpEY8LoZOl0Y
30OIoG9q4ORHRo6cbji2Ct0DTb28+CcUKIwq9qUb3UauHaEtD4DH4hWyjM3QXo55RYPYoBYRScRf
UNMLGf6HpyTVPsqxP6jgDbhKJQ3F32FIThfsnQKCoGoZqfi0ounqjD7KUQ99LN1RhWGzVdaFVm8k
iElN0t8JwygdGrRAcq5xGgjWcCk0Lt6VDzlSwBnDihCyeqTOFXEyYLvJpGYXiJ5K09/V9NKoub3J
al3v0X8y2pvDUqhry6ngKFvqhMMPzjHx5bbHWJ8RLa5KG72NOZUDSHZjKSftOMBa12NXkoUPT2ve
IjV6ryEqs/fLq67gd1GDzsYHFS31sQJXSxEyDBNXEEI6aAp+PjkDCaLiYqPCQMdWYzO3aJYRPjHC
bsM6fOD3vzXeS/ySjke9gDItRf/KEvEdcluleR991d9WsvGRx/WTOVR3dCGgkIYCofJGTd8Zd1lx
4XZAlSb1Dn1UAc+1roI3En3LXJClWHDLT+oPsiNllxfSu3TpwCyl6MSmblZakyLBnRqwsDTftL2+
awnjIl/Y4AhKUe8lDNwXXXhWmuCzlHFiw7LuiehA1nbBPV9+pEb1REg01eg0OxYquXacORnTSbK1
1onaHnqAEnhnO5onbmMGSOpE0i89LlSL3IhdbbK5MPj8NOQPGpqm64/WoUeS5qSS+iNOvDNmYX8L
Q2jba+NsKD/kAMK4cE/2OqDAKCW6ux400UU2R7YqhZ8m1VdS13v7qs6LpVcVt/jAXFEj1yaP1G3J
TalXF0Q+N6AHEquoGeExkoUfPsQ1TAv1RkkF/m5wiqpOFYfLW27CdM8Vhg4LhG/tqGzYfZVO58GA
RHcjvffz8qSQSNMDdWA1AqfDR+uYVMvtkpqfDjB3UdAut4MBhp6hRPtQL84erNuF3Od0rHqaGD0R
NCinViQiASjJj/UoSlCb2yWuCfBqERdlebXOUlAfDTXhIIW8U/epa/rjIYBfbZM8k7piXm89M9wQ
RYzCHcWRBIDRhV/zFHCzGPf4XdqKS4DagwPHRT8AiJ8eDb0iBKxgeULgCIP8ptfFURXrdUJgsFtL
XO/GNe4QrqsFIjczWNvdqfaU91zdeQqjZh90Bu2wTwuNQ6ZqECtb68MY6jeKX2phPtJBWfWpR68k
2inclPoelxG9Jx+NsD8SWX0MOoK0G2mTe3GylCgP6Il+6mXMcJSnylVeiGS9KaDNSvmp6uHdFBRM
tQTMSt2GtpXqN+mo3F2U8FZlTFmaxOdF5biycpIuOZOrZmg3GQ0yclHcMKQaiQUuxCIhF73iIKPk
melxsZOji5lS5sU62QQZqOqWxMi65qqEYqOV9kgAhHiv9uXPS9j+jCp6FURRScVtXDQNB82AFSZ7
Rnf/M+i1j6bNXOLWHEWM85Uo9PTLiFaTCu7adf+dkiwNewxkFM+Eo5KNBPYZj6HRr0XybjFlFo5Q
y/uAgCnwsmh0Gk6IWoXXdv+JltotxJwTRlXaraUutYIzrNi9I1k/xdG7qkyAg2hDUfeMJUzm98ue
xovllKAPsDpJD1ZWokayXvwG1zmdzr0AJmGB0K5BONvvtcS8w2tFgTsxH8Sy3TeX7PjfqQdpHdTD
f0o9gC2pz5vqR/8/vY/Meavf/utj/uTNW/Lxz98e6jf/T6EHXx/4PfRAEq1/iJp4jT1Qr6EHkvoP
URdlbhRF8g1E1fgj9ECV/yFKsq6bOl0+yZJUkgoqbnD9f/6mGP8Q+aeImmRocDFl7bf//b++Vu2U
xYOXpdW35/9F5+qUBWld/fM3WTOV3/4r/5px8/Ofv7FqVOEUUUGVMyUe6Ap/7K+hBxlpxX42mMNB
l9DMxBFmdHrcZr79ZVI3Gu5/26Aptl+T32dQ4xWlPqNZdhUqczszxlPgTxpAK6tXJBvb3F9Yj21G
3azJVGTHRcBdq3DyDUjFZWPuy1LotsCHTFeQxs8+E4JTOoxTdvhAQGkfhcusFHRbgPPG6ckDhljK
uCAM7ybBULXFL/7iC+Mz4GcEoMQWr3MVtXHU9Ss5of6RcGXG5YRUreJCj5wEWu6iCjowLfNfAo+Q
c+I8KYB8H+/mSRU4Qbszx6xzuNOibinkXCbPbwVTJu3XpvhlMfNbv2ylea75RRFYUFCN0oo0hFZ0
jfGCG4deVfs8T2Ltj5eq6t9r0xvzS/ND5BEeTth6/pevqV2NQWeeMcZg9PukKrSQbeZPzm/NH78+
nV+7fk06f3B+/i+Tf//t1xWcp7wg1zZDUPabuivzrThbjaapdnqYX7u+UUXi769d5/O0nIF9nuf6
kevb80fmp/AefXpEMMv/amZJ0+mozu/8ssSvV+ePa1xwIm2Y1i+AxjAW/tfKflun6/fNy/r2VfNT
f9opgGVSpPnj78khioDQm56jhSalPueuIx+m++10fgwm/1GHuBf7zzSJhT7dIk7bxl6ZreaXvmak
AIpR6Y9ZvpYxz/010/T29ekvb0ezt4g2D/db8+Q817fFzU///dvzV/yyll598ahfBFR+0AEUi3By
LkXTys1zFp4AvMjqhNyh5wpPcH6eTXa7eaZ59vnpKPjhtrudX51fuC5p1GsWMj8n2CfdzlPXT6az
rev6GVOgGdckMnfLPifkqd5cE5WH+ec6CRaRiCmENdv5/T7FupprXLV3k+sMi7vitI2hOp0gtE6k
nhNN0zYzgvIywSjToNrTBhG4qCDJCtaanY8pJ2AzuCTbr0kkgUScszWpT0/5s1+T86t+bezUkNDt
+dn8MH9wnu/69JdFzi/Ob88zXj83v3aRpwSBMPWXhTeiziF4+r0dCijNl3I3NpnCSBFTENAMOilx
/WpOg/j8oFQ9gzoxKDzSmsm3EppFsDkluZJN3207K+i3qnHR1ym5vNRIb0a1uM+0mOpf+4f5Utf2
ZVING9jAyRYPEta1aer6ML8GUi93MrgVNEPZHmNJa48bPnAeQqk8qWFB3qkh6Wu/LJSV53f99uLx
ENPUWQajdB98JdN7FYny7YWbX+1MyZBr4ClAvA5KhciBInDmpwlhkOgnqcm1DQqxPiIOXO5qLsBM
iQCdNoQmF0yhszJGR6MsLEo8DQCnottIzSOlgjfFbKRlUiFiROLBBVpVRjbcAc4QonJZ9tJ4d6H6
i+xZXCMWJPdLBPSsCcbvU5VZqtSuG1uZxmgzAF2h6RWaPGpPHNAM3lSfUZLMk9cXg1Y8Kp0/kqfO
ETQ/+FNy2/XpPFUOKOiUZCpccSDNDxGii5WRShsAFQO9NV0Ut4J3LMRaWOmlnjtC3nEIDElFedKr
KluAL5OWzUm22u5rR1SmX+66+81T82tFXGIgblVQKIZIcTKLV6Biqu1MY9WAlvyOaJ2fz+98cVsH
qxzWphI7yDP6LaDX6RdWcgY8MKxuMD/30Xxu++LCr9LJLepqo1bd6jLFrFOVWoCfFuiAjWq//Zqs
izXEZHnjj+Py0pUqIYImqvscaTH3owvy4S0M/ZL59YCBS+0GTshNCNCsrBCBKaPq0CQr6UsrOIz6
EWgRAZkCvW8SFDiQe4psXNGspeEMp3O4w0GuAP29619JZCa9wSTDM7XHx3gtfHJr4SkwwmzUg+yK
0c+Am9kTyvjce6Y2mpP8DeW6eXZ/KOTMUrqt1jImDt9te9l2DcxdcuVqHgHGxpqbzmC88cSTNLiF
+rO5vLXJtOgQEAOqMuIWe6d+BM9dCq7ovyXKvgGAhXCt3zXmOvYI0XSgAurZMxyvZPxAJxHS38t9
eqtLzdvQOZ2oAVAgIrs1uR9VH/D/qBrhCrvWezI+9Cmw9wFWRtbQU1+X4SGDVg3+LN5TykLOmQw7
FeKQfwCekItrE0ErQIzWJh0R8N0IaSBXVhWbUxaQM6oLldWiNU0pxdoIaMZGW/jsQWQbQGK75rns
HYiHLPGSH9ElJykuI1to9oN5i8qua54S5MSNd8rrn9hgyq25MxBnw0RFlRvA4qNd6qTxxhc0xHVr
TM1wHr3o1sA2ptoX8cZrt7q5rhKbzr3y1nkj/biV2JBLsZGjfVJt2sLORDA1NlI+n+2rwBqiHb6A
/UMtAf2KRWlyUaMVs8Xn8tEUtj3t3M8QeR/Xa0fpkFSOEK8vmqsT9YTsi+yc0W4fw11vud3RCxzp
oT4EDmE9HrwKZIUKZeHNoG96ZZX7VOIXWvkBv2qM6RMdzMiWgjXKfX0k3vA9HLmOZJicaHN70Tpn
gpPpKxPg4rgtjVPU7EIicEaOC2XRU/YKo8/Me1Srg8d+tCMVhu3NTa3orUL+Nn0hfCLGNzSHMUxg
N+39be5RdnaBU6vtaiQP6hPWsor0CJlG7+DhN+ut9JmV5zTaoI9QkNMXNttJwIUJHYq9k45iYW5C
wQWZCv4U6B0Lq1+JqdKoDvbLLIVnZSOp0YgNDZGxuDANOiha5o6qhNQ74j6/1QQoFfCrtiM9Y9+p
NmhXL5Q0gdZlu3h0Ozjw9R7BCXYj0CrwGRbqfoyGhdu/9g9+SeNEstxYO9fypvPh+rV7ZDug1XEs
hqhukTHH6Es23bjTuWv/CF8pZOqAkKjPySLpYbddsjfoNt2jylOFF8QwgXEMnlGLKyO8vK2kcwVu
Jy+WQqru/uLhPj3lU7xFcEvCKjhtXFjiiSwIMSB02ccgvVQbOik2vqAOH4/nYMGgNF9GW6YlkAJQ
TCBlCfuwfK+TVeRR2ZfuG/NI27ukZWItQK7oP1G/WA8A2DRXuYHzAhF5EiVaJDFwBenmZKK+IE7R
DSzf2CqWUwGqtLNnXB6wHhoEwWQlFw5LqZCH4rGLHbb5DTszuoEbZYe1ap0h1ayXE1SoWcDegEdK
iKzdGzZrEqB8z9y2fuDGCflAvmueNeW5aNZU/Op1cyv/vChuVK5ZNZBeOUV1mE9lvmKdLrB4kr2s
LHT0Crb3kD9R+VUDADC7eCeC7AELI9/Rk60JyGQolrp92+11cem/N8HNaDn4XYS3mJ+rqMXFIKyq
4IayFpIygr6Dh/QpORRb/6jeC2493voBgG9KQK+KcvSRcWXNQkeERXR26LTFSokPUr8X1EN52XkF
bQ6inpaFSU11Bw8bJVpPz/wc0JhQ15gG8WwMmGJO1hMFMetH9ohGCzn3Gp3RHQELubrxzuMuUhcj
RcMnC4vUsMIE1EUuGm8qWZAhw2cRwM/oBrC6WmtdxZzrEODjBnCiSWG4oGjm73PhXiONZbxXR4pi
546b0urNEvc1kBFyQMKFovEjU6zFT7n0SOFAUprd3Tf+/TBuTZMyaW0H2AJiYipwVd954Wc3vLSg
87mfxIXwlFRkINcH2cPuBnaOJyJQNlukB2DeQu2Pga9f9nq/bhlZgm0Ofbx46/K9JEAzX7GFYM2V
5gK4QACFmdqhvyCLy8J0yrS0aH+CfQsXR/85UHcsPdpxQ+MrGL2QFy78e90uVt1tBkJRJiseyj9Q
VXI7VrGDupdme/0OFjJb+eWKeJZ7EcmQrW+RGy7CpYHIxvmhhXb+hCVCP0UumOSzgmJuGTrpbjjp
pau8XtY1cn9UMy57muHi1RR/0lENHz3o1LZ4Z9x0ocuaSzYHg/8ElvmCRhyjwYN6Mn/ma5pMh4/y
CcGsdhPiFPCg0di0IwX2WJ4IrmCD9LqtnN6+rBObbbrwbWnhL7XbH4uP3G1+AHR0Nr64kE/KTbqW
TwODAhcADzjDOGLSp/BJVBYICMon7Rb3A0X+RKWb7V7wy2HYcP34wKxdtqzajQ6nZ6VQsT5dDNQy
DzFNuHBFsVm74BImg3nh9bbvkJNiZA4sUyLkN8izkI364Jteq1V+DNye5Dhx5VW33C5NJfnR9srl
4AZb1WltzGkyJV3sFunNuFUMbEvOO6JuG4ybTJNoKT1tVDwHr2i3lT0xJGsD2v2N8EN8lABT4fR8
8zgMUHmctXVyFh+8bXTAJIqghjiHS3hDuzR7yFYha7UKzuYLLQ7ek/BOIVO1x3eDtXaRaGOl87MN
oCcPoiaXbUQRsG3piJ6RRtBCIThHexI5wigTcff0IN3L8Dnv5Efk5k66bE8awuNFe4p2uq3QD1os
G8Ke2Gi2tlf21U17KjeX1SvQunE/7osbZQkdzVsjVtvjID9weGPtizCV7Xsiee7rC+eMBbItwqTS
O+bIFpAQbsa9tvRf6o1Gevvb4Jrby/a1euv3yU3vEN9jrrj62MvbdI+3fVzSGbAjW3BjB7H3olmE
h4tNQd1BZniIl9YSttmp3uimnd9HN/m98Bzc9k7zFt6TeXBPJ+SzeOzcfKMtckjti/rFe0KMjFn9
Hm41Sm4tdHhM6kXpSEvOGk+MZOw6bGHcwzHuZwQkVOKnMbw7jbflnrCRfBPdCGvNMfbafe6gG7fT
lXVK7WBpvJCKLtSOf8BJML40tmxD2rYZoYCBIuZ+EZQ1YjBOLi9EoNsrb8VFySbesTs8hvf1vvuM
bsxVuy/eYq56qHw9i5/PyU1wO7iXT/8l/Qmthi3BGKPtYCAf8EFMSN+79K45pLK9bF7Fh+AMpwus
MrsVB1WwuBc/UjqWttjbw8OUiL64t96bVwDBqkuC4DlZm2/qQ/mCzQFOANcsb+VL+EO1uxvwkv1d
tIt28oNut6fiTE6qSyN3Ia7kA4/26Ah8wXuOL2CFAdxOQbIstL2x1m2w88/TTrcWnuhxMrw1VCvg
Kb3CTWgOKDR5sV8kZ2mdHjklbosP9tXsAcfDZtyFy+ph3HmMMfVTFrnZgbNT9DHv9/VTePSxWXN2
4Shy+l3C7xU6NdFIOrpim8SNHAkrcQHck36Q41I/8R4HU9A4urQzuUdh08CX5YTFZhIWCND79/E9
vBMudhjR1l2AE5TEhTqsNHrPKJkehHfxwLis29qy39BB5mg56Vtv3W96fpDhpv9ZvmDzIa5qyf6e
orG1lR8I+Qc7exSOJM8svXXGGSmU1kj3xMdOeUagt/E2waZ3ORe38CpdZSscFCSvgWvcJh9YFbXK
8a2fEcJTb5HInDL7U/QEZle3lv55uBVXxnHcN0Q3Hkr4WgDyIo4V8YUertuuL6eP4NyxqcFpg4BA
8MKl8jY8BufxqZ8HwHmUQF3CoALOrXrIPjw65mRVLLT3hg8i14YmzvjBafC9O+gMBI/1JnX6jcSt
2lt9LLbWe4JiDfHeLfpy842p8sV/1vZ0//tprce9F9rVbVujuaDNtWjvjCfxoTwiOSDENjlP1wev
0nvxyirSc8JNVXy0w3584oTYvo/8jIhI0mkwZmDjEoGcIIalwQWqgINzO7jvaLlQ4yz6W+UGye6C
bozt255bHhlLOU2+jsmhG1YY6o4MefGxO7Bdo7VoE/C6axB2HOWtzxHKJZAtvYobDLL63nLNDQe+
Cq3TxgbgpOue4UZfWUdxJd5k2Hod7d57KpekqVKvwg7Fweut330ndzU09ZzT+rO+bxcZJ7zwyHr3
hSsxSBJltuRu7AlRh/du/BxfanyiP6UX7Why7g6X1k36lO/0Tb3zK9u6lUN4NG4TupzS5BOXg9Rh
2Gkf+rXC8FxuOhug2066M1fFiitUlrw6mY52yzVF92FOfz0q6h0k2nXz0TJOrJM17ThbWofL8C44
R2dthxX5dlniTH+S2QWiRS848kPLkXnmmL08UlvkB1Q/FPrNgSs+Dm/DW34q76Pb5Kbep4yCAGSP
/r1xJx3L2B43ly3oyxvzLLowxl/eQ0e4BbPN4aysp/96D1ZzEZS2/ii/xSdBc8N80U3u9EXd2sIz
Vn8lWERcQtm4c59N/8CZRnysLnuzXnJdvNW35D+u4AvnG+4XzsQ13XCZyV4rP5CUgIADfVu36e+9
rbqxRvy3S9l0R+NDHCb6/TnSB35FUM/GfX0PmdPb6uxHJUdsdms9sRLvSFIXTRi2y2autgJ0X+iy
oXBvxP3RXHYTpkLkTPqZH75eIw5GMWWdWgH1J3NqKMxT0lSimqe+qlEmUI+sC8/chVCEUqdy8vww
V6KuT+cpb+jMhdzRppyrUPP6mGK8bXwrdzpDugMF0W98uq7FpSPHEWepBJV+g6cZm1uwq4TXlmKO
NJFC49Yt8Out0b3SYuaoRtcKkAv5mRFlaxJ8jzI1+VUZe9wATw/cupBIrG+8AtQX+h14X9MUajv8
tjCF5J4GQxVOVX1sV/QVyopgy3kyIg6Bs0DHcBlPJDSIG3JgUsE0HzyzRJ7qoWKFanebjcg8sbNw
wzuG9JMGBWmxSm0w0Kk4SNNLPbm1W9+XgM8O0TtaUaov8kTq4Yo67z0aVH0/XZQndh/FhyHXuQya
1pOqFh0BMRRpf0cBOYmXHGjkmN3IisKAWwhHarTrEkM8AyfrpHgK4p7sqW/JU2kiFMeaNWHbjKk9
Mk82vU5JI1BhNM4l3bnGO9d15yljbtZ1RbFLLl6yChXK3/PDMPXv5JJC+fW1XGgCPPSYF9KhpaQi
dVNokFZu2+lhfjo/iFiMiV/gDmyug84PuSAUMvxN6qL6BXNbg/xhrst+1WrlSVQvFwGPna8Dqs4J
ZBWnjKZ+qgwPf0xpjUftc3ptfvj2dJ5v/hj5QrRRgH+8SmZGobv6iMQKKYoJJMBgAIigxAki55la
ynZSLctbq7yJ65y/q6dIuR0ssdxin0MJn6Hvu2yw2YSO3IBYLVSq4vnUtekrOnvzVGSiHkn9yAnH
/oQcIUWLTgY71Eik3zuIEscGxMESxTdKdzkvtoDrc2qk+qMhm83m69n8hoVJwwk8ava/vDh/7uv5
PNn2SMYNXEcjNVdg15xWKCLXXkn9uEJ1SW9snp5fnh/weHFsTw/Xp9d3i+pCxbWNV/Ns19e/lqI0
ZTna17f0Lj2bjVFDRcFh1BLSi51C1A4BOjtC8FDLUWUg7aBXdTYvx+AM3hNUglqxU75ksVauMgv1
/R/vzVPfsYCICGH8zW/ND8WM9lOR5MMgb2UgGxwx84eoXtejfYUAYmbi5/3OKPx6Pn9g/ui80L9k
D37NOb9/Xej1M1+Lv3791+y95qWkJrZ33z4yf2FnlKjfS2ra18Vc5/u+Zr88n1fi+1ddnxca+j3Z
ggZ6BTJ+TX7/634hNF7meeeF/PJNX5Pzq19/oNVwn6lDSPqF6/hvt8n8x8CCYAecF/HLdr3+nd/+
mL9eg+tXjK9jrT7QpnuppqYGcNtkO05Az/nh22vfnv7VLPQAqGt9W4w0N62us89T13nmxWYzHPQ6
z/Xtv3rt+9fMi/i22K95DGW8rem3LZvp7zPnBqwXDtmqwEJRTydyKCg8TO9+e4p/g+Yi4/Pv75hz
F3We/Wtynj+j1iSbGty5v1jEPMf8cF3M17dc1+bffu7biv3bxczzXb9pXt71tX7qgv239uj/SXuk
ibL8d9qjx48ygZ/9J/nR12d+lx8Z0j+I/iXuUpn0RJamICTqPqr6n78JhvIPdGWGaOigG0QEEHxT
SssXjZGqIT/iZVPVDFGZJEb/V32EMMmQLcniHc2URA3N0je10d+pjyZp0S/SI5RPmmRZBitINLyq
imijfpUemSRJjEFG6pOnWz84+ywU7giRg0LSL5TFLxvmd+XTr0onZVrYL18Gt1FS+EtRWikWWifR
/POXXZq2kJXMu6yHUoq4FJ/k2i3sKqmYYo0J5hN/VpW4aahiicPBSs3nQug3cQLtKWiTV9xV2yyG
/1F2wP66unNIkfIcNUKIaKbBA97Z+xyTvK3ryi7Ai+bkctE5TQmsQgUI0/cGd45asM88c91VaJcF
TFmYdcrT3/+hBrKxf/lDNV00Rcw8EmCib1vVZ3iHDmFa68Gjol2j8VdCM3KagAhrQi8iCZCKBoQN
mNlnHCjrfLK9BSn+/wv2kyCvCXhN1r6YfCZqso/jtnPMCM6vXmpulMqJPejERspoCeSs6ggYxlTY
+FyEUOGN1Y1sKjQhET+Onkp0R62QPRQd4jDHo68QtoNOQZDFDHpQ+DhfXccjbDVKiCSKQPUQbTWG
PVlCDBIMizVVWe26xQPTGSIVsEiAMurVz0OBA8z3irVvSg8pUl289z4AQStchyA6F4jeND4SfErh
sE7z7gSXn3CuSokcmbif8aOIi1Mkep84sKkRRsFd3iB36PoWNXhlOoMavWTFBEYCF8jFcIiEDe7U
f/itpp3u+05pILuTEJ1oHKHfdkqxVHMlqUdrjSfWRGt6uQ+V6NWqKcSCfoNTB8q8TBsAJSq8AYjg
iyiD+wdna10J1G0vTb0CD7f2IsUk1c8X16WhuxfSzBw56LYg43VXK8znvoJbImMYWYjtwD1LSLtU
91bo2Sn+xzXusOEsPbUiwDYZuJIW0vHIA9wmXA36FJnZ74tWcMuus9xRtd5jn1a9UhbPZGHuCXMx
CfSkeGkGGPK0aJfI+UQLPyUZO57BbVE0tPtAAu6ppadLNQBA32Zttxlk3ZGl+Ca8CEfsC3vNsGMY
14pY0WBsc9gXMrfp5EB+qqlIcolpnUWpoxQzTDbiMDxa1uAYpAL2VfSJXHm6a7lNLPaY//A7/cXP
ZGL/kNBxqoYui38eOwgkaprB6Kx1wK0tzX66x6anDQQ00ziW74jgfP77L5T+6iA2TVHRVO7ZNHBi
f/5GjRA5nDp8o9LjBtD102gCtFCng0FPmyeM7TckVEF3MOHGDOzBcA5p+WUyPN8Ut3PgfVYSLj5v
3TYvf79uf7XPWqJhsreoDDEK541fR21Zgg+dCDHIFXlvVWgjDJ9V40yGI1MzNKTbtIdTSkD/31+r
ipKqIHqlfIFe9c9fS1tQNuNOMNdgDj97zbwXc8YDMws/q4KwWq+P4ESY93//pZI4LfbbEarJvGzo
02nqX85RoSfJVseBuxYRttmBd0StBKy/o+STi61t5BLd9BZQnQopzbiP4KAsih6NS2aIn5JkkYQx
4rvktMRhlxz0MNsVIYPMRYxgxrCYWLJWgwWqJw0H6gQiCNo8RqNKUMJJ5eIblmLwlJbCOVX1LcUU
xl/Di51Iz6ijRMBpeqoaRF0tw7yr2TdPuoJg1dDxDURxsrF0TgCeskvFjMCIV2/gdtxIPTr5PqG8
SDcXRQYxWzfLHzXMmjwi1aIhi+ZCviGp2CRcFcZr3dHv0lizLkKcEXEpy7AYUYQ11c++0XYS2jQn
DKib5Qm8v4hKFeQtnRuHYRp44n7cqx4nA1EFIDzws2H2EHTTo+Woa7YSD/dKmz000jQvp9aFBRnY
qDnnFEIrLprAuiconhWz2LhaoTzrNAeiYjo7DAbc4YLUH9nCWO5H65LaD5YLkYwpDxMytuD/sEfI
k/j6z7uEKeIlZUeUDVO3LG06dn+83Qaph8Ja+h8X+RI3/lj2a8+SyUVVlmHaHrkAHlfCBfd2a51B
Hw+AQvKDogAXRAh4GLtRoBXrbYZetZzWjVv0HKARSpxE4loyKZTFCUSmBIAKKagtHnB4NA21aEFs
IL3J0kMTIuqSkwhP+LJhQHfqJiRjTW0tbO20N8lQDQyYgANmd8gUtMnMznOSmN56ZmhYG+i3KlSe
I1Kxln4yfNapvjXkQHRUzXrPxE1JPIeVTXSfVsKGX9UrOVLLA9ben7gegctdhnv4cyDgTI1YMgyv
sJ7y8U4RfThJ6a1ZUM7T+xK8V0bOVC7Jz1YTd0tZNZawIxFm415wa7i2GmVJ8kO4xPKkZFOPEnZ6
CeNXCmfJb4UnHY5kX/oD+gLlASfYy4WEaGBY2lM5UN5M4uAuRBmKzpQ4qAut+ItBYiaVfL0SbooR
nndygVxQG2e+t7IvhrX2mhI0gDksCr+7U8J8jVPXNcUkoBHXHUpg7o7JFjJiNhW9hS7G5Fu0t2mh
fSJWx14FJSXNS8gOOUZV3WC9ySI/+1xYIwmvKUdF0jKygL/Fo8xn/YFgBHzAAK0ctpWDZxFYh6Cx
9aAAuADDNgJu0ByZUt8n7Ml81sYn+8almbkYaRiF9RBPV6fSUpUI4sPCghgBGIjpF9vG00GrV1M+
4YhMLQpLpwiVbNMbls/ewC6B7pFiNACHZRcqXAIqQMejiBK3F8mYuTW0XdPJWUERYcZ+7Zpqjm5B
Sp7xZy3CvvAfIQTchRrKyBDkgO7LdhGRMkdM6BpF/TouFHCp+bIzCONR2RkG+LeigSojpPnDbrcu
RAxBFzOj7zhYZ8vTqVcK7R0mL1oZUvmQcLgSSayc/c4QNm0V7SRC9uBwbfWIxXAq0VfoTR61QrvR
SQRzK8kXGIaUVSpydin6glFQ9uSV6MNI0wi+zBCNRP0ulNoKlpOoLDJoe70MTGu0YnxVPcqspJFW
BjjutRpxLvUjetqgzvolvQBCfEBFpbTOuoGM7HY0jmSt7EZfOQ5t41LufEsIAeailSZ9RBKMIk8q
Qpp30qV9aeX01hP5/ZNSFHda2W8rQ9zILVeoGlcrmZYny7QR7pQLIzOsoaOleuka0qYdh8E5NFOO
J7O7rQDG2U2DFUMVZKBVcOx0iaMaBuJ6iAJsuoseozhygz5K0OMgYBO68BCFIUN0siqK7KVUkGNU
AcpoHS4OMd/wsPpYebPq7cVvfmKK7TZlx3Fs9dWqIr4oLoq71NQ252Vn+Qf0ndh+hfRAAN1SD5H7
Gf5jlLQfhQGjpRUva0a2mwo9ol681EVzb1XyK2a9qBi3xSAHi8DKiMscDAxKZRrao9E9xZrmNPWF
i+56BVbzZuwp7o0p+a0hmCDQOxkKxuShjFskPrH1Fpl07CCU3MW4hBcJJUkdyNZEk2qXMUN9KhAt
X5fx6AytL7tehDw96qUVavwIWDfixDjet+nlHjuW3fWUe9sKRFIuxy+4H/nd1cdcRBCWlAEyANKJ
weJ0T5bM2UQIxeicC1ZKR3cSwkh0mj1dWGbcHYB2Wwt9DQV2sC/cN0JAGWjFyDTFYpW0Qpb5YHYI
ciylvS1QDIQT6C/PZPQXav0Agv0sEGAUKTUCF1J16CvQEDBNF6orBLjReDC4v9mMaaIu8j5gjByr
HPYmbFacZBuz9mNXsggeIHnh7RLcl5VV293AoOkr59QDVUJUGnKsVd2j1pR8NAcFI2lY0qua0tSC
/FKvc1I53TqiDNsWmaMZKkKURqGfZ6Ic7rqH3AIhV8kNXeuxoQWwIb2P0y36rKDnt4qs4V0IXjnK
K/f/MHaey3Eb7ba+IuwNNHLVqfODkyM5DBKtPyiKlpBz7L768wDyZ1ry3vYpu6CJnBnE7vdd61lB
MiZr2/c/9a1/mwAq34V++tJWzc6aDDY/3Zy7m97k4cFpUcDVsbsxI1muo6omVorsZT3Xz7rHzI9x
JBb9Hk+nMl8r3/rNs+4EHBUGeFw34wGtoVMcKzN8Nwnly8L33DLp2NdwaRhNvXRVHqNmq+DF2eNR
BO1nXfPfgzzeOxUEKhlon4jQGVGel2vm+kO9Kad03+vWKySk55zTC3Iw7x47XwEYLNv7g79OR6aR
KU0u3/2eJLR6bK/hiw7l59E3NeDFxmYsomtpRq9B+ArdJiuwiOqpBdfD9HdGNaEYiMR+ee8IOREX
aL9tSWWXEzwT02doMBq2XEX2CoIAvvRw/Bw5I4Q3zSNHLoFr3rioa5tevWh9Bi17iPaFn2XriecL
nXNul363Bwd8XZbSQJPG51JB0ax1eyNqC2mc1R4V5zhqETq8e887TY1PYjgfprySQy3MPkUVBOK6
IpasDl8iwXTNTIiMHn/rtBKbqvsqQsN+1Zob+KBH+ATNBkMzTW9NzSJPTvFFk+e/paW2I5JjPcok
QU3pTRvsPDTMfeNblNB26eVb0TkP46gRhEQV4aBV02vnhucuCogoheZbaBEyL+1FSsMij4MI0bEC
8MeAB+Eoam4uA9kas8ZDWgFNLw7W3MjSmLm21jZwbNrhWtT+aFsxC2zIykRjZJU5PAA8BAxXFcJc
lN/e3FLrlUZdBxMv3EAwXR8NvuXWxyKc2395gnRN74fxbnIDdRygtJE37u2Wlps5txydmvF3R09v
8SCQVIIRIY+xumaKXKO5e+h1wt31QJhqG3UVnaXQyxEBZN01MmhNpXXxqfFycmZnm0McCK4cI2SJ
yI3QCCTokE1xqWz9Qtb0uhgFSrdOXBIBhCnNX9jFuexaqUmLCJ1mj9LUsZFp1Rp+F110J4UQvG4h
AgJy+9Y38cOochOxRfHNNrKLG92qmLmHkuED0Y8XhkkTvNHoYSzbl6JNn+o0PuV9+a0Zp1MswMZ7
4s3rnS8WAkWmnwNSmj4vv4ksfBBoPQ0xzhZAwjcS2KyMMi5D73Bd71+mHoZ305+Geh6mIANOdMWl
j2IY0EQ4aciZNJlyMu34FBWTc1f5+RfmffJo670k/xW86UBLAky0gXDTtjlcRWEdBihsxwrb8lJb
nyvojgC1bPflp8UBAmYZNxQbOm3tE1EzqCFiwhDnkMrjsijGjNyQOL0y7ia3UmOXVT2nsWy0dxRp
yBDSU59Ypbxx7uqmfE7SDsAIY5Vl6y63ln0lVraxjmXAONsM+2gX/OmTWW55Vo9UsHaALM+C9MZ/
dgSxoHauvooyNyBeRYe40X8LE6o/41B8CrxgV8wFDR3hd4IhhgnTnlxB3IyFfRZd+OJj+N9Jx59B
kfY+nri6FcDr7sB3Hz1JfSfsRiauQwdw28djPEcFY5bu4H0wWbeIWNTIS9nYAhaGHA9LDbNLZr45
4p2wBQxUIsOpYnuLSP2VWRvDI13T4QBfnABYGU+YnDc3o8P0JGD1NF3yfbAoyM1c6WlIMGo3/IAO
u4BdTSSeKBzsFkPMo8v0snGDuT0raSQ739P5sj6X/pZJYgDBqXIA11hoxen4GlBVmHIrGpPEdwO4
zofuAEnYW0/zx8WB+WLgqvA9MiPmEt5S5gI3+Vzr2ZdaIeFJyEi807PkvQ3S79ZEFnaXHZyJ35c0
10jXzNUYgtoSOt6NuNMfE4ENJIBTBsjrXhtIMvRLrq5OZBQIqOCrYhQhJJwE2ilU256E0qFD3mQ4
aIAd8RAADeLyzBAuias3rwue7KYgTNdyV42ZorDu33IHNWmMOCKjRH4W8TnrM2+dB0iKPTR0kQON
2qWeSo5jyQxq3mMAljvreq5jOkps8mg7GFQPmi5H8UMCudWgLwl1z6aMQDka8z9sk0LPDpPNMd7P
ZcWxjNCXj9Otc7HGO1QEilGeKiNkvD5QqHCS9nPgVTtAKUxE9fKTAR4OzVRADSMdT41FUiXUISao
jbUpTQZN1NyLdd64BPlqfClH6x6m4VCCJDU4uJfNE3GmiSOSk5wg+dKxITaDKj4JnUtZQmVwtMv7
xEdaRcb8uNaC8VFZExpzVXF4pOZVM1Hy2BRO4prRtOd7j9pMtpwwQq061oqbUMUABfJb3Mc3LaDW
u+x16RSBLdfnzjWjk3HSkcPq35Vi/IBUaimEpA07j4K9xO4Fy2euL2LdfM4Sq2W34DlmbTU71MGz
MYvwUWY0T6nnSgwI0VvTAL+oZkIzKQ0Ukr7Fmn4trKdogDcmI3+7rNI4IVqY0JO5UImJe2ZXxMgf
+Wtl+sbYtmTgM0RnN5/ruJpKUTfoiKgGElq69CmfpmsC92MzzIlWeWwBDNEzsQYn2gEAMC5ZBdSS
YsOdzYUCrvF8cevYrktxu6AYR2V7xJmLYDqlwqM5ebEpIdYgkc0ZL6CgFgQP0YO3cER15EFlEuVs
mNuHvhtJqZLJl9CiCmNo58GgKNEkKA9y6zHwQB9RvudyHLmnejSiDTwOstEH4gHyuF23ZDXt/eAp
omO6iwLFQQuTk+lX0ZeEgSdlus1GZgrKR8oXy0Oj2a8hrQdmBcjdigABRPp1DNPhQKgyGlhPfc91
gpHZge2Iwprmp1/ikfCGJmB6XPAhKXUzMGG3sXJ3uUl1TidofKVsXCLMKtt5x6N+QcpFelp6MpmW
fKe8wmYevec4E9dMYTkM2G0ZQLVZ3m1cIjfQKaTYEtjHlAXyHPoW/BSiVOOhERsIe7e2RRkRlel3
XXGm7ZuLyakS80iOqEHaVMMMcRKCuFMK9noOm0wAEZ+GDKdhS11Nw5WVgiTUIzadX7bvkGgvcxU3
SM9dLR8jvFt6zkE9OfhXMr9a+UM719EYBYdEPziBHa0lxzO/sP1WV+T6yjg62RArmJWY6OwsCqQ+
oSEa55RVFCmD+gOttjwc2rvGr4LNGD+mzvTW1MORS+w6IFqcCf/ZH2HaEVubo91hlDgxzWktGexE
p92HgGPK+FDW+0YXNfQcsEHjLqyIJaZT8Dm2upvejvuSipQhEjSYXozum2nHzsAbeMfFucNT1BNz
vx6d3xojo9GRyReHhGkjd98GT3tHBBOvGkOzYPCpbW0eHINhYZzElKJsc9Uwv6lE8rkiBgBgy/QF
2CW2NFLTBzM7p7nBvKbAkUwMLTJOp51p4Hu7E891U6Amia96nV1NGd8AjsSbLI/Pysf5FWTN3m/0
8FSXzlejz167kMliDBPTn1Njkoz90Z1DYXSMrkZsvxqBCoEf1FfNt+odJdvkBLLfX2s617quxw3r
p+VpkgxTnO4WW9QziWDeS5XLjbDNb4ESNTqmoFaoY/iqAYSR47II9boHTvjn/YWtSNDQUWtL79TU
RrMztfCx4Rvg683wy1mcQ4ZJk6dWgRNSab0m8YuCqMIsWkamJEgIwOJxue9H0AlNqN4pkEyqi2Zx
DmjIqhHAqNG7G51iATk2ItwUo75zxszEqGMaxy5NAT5wxTSOlR2K43JrWRAwSMeUa/cm66Q4Loug
zyLmuMB5uig1fzy2PKGi+EzNf9qECXXCpiQ4MjSfwt6EcbgO67HOOfLSEnU4ZZF9EdCfpGTK1Lid
gZqefdJ9Pqjkqo3KOsEy/OfC9kkVMa1+2oAKKk6a1RyXQvB//w8sjfeykhxrUfejuf3n3f/7XOb8
/3/m93w8ONM4Pu5d4veGKNLv3T++avetnGki7a8v+ukv8+l/fLsZQvLTnc0iJ7j13xr5+K3ts+4/
Xfn5lf+/T/6BNfk3IIrtzRXx//7rJ/wERPn81kbUwruy+FmXsLztP1gUw/kvnxI6hVzPN+1ZR/Af
XYIhrP9CxGqKhW3ypyQBjIouLM9lbuEYLOlK/UFEQa1AE9gAKm8IVAQzLOU/3+3hRyfnnzQJxs+i
BE79dERm5IruGOD0DeuXzptCCtprbe/cUkjweKdTeWi78NCFOlkRPdfNnMay5QHb6Xwj5ZAo6a3Q
z150rNi9663f+Psk6/ULUP7vf1mTf3zbv6oYxM+0luXb+egvaHX7loMy45fmW2hPVuZGnXVzMOvU
UNQvxE+gePQ0+xBnxq20gkfboBxblFS0ZUl9hEKFse/DFkNm7sWbNGT8FCh6WJ6dzHF0PmFTUJRN
Y4zu+yCGuIYoV9HDM8vg6798/Z97h398fVPXAeI4rsP2/7l10oRdOjalYd243le/NapMKNdDYUvd
GfinLLEOjch/iGj6mONvMtS7h44LZ044yNmMrBiUXnasO6+4Egux8jTaCV5nvPhVAwBK89ZFHpAq
JurmMAzto3BJoQlCgxLojOuqdPdM4/L2L79pXuUfHcL5N7l0zg2dMSeRV9T7f/5NwozDwk8y88aO
XuyaFqEv+rNwq48kkwsImC5NAjK3RmNbpViYg7LWjrYRyfNkBeMu9uoXb5L1ibHf1k9qAwbzs4hj
yuZJaj06WYPxFI7Y5BO+8s9ffeki/+2rc+xYHFEcVb+2couqCPqw8sUNaNhKd7TkURq7Ma8bmlFU
H91wiE7EydBmlvMkPpu+EBbXeRjNbW2AlYsjF0URcuZQTVtAehS00jHeoZRe1fyEk5aIizaEMS3L
1kfQWkT3nmZuAHPqp8jyKdPCYVzB3PXRk7rZln2D8qUVqVnBjsfQaKdNlwt/U8cK080Ywb5wynin
jVW5d817O6RElVklkM9AUcUgVbYOOgZb1J0OtQyvceT4zDpYpNSdBiff2U7Ur5pUv8ipjg92jLrc
IA7DCnCijWEpvzDDIxRjjD8PWtlfEs3KNpwqpl1LJCWpD0ayhbU23C+3xhR7WtLhQzK19tEUomQ8
EZAy6O+8mnT0cSRAw0mfHWWR5TKlBnQjqyODp6kPU6s3gEeq36Uz+QfGyq+iQECvJs+iq1Tt7bxt
9v+8vWfx2N92Vcd0bcReQKf+1kP3Rs/sJzcSN03058HtqUB5TbMLWoBBs3bHc8UVlT9BdrJ9iWIC
B9LcU3dlWJLRLQLjEpXVrse+ZcBrY6pq3EaNHEiKDKYvYe4Tk0Vgg//5X772zz34H0cY4jUfhQ6n
ZP79+QhzNB3ynN0YN4WVlhN39Bimzr3pUtgUTu5t64I8+zqYlViuV1ws6oDkfT21/pvu64J8svi7
F5bNfvQAQrcYrzUrQmhfF7QPIqon//x1jf9hLZsGIgUXehenhV/P0QOs65QSq0H0kVc/6HI2D8+z
lOwc4VqGYlAAuiw8zA/W2VBFejbC5CVOve7wz1/kF8nbst5MA6mGhZDEgzP1y6UskG7HpYmt1BcD
RTzDOje4mRLnXMZz81nrP+UDlVsmq7FKL6GYfMBJQtwvqxJcyTaWY3Ztio5inGRoTqUoEQcAsNTq
WoOQ10Q7s3EYIBbFfphy9yDi4XGgAn4taqp1gUGcXWDMZeyaCECtkEctyV6TFMbpP//URYHzy5nM
NHWLIYXh2ubfzmRMrEq/1gP91k7xu9WPyWmcs77Az7jrLLEfJfNup/RuWBaSTYWu4UvimBdDDs5G
xKbaVknX7yT5dofIZaLW5ZQMlDbtFHXpda3BVPjnL+z8/ULuugwuuGbwn2uLX1R6RpXosWYO4ta0
nbcWOTQRTtI75fbvFfM4TCGWSRITFM7eTe0N3P3ylDeJRfaNWPep/WAwhdtY5fRue4N3NiKCl2yv
/IKGBvO3zkYxPTM9RCK5HwFB3glnMA+e9dnp0B/qkUnNuYwqyCL0c/vWJEaFnNQcXOy20U3ccYab
n/tc5mcKsyapuydXTI8gV71zR8F34yWwQ7TJze9SOPDUl6+1NxB3MdBEmTA16YV4KNrQ/q4B4WEu
b9y03j2aCUXJMjGeDD80X/JJAwogSutot0TJFfl0IVpPO+ZRwxSdHyVmyPw/r3drPlf8sqO4gkMC
KZFt+pxQfj6XJBnB4J70jZvvV3PitBoeJWk0J4Waf+9ozvSogcpZxYwvzlIq9GyjPADdxceo5Q2g
a0I1+tY6Ks/YWYV27XsqqLaFlibRw+GQwGMig5pqWvjS04YOTM/fVnWP35c6LUANxoaFtJ7CAufk
gIKNfp/z7Hmw8AkmV2YvLl5Z6Xe1DMYL8outGtN95ZXZ01Arc+V31jaPwEBMXAfvxsStNjnKgYMo
USb885oyUPn+bU2hePLQPLG+7EUZ9ReZizaJfnBgxN6mqvhs1SG98T56TclaPbW1Ya0JcpNUEZsa
6EGen2zZ3UU96OvUmqqTDAB4mJW8FKYr/0U1uagi/7oNHZ2upMfEAdmyjgz5l22Yd6GgSStbajxm
eUrGtH1AakxXNH0Jag2YoKudJ402KbVZnNROVuyYWJMq7EBbXnbfykxJzZEEyVOWNi+Nh5Av7gf9
LAP/MidFrMLAyXaw27UtZM54m7YKzHYfyU1hoiWx9MfR/Dw6XBe1EdatqoDspG73phUZcKngriBB
bJdnNo1Gi9TUCaSorJV/F9UVejFSYOx23vlNEBb6UJmrPK7WE935uy72o63hUkMrUCjAXp2DzHN9
Wo827FPq29c0fUtS2Z/hrAAbRnRhatDWS0GP3sCO5GEfGyrEBn44NqsIlcGqDVGk2KWFrzcuw7Vb
xNm/nX8RrP2yuzBd0jmgTM5qCHoc75cTmvJSH32ADG9aOhKhrOH1I74S01sRQTjXziQA/B4HExwS
Jb1DB9XGN4vouVMa7lEsL6vI/eoRhHG1JVHgAK+VWtN4Ydho6AfXBRdNsrjsYByhLU6cr1kbMreh
JbKR/ogVto23JPemD7rxW9fVxiM465ducPRLXz4kfnqvD4B5WWH6Lkqa97jHHEp43AQX2I4ex0E4
T3mnHVO6NnciEcOmsDbTAN3G45C+M8sYT7vkJw0WkNoymYNwqVpxxUlOeDTxpmePbkxrVkWMkgbH
3yNvWyUe1sQqAg7neLLY6Q1ewXyyBMl17ng2Ycqef9wS/W3KrSNYeUIp4iA4G3G70dMpvbepG+cl
icCm1rg7NyvWVYgdurX1YkM2moH0VzwSM0tQ/Iqwh3PhjHOSUvLZwJ8E8QFnHRUjkiogtzQKJk2e
qXaH2ho1mhvfkx+NNiGphp2btC5qEFQzYZtgchwDJmM9RunUnpK1XmJWpu1swMt/RUFvHHqAoyvV
6uQXToK+qybPAHzzTdNuWp/xQDM3GOgihDRA++QqUWreTYHvQN/K3xXGRlKYIn6nbV0nqz9rYOvu
CZnpw+bejKOaQnVrrAdzBHvkYkvP9a7cTAbxXvbwDcobhBlyCfMhoyrlBRC4kGQ4SutvBPJB9u85
eqvc/d1ItICcFQKE1Eiia6AP12TwzYehS76ghnsrPHh6cHedmyyI3GWudBg858FqgtcmiaCYluOW
JnK8bgx2iMTSiItoy32dOtnWLtvfrUwIVFcKCuGAA4BqJV0PXZ3YbPFK80pSX6WxN20zXGVteo01
mk5JhXxJTzMStKTzUHGo7KfK7y5YaZsy2PlFdEY19Q2GHUX0pk2w+6N3FI7ZbqOgpYQp4/aaQSJX
OaI2z/Dyk0DSQTkDaWDA9dYnHYo8kDG/BFV76WOX4rblTTe3JQ2kEtpqKPhZDnDcey8jdRQlVkW+
YVRsS8jbAMNz0sBl74A9ZRYWqoOrG+l1zL6XGQfYlCGnM/T6CijvEjDkKsN2ukgzCNe9bTnrWGAz
uasZgXNCprmpmc6pc4Z+NzY+0KK0ae4jFbb3VkbzQpmC1UrR+9RkVbgpMT4iaXTY1fTpk8W7zppO
1lqlNO/zpPH7B7WvUL3cpcrSH7Ku0x+kkuNDcrALuvlxx0pqE4refY6KKfcrxHFRHF7BcB670rLP
eeS89UEab2xX7eNucu6NDHxQVrb0f2wgY6Gn0BG6ZrURjf8uyWjIBvMLNH5tNyRtQO2/62fUKj5G
DL8QVlTIuTbqvrldMl39eeFW0ORqj6IQczv3FETod4Yp+13mYfigurE7aCJ4KAkI0WplPYP0vTRN
EF5ixzTuer8Z9kbUfMrrVDw5oThFMPavMYgFag93gynQhLLbfo2V+h1hi0vEOR0Zo/OHs6pI3FSc
KQ2jIerTfokq5kIpEpBVTvvU8pX7sIxlwiS+byctvgZuQxJwgIOgyoPdnGAGwsBkfDfU1ooTgbOJ
ULwcR7zIKC3dh76cvtROd8zISHiyUmsTADzcDKZ6tSMJZ7eG6G/0NQS3wS2fR+u+SsD/pLVxz3kq
WvdVsm8F8BE3agOIVMPadOgAdI7D24ap2aP+/Abw2jz0TfBglqiCWr+36OuKFy1S02by6DnL2Eaq
hGsYT+/HTWbv3N+hGIE6OvN5FxLvgt9d7oqFgrnc9BJIAR79BGu2VtuFp/SNmjhX/7ivo6gm8ogU
5wo7aj1bzpdFNGlEDbbudpqlJv3ikP5z0fjoByr74BYW+wfRMO3G9aBn6cg7LJNxkeMGwH9sVx7j
eeGGShJ94SI/E8O+NmJMyOgMonEYaA7lhyTU5CaXw9uPhymU07hJd9UsOmjmRT671XsaTFRM8F5k
dd4ec4sQOab06ADoNVCqx0u8LCLDbI+azqLLoncnH5H2ZRjKA7+lAVHqcjsSxRpa4UvjoHvwBmr1
fgFRI/EwbGcy4wKEZGFtErd7cgsOFtXQUK2UfBIRJ2qYIBlDoWPRTzZaTpzL8Uy0XBa/3FUjsmWl
0bhx/RashFXBvGhpBWsE2S8s4WWh3OGv2GNgmNZ+aNHUJOhftXnBtbg6LneXW+FoAqle7id0ougZ
Aehwi/tmMp6SzAoP2py7gMBX242c7NciomsYCTBkIP93GI+fjTlNbgj7dj2kEk8UqlrN6+ixlNrG
Nb7plXMZR3SWwLlhXriEtqUe4YId6X/ka9eEJVsOsrp61NcZ8m1vTMpr5j93XRNvQzdIN5rI3ka/
3ZFhahPgMXtbBjJlYCZsXXTMd1GFEDqy5V0rMbi35M4ibs9ZUdQrjmOjfyey+s1Hax9rLodnxAw3
RZzQJMTHdCBg2tRah8O4cRninBE6FQebrDOv5tqfWUa9j4u3QkMR7BE63akWZpwd9itArWcxZctc
HcVxpj05dgwoM+goZ4aVvc4NlyxAsz1RGtov5OBssarGs9pmQfly+Tr4IWzS5SGk2XNmJUSJ5dby
2Mdrf7z3f3364y/YEcXBbkAX9utn5out9uNjqlqPd3O68V/+9g+4sahxwBuFC8V0ZjB//HGSPMD9
R/W3pq0EELf5p5ScnjDIDR1bRDHXWz5leebjfctXWe6mYSUY88P6CyWS9iZBwl9M2wTR0wlT49wo
Y4Lkld3vSRLstMnEvYYNAKdCMBsughih87xQQjSoSXRzZScdJ3xpbIUEU0PAKtEVviEQNyP6T/Bq
nnQn9QgvH5hxWIJiWCXeoyR2DrEe2ZhDavuYjvbMp8FvttW66Gn0PI7k5ell0TMPOnouiBxRg50j
cCm2VsszXAXtI+q9U5Mkare8bnloWSx3c7uAnYeSt53/yPI42Wh/3KoyNJT0Rv31xxsYyYNDYba8
yivp7W0Ej4mndYc8RSBnN1w8EVq1AsU8KqNc2fvkNRwRyeS2t6H8BGQgtNEJLzexHLVq1S443eWB
ZTE6egXfZSadECiWAAoy4b/Nmqtl4c9QiY+7Cx/FtS1c1h8PLtTij7sf71te/XF3uTWFYP78dpbg
jzqixN4VFBHEvKuntF3VPGZ/RnAVb8XiQfdz7Gwfi2IxnX/cl7Pz/X+9uzzRzcbtj5eEkoQccFL/
+bO//IXlCYYDSFvAy6+jnlrHj1fnObLfHzeVOQEf+3hnGxNBaXPJsQFampEgHNwjpPRu+WMfL/v4
0AU783H3f3rd0g37eO9ffvjyzC9vGX2iHZV58U2IPpRPO+vHh0/kiRjVavk7VUDC3ZM+r7EgT/N8
v6yZKiVFfa90pFG5a++XbfaxRZe7fieYgOXlzOj+cXt5+OOly61l88YlUZQUWeY3DIOhyVXh5mpn
JvF+0AXj/lH51abtEREzEV8wOA1x9Wqz7AGTEkn7ukgQ/eXUQZc93Bioa+4mNOE2trlD2jJ4KsT0
x6JpvVl99ef9gKTNldaSyFgZTkVOgM0Mg51r+aMLmQezWkhdIjhlGsknNpm0se6Nq2WtLtulYeC7
FXX5XDGrOwTzCEbMG1h1wAa7zbICf1n9y2N/2UTVspv+WOsfN4O0YreJ+/6L14fvrhbTxbLj8iRL
NYEF9kBU1W5x66fgNBHohzjJnh7LNE2hijLj0r2tR3baFjuJu4MXM8fE0sO0UpiaIGuiTdV1RCn5
6M5LhpJ3iVDNhRbEZapF/dl+0JzAPHvFLTCgHCNCP4Q6MRAEd5I6ExlfldFa17rUn+1xiA+iu/ap
3pz83LrVXiP2FFq+xtu4teXVctNsQ/DSHdc8ukRt3WxKUTtwa6Nn1WizB8h6TsYaHXPtfS05Wd31
WYK+EPn1Rou51k+x/wX9iEHIy+iuJssMDrrUTllQURpz9C9+5DnbQSRq33kQtdJQIWaO73pBtmgZ
zgYAVW+bnpzoQA/I3x6Z0GuWfIvV9KXQhhLLDRUoXWfyRIdJMDbwnW3TQl8zU1fcTWY5HaCuvCsa
wNuRoLpdELbhg95uInfdFhZa7VB+ItnUPcjC/b0IcrnV296HYTyigdf9x7oI40e3VfWuGpKXIbdQ
OZH4Cra2Csk1Kr1Nko/2mxgomJmGCndtGB9GDgaCC6lWxVGGoDgu4ULqn21pkSFbBD7q2Clcs9qv
hfT6VdwU71oBZ3eoJpRbRbKnDvrACak+WQqdaxZj/E2c4YDb8Wb5ev7cD6HJsMj6Ogmpf2qyPf7Y
8kSElLv1Nb1ck7m16xGXM3YZCE3yws0oUy6FCTHgrUnNgO3xrlzzOviVfYoJXC0CQHR0h77nJXXK
VMfto7egQu0axcgxpw90znuv+ITBfaWZ2Igb7y0LAdiFAnGcUYbZzq1XVTf159ThpICTp36AhoM9
qTV2WWv45xrzs9dpE+PsQEHAHO4HiT/KNSb5GEfN3saLqLl2fxMdCUKTKelR5l56Cru4ZVdLmOhx
odM8F+h+EB6KhCZmUoSEWma7voOqlODdHyzvnA3Vp3BwjYOF5KomQ3TbS2qIuo1CsglSvO+DtE/T
qH3p91lq3dCi++cswkOh59Fwio2vmqaNkGZpJ8g2lMAAOh8beA0b3LFhRuIaUwL8tYirq08RexOU
Xvt77ofxNfGNT/RvGMEyQ98axkj2pl1ep5odS6L2NvOG8KrGfYoqU5zzN0XL+VPnfxWVfJRxEdyM
2Ppi1tb0EE4B3m8pL7Tw8qvtJpzEfH04NCXaTFm2nxrSlZ9EDTKAKPRzq0/vRUONCjG1c5FaDlJh
pI/k691a0Vx/JkR9M+rJtCHbAVVhW34aTQ8iW00Qiafpu9iczqiR6V/Ew6Gib+KURXMaDGwYQiR8
O1Yw4kFLI0VYvSRVBlFuuksCAeDQ3MKVbm/o8ldN6RyxuGeUiumKGpnLECmD9qnktGtiS9/RtAEz
iDOFmJhQB8zplLsyo39Qz/GBfuysChutnuC62qSdvTaRnpxw/n+eBkFGVUtoySB6BU2TGqHEYb42
A8s8MfCaVgUpF3ucgCs0javAKPqVnSevpNHjAlEesuqme9XKET/HQHqo5hbfZFe8RpW75SXF1hQE
e2EjrU711PePSA+eRCOoJ3B3jcCW7DRGZfTiv85+hWtRedc+StuDdMFkMyu+dlWHRwsHYGU68THN
FHluufcu9PIZC9lzF0pvG1buvrTVJcmrV5LSr47dTDs9oNfqT7/pXWqsS6Q0m8RvgvXcfjTMb3py
GDE/vBmvIijURYsADDSHyu1JgZBfYtc0D+VgfRlF7+z7ZHjs7OS7jdVxP2X0TeySam4erQfmss8t
Heo7Og3NIZePHjl0GxLyCHl1CvU0Ems9mYSCFqZDeAKz1sxJtBdD6HsXyXWWiOfIRENOO+BsE2lw
R+cBaq4GdVV6g36SoX4oo2Y72PIzuRjtpgrb7moPBcKzsvY3vvukj1ZzDonow/c5IQ4dPKzAzACl
5sJlpx6FLRajTDyeEWJrF7tfowmsnkTrUdIy4eL3Yw48wejPGAHKUTY3j3JdL8YnhnLOZqR7MGWj
fDXbFEtxdm7NJHrCUbl4vACPtU2F6n+MXjQzGG4udOJY+ch/lNPfBvmOZ6P5qrXkK1Y1Ec1dyk5L
NbJgGo3byHUnuWqGcKQGlFY32XFN87K2Aj5Ho48Dotn36jZ0OGGWRwIzbE7mVHxLEz/bO+S95xJk
vT4VZ7AxGpG5jKGEioG8BxwwVZns4orPsZKhumBsICTKHjkuMDdTGk6TF4kzrQlL4hG8PLkn1BkI
osrpeBCauB6n4n7C8n+EgwYy2zRXrSNOfcuFwXWqdl118nfH7q6yNLAWyPgN64Z7CIv5tE0U5QZb
Ksc3g0qGXo2/zbqJ0r1E9NB3e8UY6sF1uh3EidI+TB6ZwvpQEyWsW9pTBt/as6zvhezHT5WdHFMd
p5UVZPFjS84sDsuQ4IBEPUR++jbb2i7tUBArRZ/62N2gc8iTQ8xiwol+R9uFqbzl7mpZhNS78Sx0
VEWFcxhKZ3yhtMLuqxGT2aBpLc3/x96ZNclprNH2F3GCIUngteaxq3qS1HohNDXzmEACv/4u2udE
2HKEHfc+3xdZbVvq6ipIvmHvtSOcNaSDUSvpbwznzX2e0sL7jQ6uIg0QD8025s1sfGj1Y1S/8S3n
o+Zd2E0WGViyJQLZjPH7GoNic+9gVhSMTEPemXVdesinM8oLg0TRog29lZVln0lSDdno2fM61rba
tXJiNGey263DGPmvijGM2fkXIfLXQQsqWEasMAK6zZRoElHj8SVzSxtxGf5LraPb2DL9xDVcr1MD
BjXK2YN2JuigicFwBTOOKb+xvLMeTML/eCPJJdRvTgmzQhKmGaHdXxEOLR7HEZtq06GMD+5jNIAL
KfPnKuJSHhIMlMri+KeE4aqY5ps1O+kpoFfWnadus+WqrYzGTwldMxPkOXkJZX+NyO9cN+407+cp
wB4hDk4a/EyaMd+bA7drh4Bom3rqwcg68gkmZ5sqASpWvFPV4Qy0tbcp3ZLLpa9/scx5cnvb/OkY
CYPkQH7m6VUv5teNBTzjsc6913gu5m9xJENgnvCRldNQMw6ZT8qGRMtqN8Y+8LAyGK4Ojio68Qg1
P5lN+d2rSZFPlD6FCZaYScCcJwS8v8xRHFxqWdwsSbTojHpkm+RgHFVGp9FSS19oxbHae4+GWiqv
kGCEsAePYfmPc1O2h24Zl5gz4GHbqqtdnjf4uEe5iSPiYBVph6u40AggUijIYZbKtyDKiUVZDFe5
bC7aGkg8GCPSHSYyYjNtHjpoDHhnnLtfFv7dLfU+9Jhg5Do5sxI8MMpmriLmtyYo4F9wGCjWMRur
ZwxXIU4my7ILT03vPKVoZta5K7tDY+A9qmRG9EeJfjwbWdjlFPtxjokP9tEFUQLzYoGfJX2tPUjI
ndmRWeCZCJEC/16PwXTKbPMNd329yS0eKB5L1XIcLpQKHa+gxn7vjT8b17qN067WAHHSwgvPTRbc
UYHebIthi9VAlpy9bN0RA4Ijzbs3afVWW9k56Wtjb1o2luGZ6PeU7dte4TBZUValaCK6AeJp8ZRO
xnAMlpTm0fDfKXics9ECMWgDMR9HSx8lz7Yb8K5j22iqCnw/jHDHb1KxgBHgOV9dM7sVODnHMaRs
kmreJS12+KzzmC45Lje96DC/kqpJJPfKz7669eT9KglZF9Vb4pjjk0zNW947bySABzcvqD+TYoWG
2xbF1q7VRL2p4YCkLoBsqz9XmQZanyD1i0sLZElDB8yDBbnlUDygxTrFy99ZuB1IobVsAutlyOuD
Y4QFm7aZBJ7YZfVl+k/Ea2/zCT5IXnV4Qia0c4gLi70J6nFvkby8RW37zmz8KY5L3qzK4+ODLSJr
SdxWZL1VOrxSHqmT78h9m0bzg5mgNmjH+5BdvKh4a4S27jYU2pXVNDUEgGq+4c2Qq9ppw61Pbm7o
9KvK6px9OHX3qcNFnbnhqRLPssnF1eo6LBWRVV3teHjMUf5nlUyuQYiOvkY1tSNgmBBwKybMhFyg
D3lmhElkK4w433G+glGxFUsOt2UbhM2jigcy0JZiPDPGh++Dw/6mX5wPHo/RIga3DuHlAU/YDxim
hH4OsJl9fTB9NR97WVVr3gWY/Mlc8jcnm49rHJnsJouK+qgT/Y4McR9bgPZZvrDtZ1mzGm3W1clI
TWmKc4PFsolAjSPDMSmOquwEuZRxY2E9xavoU+wbF7Y01UM0fjVqhJo+Q8g7gmiCoeFGgAzilwyx
67Upps/wXjApxHZxmQvSAPyG/mzBbIkUJVJOakkspuJAe/OicMp12RfVCqSSAZj6UNYhiSoNTRoB
u6uPtVNlD6dUh841DZtP/x0N5IZzjDLjXPEvx+zC/zfsJuSms1sHl5J+ZJXSOG8yHjaHLPB/svE/
cBj0Z/wEj02WWecolViA0+k8OR4fuOkaVxHoGYc+eClrNJ4Ih/pFf60OxuR+t8cSvrVRxgcdV9aK
nugMneALCz7/6GdxgCDX/FnNIIy9uTR2Jsilc9/j7Oa+OdQDBPhYGWpZrYQb0yZ7LBX91ikFc6GK
Gbxoc7g4uslWeVA0R0bA9rHp+DKuR4GOYCKwywswKJLPt1UluUopi489HTEZ99xca8Y2+bmscJkA
crnLvDA2i9Cmb9ndlElTrayA3CH0CaivtgpXBIsI57Nb/TSxZntTpS8d3Rg+z/oz14w6K+epY6rx
mGXBg1EzpcGVX+z62BzvEw7jrovB6Tuoe6JIiEc3MM7MF7D4pOU175wdxh9Y2Sbwc1rCeDfXuGDj
kNQrm8nryU6Nfj3kinoeWRcQ4aLD8pV8xu2VXTE7EmoRQbxnwIW5JvaCfTyZxBj7uIQMjzqzRvV7
5i+bRMgtNjXTQSqJ2q21MVYuA5K8Uz/rZAivYx3d7Wi4xUkYfBo7C4lySeQyz13CvGtMqQndookw
8FQKi5I0F8UhQCi4dbwcnZzb49UEPFHkVbPvMizuxlQTAe6k4FmmFYZF+0lM6a9Ks2ONVDnus9Dt
L0GRBQeXRdm67Kx3Q5nQ7BTc6L5tblprtZFJcpq5Stdj62NQkazPs2W5HYe59WAUhwywwaVm5YUQ
EkMf+6HxVHmBvsdzSvDTcTJifdNKvta1cZUYkXbCs7pNH5hHxB3TtUsDseqKqIeil9+MpjXXcmlI
Ioh0RJ/2n+c+3nlDZv/UoDOKIiChTPT2q+ZIhPiQvAxtx+J38B4aRXZOAKK5FfkP2w4i+nH7uXGN
hHwYVBSQvpJV4fTFYy+pSHBMY4PGFlYFeD8nn6QpxCd35JfOMWy5G/I63lKM4ZHsZEqWzYThtAGN
g5ZyaRl0T2Cz9JSNgM4brjbhb3gS7C0pg+GhhevCLIvFuW6Jf+vMiW59KUpSy0rh/9IjsL5k0163
hyZGfDkniB1rR784LsCTkDU/C4MQZ2mKF6PLTuEYq50d+hth9+E+7S3wqKSrrlUnEvZ35reACspt
Wt7jrP4y4FE69a6dPlkOy5Aa+E07rT8sCb5P82IKgrTiOio3QxR9F242sGZ8ijguHmKjfC8m2EoO
LbmfjUh54qDYTgOCS9UDUfRngklbWr01exRjN+TJKUpVtvZKnV58XMQT2VpVNYUrXMTz3levRlpy
4vqJcWQF76Bmmj0g4XZ3+rA8q0J4p6wjzCjHr7nDDWexcBI77ugSoSQ3assuD36eXY6srjDkRqnZ
n83MxyCJuim/R90YY+vmmNUTCVedF9f7amies9zzEYFfHVb4B3TehDqUYvfHfM1UT2lARd0CA7lN
M+1Ca+Tpbi7Dz1Pd1tvI9skkyWtFjuGdp1FyMZT35WMEk3tEf7mxbR2yN6fKLaJrEQRV647bbRYj
S8TB3Kgo6/dG+ytp3Zxxqhb3chh+uoUkrCnUW5WaKPXx3hP+5j67qjTWTeUim2hwS8sqeBwCC3di
3dKzOmPIlLR+58d+dJrktSgje6MYma4dt6WTrF2Ko4Epil4kHHFofgWlA6owykxkt7BcCocQMhtS
4s3uTfJMxW6c22RfI+LeyLmcd0YcNgfbI36CFRx7cKfOn6AWvvpD8hSMEVFRUTJuxUABIs2h2JlB
JXZV4T6MyuvPNUsE80FUIQyD2vnVI7G4WIW7AZDSbYIA9URitlxugdTrtCDWC7NriDLF7yEgeCN9
spURoLMUGAMaR1W71zgbinOahTddmqSnV+43XV9tMJoXp2COVKS4T9x0htrVRuvCBKzatXNz7JMk
pOaufn2I4cPR/17WUn0mTVGmYBshDcBv4vHGDX+TGp6S/eqOo36fnWo90TEhjhPDYbC+U3AlJN6D
AnXaMb86fnUfZMKwscqBoVXIUzPu5jXT5nWhscJW2r+4kVU+Mbcl3yGR3oZq6rVLSYFm3Yx6IHH9
C4KjN1HX7bmJ8Ej0nki2bR7C0FE5MJBGoXjwR1YfrbzIUK4ns0CTBE4vHEjnTMqA3X4QEZvFSgKp
7mJ1r6x12kh3g6q4PyjTusx5La4hsmgC3bSYnqc8JownbqMdYyUAY8voEfYs6NHubmcjU3pwFDvI
Pl8amuFLKo1PQ8j+xUfzeY6y+qaSRbwYkFThsD2FIR2ddPBUe6l3/vglNwTXnCqeci90UG6KXzE9
KsJh1HMrbZTfpvSBKrm6lFhvP2eJh+4UC7UVY28os+ClFsFzzo1wjlSwlSpY7uqMYdyYM+LK4u6G
Ek7d7Nonh8LMOeO3ps/Y1cBkAzz1vQkGwqbrmQeZAkaXFeaZJQvZhHNLQQIE4uSi+bcy49LAHXhN
xjR7bL/bqtmXSZW98nS2LuUUE5DT7MFRpc8mynr89BMrG0tM18Bq1xhM1R5qPsAI1c77j9mC1T7R
ohgHU9fJfib0AOhasjL9NjmYP8fYiM8NiPl95hjPZcdXdu9iXraC61RkR6NKPCT3LXmelv01aXp/
axXkWVU+BnDtM+VNRnulKWo9UZK705G/hqfFWWd2s2ZgkxymlDQdN7bCAwoR5EJTwWyp8HHFyrLc
0IxIAAPNs6mIAtBWvOtix3sqvWnvdGj1Kt96KMrsazcvCpqhVk8lsK9Sa7g+9GrnunJJQywZFFpJ
1Z0bI95Xo23e4rL6xFuAvXymBJ8c6+7E/PglG0ryYYti1/ipXPclecMOFfEejW57AsxSxyOkjUba
lyk3vht6IOfNr2dyEVvi/pJPWI/HQxzqiQwcOTBYTa5hmZEskw/dJfcxEodjXzy02fegKjeJbxff
ABIOUH/bDY6f6Fpnnd6WtpPuXGC461ImYJ9GTByGtpwvLpFljDo+Z1UennJlvDh1B94r4tzyAM/t
yTggMzWYH9txAN46ki/pdtshXpKC3ZKQtjhMbwS0Yw8vv7RmrU4VljGkeSYymmQe0MiW3RU2hr0d
YDeuAGJZenCvmI7cqwyyH0XU5MfKn4wby/7nIGf1wbiufRj1yjfD1cww6JlnTgCgqPDOyt6GijAE
A5fmYQiemHtnz4bxnk8dmWTkDq/F0uroOruMTEauuZmjxIkSrjbQdReZObcUYO0NdHLxkKvXP76w
B64LJNlgYRDsSVF6Z8NBsGqUWmz/cGvTnL0ktuYisaLh4nTQhYZ+IjKmxa3+YbiwNRWUregoWRVV
e99E3phK/9IMrKzsyKgu0JE+95pJnmmZ94qFlYp7CcGzMdZebbVMouzDR6fIj4DqNzUOnur4fFPO
e9/tENhKb28nc7/2zCmkR2d4N6bj3Y3oOKPwsY2t8cYroEL3J8AKdr7NwmrcovndV3xYa2oaa4M6
1LvKufk2F4TLjD0SDjiMcifa7C1azhPPI7Kq6YzHSA0p+vRpJC3HIzaTSJIDkdPQC/vHvHT0lb2B
sW80OW3NsnasFY99HaDZEzUxSUvFWlIWI4mBjdbzcGDY5a8M/BersssoS1V1JtqF4RPPYbgeaLK8
cpuG6ty4fbBVNbK5YcBvxs+EJrEb9n7PQC4arU/DAhdp9A8GmNlhElNMTnDhr6269SAsIud37M65
1No61+ac3uiTa1qBBCBKDKEHlkaFWZQsuLZzrRcG+gOTbmasB9fT04tIRfoYcWRF04SoxZuetXL5
P8zER1dGNEa9lGcJgSCzfWG4gNEoJSRoqiZ/E7Y9uhwsNJMV2y+ew0+KhLcQEI0KhzGv9utf0snE
0aAufih1vWYQt8mMRH518Ch6pFV5vdNxMPX+2VoOz8Iz+4PJ50bcyrqtJ0nxZ2VkiCbtwa485nfF
eUDNh4s2dtFIL/bJhBEhS6xTFTXpfWCesZYjo17Vpd2pRm7BTlM+1H5HPA4N16WV9udQfh0j2X3i
w3pNtK/ZV7R65To96gI50neasdjFgkwmp/ou7EY/hP7eLgJF/0wDVIcB9YcsnuYYQ/LY7ku3r99s
z9jqInkubE2kbC+7+1wVR9EskY5xvv7YzGU5tzqwY//QWROfnp2As2ls68EW6dmbXnqBAH2q8oAD
Mp9uVTwi0JL6zYU6c0mDcGNXzsGgU7rk4ruBHHcf9YBPp6rhsdl7GzaY0XrKZXzuKugahpWFn4oF
eRnjHiktksXKZtbbpE2YhkQomPNZRLChnHpfQgsJOn3up0HfXyLESmdXxKsi/UTp1GwQMxPum7WA
gOR88EOHVYkhnaNdFq9IpcdzAMPmPLEpGpXrnHqdNdcWwco+8MlJBDlzNm2nOH/8DkBkedaZ9Slq
QI3+gX4Q/4NAjLODMxSkQ5/m6uoZDLYlRtvORScA+WFa2zayMT+JUE731ZPGPsQmmY+5HMhKHdNg
YcCW+BUyItYnwobWjYeNvY3A7I1lPJKaGqw/7GUl69XnOf2BEOvWiFC+KfqVOLDe6tHrn5wcIKan
gTN2ul7V0vDOTraYChKGgaqar/bQ6Ucn/Yos0X2Gi70XUwCzx+wB75yrWvUbq7KhBHXvVVJ8ian8
96wfmOqiXuehPHs7atsTKzPqryI5JdH4RZgFx1zsjxvQ/jSRRfrtQx8xRhPjaZ0011lo4gwjaJyB
Bpje+LCL/Hh4iYPUvhgxJyVjqG89LyRFq7dCTfFudTB9XJfbuDXlolfpzoMQnwprfEKeRxpXWv1I
k7kAamdsJtu1Fp7cVYAz3agO925AhGaaTDSG/nBuWRedwfld6j7KNrrGxisqqm6n67FrBKRwuc5r
hO+dZGFfbjq23ExPeTp0ROr+IZFt7YcE8OYuWYTL0C1r1oELhqcvALHjo9ui7/Z3qmB6kmjHIMA0
Zpdcv/S532wjn1OiNEOM52ynoD0Rx5z1RbRSIwPzNrAYK+ouxJaepVtVQBfus8p9TBKZo091j+kV
DWT46ij4ni6n/TqQKFKACTMbLadvSMObg+meIsOQV0ZZlP22sU2Uab/6uferaNBF8dzcL2jiolcN
qnc/wXXJTHd2XZ4DU3VAWKUPGglCGTN4boaDo03zYBTfMbpU+6FKbjEDWfLPLHVQSm6V1PusT70f
+qCqdqtn3T9Vdnvz4yUo2jXyje6ZfwKWgGqZDc4mzgKLStu2bg1puKnAtlxUXwpGauSEC4/zpSZS
qSbhSId0eR6iiSkom+0hyDt8LxIE7BgFhHV6RX4dy/7HmFrMJcPs6Ezea2OxImmAc4KVTnGLA7/a
drXLQJV1JZW0vZF+QFI4W9s2tFqYKO1b5JgPdqWKe+faOyfR0VX51n3q45lBbR5uOAinUxxhqDdL
k30Y+yf6v0XzqB8M4cFjntXTh5+gE9YLAs/q2HXURUKkz2lbDYe5lJ86sfCvam/CpWL8dDVPiiLO
SBScggC7jcamx9ZpLXPLuZRd9y1qm+6cDNMiIHX/MD7/fyLKvxFRWMXidvsHIkqifmDiSP4KRPnj
T/0XiOLL/3x42y3XdjGpBya+1f8GtQT2f3zfknYQoCDlel4AE/8LavH+Y/o4ZHyL/2ITpMLL+B8V
xf6PYL5pBq4UQNRIbPm/oqL8bldeMOeuA4HF4a+zpLPYav9kBsWDF2e9GzOfWbZuOBnGm+iQkrBN
dBu2Z341xA8u6c81S9hjyQiPqQeRxJ5j7nuhr396++5/WD3/jEGxficCLC/HsyUQlMUBKq3fzIYZ
b0oNHtY9O5Qem6nGv5TaP4bJq29m+Q2aVb12/aIjhbu+6UDnf7B//oL++fP3/93r+PHtheTdhfjh
+x9u9D+9GxCiZgUsWJzbMXyr/KF/dsfwIDvFE9wMESTBtdoMdXehavxXvMDvDma+OZcKHAQwDqZn
it9+dijtcdRnqIeyRaLHXAkIzQTYeupBHraJ/WKk0RmHWVZ5hCem6U9Z5Ji9U0ZGSnR7h5nFCutA
zGxGzf9CmPibaXh5cdYC9SG8AkzNB13nT+8Mew/ojEYrEEOqls158+Yu2+WmCa1doRDW9YoaGJ/J
xsB2szGSYp/3S5zBYD/nlTEdSyKW9ejv/vmC+aD2/NkyzOvibrAC25WWL0nx+Ov1O1Y5+uAxEed4
CMUer8bIcxylFbLFd5B4hIWb6d6xc1jyVBMblQ/o2rFenKqFb5IdVCoQkaoB10zDogmH/s4w0bBq
L0pvpnUKgmEjxr59dqrGXk34zylIEuus5fhTxq187Ks3su+8Q5CJQzJPaLOTqPoqu4D5ry2ejKy+
c5ORtG2VG7NLrUdppjuSOmv4w9NjH4XvaumwwooUUqxJDiGW5DtTtpt2GVz++d2y/ppwAJUgkCB6
JCFCFrkXwv4NHJFabHgwyotzUlUmmwslNtJlLcGMALJ4HiYUo5TwSSUjgOntjwojxfr/9YVYC9EB
qvVCd/rN6R2lPCnjaRJn1+/0qTfjawGG5Wnuxz0t2DOT6b1bT+osQqIHO6IEfGN8+ec3Y/lZ/3rl
SBNQA4FXnsmN9zvNI2EHYciqF+Tex++GfRBeOa/HfjqKILiLhMWOXf/b8fb305bvKW3Csfgnj4Tf
rlZzSIUHvlGccRodxrZyN4aykb34d0hGxo5yfj4XLIDsDr4h6oQrGwtaJsv5hHDmX24d++/njTQd
2yOdyAGZ8EHe+vPRT1djDbNhOegCugvaAOfiYPz08T2YaR48mf70w0UNviHhgbASVNK7eSivFtD1
o5rLZMMUzLr2HRnwCkn5SfsTFgqZPzlgZwHNYJtp2iwEbl6BY1fTLqs4vK2BKpPt5r9ADey/n9zS
FDzHkLTzGyJj/noOhLaFGFJm4sz4l+ZvrsNb2y6q4zEu9iMq72ZpY+tFewJvmh23YnMYTvTmVd08
odJc6ZpVT91n5c5Harx2dJttKhbpx14758G1DaZK0TY0McvJAj+0idWZciyiT6fPIxg8m1ZuDaiS
jKV/A/xATfvbtSqEgzl/uVy938EIGQKkschqrpvMbQ6jUZPLs6BANLRNRq5f+mis/oUh9TfazXKN
Sun4bP4oQ/5GJBtrv61aryH0zA1QhUTRdIe6cLdqdt6Bi+QuwF68R7Xjnz9+8YH5yZ8Ar4t/eSj/
9uzhQU88D7SbQFChAPb4/U6t464iyaA2Tl2YGbvEMp9FHiDglhELlJEGxdapuatBk0G9hPpgK8WT
ULXOwbdVv2fyuImiNnqGF9n+CxPI/euJurw2Yos808HIulyASw3355uoxq68cO2CEwoogt5zb2u5
HUirAXefjEixGnoyuXhtV9MDWmZ1GLWRQhFwNWwijeCEFAvo+oNjnLWbsDwck4OLXH5nBc2ZVXWw
bysu47J0vcNIvHpAVbZKlq3BaPMH08lF7DXhzLB690JyRoR0H9SYn8jmgComwLoYPpoRYQWRH2xL
5Z66to6wUvsmKeLQIz92RllcQLXIxh0I7GJLeZShMU3sTZpWW8sgmBKspXnXh8SqqvM/H8N8hH/l
Ki2tnMcznBs3MB1HUv399T0s/TEVY+GIUxRZTBtc+WrOMVT3hHQGWRY3NoGah3ZvIu/oyHTjtTO5
koya/CEGodlm+pSmPEcatKrbxKd9Mys4RYUzwcVGK/SBpEwIO9pRdn0l/e44p5nm2mGciHzDwR4n
nVPgycdRs75gwoMeFPckIhMa7sz2TqWv0r2W+qGJQETAVkUgZXjqFIsIjW0QkobxEQdtIasGEV9O
8/rDcvzx9ciQcqMCLNhm6/CQqdEc7SD1rZ25jo8QzoftB/AkiZkz+wmGYz0ewl5PTBHnHaFEcAB0
VK6RlXY7ygMuIZ2du4aQQ5AbB86N5FF2DgNbFI9gUT9DDR6Oc0z8te8yMTfjw1IWEcLxdWKhyXJM
Pcd2U68GjKZbLFrjupYyRHpN020W4t5xht600VUb4DTxFi8e/HCW2k0aq0uh2CjDBvW2GQFPK29S
wYXsYSRSAWgE5drjiTVYuG7mHDIhjJmNWRjlyYEinjb2F88ExJ1Efb52hvEbkRIIcoE2lekXxz0g
U0+2Vt/lMN0SGBqC3cyszc9MGWDuWe63Ho/+tlYpg1ljIlvYCqu9WuAZo2ca6CkG57SrSrYRgpS7
ozs8JL0jrypI9/NYDeeyVShPEHbrCGZLJUN2N123D+ZQnsANvKaLlBud2cF2zfiIq+RXObLJQQrQ
bHNvgRlVCUoOq2egG3fRHS8ZBHckmk6u4q9ZOd2EXx7IKBqePJvPXDsU8l3/JEEAX8KcKJjIDctt
k+YeZXz8IrLGAwoXtswnKTyKot2j1+yOsANzUiXydyVV9GQM4Xto2pB83axgQ5MH+7EjqFK5+Xwt
o09ZjRUdF+Am6cmt6HAFrezZ97/ouiXXp7w2qV5gBaImq9YjPSz0NE4HZitMwVvMOf02aMG/GeHa
8dX05BfxHnvx+GDghnZY4W7n2mQFzmV9tJiMojQwrK1fP9jNXG6JFpwPXGsOPgC2fYbFZ+MEWGpi
u/S5lchWbKK+/uMKb0ts1EXIlRrwO2IR34OkVedqrn4GEc/gIJiru/YXAwoU7Dqeg33kpBlQHRNr
SC+tjVLfDW6N19Ah8IVYqywhTEdTWTh00vs6ZrKsy+G6xGowLG2elRPtI6HDeye7TTopg+OjsDaB
/JWUfrd1i7bdKSO21kE2VEcWB2eF0AFNexrv5JxGj1PafANkqw6tQicGm+ZbiJKRAyN4YLDY3PkB
q1Wfok0nP+ybCMLp3BXVOwna+hpBSSf6Gmyvyae6QtGRvDAFuhC3clJQsT+J8Lm1E66Kvvd+EpMI
Kpxp2MJ/xom6Fp7T3lSZEQtZFKeciAhUme+BtowrO61vrM+bm/CGVdHP3yOzXEz6k9q6mVPts6T9
kphHFMDeZ+ZsXxOSphST+Zus2KBHYSQ2kx9k1zAC9q49B1IX33CsPJgNi17nQ04MUuGhR0GzN7F7
bc0iIDXHjE28k0Z6AXb5qaUd3rsaSX5LrBYHQfWjoKRYZQpfpmXV9zqLFNyV7AJNOkSKic/Qnstn
c4zDnQwc4h3mr7G7SLEbFgSW4eUYoMQmbIavLXB9hqRQU5SHkx0jAXqwhdRqyUviWwfywq4pLpVH
h9Sg0Ld3siNgSWDX5rar1LZd8GsGAPCX0jtEJJK89JYzIHQmjUik4+VjW9AI8StaMt38ecpoo3kl
Q9k7j3ld+6tC6uATcuvqASAD0kIvHzZlbLqgOozykHhM2AkqIiOq+TxSoQGZiVoyXfrxUgzBS0y6
GPfbsHdGS9yAc28/3AHNqIAqlu70El1Gc6C6FqYi+NR8SCqQ50OEyN1Ko50l6KkLmAtKNYRodda9
CRt/00DUARXjX42ZhQPAzo/mrKQz3tko/uDatzGaWZ9gM3yI3lrbc069+DwrUNDjKBhwczo9Zoiq
q3Jk/w5qecrme9kh6W1thLFFkbRbM1UvjLk8IjWwi6Gb/hoWsnoqoOat0w4qgUQkt6j/nM+DsFh1
49MaDQ4nB9HApbDVrxknGoEmznAswxANPN3QSrtNvy2rvaZn2MQoTLfIwEcuEvsxMkACSJdeIrDD
mFsXLxsGDrGty/zFM8b84qjLNLTGIaiafoNaJmJnMtd0i/V4Vz6yawGRCPiIewGE8xq0FlHoxkBS
TxS5+7GvaeMzYn5iGGLbHO8dsbeI+wyjOI2oC2+2zvpV5iEYwozxpVHTFxRe7QF4U4+CrnkzGsrs
CK0+Pq1Cbk0Ws5sSMOEhm5FQfuzIED+qn1NqRxyQiXnOkJqvMM3m20agLcPHuPEN17k0sffYyaa4
+Zgc0PLV4w6r4mUYuvaROnzm2wXRNgjdXV638TlXogGe21Ynw90ha8fcE9O/ONPWNWdnJ6sYLHfp
IJPzHXOr40wiBxvpLp1uIwJj2KOwM3cjGXoGI+4VZkV8c0jYyOtLWz5H8vfQKdD9C+Y3Fp7aS4NV
EH1QzTjZztftPOgT57BZ0hIH3uTRj5McLKsO7X0gb23VNGsiEcjMEjEKFGmZZ+xqD0Hf/mxsB78X
uytyX/6ANY1KbEWW9g8qlAmG/izYtkPwkDYOg765rvZj6UBp7Rh52cxSefjb6a4by3YDFm6pk7OF
s0sWJQJovfWVDckjEGiJnCLcFU6SXieAGPaqaQx3+4GHgvKFJAM5J7yrNzQImvVpYK6Z5AG/tFP3
QtoA+siitS8iPxHai5KunNwjynV/G4IQuY48wfdYzJi7t75JrC6sKKZR7C4C2ED+e7wk3ipffB1K
+bOuU9pdYW7LEBkYEM/vmREmtCQ42rQx3Ieic4E/jVz/xJ3VrdNuQ5CrpsPKWLLdRCL1ZhvBsRvP
0IHqfWHVv4BXfXUCm7vLJj8xHNO9NSY8O8SPioQgBGrFl77K4sOQkVxiYphTlnwayZbYhb5LpEgZ
f5XyvAzDxtgh1rUagUq572M5E0dsF999r//sqgwalNzJZCThuioiijiSYfSysp3V88gtu1UA5rAq
flV+ne2L0cL9XAyrqBm7Yx5E4a4V5aadUP2GsNLE/2HvTJYbx7Ys+y81Rxj6xiyrzAoNQYJUL5fk
msDkLjn6vsfX1wIUL+QR9dLScp6DQAAgRWd7ce85e6/dtDSm0u5KkM35KJZk5En9wXwcEebY7aw8
mfx/kfjYoL+9Ei2oH3AbkcVBDzLX+oXPunoTi+VtICBvWKSfmjfi2QBvCjJxIQCzNlPVUWv1WLRP
uClkB0kvVmWtIzxAe5cJrnS6rAV0I6H7GvLMnvkwKrVjim3BxqpqmQSFWbsmaK5ypgZz0JID5lPq
DnpmKvCxECg2wWuB1VfejWIDO3IZPEnpkUmgbTPxYYkLEirwFHGboK8zmksz087EWUOWwhS1bpk3
zH51t9rQAjmpXe6UVNdVii27Hw+GLJFmMvcPQ00wSN7I4wnhIFo+UbUkp5OIKVOnTec55sRBzkdJ
RyO7olFwdBqHMX1lwmy64yLj6RwxRQujlnm1gKyroMsLu7BTbcSI9ISRUkqJJHgs+qo+weRr5LGT
Wkis9fWmyQhhyb7jq38tYqi74Gt0p0fsoGjljWDgqAvFnvRTBnRWai5zRPBlXUKuJuipoUk+WPEe
VTLSvFYNkda26hMXhlvmou+o3yvGJK7ckVG7zDsnnC/GnSkg25HJ91JarcFR09znpVQitqdvlyFG
Z4Zuz312Kip8L8PMKGeIx1poPhaNJYZSEXjR18+A6MBJUErSlIJpZSRIAI3lBzFmtCgK8OerUZ3V
lEZroWQPrCqCdeoqZHMlob5h6ZeRsjCO6UdrqBM37ZSSVFtYwzmtQj/M3hGUfEwzWkdsMcahW1J/
mY3HhHQQL2tiLgRp6BVFrLh6FF1ESWkOSi+L9ghiC4tieFfUcOHM6b5mEsz4AftCJbtuFBgqx5Yy
PW2f6AA5TScNA+wnCCbtQZnU1Ran8NvUKu9KjalKGSicF0butk0yuo18mMlaDaF+g0gABx9VXH66
Xi+gc/1Qyts1Rxw8WYLmZoYXCbozreVGp1Iqtxi1ya6qH7mA/q0n9PaIujwbJwI0q1Gz8xXsotB4
0lJ2lwoZ8NRLhF9qraP3+SViIkju8HgsDQu4g1YbjLRz/IwwsOmuzVAj+XhCqpmr3Z2M1sgTQkJ3
eCIn6DDQE0RQf+OI+J+HgyCZqXV7TfA6q3X0zmOM4F7RgOdJeaDp30FCkzIFA5d8zmOYyhKaN60g
fCYW7AkKrM1X1+T9z67lMYJMKLEcVylWeSqsRZPVBEPFj+S1mi1auvP8BguXS73FTNmUuboMimWT
E9MTcq9iuHZIa8ccTJoo6Qf3Kpgsu85wF4X4Y7wu0i9py9W1kDQfZfWzgjRybvwxgpMrQ1s09PGt
1V5yuX8nCoTpCQQQLmHyvAxu1KnYNIBysspRwLlJl4TMPycW+94ldyZQp/hoFNFTKda/CGkiRm1G
XjVZLIc10+nN/DriKhfKyBwzS78V+gVmaJ45K+Xpo6GvkSOL1v0EYjTvyvFCCXR6iKxK8lhbwC6x
qBIpKxgMzSwrrj6IBCQxPyoSCBlHwSRJ7vIrFU8xaEOAvLQLQjeGBn+UItOghDWLh0EAk5xDWHKa
hl60MSWyP1fNB8nm0pWuV5eRYTiQEibarmUcxBHFs0wiNcr7Ob3mcdLrfS+fy/Q6jopbBSjv6es8
On7yWVc0Lir8d1ZUIipCmd/FfrhvWJTAzTV0rri1AidsUFMwbN3Y+2PexNe1omQis9lxCZpwOvXb
uXY/t/TxOxbD+FjNbXQ9ycIRnY8YGE0cXe8b7a89XQlF7GJLa8+R+U2Z9Bc1V8bjoM8UnfIO/2Yc
CRd6PhyikrlktcZXCPMp9qpD1CSyVyd5/Zofqnqo7U7Ii2OZjBPLxMW0S2M0nUGARCEX4iur4tk1
pHU67AxDnY9QirykqN+7Mt1cfmnvdJi9MY9ZJesfA0PRoRaIe7UI3ctivDELaDdkNUbASxrL7jBo
EEQobV+12kTMMhmkOc1DBs5CdQ0d9YDWXlbg6XYWUR/TuMxk2kDQcnRDfIvoqxWx0aJ0Q1EmcpKV
1Rxuwty26dJmOJXJOG3H5bFrlDf4lLrL8uTXsG4ZVGrDD2irMcYKs38AyYVGldqhJEohvTXaU6eu
8b0pjZdOVuJbqAaZlMRXk1r6M5mVV0qnj5dtpJwWpEYJANiTUm42ygiDgBl14gmHhupWAM2AZljm
ea6H/mJ2DVbMobzpMI9c11FeYTmCSQAQYlNUJgLGXemoErO4JSrLp06cMSoWMBWVKn6ge3FlyPiO
TRMdc1sDs5xhA9/oA2ytrr0TM8M6tkwt7BU62oOkcTEhaWJ0BeI2z51W3HSaxsU6yqdjCkb7mGUL
QRtTP/tGSfjhUvMTjZsIZqCUnuYKP5KAFqvrVwh05Kv4rTxWtyKlMvCnFckdVncJUwLr5Om5gDDh
0t7QgMeW+BibG8Ktsgt8BbtrDBh1dRIfTJmnjBXC9LluTqBsbkuxMzyEodIdwNts0w1NYRI9j11x
bdZS/KOqD71JZmmio7+uG3DDgowskl/Ld2JE8iNJ4qv9qVVdiEeqjG+p0TO8TzPsBl5qJgHdm7kO
RFh/HvL0lMtqddbi6mfbtB24zyo5rqMJX3Th6ipr86s1Gk/Qz/A4tFIBDCOO/brAyzjPUMInJWCi
mvmtiSKPhgcqrRI+IIvbTLWiq2m5lVec5XM0RcR0AZpAHAt0piNLnI4gbhytXe5rpvd9NDRnIgye
5aoQnWTONbgPSN7NpnywkPdbQtUcTJ3rf9/nxaUqqJ9EIwsfEjeecSq9CaacBMDj75cN84Dg4puU
a9JZmuXV1qnRBdBJv4lLXGEnUk4st023aiTV2RefckXoOzbPKypF0e3QRagHS8xumRI1fkH98IpM
Q/EqV1PpqhPzCs+Uah06GLILzD5O7veZSm28Mh9K/OOCqnd3sSrCdgN8fUjoAVOwYgrgTDj1Fxx4
uGPU/sSlMLerGb+bO1SAT6uNLVxgMQOtpZajPc50AhB3Uh0pI98wH6VagFQJslBZq8WpSnyoDcuf
4zTpj5sm7ti0BXnmsF11yqJ+PcFmNvGjYwbF7tnLE5HiKctnPBsOqCpj+x7fA6l/EecXTJ+Di3iQ
FEElA+oijnwGMdL8ekZzjefBVUqmngxY4ub0wrejJPwaebYMcrg/ozRkZmcmxynFy19U8XuikDYC
WlxWyyva+SrAWa08FCo4x/bGYkFG2N+SExOexT8VrFbeihUzgJUHYBE6s9kJcoBZTD+J0VONkDvY
N/yO7lc1/akK+E4rc24Ydim1kFtGH36iZr/vVbOa5Xadyp0H84PaaQ8fX2TR71pKOG+84oV5uca7
kpuUNMHLT8GYk5qhSwGcquQ8bnaxiXX/1JPYV4FEMCVbm8D6wSvYsgWJzVZq6iemcsG9W5xFhmYx
EmZAs9IJGTGOHivPT13LIkRe9Idl0n92EXmeqb6Pr9Lj1MyaP0r13dQuozMzXHuzNt8kKaHjyUjC
IagF8PpbKB6BfJHK+NUpiJGFIcXfTSSdofTwpAbkfep8MtTuLKwTvSqm6q5OLmCWUY1uouoXHD/h
zOh/pApHVMCgLsfMhPjBkm/RlckvhzYPsA9+q1cjuUtwypsQHga10cEA8YxnTUi9sWd0ZElGOGcb
XUk6qTk18F7gESmzrDKtEPOFCo5dL8qNBDsJq786wVIVN7hq4zYHzAlHTOxhFIiUIsArW0/KKMhn
cl0fgFFsFRDbECIdXAvFfTPacJmTdSNmFKisvH0dWUueUFSju84Zoka+3OlCpuCgeiBNG3vtxOww
5OSHyimgIpS8iFoogy3yErDstDGPrrcKoXoToepU+f1IVzEC6QDQ1wE9HnLRlZRzDb67B+xRpQwC
vqUQ6GNoteqmzElgiIHfNMAKhoLyPQFQ4wt5e9WrbXHKZ8mleYv3u859WgqmExc12RXzT0pzAqs1
Sno601Dqi8RI4zBYm3eRIlGRYzdZmq3kMxNlGNdvBhze63i+W+NFPa6ZeCtFNZmEFhyDqTSvE4K1
T5WMangQBht3xeBUVUsbWyI3Q24jj2LIiDS8cHGA4LTSB16bGTOrK7ne1PpHoxbDAcDkncI6m4VP
6uRC9axzYThEqPlNSQVDFn4vLHHyGskCklOMRLxn8PlB5RPvSrqbNxuQN1hX82A0UzD2uFpd3Y1Z
GB6k+kdHMfyoWwQLxlZI/fU+UglS7OXwvdWFDy1Scm8Mzdxm4veaoOeBQcTkGt70JntmHZTERiCC
vzwwQHyD0fBArEXkQej4PhU6znkQDAeo6RAtOnQNGcO+3+KfcfvCOOai4kHNfAqj6LvVKhNS/6XG
U2NG7rLgzawgdnglq9WYZPk8C2mmKgDZhWZEKTPn3sq6vesU+dpY0ieMR3Q8svY+bYef69zzVfw1
JcwWGtpOcjLV57CEEEx3z0wpiiSDt4ovmBMp4SdNw8NDMatxeqzWmIDm0l2YCNmZBbw+Tz+teitx
0JF2JzVz0hbwglBFTNMTBx6ET0eYK14+I86SlotEieKAjAzHH/b4qcvBx7W1iziZ1RCa4MCqEQcn
BaL3DZa+Cuor4bA644GJySApvUVXK8+Sldah7jy5S6gyWODOpi/8S0sX0W3bJvf0BdUpxWlKHtIZ
ebni03xljF+adyRi/DwAjolhJ2P9xRPQp3HtyoN0yCSKQBPrcctgAr6OFDLACYLL+CYU1Z21Yn8T
xP7Y9ZMYNDXp7rW6wIgQz+k2kaT4tfHIE3qkVLVpxM0tEjApfZhZwp+nylXQzrkLU29o7SlzUlxJ
DsoaTAeTDsoCik+gJS3foGb9buBn/4aTSLvR4/FmGK3oTu7Co6VN2SOJZDRWW0KQL1POmIB/OvVl
gX7yJAIiL9RlPE/M7WQjqg5DcUJoWV86zHaW9q00zTc9r+qjuRjg5XvjpiYLy6JOf1ixth/gRl2m
Qmb5JHX5Db6qczEo80NByxAnfP+4RkJIplZpXtQhZn6luhMJ8/46qJZfG0yU6qJLKTkprINlVkcF
fqw1IZ6i02nnLyXZJA2eD2uQvuHAnb1OzdwyqwNhVKMHbU0+BkGhlFOt5VVRzdfaYE7+guvRE+vi
Z7mOLDHSroMCYr4h2ZLtqFbEJzlaQ6eH9iWXWXeskwThudnQcJ9vSyZcAZa5s6paz9XW7AhlLOlz
9QzPS7JprkVHZqU/5YpXU41o1s2ioGW0kl7Qp7iEqr5XaM1Kt2IEIAk0If6AmulKQmSHNEIbILWj
tAgBwdLhFCX+ddCSMfSQSqQVTJdoB4dpUflekbmjNmIG+ke60iocW0oyHjPUJKfWJJeuUnInjyvF
x/Q7eYrGFZoekul2ENaYTdTRseTP7TIzwQQMEZg2cB7UrAYJxJryg35079AevEMsr/qKmafOojc1
IMIW/WFJnmqqL4AJBMvJkpCPh+plotV0uGb1LpIKX8c2dA1CB/FC62oJo9tAJIG9hGTb01qUvciC
WVUT3TYk1v3QauRgRgra9NnUPYSpTtcUV6U2EVu/ZAFanYgsG5J7qnKgLUk/XIqBiFsRF90wXgy0
6vJ3OPuhEyOOyOW5RmeQnURGTsdMaIpS0M2Av5yAMBIjbcfq3FKFZA5NRdDt0u5ICEscKF5F9m5O
P5Oo7/ipxlGAz390Kjo3jogulfznjHoB5AAuNZhmNKCHB1lsAUqsyKOsVa/PVpyeiVU5lWP70hpF
6Y9bb1Alqpcsh/TXkgAKrSflx6xl4nEw10DNF1boTRS5fbf4DdbCS5upqBRnPABGEkMBFzLhIWx8
M9PclpgfOkJoR/QdDvRhCKUTzbV6qUgGcJGoqDbAbD/TNfkIKQkguoCljamq0nLxRj3jqCAehcFI
6J5NFFsny1vorPVd1zixXvMNjWGxUAbFHyn06CsktGYNy+sODAJW0+GUYq43MHyAnKQlLqBTcqiN
s0AwYoClBYvPyFA9uSUjD/9oeouI6lFElWZXiXydTyRS4OIq3VRuQl9q4Ge9yDPuQeozxUWlvy7M
6XdW2SZXV5jQYav9asxS8lITyaCUHIukiOiAJNtlo0NJbU0BF9DrMe99lWXpjdZhXhSkjjCmtnVy
PUJCO9SXUW+vRrL2DhBNzupY4T1eJdafq2RQOdhhTLx37TKPrj7CvTSiLubitUhuODbfjIWfCuTG
b7U41IQ6TNTLxe68drHsVugyXG3U1uuBdw49TR+oBv903Y2tDdhpJU85oqmWDCd0McdI7o+K1cis
cAXJoSDR0npg7ZpCWbTxkEM1iJBdbap5O07poOB+wgZUVN6SGsvtpIlMOsPO9MyhuaBa6Al+WW8F
vew8hVUYxqoaYQMmY8fqVFy2tbT446KTgCYbs4udjiWoYoZBNj6ljt6J8o1RCSlZPmJ3MGYUJDFc
jmFo8D4CkvCWmU5OPdIzMYvxPkIq+ACz45y1vG+NlIYBeQGkyQ9eJ4zP5BmT5RVpK5z91k0j6zzN
1jdtTX9IQ3xkXjhw6U1/3+znxr/fsJ8TwHNzRYBAaYqZ4Kk1zeid0r+hs1MDLx5iG3b3k/umMczU
wYozOUNbtn6FRDMENBikctoGwkpKOFcMjr9OGqD3goZrF/EY2+5+zy7kexb3NNkLw2D9PTFaABVr
F7r3/HVRruew4jKZiRXPYf+X4/3p7LtiATMZ7wEXkLIOvjbNiBXwt5PGwjw00dOfezBAw8sLVk28
bycyKVSt0nxB7vz9tq87kNSos2wl+bKjJfP5bKVoJQtxf+L7hvi0NjCG8TI2Scq0Xu+DQp7ZbG/7
xM8/Lwiy2fMKaKuSsacUB20NKyh0aPd0nVLodrSfInyxOnSR+qAWacEIGmWgHrLqlFBh7SnCYzar
AMAcx5A2a1NEbzr05/3Ps+2TqVWzBbP72Kl4+8GprGSfI3nYVXb/Y+F5XOqP//2/3t63dPkEh17y
s/9bOrGOXWN/qz49IC6xyX8PNV4I+Smjf/M3/0o0FtU/xE0eTVIaj7Vbcf408EiSxE0G7kQETSoK
xi//jvYHDR8VTeimCgUIiOTxX/4d8Q/MJQahWnxxRKS18n/Hv/N3EbsmooZFxK5YmiSr/DvKlvX2
my0DXiQ9TgvLrtK8xL0DjthuhEM50z25BUv02zvzb9w5uxnoSzL///9r/xC7Njjf6nnaDMJXy695
tPWnCsoS48UdAJO2tLXnCv7xFa2Ox6S21RdSvT8iPzmRbTfYLYw0J75MT9KFAviJ3PKtsoWOj9hY
779SlUoUo/+mmebJomjnc5MVRbXIkf6nZnqROqp5iAEAO4kUFZoVzNa2sSZlJqptU2+OERFmdQ+5
QCkfoWbPJ4FgFggjjdYGvTS1wb7HAN0z6WpVN5bxmCPnILVp4Mq6b0AOp4dQFV+bupwDatdzAFkb
QkpaV85+rgwn3aZ5W7tNallulnTA7rYiw2pSdmAJWQb7xtzh8sy5U09FTGQrGyE+2cdP1mtETm3H
418ZLNQXb0vYoYd9GAEfsTqVVNMfbYUm+Np8xukYqX6I1uoaTVfzmaIDIlTy0XEev061UkKK3YoJ
3eZNspC/UhkTc5EamVEzLg9DTTDzbESf1xTNmORjyYx3H8xIcqd4pu/b/YS4De2rOiYU76UFOFgb
+so4HqptFN+TXf6R9rIfdi1zNEk+aawdWVDEDNv7ML5v0M40AeQ3ErXEBFfwdjXag3g+w3m+jisU
4vAXwucmbzYspkzJLGN4b3u6wNRmxaQPD/upfhXwjpuyonukI3w3xaYLoj77ZY5pg/KVo/3Uvvk6
lJr0RZtoRAlNT/3pr2sBFcMZ/8T2yvdPxWyjC2CxxN9f71emTTgqZNrsJ0Uzqw/Fmj58vUI5E/DM
7sdGPxGJJCrDex3jDt+vreZc8yX9erH7nqRSyufn4AGw+zMRaN+DLDf6I0hKip60mw3tSRAhzuUJ
TPKOeexIH55PDV/EnAzEFCFZ4LHlPjqYQ/X0eahsWUGLL2/fBE0zuWBve/u3g0K3fJyoOOzn91N8
4jQvLb7zkZXxFjV7zhIy5tWR4l6wzW7cyvuCEfRWo9GC7TO6Kw0zOmWYpwA5IrtRCY4CWmKEbCOZ
g4Tcq2BS6UoCITka23PYv7Z7FNTn3jrcFRoT19++r2RU8a3dn1RXEbrWhe3V/myqv6Kf9kMtqbmy
/5UJFXaECCTVqsHE4EsTmgwVBcvSYD/cN/N2w9fhP+6SqzU08I70GLViLiQu6HMp4DB/op1ESIJV
UZfjq7vfum57/zgsQ5QeFqsLF7gyuSw52gSFhbREMCwPqEurAdZiePl6+H1vS844Dvn4eS+61vzq
5iV1WpX3i9pPEyzbZt/bz1GmZ/guAZ3T7o03ER13XKUhYi1j5d7nzb/dsxc/hFEgw2obs/aAoH0P
YVndvuy7CyASkvC22/dNY2pvMZcMGukCi5avG/a/br5Ofj3afh/BLCgWlGbq7u989tfbr0MG5Wcn
3w9xM50arrOrw28Emqe2DVFS0VikeZD5vb80gx7R5+vdX7SsjGhHIvH8eauqr4x38bKNep+3x7IJ
L0J5rhaWcnqqXMha9shSYsDa77vfaz+uJPnPR94P9xv2c58P99vflMJQ+AQuw9GXDV8RhQOGAH5k
/+5hvs7JE7Ezjtz27+jOaxdrlgO6FeTApG3qbeNtP0q3U+L2fc1jCvj7uQmLVrDvfW3+ea6YmZTr
mpL4Au/GxkTnHdj+rlzjX8v24v/t3+5/9nVLtf/d1/G+989/anuGX+fQkcSixduwyKPTivIvmjG1
N24XXIVmjjHX+RG18YsaojtPt6vevpm2qx4wD/CEAoULf0QEglJsiwvEXApppaU10C/oq7Y10r4x
WScoadEekBXVwddG3PLHvg73PaquH10ClnnZ/h0RtLlTduns7AFE5URqtNeDq7eViArnHg+zb/Z0
mK/D385tV702ayD37fE0KeVN1p+8yeVEqNqwAHzp0M2nU1McZIuA9nyoDixSX3k7xpMgiTDJ4tyH
qDZDVww0sRhJeRsf1BuV4JVg/5fGLUHI2H9BjVqBIc7gaZgz8VeJxtvTtqxKtcZAiUA8jNzTWSGV
qQ3GopuYsm27MZT+z00L29eO9YiFOUTCeVpCkKg/9/dGQ+0M56Gssf1RmNiWLPu7pG8XPRSzN6m1
pn7UdZqHb/nXkCrNeUhAPszmW9PF0QErLe7YbkHP4A5EbwSE0cUpP95um2HNEel+ljGwhBzr8J6k
ngZgA+e2rwMW+fzYzilPuBNW6zTJQKq5hNAO78gxy+50yXrqmesuS5QFyXSuWiljilTovhbFp0aL
5EASFOlzs0LBpsubHelKHcG0moByEBTK62NThOMhXYpgnOr7RGKCU0kGNTlhoupbGnep2taO3NOr
wX9YBPtmG2w/A5y+zomQQ1BJlfjS0rAI9s3nN2DfTfSMSXA2AU5BE8dqQ7g2YkOmYkgZoI3Vy4SG
yjFkSr+kuCGcB7jez9rWQkTjMpNrY+uDcaOvOTZZURu5oBbSr24WwT1vU7V9I+1X6S3/cD8slZH0
cR25QKW+17N0W6JsCTKYzyS5sdekxUyhMG7duOJHWPAKNuspn8xvx5bIYId8YzudWTEF3u2+JkPH
qLW5/3Vqv8fnY4AjIS+RlTXYqKjSnG67tjTbJs9NZWsBsYuYh+JkQjKboQ7MiMTJwp+w37XOmGPs
d9r35u3Kte993bDf7/NP1jl5J/GBjNrtYY2msXwTtpxeE6hobhtxLSlY7Md82SVbWsvCZf3eB/s5
QwCBj2rlAkJDO+2n9hvjaBq2ZX4fVEIWOWPD08sHfDWGKXot6MlTOWi3cwipmG8Kl3SZAByUiT7U
8Qxg6H6ubz8iM2o9UqcbtFbcTSskgYBnK4UIyuHXDV+H0w35iUBiJZpeBCnSMxYII7YlLFe+RC57
7kdIo5WzZHnEqk3P5YcJ1HvCb8LV0UdQ95hfs+y4R8lqwQN2x+J+Kex4psqObtcmaYpOLT3Jpb3v
pkubXG+rpJRqVLCMT4P8No6Y4zI/N71M9uLsSU1vpNTf1JQwndMbI/V7md8M6aVnc4SVTq+kvKDy
auYLFghEsaHlFuG5F06mhbT/LhKRA7rEDWWkZS2V0yJP5nUd9IB8CQfZI03q/ucauY1X/Gpip+39
AZGk8NrSPuL1P/TGSUtR6wEuBamcPcuICVI7cuNvuNWbH4jp1dQZ5Ucip3AFqpIz2FDyFdnpsRFS
XFZ8QzzoxYnOfUTwd2836g1WtvRbm9524o/8Cg+pfdGC+s200+vZrvmJOolDEmxA//11uXQulemD
8oYPbPQqV7jVGIlKG72LPzvmSX6X7kpvOmUvols/NS7RI0drteMb5TgeYSXbya3h6YKt37LoJN/n
ROnsSjrWP8CExT1iORsNckaiYwKg94TSRb8oo1sPB4kZdu9Wgh26PwhfvyH98bA+6lgMvexOuI4+
lnfq8L+qS3NB5gP9ySteSrp0LLO/9aWrXcuP3YvqfvTH9XwaXsMTzwqLj584PGHmIUF1Gyjz0SDr
hjQCvA1wbO3UcOncKpCyPL156dNjQpp2hF2Vht8Bc2l4sFAv5wVC8NYmV0V/INoGXr34rlZ3MVzG
7/TCBNHTFZIq3JlyLQXc4TizrE2d2YDt7DGv7xFZkDaNtE/qafC/tueLcQc19648kevyoM+AFD3L
S07SBEXqWVmPVUS+g8cIufLl+DYc1vASH6072UUucphfST7q3uVLlNpg/WE8R4lbz+5C6IerWzgJ
jvDmpvAE66fS77F/lm9KfRbXw3fAHql8V2a0A66ng/izFrx69byYK+n2H4mdyw/jHQ/nCDZNo3lh
G+I5ZCo8OcqNZNnZU7M4Z+1xFGzhLB1qt3rW3mOug0gWO75Jl/CeXHHjO9DIJXTyVwsJqLLdqNIp
O+LMfLTqi6wexQtzr7v8VfpAdE1lQvyB5yYPxjeUkWlzAfnE7Af4pFs7VoR8AGUIBg5AznYisWS0
5efS7/EWo3V40n+Md8Wt+dKcZvgKNFSQXFz4+RNcgNRzeqDPW5Be8R457YfFz0fySNMJK3eWDnkF
493nGfLwNMfIQJKulEC5gzU4z55VINixkw/xanoTfua3qlc5LNIe5ZfoPXukoQzOfBgcyrBOeJ09
N8/IaO6oDkSH2BvOGrE519Uxhzbxkp/U66flXnsQjspt+lFuHQUHyJ7mir8o+enBfMCARK9p8dtv
SD7vADWcxRMG3faJ3GG0t1ytTp0726onvIgo6g505e3BHR6TyWYslBxWBSm0vxwQodvTf2HIZgFx
N74WJ/RIyBtJB1ChmF4ilzH1mRx4CrgPFWldulN5BbJlW2b1O9myLR/ISb2zvmcurHJPd9dj9ooD
zhNqklBuFFrQiKkdBk03CsrOwSajOqFdXfi50Su+Vo7UhrVnvocXWK8w6j1KEpPNL1/GoHqdxo45
H3Ar3f0Mj9GFleexPBJngovSMW/7o3jCaji2hBvbKyOgQlqGLbvNA+/pqT/PJHZAzHNKvqnRMeE1
jFgOsK359S2OJrQtM/p4h4YF5XFI8NBVm2sDzYZj8j30Q8o7fuTRuPPT79NV1X5j7ZUKTsQjWgft
WaLDx3cPesPFdKNTc8FvE+hPKs/Zp9N4nDPnBvegcYYKQ2gE1xQA3i7cW8qRhN+m3sdyk12sN/U2
+xZdRX78Y4tru55JdnW+Ln9m2VDw2S+RCsMGMfD9keJRINIq8mMlvMbaVlOaY6USkuwbqNvaaJgm
BXbK1imQzRc9pfCvHVWdNBKlrpGnUQELxu1P9r1oW5Dse5Om9OXxc9cS8c6k+XjOVJzeyXaffF/d
/Od/rWSbkKWTWZT05DRXgw7+DnqlaWAJKg0WVLFFtNJfm7QVh0BQcqIStr39hq6rX4VK1Kkjmbgr
pxYT/LoeYkznp47KlTnR/FpXlZFy351Fao+dVjcIe1W8VF3MhHNCYeFE5jgTMWMgjSvKOGXcpQZB
JCPHocFNhpK7C2LVo97CTbJFtMUw7igV7Xt9vC0Kvo5bmjZ+EotnfVRz8rhaLMVb+qq4bQy62Z97
X+cka5z8oh1uQ3F0E4kvv77wAbM8YaXblFLtLqkkkGd4E4GoAc6eMwdBAndK47bzh20uvW/6TLtu
FkE6TFtw79cm2paCX4fyBCAgHsWbvcq2t5T2vXbPkf06iaYyoT3cbkh7VoG6PACBX1USC6kE91tJ
cN/bvfxJRnJYEcNN1qUH5EDhwbQoTdXzmDlLzWUiHOoGJqCEWF1hPB6eiMmbtvAO/GCz5X8VkERy
mJ0l07cfYzIUdtKQi1usVGKUvmVUx0iLlIKZ54ABdNYG5fNQnJIttkO7s8bwkcaqGMTFPDFnW6XH
ujUbOo18EegDzIElzYqvJOYxWrdPuFW152KpTW/METg76VavUzPsrka4EQe3tFxr++S+Nl/n0Cwu
Jzm8ALkuAggZBNmpQ7W4i9rQj+6uDVY9CnR/oLxcsPcS3UYxc7RxZNTbyslqt1WRPovHX8Vkwkte
NQ1RnyhUKLWqWQngF0LcRMiImvHH0meozCcAMoeqw0cKRI+VGxuxIP5OpHXctWj+9xbb/gHvm69D
uDIJL5KFocicfP94ibNG2LKgrnekxiK3YJlMKNEm5Z29dfi52WrIGuBhLkcRiHIL36PSQFH8rfe5
9wg/j01xLj7RKv/TjPsvmnGSuHGe/nOc3v/N37rs7fdW3Odf/KsTJ1t/WIZs6pYJXU4F9vUvlB56
jT9gxEg06DTZkum6/dWJM6Q/FJVOm2qopqZo0gZo+bMTp3ETPT1uVRQIVDKQvf/zH59twj+bYd0/
jn9HxwF9+VvDaXs+kixpKqODyQsluejvvTgTwQu2M1H9WLv+VzsvEdZSDU/LkOcufuQVuikxRFKf
vjflIG8xEcpdCxH1JBnG6Ff0x+Z4mu+ieFy9YcDjamla9dC2Y3eHvdFG+Fg/7JtoAEWNDETz42ip
H6IG+P2gmbeGIaWsoUa6VV0mjhSu+QvqQwhZyWew1zVCnFHnGBSSMbpacUt0ebXxuv/cGKTgXJlx
j4NsSVAtdVSn3K+b9739PvveOBoCXvTPB9lPl3L4hJhnOKgRMcFd3EgvuSFdE88xfEhAcxdpGL4v
7YxHcP5/hJ3XkuO4skW/iBG0IPkqWypJJZXK9wuj3aH3nl9/F6GeUXfN3HMiZhBAIkFVy5BA5s69
LUEoKYa/TjWg9QU9+2Sq3bQobcoE0OcR3AHyCoy8Vx7Nxiso+vVebiZpl83NVjrJui4tl0Q+i6Bd
rg99+wjbt2C7XRbDnkzVsK+pgdnLId80VN+q9B92R48BcOdFUvI24i2b6zgfYubkhajs21UJJxpb
+lvXVciQ7dADbReAkTtSnnUN3TQsxSZ6MFK7Zq90rTUfrGH+jkcf8PLnrhem6d4slGTnLg07XleZ
0x9FlsLlO/cgu4BoyqnraD/Pyomm5FSUWY2zUSOF6tq4Kj/CydPB5HSE2xD4eS/ipQ/w+sP1Cp8K
Lp7MbjsAF4YrpIdd8UPTQneZVcDBnag1XzU2knZflB+DLrI7eCgI481ufag+5rlpXMgn9r8tL/3O
XCqGT6GH3VoI6SlaeO845fk69MLYfBAe/NGpJ7qtyFQF3UjnBBuixw+E4nywRAqZVdc52Vrunqy5
cYUGJglCxJu9DTLv3tb9R2mSTTtNLkUoMduOtP91jQA2ETa7Q7qhqKo/tHPTETBD7apL1srA9+vT
hHS52eowhWw7oFxUyj3UhokkZ12+yVE7mQ3o9b/FIH4bU4zPVAv17B72btQFWtNY3TyzKuXQYnW6
vb8Zw2Ykr8fJoGvC5iIbFZQWRAU2egVtc2k5HO+RnnksUzf6AeXMAyqQKQdXTnxJ4fovY50aqzC3
dRQjgmkrBioLvAiUsQ3PMlwubrv31ULpX4Km9Sg411PlIahVak7KkZ17N4bna0Pk8pAh7fKbaZ5U
nNJaIncN6dTfviHbgfMPfRiCX2vnmTSqvXWUQfwTUZSzQB8LwWnNfe74B11kA7+4smpFYK5vttCb
Di5ykse0HZoLMkYIHTrKdZFHYcOOhCCHmlw3D247ZYeYdMo8AAJOxcNv3WCszcPosg/yKzY/cqaf
PSNdCbqFGXiwHxmaTW5ODR4c4GbwwpnHqOW+x0YG7pzZjqIJds8hA5+Nsbm9+rWT92s+rZGFTDXC
ZEGzVRpTvUCtNF7slexfm14vCImPNmWTMSG42QktwVf48Ehvz6bBTzmK2/H7bVETIFXy6aLQKM3e
OQJZUPkbfIxBdnbQTZlUvT168O6cr6a4rTcRxPNLOUy0Oju7o87h/y/fm92iwHdDygeNO37T7EvB
CJOm94491R7EEqz0O2zYipJM31SIKqhUTeMj5H44WL+eCv/bYT4QAS74HwgUsnefHrKu6hq6Jhz+
t0yDrPyfD1lQzVre1JP1U5AzuGt4Yw8g77SDbrmd2MBsLbZl2rwocG62i5Q87LoJp3wLaZ12aYmg
joNunUhCqRetg3hZRUYWgkUmpS3wCUPBsRFQKh5aRy2NdinqCUQMougbytgBcsvVtpj8rzECds9J
Vw6PxYgszjySTT/Lnrfpr0ERHtRgCs9N0CvPVkPhFsyzSI7P7gVF+pwPUEaWQ4RBCZbnlHlETnZK
Eku55wRMECpRo7cpKc9+kEY/NDV8j2Ow3KgZouEWxvZm1JwDOuBiWcCCdw5hmNxWiRHee3UHC0M6
FWvhqdmLlhXFIqiHeDsm1O6jvRffw90PeLLroCltaQArgTlHKXM3DtE8hMYjnfyDHEk3hyD8Kil4
6bG2zcvVDWIuog0ItaRndMXN7YAKMwX6of1i2epJVH73zfORc+fbNZ0pR572LWwRKycd8m/eQ29r
gETTmnBjUrD9aWLx8Nsm8l9gS2icff7S2LarWbZpQXdhwNf96UtjRyBnyZv7P3obuYUEuvRL52vT
o0G8I9I53qGNOMDaXp6FM6ab0aubNQJy6TMY+OZgg/1e9Agc740S2gQFOfc99xNlz14UnHQKFwQY
C486qr8mZE/apJ8cfrLd1n6a+Dfnm40dpk6Fn71LQj2j6Ni0joUZKzttVnmiWLY7p0QSloGpmO+j
3T65EAr8p+qJ7EOE9b0NUg2Ylm9YB4hiCGvbtXHfVypRcDmmQNul+G62XrvSKhqr3upBeLi6zwul
3dV7Yk6cAA89+OW7UlfrXeGlxcmNiDWkseG+O3lzGrXc+xkq2VbrymKXuiIFzdurDwmq6Os+6upl
3aUMm3RCPnbuIoJ0igoRg4rAT5pGDyIJavV5zMV2yqPB+jZAS4QkIr+1KU8DRBo7Y+1FavxI3iV+
VItGxcauoCI3+kjJWPzomHCBosUEXdVsk36mQhlw6nQAvOZlsumdEhm5aHy/mcyhS482DNgGb/lK
rwA+4T7XlMTGS0xyMEWWfC8b0wDt4CUIGWbzDuE2IXvSBnnGrGD2L9NtFesk+gIUgf++oOw1OoSW
C1EbX6ekrw7C9X+a1I49DE5rvdpIU/pIPT5rk98/oVi9TiNLuRScvA+Fa/hLjYzXNwpQ7zzf0d9s
ND8JnvjJrocvGvrZ7rt00OPkZ2FZ9ZNrheXOHE0SIoqhvFWtszWLXvvmej4hDN3tTyJ2igNPn2kl
J4ibZvHWn5XDMpjGl7k3+ccYLYPjKKDKXyEbt+tr3X9gaxw8AS8/h3mgHktK5Z60XHHvIrsL0N5j
UjadUp2RDFCPcnTzKNE/eZKr/r6G9OD0712v0UQ+2A891alvhp6OenrPgRhg7ka55hB/c/7sDuep
H5Ut0izBGnEa5dVDAmnFMc66M9BUfYWyMmOrytNAzgqoexTbUZ6COFMuPXJPkFYprx3F2P+DWnTG
iBY3tKVpqzzoLMiGwXhCpMS59s9HnRfEQ6iQTP4Z6253zvUOTSIkdL4VcbDvAFoj0fyghSlEaR3C
RQDWkW2gIvi+iZRDkDhTuqQkHv65gli+fLo5cWLc12OQ3IddlrsbKDMpMbNn1F6c9f+DP9b4kxmV
P98yhGNpFuzcEGhZnymeFQ2EVw417ncfblNRgYOgsjPuZkVC4v9y7IZBcK5LsyZR1+REJmcnp3SK
I0p9a7sZY2cRQFl0nlTALSNhwZVc0sQUg1f5ZIKP6SPkTCiYySp9XBmKiE7SJhsBb+62DlXKV+cJ
a27sSve3nTN5Y/8/Nidz/OHTB2bw7zRdYWkOjxnnE48pRYclxS2D90PpoyMMh/nrMGYc1B3jvTaK
dpf1vgPPiWG+Rypn9K4DSTuHCJ5LpHMmrzDfAdqFdyGEgWs59Nr8R2LU1dlwFOXRtvyn62q03jdm
Q1W9vHbp5o+1ejTDFqG6L+FAZFMKxKq8I1SfzFqx13Fj/+pBIlyAZ58Jtpu8Vdb5mHXUZ+QRMqxu
S/Q8EJDvUR6B5OgudiwKNAiCOvswse1rEw11Xy3kuI+ccjUVukbhFVAc+bw3PSgtqA14NzWoUwY9
H3ZuXlRP3DV+SIeK+xkJNMW5TFMCdSIcB5saupaPBOITM3Tjr3UdxJt44KZuTY3+AkpO3WQAFtdU
J/4+NEeyvxGCc6lt+kdZFyh7sgnA9C0cx2k3nyZC1IT+B02xmMm7//y9GpzyDZVnrWED/P5E7q0Z
/qi6QyR+EMWsxIMVtqRgRHUcUhU9wXC8gOGigecYnJYebKx5KCcSpVlHuhivbn5NgjLwk5Z6fGLy
GjSO6BbqzmMEh8hjXAXuXm3T1y53vEdz6r3HUYOPy0LNGsXe3CZDDu/eMhYRSad5hXScfP+NJ4q1
lyukXUA+x1WlIfNNR15VjuQKedUUrSuKtf+6SjBWxjKyYDaUfiEx+dKnJM5AJJFgeoz4q+zOjezJ
podJ6R48BIc42UW4ZAUTrnXXxrBt//fNHrj3f3wMhPpMzTVMIjgGAcM/b5s6tKlxAQLqByqm1RK6
pviUVsnFRXfn3i78+CQbYB7xKQrJRedoJ2+kTfrKXtUgMNyT00C+jRW3iaHsm10XjO+f7ONQxQ9F
//TJjLh1fNL96NDkY7C/XUa61UpEAWViKNdXl7ZrA0pxXbfNLB7319/7awXgVx3V4MWniQzd1aPP
ie5mv72YoqGalGnKXk5Ke2g2oJMcoDtpVnYcdgIaGY+/jj93pYMH2Ap0+Oz7W/e3ZchulWSrPl9s
HjdKgdx1ocwsDgMidWriHGWPlKFutsPRitqncPCfDL9CWC+vy4XTA4mzgmYk/ZrPEqjzjCDwepDD
kYjcpkElahFHAEtd9JZfal17m+ApuxBzGx7s3IY3SJnUjwSWlaXWxQiF+k72XCT6XtoJH5CWbZyC
tE+ofejiAiqxekeIWcB3XCkr6fUvV9WoJFj99y+uLv75+HDhd0SewdJ5hnA/+/OLG+W5BjRMT38Q
5uETFt4Ab12rO8e4rzYNLNfIlTPKIz1QqURIkzUx5mYpjb/N9NEdpJPlUZqakbwm4slAcFBi6Fc3
52Hy3atPXcTpYYygBEUdYksSql3oqPiGkF8/UMjgPLrCYcdn21RpZ+6jNGVNVt9T9xYtqEx2HiE1
ch6LSVSbNFLSlbRJv7hxyLgJ0W6lrU/8fcoOZOdUmYVEW2/tZe/WSJuAfHHDLZryztnP1sukunb/
bd1v01bcj3eKy/E9ROTi0/U/Df/tUmXNI3EUFLH/8y9zm8a+T3iP9pM6KAdk15SD7IVh/drFkDV8
sg+z281mUGe5QEF43owROb+t/+TXw7W+rChQX32ayPMS3gp5wZqa3pXDX0tO/m+jvKIgKHjnEjkM
Wsvce3Fv7gnKRfvJRTMPRdqNAlySqCqNM8ASDIwAQhbpd1tBvPHR89RxezPdll19zW3oPaHFrh4c
/pY1NbD9a6NbH8Yc7I+psW2IrHwVXQTxgxWUW49Y7Xnwk3UlnPKLM1LumYwVZ6q2tA9BbcMcPYvS
uYSmZKBDoOC7UGayxwFq1ju7jJq7LIJDMym9k+5Nd4VjF69KXfunImk+Ui8vXyOUew8tJYREmRm2
YWDv0rjSl1fftIWEtJ2iWTqzfO2rnWIf0jCnnhdtvLMxRNVuVAUEOEinP/U5QXyS+PYP1f2InAHe
8BJeUU8Jp4tTTs6uixxqmmJjfqK306UwbXshIghqpc2K6uk8hs51gTSR3mhhj4C91vej6SKvRDn3
o1vkwVF6dEPOP5Cg3tr3yn4pXFh3ulnUD1gHN0BYXam5sj3iXqNWErzgfigbOXu7M94m0OHdWDqR
+JsJQkMucruh3l7pZpPe2t+X9+60nXxug0zgOd648VyMwBP+Op4f7mAmyeJo3vFmuj3+tX/ZDUi/
2+bg0+Vua3kLkl+vZmp98D82C8Y/jliz8IuY/9Mdi8zifEv+rXzOgLa6cqO4/m5W/k4XYXFICk/f
tGX0c6jcSd1YZV0crl3ffWsKila4U6rfIWV4pu5avGoBFCzeYLn72rXrIxtc5EAr2PBAfwd7G7Zq
lGNFd5wGw30WqQ7Jqeq8w3aZ3XW2CSm0Hbjvjdl+LbxanJPcTx591/8grP/4358vcw70z+2p5WiW
i1wFmyP1n0pfMLc7+qCr2XcRDSYi9oO4ePBAT3EgznJExaK+zYhcQOwyltBaiByaAg5jcjbtRQVp
QEqRr2ubmxgtAJjkJ5QnxtJDqYJeYfSnTp0IRM0jMp6iWsiubCzQ+WIa1fseDnySEsK7L5Wu2jdx
oyIU2DSnIBx45BKFeIa4zV+2bmEuqFEOlkHtKLyuFfoHX9AQSVX2sidtk6lHu9b2oOZh8pOb9G3j
zq8Xclqp5muFYffgj2H5wibM2thOmG2mCEbzZgSHnphefS+HpqG9KYprneRIBWw1TM2rO6jQm5bT
Y61k0d1//5i0z2lkzs0uX0i2Byp7W137HKz0AP8PBUqI30LFgpU/U74AGcoeZeNZMGFnSXTmz4Rs
k9O/egxVan5GkT2GVpQ9Vq2fIuSQLl2l9GCi9nxxphyrC7twJKv81eoV7ySvhQJARkhspp4xq4fb
a6BCsh8c7jfyetKuhNWLj35VE+vTY1v4LR+/5+5bD7a0PGqmTeIJ/ZJEsBsgE9R/7RsNVrnc/I+T
wBOVCOer3gsX7QPXfxqjqaHyLvP2UO2hN11Vzgqex4dbOsicYFhtDS3+PUVUiQtSYMZBpogQeGyP
iVb+66KwbdRkGbLAnhfI6yrO0B7nV2koRUzAhSDdc3sFSynPodX3y6LMm0ualu2xCquHMFabizTx
o4AzLTBg1509tM7NN4RR4G1alaMtDqZX/YRTBekCI3QfoQ146vlVvVeinjbtwNMvg7fsHSLqY9e5
0NOkQXKqemoPitnepRAjmTAnQJWOLHEUJ+GKyB0MKmMCq32vHG9NoIpfw6oZXry4I8aOlkdnwNT1
V6N7prFPWguUkQcD6Y4q2JW0SZexSY19UAfaNlY5OVdR3r7p3yu7M97UphyPaamSuJ6HigI1eWUg
Syyq0HijDKNa9F3mP/xagwSxedH8QGxRrisfHKM0lwn/jO+1OE5qoX4J4XjqKQiFb7zNn8TIYV+N
si/laI3QnSjmvd034wvghzsk3LIvsKFoa5iI0x3UZeF7BAxB+qeBZvPrLEw2WCx3rcW8+COjOuWO
QG57LZX/A9jxO5BD02DY/HSv5FdnWzJq5Tq6c81C/fZcsHykM9K2yr85NScao3DESZsb1FCGJdVA
0Uba+raoSCZSAVk5PCdufoFT9Hsv8Q5lbzR7h1DIogVHtfXH1n1DMXUddfr0NXLBKMMp4x9M1P7u
jTHb+YpenTNL8EDKxA6mkPosTY0ZudvOqrXFzSYnrEnwA066o+exsqxcgLFpjoCqqnM0gvh42JMu
6Pfo7JoknsGRyKHvF1FJFG7s99eutApRw+Hym4PsFqANkygadnLUzFe7es+rITKaFpEXi31nKgRK
of19MocgvKtjh1jfmKkXH5mIRQbVxtKCmWMT1XlwkI2H42EsMuiSQ6jDbzbZc+bZ/9dmxEjgeOL5
5iVdyZGNS0ft4CQtapUUZGuvFaVUgVknNnT8wqOyeD6sePNRRhQNNaEaEJXZNNpJflJSVFznkTTV
XZbck5igHFT3kC62ex77HMuMvB4/yirx70wf3ue2EONHEAZ7ne3Us5fEJmk/A47d2Y0PxlpkThw+
oGFsXKDHvkg7aJh+XY22v5NDnRNONKUfVoSe2swQFVFLH1l1vejGIHhu5qbT1gPonqerJUiNhQ/P
130gKusUI2m9D6xmr89qhVKyUDH5bJKgjyjpFBX1xT5MvxGKNXIW3nvQDepY7BQ2Dqsx8sMHYCrV
fQ235LbJ4vaiTyCMObB63+BHX4aN6f0UonwjJV299XUPRnteVFKYDCO5mGUNUaBZQGnDQUl27Ywz
07WBIRg5oHlsqJ63LaJqgEYmKI2VbpkOWSiw+mYTq1uk7OuFo6R3MreTwfVG+sAftzLxA29IvwMA
c++AynljE5FAgegmRy9wpicCmg/Qs2kfvpdZ67hRhpU5QU9swZJ4DszGPWgWfNTzqCxy+yx7Dphx
F8biBycJyUoAwIbV3YMAdL7xOlRD3TV6+CHvuxaikr8m5DidBmobCn3/6f4cWsalh1wQOfGw4BmV
euvAzftHO4/ylQ/H3Uvikuht4jT4MHPxw6bS6fuQj/edk3o+KOBHJZ5mLWcGqJp4D7JxSpGiXYD2
hN1ZxnVCUSzvIc+093AySGbLCaV19Yei7FBOcVXqVycaimkPcug0yUTB1TyualHflTbgcOk3m66z
cszPQ70ukX58xc7yUsNMUlYl+UoLoN+fImoSZaMRmgf2dRE5GSgvQr6oF3G1lXM+VF/HQute5Kj1
su6prKJvFuTDS80gBFg4lneSjVtG9coBhrK+2VoRK6feczd+WovDzW7HUAwrdveTV1JOulpyAuNe
ngJ0t8APz0bprGZdtKui7CG282YHECR5H2E9bayU3Bch1nPbRt+kOQrNeBunTbuRw44vOiRXQXgS
KMw8u41CnTqrG8emBjIJgdtrTvIeD8gHjTEwYEfzOfaJXPuSK/CS5QU3gmwY3XORpUDKqLb86sWk
4YHv+I9gn4AtGL3H39v1GzjkwALPeuWyiVFtLBB6/ms8KBMMVgi0r7rZlsppPyrafSz0Zq8B9N61
CfLdZaRkZ9tV0mVdKeGPZkKDqxm+k+MdYL0P21Me1YLMasszDD7z1yEdHqVnqKuvcI87L5Y2jhsl
8ZJ7N1A/XQtdeQieRXG2+wkR1ESzS0jB6ZpDTNWG7A5muAV37+9U9I0BkH9vbT6Z2hXdzvZF+VKm
KI6KpIcRhzTPi+pRntrzBNmwba1e8hFVGyeAxVTOumnPc9+z1JWctZ2Kag+RUa8+O9cptzQTQgjE
PRgCCM8Obcc+RQ4zPjA7MaGRnMqAQFUX/HRd0Flej7KC6hG6cBz7S+Rl0F5rToZITq2sLU/z+G10
6K04gY+0+RLMuJbENrD0Ilj3bq4/m1mjLRq7GL/WjbpvK0P5Eusm+hmG/yzqwDlPxrgmQ0ZpE1WD
H56o06MOu8Vzrobd2mpNHxpeM9uRgh33OZJ8EEkfZKOR77v25LDV7JSKV5qbi+IJhHssmH6nxh83
WhatVeCde9kQB272ZgBv8KJxBOmd1FG2Cvz2UEP0VKLNTe6m4a7Lmq83k+xNSgWyPcy1OyVNm1Vo
It6S6lBjW2b8jKRNuZd2f7ZHKnxp8fg0dJWx74HsrCo01ZcBZMkPhFfzB9lT7Sp/SLrx1+w4D6VN
zroJUJge9ZN3E8a9pT6q1oMhhvpYkQBaKkVdfkPwZzkVIv0YKbze1Hra7ayi1J8Kw/+qT+yAgYve
BW5TPaA3Wj3Ink70a8UhWyyJHPE5KQ7TcsYREckt36q4HWO7TcjFYw0brGGP2VZOSNv1CpYePtls
0bamXh9cHmMgdMMT+Dpy1qVjXIdIR/TXIaxnsD0rxaFHRfo+nyoUwSBVJj5ix+epQDzH1FX+dI7L
lPMO7blubBgctdAiQRoZL5ljlUToEJCs/hwqleg3MLsXh/Sr5+R8icsUzjg9Dz86wxwgQwRRbDaJ
2AxlY+7zBOo1tx0RNHTU4hG4BnqBpSAcHAYQUNhlcoJQ+jULM3VnzCNpgiwpOSV2C+kZqmabzCIV
ztvCtNSfh3WHN7Yqj04hgovWdwhACOoqgTS3HwGC1Okk2mct7OxDAev1Uk/L7qOhan8xtOFwDHUx
PTW6eUQ8tP3QszzdDKEOeGReDn5noUCR/FgqETR+JO4JUDj3Mm8vGzvI3OtQTuQyrX/zgaE6WGUW
EhZKaz7pZrTpkq55S/h97lPgVksPhaK3CDbkTR8oznWWj5K6ubK3D3JWpXIlM1Ln2WxK75yV4Pog
OT3mqgdNbpJ7Z5KU0TEXZHPnkTTJJss+xkEYJxOg4HlS3GKHJthZjRHKLfU033llXb/qqWWiUlgh
xzcP4WD82oy99SBHmaffqWoZXeTIUda+PbRPyMeEy6gsVwYajYca5tLDnLHqFtSe/BpLY9gPHnzr
dbK+OcqJT8PWzg2wYTBK/H096fZvvv92zaYkI0h1RsA+JLFOre6Hd0YVNouQwEq8RnbHWYaorqzV
+G0UrfjRdPysTAMhIYJppzJMlI/ahU1+Mgz/0s/f1q5Xkd5OCuLQea9ttFGNIVQk6jtoWUq1IMlp
tCvHL74VnSpfKZ6lPQzQQ5H2TEtOFvuki959bdIwOJcDYbeiGKpvjUWNWzT4r5ZXs1nPOIPVozO+
VsQfpIMikvnub8KgTYHSQUxtwe/Dr79l1szQr7VfUkWY6ypy8nstSPqLGCL0vuZrO0iw+3paPA1+
bezM1k42Nd/xjynvltLBqJBUHJqpIDVn2ihVzNV588o+Me+CnPpEEn3RQonAgksUuGwk/jsltL6X
vdvEJ79PQ+lchgGlgmKgKHoGmN8u8Ol6t9fQ2dCDzJugBBYQYVsQn9zV5dh8ONUGdtb4S4169NZJ
+JgizYm/EORZdp49Egs1JhANJUyzsxssLQeXIMqzJ5IQBRSFktlmrPZDb1f7UI3r/W3YzTYYCFo2
OHNXjq+Ofy+52YocxuA8rrzVvzkHUMLdVVYIqIyi5TA2+Bborvbc1tH3oLCyozmPqtGxlnEP40aj
eMZCCXlkBYsc3uelDCjx9lgoL4TebyEnZwj3ZSiCa5DJcYm8RXX4do0g3RZcx5Hi7+vZWUUrE3ph
K4BgF1LExG8Dzo4IScnebFPMqPyPaVA7BUHgwRA2x5K5kcNbk/sA3xvt583yyYuiQGs5NRTnzsfF
osrrSzxj40awRMD5mvZeDqHLMNlcxu7K7bPsWVQOgqCm8gGnhrMojYkS9zzRjooWq8glutlHUkL9
EHviB2pHr4bw+9fMF9barGp9H6W2emzDUoWSaAQUWaTKvY6Czc72ECfJDKGchNn9agbTdBY9p5at
0BL/LCcapW9OaruRgzEyPRuu/6rfELS7R6UVUR6fqn5fjX9qlOYFbvKfLgx+hqpDrkeJORUE03QM
SE3dV1OfbicHvg6gicFy4gH9LYGHWy5ij3RuCle8q7UZrVzkFk+tAEhuDCbaOBXMpC78IcrUfIOF
TSKewxLJmyEtwwcxo/o0ynJGhIQeTSWh8NfM9G8QhZ2CJvZetCY0t5Zqsn+NterFdLxLnYniy2Bb
L5Oa5hc77rKLajtsFEoDnep5KCeUqkYctusepAmqXnLZpMUa443TMigArfihxfVblXoUu9g1JKyu
P8BcEU8njoaUeodD9h3tDWeKyx8pNK2oBWjxY+Ip5Y4/HbFM0sfPQYPClHSpR7E1Gq3/oJRDrHw4
0g+TqzsH+JjsVdtNzYfVpXfydQmI80Vlj3oprEqsazjrHgYx/WpywE57VI8pp/jL7jpDRDApAuFf
cmxa3pxvPmNPuiAfNWrMY+sx9NRoG82cwWz1oEhAmf3uOnRqByJm/hFyOGkRKpNeMt3LIXqmiGrV
qrsnmBa8Wg3Z/lKLq6OchcftnYC0/cCtNHzlGPxQDHZ7vl6ItLOf+vFFLtQMsfCg8nlsR/SO5cM7
BXTWx+iGyYe2tLV9RA6xEsebSdoByfUl0eRG+DsOfFFzMas22ALX/Ko1HfDRckzKXZ5M3wEOT3et
WqcnlBFVoMEGqchRgz0lrt0fIylXHU5K9m5G/dASSf4SZkjVqVPZXjxvPggi4HYQXp/t4T+PtoWW
NY9E1VUU32OUfSYq94U3gmwpwVoXrhVdZOO2yU4FF/RwHYU1cVqh7OCKia8OiE9OWyNCJNWGss5v
dQQl4+EoG09vkHKW3dF97yA0nGrfe809O9j3NUVlZjy5r6E+uhs9s4ONPg/d3rMpaNXcnZytjORH
kZnOg1xqJUgsIGT2TOCjuBiJdXUSTqEfCiOeFnJN7ovkLkszf602/toz2ZpMsxZLn4+uthmLWdyC
uxOUERSGcioM64Ma5VSlyakcqauF9DfkR0AFLGIKSQq30ixMo7UOpdZG+ihHueU3pz/tqt6PFns/
fPUkQUMcXyPQ66sbmNXfriHt0jSEY38gVPWSQ7sjD0NksfR115JRtvU0fBum5GpP1UFfC1QWdog3
hm9/+kt7V+X5c+Vz5ECBat92LSjyuYfil7LXE2p1lJhg+TAqEF/M9FfX7+385YXy0kD5uNxLk2M7
7ll+ZSvvviHDtyuLUqlIr/Rv/+/2Tk7ojfWzqLWAfdEf+8nb9rCNe43YsyTzeSdo0sOVgc6LZ0Xu
2p6HQdifiI+yEYKB5+jXpHqkHaEIvtjVxLMN+bfnjn0+2oBoFxkvCoLzFLkhbaqkqvIR69C8eJ2F
mK+BaJ5bcRCY7cJhI8fRvCCg5XZrPe/Efa+63j1fPQLdf9dt1JoNlXs8Nnf+XNrBfkM5e4g8ypGs
/SgitdpMvT6spC21LWjyo7Zea2W3Bpqhn6uhsp6iBJ1Cy63KLW+v9UTQXIUmx4BMoVDMJ+ny94IB
cCNHZegGIOBOnwfIhyYdKRSES6n/qLgn5mn0HCk9Ffu1fd9B+2sssmbwHlI79SgzSs+DNVMz5wFU
TEmz71BKZf/QHMcZnCYbfT54ocv+7vVdvZOmaD6gBXMjCGotwT/GJGhI4SmTh7q14o/uKstb7R7J
muN1KOOHZlwcw0Lo93JUTTo3VAfSAfKEWzZB3pNsADi+GYMoKStwvacphsyPzbuNtCPD1mPHYhbK
FxMdA/Sg0LpidzWepW8euu4SLRTlejUjnOPOdmRRS1oqT4be6U/T96FXRbVEul1FYSLs7pHGmOVQ
XbEzo9cMtMp/VI9aFddq3n0I+Fc2kqoirM2VHqUcr8O4IYlhigdVi+rHKjOrRy1or6Ys6ziPzx7N
0NgPclK6zSbH0+6p7SjuOAECKKMc2DnYaOdWcBWET2qlQkcy+ujL6DPsQU5fPUttmlaDYSBwdFsp
nSwfrpMemcyBsNqlqo3H1DTH90nlqE/4CAmZeUi9wJeEm9e5Dqerl9YQU3MaYOchB8W5YU/Dl3Hq
gNH+bcv8DAH6mJxF7jemAuH+tOhgaIqGiG1pj9aQN4hgL4eymXI/I62E0FSZFzN/z+yoJUoQbGQ3
BpEilrIrVzYb8pvFXVPD5ZMEXX3x0bSkGs7ufgAUoqN336DSBAxQGfWpQXP93td4PMFlC9CuU76Q
muh+QG3PIV17TBNIHVI/bf1t21mk0EOy/U5WBUdidWyouhYRnR5lGL3KjJeOCoY0sdSzlanGy8Ao
nkdyrqfiRs6ps+c8V1Sxdp375zo5p82I4L/XmW4CtjqIA+Rfi3ppDBkZtdFrd2Cu+y2PgeIpNxCG
zGdwz/9xdh5LjutMFn4iRtCBZitX8iqVr94w2tJ7z6efj1Df1v17zGI2CCITgDwFZJ48x1LQWCUm
GFnNuk1D81sPSmgxtqn+qExVfkAOKF9rINhh9/2hFROqD/78kcM+Sy43jM+ALvWldGhGsLQ0jkJV
z4+mqgNjH4pZ0xklhIVcO4n6C7yn4VugETbRey3fag2CZUB6Yja9pthHZSr2ddL9vhqsfOspiESi
iTXDYOYhd6+8uk8LzAJpdmSHz2zXF0NpWB++rY8PRRwPD4ObeB8DlJpBZqZf+ZuCEVBL473F7fmF
t+nR4sa38ANYYMpo6l68KgCqFbfqxh2V7kWJYriRgzpbSm+n1tQjEo4wMttriIFBddMa8ZOgvPaF
OnkCwbBsHO4r1Tbo7XxemPEoKBvVofLi9pi6rtRkU5aF7NY2H/7cdI6FiKa8vA2cjbESvWl8kyAh
+2ecvCon/wr2jFL7onrjtl//quaYA5UNP9jyoogWuslLYdk+cFIkDuoBdW4UNCM0E4dzXNnDtbPT
8Tok8N8LgALSJBsxC4UFdXuRPSLYw/XmlROCih1CB03TfY3K5fadlMP+vkZoOiN6F9WbNKXcSs5a
0QMSmkuBgWvbB0hu7EMzN/duqvjvodqED76sKJYOUO5qszHn6mHZl00de/BBRiWSPyzw96r/6keh
/1TqpkNBuki3GogydDAU9c3UgWFYjdZBztJob4gsl0BvBgHdppbsxjm47usglYIszDdJFqCsZLtw
ErWWtgqsLHmNMlQWLWhclmOvJq+IEAeImxnV4tYNqFLS3fxV9koFLKtbQh8yuTFkKhFkkfLq3iih
Q4pE9iNyWc5tZA0H6yFqEFUJixYxDKV98VwUY1O/6V9DxEn21eCgIDd3I0skh0yHAq1U0+E1D6Bi
8Ew0XqXXHhTU1gdYoRJL9K996IgTlBLfs7mXEe44R9H4Jn1NmRgXNywe5cTY94zH0UeSfR6ZmKG4
lraykb68KOwnz4dpYPa5Gf94TfZTugYziF817kZ+FI7LKEZBNzVf5LhsbBfIe03P8rHtHrmwaHBW
QVvD0dBa2avXj2h1kqoEO5+/TkHzruZufZY+JwIUq0dDfJROfubpMnWrCIoWZip2mK+QCM/hN6Kb
d8QJsgFFV0T9yPsXziHzivBU/GczjqtO7bWjNE9tBWMYwnC/h0Ua9VNQOKxaP9TrlRwD3wBjpmaa
toleXX935UTpl7MjdNE2XmDCZFPAz1BYvbpnO0DMib9sID0iMRAsdAYEA41y1SBJyEc1G3s0xEFh
ykEo1KxMdSK42OvT6d5Mg6+e9AjtdhB+O23uSae0o83ZwmmXu8i/oYC6kMZMo4p9cR9E/DyEa6ad
NzTKr64A3UbKF9xqr8WrfLCSo2wCH5h0d6tWkq3TNqhKzv60zJ5CNO/g4/gzRl4qSpQebd7s3B6H
S2xD1qSH/kxrGdVvYcm/++AKn3gM3Uovn5Btix5lz2yT1WR04zO7F44a+TH2S6gaqjJfeToJ8nBS
jPmOZV6DMh43I2ovqwh+caR8PJBaRpfDJ2vynVumNpl2XyVvdutrlXtB5ntCpV43r3Idp+APPDMQ
j2a9PAqbsxg9ANg8hDRRfjTtx7j5JU03+5TAWRJA/C2fhLR1DqRpTue366BDM1RzewTa51NUPPn1
xZ+oFkUZ7NTMB65qbqQdyv1FoKnGSQ5FUxY1Qt6pm+0+TM76M1baU2eEEE/ne98W4fjFmyXQtVz9
GEK72Q6t22wiavuk3fes6cOppmYr1LLduCYcdWxUgqNZQuDXlKX50KZd9zTaaf8UaNvAacyrtLBD
geS+LxVY3l0vWUaZqpJTEvVO8e3uyQTE96hx/r95AQRRihNCIiUnB2n8swNYu7LaMX5rB4j4slS/
GsjRU1hoUcbBjUJLQ+c1+CqNdei0zxX86HJCNhCuyK3mIH0W+/2Lq4zv0ucTrj3pOvyTbRPqT04n
3vyp+qF7efcSlb71XFibWmmgjWa5V8X1lJM5+6wEcREHPu2tHNpBxfoAWUnNzQJvOnnu8c86+ljL
daKY/WofUjpca/rFmE9G5XxaKjLjWYt64yR7vtoQC0LfDcU6DksI2Vfnebx0osEsnpE3+ns88dt+
LZ2eMVWI55mwyAWAlhL0/CZncKBnRW+36AvziT8p8wm6AgGfn5vvmioQT5mm+5exQDZwdsphgTaY
K0Qzk819luifc0q3rnKOXhjtwxSPYnmfNGjVk+PpEaJyPJKn5A60sTywOS/71wPLrh9Fx7gKXy2r
0y6VqOqVGgfeG3Qpv9zKmH4GxkuuGAmV11Qea44+fTYILINWMQAf8TezKSsxHeLcm+m3OQTlICRR
0RybZW874s0r0q2PamJZDulzPTeV31OBoYCQyfIkfUaVpD7roTjKnhxhl7UNazwasXKW26XRsRrd
b7ZpC7Q27Jwjc1y2ILXsfkc1MJKXcRCfO2fQd6ndXUBEIIFWyTb00OLV1E854maiEBHB9XkGHH1r
kHHqQZtN0m5NHE6yqBxWat52l9yAJDVK4vJzqo1qVapw+KGO6L331YuT6sXn1Kvetu+adi3CuCQG
mVAiEqMBF/iKuizdonjK58b0Ggg4p6DYSZuhaQR8OQa1jv9EWVr+5BGEBd2Rdwvpk6MKiB4oUyhP
ou+MizE3AqHdZS+aaCNttRYbF8gkjAsEzFcOLvr+bioROz2H2lWv2Rcs5PQCqDg/eHSo05gCkx+T
FYujbBTHJdQlL6Gu5jI3fYgLOR0t74PqAU1e2SXfi7zzn27gt7uBzOzO9KLv3Dd+ok1MxnOYpqPm
oRNWK3n3TMEvurCO6n3NLLh/dQPlxc7dwNwOi5plGYu0ScXzGMQuYrg2evVGre1D+JRmWLV/hXIB
EnUfnJZYGUNtfwZJ6my0SAwP2txVSN7BkiTeHcOzd1GHHHkek2TPAygpkgl5VpEoxjs6cq8U3IlH
fciiF8R0N9Jcx0i5KUE2LGXXN2ba3y41/89JcBNm6KcivTgQnJ5Fqq1A6KuiaQx+DSMkgQg/0Ck+
OFd+mvBjP3amEE9oSR6lGZrvbjtWVb2Garz8yGILvt6ht0gwD+EbmZjb7EHXCSPaafuYOOl+IBnz
SSgGBg9wQpukGP1PYwwevR5MnsJt9EIYH2q+2Q7bjbbihzEHN/3gs5w2fSSKjyDTLDYaUwRbNgJ8
sB6htpvmR9UjgNJxYjx1mh4ulTm7XfWEgMbOiE4gZ+MX/l4OMs1dhcEs/dKIB5kcp9pr2ZPleWtA
vR/GooIBec6GG9TCUAVWZRcTJo/rOIoPuWyZx+kaCiSgTPOjtAiceeVnncBHZVuQu8rMOip/n2S2
e2Kfdc0dFUliuehUIHwqQAfs6vGb6FSIUTVjfI7iwNgW5Cbzh0B3gm1GBdBxEuQR4rZxH9QmMClr
aLrm3HSUMEDIfiC4qml886QtD0+Njyr13BPmrPFSFPFOsUblUBU5PFp96r6E8DpehJscZS82zOll
5jyZXU7Xt4c8T2dNwYjaGgrWkD0nTx8irP3kaabKtysPPlLH/V50QvnhefWSZEUYLBo2Ok5fjd/h
GYEKNuzFG9wx4QwwKoHmDt26D4fqeVKGESqtEsqJudtRp/voqsFq1LSG8LYBWhPhCk45huedC93p
nn2gVdzIn8Khp9OnCKQakBxInxIUwykwS0oWcQZ1zIhY+xEjO36MKSnY8LgktWID+caO88VUpual
aFXtBgJD5etXpo4p/AEk1Ww2uCsJDtO6Ae0mK3/XqrrYGqYA8zYY1meVE3Kt66/8igcEMCmu5tb6
S/cCJOsc+DXhcqiMVY0EeBbBjKtog72XDeUbADLlJQO5zEfL3pdz87f/X0Pv842m7X7Pl0Y5/eau
GuIFZaZfnZa40VDE3VdbBRZio1e0iM9OCbcEQO3gErpK8FX3Z7rZznRfqpL6Z5Aw6oXwuIYaZBPD
wFbVByWCvdhQrWRfoeNyhXKqewjcgB3z0HhXaevbTFnyXTY2XQZnKhUMfA8T+HcQJygfWiDPH2Nl
fXVgWHqsKGF4zlLjAQ7mktMq6jPxZIFE5r5nIf1MkAgUQ3v09Lp3TmMBjMEN+pUYSUBmYD+eGkAS
WzXQ8y24G+Up6PkNFeybXo0Y4mvNqFNya171PhWQbuuWiE9i7ioQKZdOHr5C+QPEtLOfpLnJBncX
F2mw8tgrvPMf7wHKN7qt9Dqu+EWRqnuWTmmS3SbvDyb176/D0E9bt4+dtdm32icRsVPbeeJZzzT/
ZAf1Szw49iJXu2gGOfDguhZt2nxw4T2lC8au2sKqG1OaSZfCBGWveGTCIbgKX42w8M9aQFxfEZ9Z
HryrYhQvdZ3pG7Bi+brmDXgxvBlJa1fBsqsV8eKQnDibRfSa9DUsxE0/bJTKOLbCbp+7GeGZQVAD
wDeKD+MMEoVNyt9NiRqDHsArx0UNIhlsAK+y14867AjIocIA4V4BCRd7cHbWYwAUgO9tPXzXWkjV
uyz94plRsGZvz/ZGd9RzWwh9KUcUsMopefS9IWq1rB3y8d4EqsOubH01udA21S2qy8p0tsrw6FV1
9mFHWgBaLIbk3/DSj950kJnkxNXaVnfui4AcAm/ER5cIb81OVH8wqrFaBD7xEUi//AViOdaPvAvW
CdqoX0MdYgrbNJRzBLJzPxT8zfD7Fy+6D8mzURbF1UyCaJsainJye+13oyblk4CTAwX4f+wNyMvE
HJrdmPU6FQjD8KlM+aUF4/zLS+NVZanJd9S658M8YCdqEONN13JOVAe1P1gTD6zqqfXUFLoHx7Xn
f7ML6Pp1Mf4yfG8/Eo35Uut5tVRH3z0KEfkLJa5a9NX76i00smgPNc+4lN0qsKwHMCtk6WavHsNP
EaSe2IBPq95I3OYrW7Od7Th7LZ2AkWWWBHdmL5shqngbPgmF4MTbBOY1L4v4Klcq0I618rp/AaYz
voyQUss5uqFnW6/IrUs7DF8BdLW/0Fkw1ab+STI4XQyxVrxalNOs69FEtlgjuC8CRGRH4rxXFbjk
cgxE/jV2qi01es2vtBS7nkDLlyjwq2UWVtM11kNKnJW02WdFMJ5MNc6hu2j1V2NO1TqUbv602iX7
v+YXt4AfyDGrb02S2IAJ3JxvHBXiCaWoDwM8Bo/CBQGsR/ZG1LyPwPi7vZK9ABrVwl1pN9UBtpqa
mNZoR6RIzLg6yEa67l1LDwFVOfCW/WtOllBVoZWusuXvIz9Xc1ODOVlpVd+tYKrMz8SXgLBJt1Y7
8b88IWc6duyMkV6qWl5dThLNsMsd/otvjch9dkd9syn7BLzq7IBQGmBGVuufEGZ5u1Z2qyhyYCEE
sDoPUQUaS8QeO5IvWnggIz7LNMyXo6/Nl1NWP+Red755ys4LD13nlcFGXv5rfOBcRqIoV9esNyHR
kfdJNbITOUUgZXM3bHzkpw1uDprX+e9qi2A7QZNpK738U5eLKW/7k/SSVIe5S1GfxViWz/OSQ6Mp
b3LJsJ2ahezKJXuyXyvZ9dne3JaUXbgSHoSJcA6/QXVfN0SrfMqxIClTw8XdJq9625v2oq/QN5D9
eyPn3bvy6m5jw7Kt3eZEhsektP61KVLKo43OeWx923l0qOVKrHw63u3mMOiLNAEzIUdwvnUekxmV
2BCJJUP1z1S94q3Rra5fyHHwRRskZbk/xw990Dqnar7SnOj3lbRxVPrt/Wvc/+QFlODc1ssT/+TB
5gpZub1vBuoJYSKiQtZx4aheykvTnNh1yMvbADmWZJ6+CJwOhYZ5qmwqOV9e/muSlIkrNNGsxsBO
KRRQqm3YAdRNk8p/nFLfp2ZDY1tZAdMpM5fk4x/HGNv+mWLypRx2t7sxHLPcL2bq7ThwFtLdmPoJ
VHF/uI9TIj3c1+H4MQhh7xoPlWW7Voe9HrvDvhOoSy9kf3KScZZp9Mz13W8WGX45VBpv42993fR1
cIGAQGF9WkTqJXOy6aufW9VaRfId7a6wf9a15kPavapYCCS5ap1CdbZ5ie7717TWFMQfYVDjy96s
qtpS2HYERr0l9YjQij9AOjuVjXUAZXkbLaewuXQvcfEiO+T+mNULBSkPH/bNeU3ZGMgXL4DwcldR
UYXrnHoOns5VssikZSZBntjll5Up6CXFlKb646tnpM21QCbomhRoxRTF+AGDAOyEmzIo1NfmtYKF
/rX2OoNrBI66V4l1/n1tGRBPpv50oUzbQdEi1ze9Ueicr6BNArL0szJa+6iHyfASViA0A5XTUxh5
wwtbXX/bsgNfSa9S58mpntxv0pmUhsYW6QAuIWmX4VRtNMO/GGMHotEs3ZNs0pYk90J4I+oSCoI8
t/7dL6/sst2qZqLv2zZW24dGCb1VkRFddaOiO4iOWMXC85T2IPv2bJRXf9mcRIf8isgkGzEDQg3d
BO/jGOGx6Wz/0s56T7IRNnTBQzSVm78cFAzA+lQ6s1L9PzOI7/mX1MyiE9+X5V92uZwX5M8jzBU7
2RssHb0fZD5kQY+s9pm0Pt8JM6dW65+yH2kXHNIoRbsXEjFmZzDubrpdOVQP3ZeTNrnmn7HS9Nfq
euAfNKust+YwIZauhVBXCK9FLAztVCoR2pE0XZ/nCGHF8yV9eZXBlLowkvCoBwV3H9szzhBamWdT
n3wYdcaV1inF2Ro9iIi1MNNWkRJlgO5nr8n+oe+QpJr4ooBV5tVVY/g+6nyNMrNL17KbeSJfQWVS
7sANR++GFv3UZ2iTdMbiiV+J/coY75EE42OpKeE7WEZ3b3XQGcpB/lBW3K5KHXQD6/OzTpbgIeuD
HDwE3qkiHX11LIt8Gt8Jaa5TUUFLa4W3J6WjSqIoX27QhyL7LGMrfpSQBvYo9RULFTzJ4x3pAAb9
L0uufUZxFz8CFq5veIn/fZ3b49Ti475GP1AsRrnyvs1GMAUEmoNDpXqjhXKvAjRsbqhsbFbZlHCf
yIqWckWljY4pBatHedVI4zRZHM51uP5vg6Q/rPXm9/jbKDkhTsmoQ/wFNPevRaT7Nimyg/iIQDon
okPstvVD17ovBHiVQ2AOojrJy7DPfCqsMI78ILlpUNQA2s/uwNhR6Mj3IPSIhkSecgiJjizy7Dy4
PxrHi1ZzGLFAt4yko8xE/s9JSekCEFAe5EjFCDZIUSK94A7QhVCgWuozmrTifH6SfGS3/h93rfZK
f/7THUJ4qheSqUyDDaheJfGw7EsRHwYtavwHuYRsGmO8PUAkyLKc/3RvK8DnM0Aek/YUdU79Vfu0
hDCusqksvT1FZgDcPuDu1QW1sgvtCpGbrDWuWZ2Y17j0qRhRPPT4/thc7sGrOrZJvM5LSUduV95i
1Mkw3m2qan248dQc5ErSzn11VYMfp4yImYaWR4+KXd0eT5oqx8xIz7ZPcg6KrXuiSPou5IxF8X4x
HI2G+1XnuR071BJpCAg7Wh64j2jVSpDsmgeMnr9SimjY+/PEQg6Sl55P4lGLnHp9341V887u3v1r
c3Z33Dds//eQOkbiCUBXuxk6Dj4T+Aa/9auLB5wZtuG5sfpHfxTDvuVvXgBMw1bm9hsRWHMne3Zc
VZfM0MqL7ZY/BtQtd3eTHDHq6Hy2MPpuRwEVcdwVygmW1XDhBd34nkyUUw6t1zyhGWKtk0LxTm7T
aVtTq5O9DoHzsXYm/8HIm+pRMUW/itIwfZ2mkkNzJ5y3pB26g9Kq4KNIkDjANGn8dEiPyJ5oWege
dc/HCVXwb6ccoetjdET2bqFyMFYTET3mc2IxCiP77FgIpc092SjcBfaJ0fzoUGuMlnYT9g+FW9ZU
LHjWqrYSc1/7FJv7YaA8mOPkIKZVcWjN9EMjwBSS0n50w7MtRAwZIk3Mv/G1gbo3dezmIns3u+/u
OQsqRxIQ01xrV3/xrFAgGcx4NUmSqwP58oLUtdiatq/6qBQhXTbVVfBwX11NIQLtMxLnd1teJ8p6
MpJ0JZeRC7ZlOz6QVucVzU9KzM2Qxc2uCIJ8cXsKrmqwN7C0F7OeRn9pwUxxCpru4f6cW8vIHnPC
p//56tDvhUAmBTQ/P205HB7226u7m/68wvsziEyHlEjkW9vbQ2YcNwCqsH24P2Zk23BmZmTg7o/a
hYq3phTu9yuUC1Zh9vsV3t6tMHCg+p1f3W1tXfjsd3h1crRcX77CGhqx+5Ps51eYNrfP7/a29Egc
VvHw+9XJ2aot9orvgIqa3wg5O0+zL5Feif19eZu042KolGgFDK98Bnc017uqxamwWueJVNlzrdvu
J8U3MM5lHgBLzUOFTMuWhaWk5xzN1bU7ISXQ2PmFG5N4znQicsGEDmgZxmQ9E1M/KprxVTplUwLG
MIQ73sZXHUXzDQHQjcyH9lHQHp0i/nEf72rED/nPZ8PpqKvWUNjrlTNNezoMqzpytKfAz/UnGKWO
ztAop2jujaXdoxvKWyudcpjlQVnPbjuAFZIhXhNAR+FAeTyvIRu9KYZ12tnFv2xeXG9cy64vt0cZ
o5qYv6cv5MPIWY0ZogpiFeledgdtrM+Am289OWtooDMqrRJyzj/PN0DwKpw051GaIggftpBJ5Mv7
84Uz/FeuJvVBjkiaKDjZen17ptIEtztx0CEOyPbxgqTN+Iz9rr29JYD9iwc1SoHxG18G92R4WXau
FY0C1tEPL/JKJMgEgSYqtrJriwQm91IHgRCaTbT6a7Qbq8OuotrxvoAcIRsewcvG349wN1txEVGM
/88j3B1J2f5+lJwiFPjj2Q+pHRzJapAilqkQ2mbTsdGFglZa48c7tvOQWU/ucCDr7JBur8oz6t7e
elCD5mqALliRz7FelMBBYtTIhg9R9wHC5cb4LcqbU+V03i93IleTBQN7wo6sMlszf5E4OvsTNfhu
m9rPBrGtjyB1Hdi52uxVp65nlcI2eqV0iaOpYahnnq72YAWdfbCVztm5mVPtBoVvrpHbUoaFnZfm
fefHNR6BahUt6kpzq7Hlb4wu3UnPYLhzxVFGLnmhd+l4vFltw10M/BGsQVRkfAQNn3K2DOuGeL+i
JZtWY3uyLLM5nY3wZFybTyX8Qw9hXexC1KOImbr+RXXBg4AvVqBj7JJlrKfNaaot9SlS61dpd/zY
WEVT1ey5u2vUVBqrrLCVT/Cs2sbVPYtEMtMHROz0Fgra3gx2/DTQTp/NnBAPfTmoL9FVTIFDGZiV
NFChutRZbtgmEoQk45sc+sFMDnVdNNQoz5eTDmuFI7R9ryGJBxvHKnS6Yj2NWfrqWqTP2gFxBMe2
ktcCCaq9lYPvkN2upeQqytVfsjcpjXNxI/ckZ8L5Ip5gSV/CFMx/8dw42RZkSfMiO31cPMDc3lzl
3DSaXk0/VM+yxyuBl9cLoqMcmvSAAFtC9TvCB8pLyvlzx0+hUBdmUYfE6mmMQQuXqp0Z6ykMf9um
lHouGK5rgMKCsJ8cGA36P+55oNVOxd4bc/DGf+yFmAMNnRpzI53eYtRWgFWXyXunjDr0//zzy65R
EPM0ItPf+4C03tkDvKmijB4pV5/eWrGSg7TMTS4GitOy5+gR9UyWxk5gnpI4gnS+4oESmNcfNW6O
vT05J+mdyH+DQ/JfR9BVV2E056pJUlQcnfAwNWFFOJ5JeTflGwuMxUZOEoWqgPINOTygsHKAvd/b
+HPFpGwiqcvjzjo8yVyHKY0GWEKio1DBTH5VPUeEtca41a9tbFRwD4fxOucd3khnPzrehTzjrSdN
Vdv7ywzRux3EetWzS0r7oDWCjNdQkICEFvRVaf2IYwIrEQh2EcbbKiCYf2mi/gazA7CfcC4TN+3i
MTZL8WB501wzN0ACqPCX7bZWPVdWu+iFu8XX2qZ8SpvT6FqLWBTQpe+WVxaLOM3V1yKwSLWYuk4g
23S3PQxRO1eZZjxJEa5hVs1f64SjGV/K/jvxtdVtpTKLd0XfmV9jk0oFq1XN57Yh6tUkYXoy1JzM
XTwgPana3iWwjXzlaHH6HlrKj9S2xc9kuN7WQfTqqiC18tmKvgF81SlXF9aHlTdNqDQNyeuErNVL
iB7ES1ejBBXb1M/NpqhGJpiqDZDVs7Ns03KTE05fSy/3xvjYmbMw6ewtYBd+aQ73tcjHzVGtuDlK
v+2m6bq1+ZIpn5nbdi9jl65K6Izf0dLSgF+ExkJ2jULYGyto0SXnvPrOSQwpp3igfGIebKTehsRH
96x5afVEadXNPFhpcMjyGR09j0pyfnOUjwwPo9qKQ680ycJEXvw081Os1DpALdOahpO0yQYownBK
5maKGmuFpBND5hk9RLYj2FU8sq+rEJbe3dImvdDBgZ7KrINaJ9Gy7SfvXFu+fWpyG71YY3K+EoLb
+4M3vRUTAg65V5cP1GSGH745oS2ROF8VCppXmT6htdNp0WNG+oayXt3+mkXju4b4hE9mYxF4GRqe
YR8+3hu78U41G50DxYyls4gdN95NioU+7TwuCe3fg/0QDmJTzU6xRVXTwiJUtyhFU/P7l31OF5sy
5e0JRTY+1hCa7aceKI+sDujG5Hs1wawkKwcaekB6AticqCoY3fC7arXhWVYHzL5mHvn/mCdXMcWw
c7QqvKgTpQJKTSLeE7H7FIjefXJq4COOdZWWUSXoA01Os5I+abOcZjO4zXSRvUTE8bbuYS4LEIHL
lpZXP0JaO5yiebHc053NhIpUqAvrKUBjBdL7lIOJ0VhPej4518QG5oJPWmpLoPBNPfsqyWtYG6M4
WhsUgJw0UNlOVUXLKIqrNy3Pfl9JG2VW7fM4FEswFOEXt/9lWHn1YRdWtrMpcFtLs+eHB9duTZK9
3K2QjoHKIO3DL9Gkfqdkv7sGcZufR2O0F3J8nRlQReR2f3YNNb16uvlT2oVbeOwDSgvaGn5nrlMe
pZ17awN3ZtruIpH6H5FJcn5+OkqvJA8JFGwPssuzE3+eXd87wzqfnwUMM4eytX8/u46t1LLXvU0N
lUpU9vnP0tYuRGTzjynKxcqKB/XkNW55KHPIHvs+jF+nDogCcZr8J9Xgy7gZzEtr6OmqNQ0Pqksf
EZD56t6krTI+WB0ytlb7b7sca6rmm286wWvXmRTeWPqHN5TwkGVxcCq1lvJ41cvXeurZ74OeXLzQ
0X5ERv4EKi59N3xeVl/lyiEypv4EOwWVo2ZQf4KV3/nsvX9oXvEFaS7zVa2UbOMUBN+NsFHPvT+F
M2mm9yVW/LUcCvMRik5uUb/kVH9vOrP19yql7BfYo4alro38iEezg4p79EC1Taa9MyJ3ywEjlmRB
71NWNYt+GpMvogi/FWntfSOScM4h6PhZ6tNa5bYfLNzuBOlJHi1aC/obKkYWlH5szDxFTDpQHxFT
a78ZXfhz6gKxVSwXVW2UR549wHt58QxdRP7cVSUH0NHTNtLWTWZ1oXBsm+V9fhsBXaG/dBOTMAYK
c2MePgVZ5F6KUIBinq+oxK9XbZKH68aBTmQdwDDGJ+AeKp2kNH+vnBtFGT/dvI1HXVLkNOE6tiEv
It3dss4/U2423tXbFLl+oOXaOhrCZpM4aHtHSqJcPKfXD8kIUC728+prF72BP7a/JVXrLaHe1k58
YNbJhHZ4Wc2OdvyeUof8NbL6aO1XnAOsEYhKofbQq8WR/W0yCyoy2uCj6ONuEzqRulMKoT45UYBk
1Dxi6KwXgxrM1zAz/S38oA7gPat6bVPtWQ6AkihdQOoH5KyuqwddCXXeAvJFQDGB19UfNpjsrZKk
xaZCCMZu4+AN/nt9l5huv3YGVXyxxnYV2tn47lWDuXV0dEOkvVK/NUOYfLbIuT20wI8eNDe0viRp
Kr4YDhGFIVHth7Ltk88x+SZ9MTXOG47VxhbJlul9NOqVtGuCg2pUpzoxryF4I6C8lQ9BfMdehUr4
YFiJsqxEgNQZZ4mDvCrm7t0mHWZQ/bchvema1FO05uqvuQNI+z2s7ihaQvEnmyoCp1yGhfEvW5b2
+YUngRa3b6BF9GcwGtUwA0aGA+u0+PGXXW8ouQ385vSX3fPz7NSC+O9ia1zWVC0v+75/z0RdXcu5
ctGBw+fwx0TVe31FnOZmIstWEUSiKlbhWBuYo7YqUNS7+rkw1o05QHjSue6mMMzi5HLS21IVOxzU
hs+TtLi38y23OKR50G1rWD5PwoNRp4kLMhgKKn4xXMiPQVTDCeBV/nOqdTDERmxGI109AwPIL5Vl
qBtL67xFlgmPg/XtvVDHLRwJnEwtK7tIm7zyElfsqQw6y57hRj5URmlQnmoSUmHSZ5ebLapSJART
NVkF46g+Uwzu75upAsDqmWPJWS9YAoDur9IrkgaV6xB5UNk1Yqc/FmP+La9S9bk2q/YM2eIx8T1Y
e/UoJKMr4u1/sXZeS3LjSrd+IkbQm9vyvqq9em4Y0kii955P/39EacTeHTPbxDk3CAKZAEutKhLI
XLmW6Oq60i3SPHTv1qAbt7oTuY9kT73nWm1Wwsse2b+UOvt4mWpFgF9wzQzGSJ6wc8OTX+r1a6CX
y2jQoGO2iBSOetusRbepo+/Uxg83O2mjh5Szp1HHgEQdXVvnZlHDe8mkBLWqjIzJTs7Qd7VMo3os
baLAehycGxlBxKg2gnPLy1/YRON1dbluVL9cm6YyxgChm5tumPLWA0GyTxHevopG0YtoJRcmgnZa
lt7HgnpMqFbyfFRATeCMk7MYE1dUcJY7uSHBOY+5ku+uYHtRFiAP83FSjyY3MnHwJE6THEKKmrYx
/RvzoLNrm4YHlPPiqJr7M4gPvDDsH2Hh/lSbXn5NSmkEllT5V0TQ7R386AFci6Z+6RTqd3MtL16V
MA/IbxTtD7C8hqY5P7UyfA6f01LWeUMN5r2pEwuGujZ5KKIMSdN/HW8n46cxYhvojzSL2PB/FoZX
qRcHPDMlGfK41gEWnLNRU8BGhj+QJBpgdRmGo7iaG8tQkq0SNVRRo+LmTI3PPoSqx+ky1MrnViVD
PAu9iXFVok5fjN2df/sJ6+zcl0qxjmXd3UlUo20RWx1AG5nBm6pIEtyBsrEPKy9486Pka2A61ZUX
d/CmT1nwuHr1XKsnNJw8iSljUakHUobdUjjFnGBBflHtQRSWd8rAa2PsqCwyekt7MUMdietoqK6x
osY7RS4S8AuaeSrCON74Za88WhSJLTvKSd670XokyD4B+dl+kbRauFSyBy7bEF/XyiXljvWjXvEG
SQpFPilw1R5SW/J2YyGP19xPEQ1HyPS16zgl51945iQn3chJAYRVtyDAJUcr4K3xyZvKpJyGUsiF
6IsGSF4IwqEZ0WiM/rKINYS78LnPEX1VgrG1a9+HSk8e/In6Wum77NSnxVUMhdMQCATjHHb1VgyJ
ptPV5kqsYCHmzOPiSp04se9jeNxdf68PNdj2vqCcEKdLoupq+2l2Ev7yGEgb1xgrgFiaszUIbB3H
IiwOddY5hOAb/2xXmrYBExfdULKyVxxchqdsMGoSxloxvXNzpIo0b2U31J3pka4cYWyBxCCZ2EKU
so42YjBUUqTgxaXtwdDsEk0bjvKgAkFTOE9nXlM9tV0MElx3CVYncrKVmw5ixD7X90NSFvt0ikyG
MDJuRqeMb7kkQtmq96zLWbI05ar4go6wD08oocUWYlKqOVO2ysPWnQ5RC4CF67YroBpzM2tr2cPC
mAAfbSEFBw7g6L1NXctv3AX1EtIpjJP29bdbY4EutHsqZjJf++XmVqaLaBluDquJcbGaObmBa/no
xi7EBCcwxqeorsutFNsk96NBfQpMs3zweYKbtW8US1elKKCFkeBQOrH6ZJmpuss8g0r+ydlG6uUp
pbRnctXzJFsqYN12wlWR6/jQSMC1RVe3agQvnULddRYpIWiD5KfEh1nTcIzoNfc49TSjan6pQzbD
/PcrX6MRKgm/Vr5LacueK4Zom1jFwibMFS68cssxA9FV8DTrKkqKB0mq9GXVUGpehi0cTU1C6JAk
wFeKyM+Z3xC3CO2dV2b2T/JzL24fFu95YuRLSyr0Rw2U3KaGR/VshpG2b4ZE2yGa1l7EilD9pJBy
ubBmt73/tczYnfLummLH9xWLBPTOtKLeOvlymEgKdWBRe3HG+btT0KcxMmLFwU8IbY/GzqdIMcz0
PkVvZkjWCfxDsHRLWp48BHWevRRN8ZJ1mnoZ3DZ94VNmgBsNIjKTcZQyqO5srTwIq9VUIfydRrsT
VrIeBexOrok+J3MJwxqbilh3XzUXMDQF+HctfrcD+WRMGiSmxfHEc50vqW5OdKNBc3HCCmBmq7gc
z2sKwqKiXVSaVf8YN64n5T/KOO4BiECJJefdO6UdzsmVyl9N3VTDOs5ibfHJ8KlrlhWnLYojxfgY
ZHCHOEgIJqPunPyaMDTk6xxaQ4MTfhH039mRQcjcdz9hPnxFUNz/4iTwBFNX1F3DuDd2FXU51LrY
+TUhIbyCZtvcmvrgLHm98WefmoYCg6Op2PDI9Rry4mIwQxUVYekhIjNtuLy/xmAR6J5+6qrKfXa9
bvqhqDXCjHST1inXZWMgeTE5oxJgbkdNh25j6vqNA48zYsj3pazcaS6+1LyIqSOn4kcIj5bW5GrW
Tbdk6xNsYs4T1EV6Y7TKYw6emSb12luT8PipVpwben8BJLlH+SGAdMBY5dHQ/ZBz5Skly/jVbc1q
oVqm84qe17BEczd5khs5WEM8fXQSC55Af4CzNRyzfQ8SB+YTRcqWddke2GrY4NmxKpYebyXDjldZ
5KZPydQMZBbINDyIEdn1To417mVMZ983nbOqZMaIbjfl07LpJisgQp28EvZyICKctfAVV417DonL
Lwu9txepLz9HFtVXJpQM24H008Z003IpmIUEcVA4FcDWWT5JxwNrlccKRcRYfbV0/nl2pF5FTyaE
DvL6GU3V6qbAOXwos7RceallvA9t9t1KjOQhdyrpAj00SW+j43eEzsMUjXwgm1x9S/zmu8Hf7J2X
S4P2JbCAUGuCJYzNN9Tmu0tGEdM6sG2QxI6FZKbSVfvSo9zahW9yQDsHuR15PPFr+UMZeUCiA4L+
W916G9MBYQnfW/Dd4T9GKyVlFymhtCMA+G0oITZPdAjIC/jQf9WywBCZqrn1pg+6u0XqJN2aRd48
+GZ+jt1BRZRL4+hfJn/KNcwuBJ39mxUWD53kh/u+D8wjJN4wQk6NEV+9/GtW+LW38DrqRbOg/dmp
G1mTt31QOF/8zO3WtSaXR5sDxNXjIy7Dhk2WBoPDBtVt/VqOjbfsiEVSLVSEMEU7frSom8ii7FO+
akozflUmiVXIU9KFa+U536hhk8n2mw/X7jfbDmBW6Sg444USbs0SZhRXNro3xwSuVep++6dnDNvS
K0jcNdpzm+oOVXrSg2emu1qHbGGwIB0ZInVZ14hMd4lvbyM4yY9ZX/U705YO7pila2VwjmNctQuZ
oAeBmKbftIFmbjK3+eJbaY3Cux0sqnQIvsHLdLONwvqR8+OByhkNWGjQN45U1weoXw8O9c0XHCYx
cyoULukALj0CBtJ7fvggGgjKlKMUwUo/DUWSBK1YYhtrcjvKubMG5Sx3+Zfezm+FmRKNz8pnysfj
K8TO8ksmKa+wFFoXNcyr82CUty4EypMnYXgMnB+h3KQnGdIJJ+yHvWfBrgK8P9NP0sVtqFT0zeS9
A5WxBZsONdPUlQbzOkW2Hk217S6NWVO4LgFq06UwWJVy4x9VpzkrdWPDWT8hDidgou9wxRbhe5T7
YKQG6AvEuGgoxgJPL1xE3/GrP9j0p7BoDy892kLXIg5faiWrLgRa+SWNHRm+rmpfZTsNFxRZJNsy
aL/bZEIekAnWzn1vUdqo+8GS3UZ24upBGCGN7x7QRbAO+Rh9I6yPR6cYw94Jonxx7weq1S+GSo0B
1aXtOu/t4rXQwmaNKGS+FV1TM3n9OAr8st5I/ZuTD8uupgyUKJuWHu+XFqfWo6tT6becQBXHyNMf
SQVLS79DhNB3Dmk13IohNK52Aqq1q9e6o33nXFcs5LD+1ulGexvrhLRTBs1nGbyPJb/DUFKXQxNW
Pzv9qbMtWH4i3zkVpJkWsFC1qz6ieKYJkSIPpMbdIRRHwImf8y2ByfOWTlekoW+JGhcUcTIkjG1G
oVTX8awUXVnVk4uklN8iUD0Zul/PZSS3vIOghRJdK/DG82ATLOM99wzms3tMmmxJGYT5nGdysgiA
CZA47z9qq41TN4403rq++fXvpNWEhzA4vB722sDdfyu4WTBlD0H8s3Bz+9AXcD/aDfo2VN0ku0Cn
wor6TCqTS7jJOHIPGy3XiutolxbFlnJDDMe7OXWR7TK26sfUJi/n8/Pf8Q4hOZdBpQDh4XiFlDlb
u0EgPzZjZKEy1MnPefxQlmxAJ7neh7YNw12rowgfek59HYIp+eLE5bvqpme54JcexT1q68CZiHJp
S9PSkpvWGPqucUd5B1YaJfNMjdeKYRV7xWQ1wN3TK6MryEyzL6Vqea3KpfnDzpMnZUAmqMpkGdka
ad0ZYf6TU97F51n47rV8ws6PMiiagmZXDvXF5qe0jVS72/aGPdxky/ZWcECrbzIJStVMwp+peSaT
BXScH/PN7Gvr3fLhOS1apXokwdRsirjOwLqUYKMJY7Hnqm5ZpTfLtLKib0XWL/2sjH/IfokIQhrE
LybQwE0L9clxHDVYWgywvL7TKeT0h7Na6/az7TgKj+wNUa7ia+AblHfacnFw9c4CT9j9ULyIB6Vt
AcU3KhMgfBMeoSIO10RuhkvimPmiNYxvoZJ7z5QiDjsF4tQtpKfOC2d0qCJT709oLAAQpsnwOCR6
R9lPKW/KtG3e4EU9CI/ArEeq1ojPqV2VbZu+2smWF+/hhDD3CvmHE/+XEam/2rxCPeGsAoj8101P
0H1Qg+GUEvZd9IHjPhu6Tjio7A8T9qTTYAguetCCfR2fA4B6VNSU9bo0kKn2+FuuTPQv97xcpNcm
HP2F3dqkvydr1dgozhj6syxDPkrigU1RzYu0BFKh6W23bxqi16OtpO9ObP3oQJreCifUb5nmf0es
PaUA2lnk4KiX1PHBsODI5h4RqWHbt1H66KlT5Dprqj9NyLOSoFF+cMr5UciB9VJA/bRWlOjdHsp8
Rd7TuSVTA2YZJlVyRzvXlFQJfo9KWY0lmCXfLZ2bcHQcE2h+SBJ7Hsul3iT6y4NlWkW4xcSVbvZ9
7ftisYm4TnPt245gs+T5azvL07PkVQgQjDHET60Wn0Bd/GEBmDwHmrHO/OoJCupgqY7qaayco54Q
x7UcWznniLovx8FXVkZd9zsnrtQ9OiTDNZ+aYJcOhFxAGQS73HOClW426ps5wKdf9v1PiuFGv+PE
7rXhS0m8fVHVTrbuIEjicRl744EMwtLXJQOhqFzbyQMgtrgwFWI1nrVzIyld8pXn96rEX3xHhQbG
RgRGk/PhNFKsukw00tGhqfWrzoiI0MuDRUld07SLqG6eIAtKdmJsbqgK+8ulstVu3VmdtmA3ctZJ
FbzZVUcYxtKD14mNctUmhnaLHN/Z+BRnu4mxJSM1nigwSneegeJNpxYw/gT1uSu15AlGBfbVqOyB
vdL7vRhTEqAvsMsCB5XsG0cB64eiEoYaJzky+9HT2CWjNvFVlqTh4OvZeACPzV/HJYMRUNR/asAe
sRGMvkgVaYeOItx1CwHzLil6+0FG3lO21JZDD0rz1L0SKw044/hBs4y9JDiBGU73wUjAwgbmsSqs
UV1pvuNC7tI9ekTDHcMkhT+GknmuQSi61Ks9SJmXPbCXnqqdkY0YTXZNHujdFxMhAOTIfTZ5cV2+
oPJFED3Sn/n+mGB0ljC8pze7mXR6mxeLYuQbkc/k3hTkpVcFDGHrYfIShrCo3Eud/yk6CJ3KaxKm
0cqyyvEGw5Sz0JS6J8uijbf7mGyYWzW2dfCvuAgDpwX9agCRnEbyLoyWsoGAey015al3rOLUNPGv
qxiqhXVGcH8ivQakLHzulzyJ+F7FcruJeROeSwN1X0k28m2iOC5VlTR8DZx9U1vE79PxbJQmL4Ak
fKgLKeLnz2ORHayFIiwM3QibUEJSGtaDGKvtjEBjBW1paKsckyqXJB1RXVB/21FO01VWDJcGOqCb
DLPBUnN978HnU28JzcVkCztY873xZgMmOvGjqzplBa+gzmva1Y9OribbOtTfW7+Nzn77nSB4eYmb
Id84tgtbTIACUeVCuimu4FSGJkdczk1tXfqiHwidIj/Sm7KJ0IQFX7UUv7twnPxhIG+xMHSpfuV5
ryzr0PWeCrtEqS0s3asp86UIIkh7guhoNmjzqo3Bq2XqiqaD1IMqSCfrs4UwqT1x67RbSV2s3rTq
MRDkTLIZI8/DH/jO3SQTjttTFUb6YqSohFOvOoX6EHATBEuiKXyFbYFvNhvFk7U7gVNZN4iR9ir8
QhOFk/Dr0LWCL9o8RRk8AnnoxavGUvRDHVCv7wDmelZ8s3rkOL2Q+yR7hvlxDUxSepg26m5TKW9a
7BSnMgnce9fIk2QZDl24gcAFjZW07aU14qXSNgam+1jp2Z+UToARS7vuwG8tWHRkqh6MLAIv58Tj
1nBcAFel9OqjbfXYDclSb8rq2RuG8jlL7FsOmfAl96Ty2dE6Y9kOQ8MTlq5tK+6WFEW4cmv3YmR5
d27zwb2kiK3Dzxm+eUlY7gPZzync8KI3MyI2SRwy2AlrRB01GHlSZcLqSghXpZH0JNu6/Mj7YyeG
e6tNT7GfgWzioAlAcvQhbyCDaWhVvKIewnwx4ggCbxXucCqqzJekIvYN0Exe2VPXGGRlm2e83qXI
Ml4SqpSAhCrxWsxVndbbwvDdrO9zG5DDvO01GH5xZodXbbLR9eBJY6mo7QNI26n/El0Vkco1zPzy
RjinHZh0HdrRu1X2opTQjZ9v73P73l1B+CNvhbNGMcWq9G33bo3NqllZlNnvhLMcdICe2ikNK+47
+tJSr+toC250Z1hOe229wdokwZif7OiYEaF7Ru2rVeTueaqkeU7K/pX8nHPOYBbYwfAAu77Wd9em
jveUtDtHS5NgYxFjtfK1GKnMug+1WhdddJAKrpyrAdSlqX4kO3KwO9SmhX9aBvGK83OAfDnqJlba
scULyBPLYYxsHbmLROn/THOj/ZrnvoqqrWZcqUsPdwG8UTXpsFtjRC+NjFSY6aTqgZh6uwyd3nsr
CR1vNHgONsKqVMh+wPaHushkzXQgfVXW3rzA1l6br1WReDvVzyAt7wjbhYlZriqpKLcgl3lv2d44
HBxkKox1aFh/XcbTpa4khbr84PDhUk+UfBNN1V6e8egOnfdq8s+jaHlYSdAAvWp82x7cGCGiqScZ
nX4NveFR9MIxzS4F6DzRA2NlnDQUehbBRK8+lpA82X0P3/m0KgKd2mZi11qFpqRdB1f+1ejS3pI6
7zoPs+HPD7ELmHJymsdjHc5FfwjM5SdD5oXyonCTYTs7CxfiEZx1TLjmf9/ObTkwGqWivCBMsKG+
e3i3R9NdjbXTnQYllc+ySrirUQEOhpyR/QGyiWBSFBJNMckKiatYMyYeDIRhRwtFITGm/L6KsynJ
3CJP+8kgnIUV1l5EP6aVxTQ0fz14FCCyWI+AqO+rVsSWgT2RlGoWIJlX0TCmh6wKfjXUBqYHIt/p
QVzNhtlvNnzy+y9c5uWBm0F4L9af54nu7DPf6b9w+bTUPPcfP+U/3m3+BLPLp+UrT/rr4//jneZl
ZpdPy8wu/9vf4x+X+fd3EtPE30NpB/Qd/eBRDM0fY+7+4y3+0WU2fPqT/+9Lzf+MT0v93Sf95PJ3
d/s09v/xk/7jUv/+k9qeX7I71DJEewe2dsH0MxTNv+l/MEWVz6yUHOF91r3f6FH2sX+f8GHa395B
DIql7qv8J//5rvOnljtUaNaz5eNK/2m9/3R/DjMcvTs9ZHc+3/G+6ue/w8fR/9f73u/48V8i7l4P
480ounYz/2vnT/VpbO5+/qD/OEUYPnz0eQlhiaf/8k9jwvBfjP0XLv/7UrZTQp1bal8HyQiOjdRO
DImAzY7x70ZYomEoDqp2E8NiRFxVYsLsa7pleBTmkgTS3omRZdM67zHTGn3pVQa1VbUhPWRBDIFa
3T9zCobIdurFOZWELfiWyS7mjIFuHsi+/xR2Me7CE7UZSxixxJhoqh62DFMHBFZDtn+CLvoKqUd8
LWwp3ne2g+BzR52vbUb3BobK+JynMJBOXloUoSQnrIElAWfz5NN9TJjVSP/RAqAictZALSOWyv2e
Oudcldd3RxdWyVVlBDY8yQb1JdmIxA4ne3CYiKlu/AgtVxu+G4P6+a646gQNyNuHVPdM3SGwimuh
xMVVURpt6+kF0HUxu9WqYecWIBs+zLZ6B2By2rxDLsiKYmJl5sgSGfXDvJZY2u+0iqCmd7yvFyRF
cwrTGFrev24p3NK+688qG4u7mz5yRLPUnSOXPUXM6AV5k4D9XaweemRK1D8I1zcy9Vfj0G0N/t+O
gHK9k19NWvZC8F4MiumzuQAn4kiOfki6BlSFnRcUnaYwfWTWPi8s/95xlMABDTON58BxIbgieHWf
IQbnaZI1RkuSHvX6w5y7ZzWU6y5O0uPniaMy+PsmlB4+rSW6RmaeiXQbe6Uy0KqPEVob5c67BE3i
XcQVYC8P3dbS27pAZslrY50Nwq9zxug8Ulk6uc4z7wtp7aNtRzFx00A/iGYkdHZAGVk/iCsE04Z9
IiULYUx+u4muq+teSsEJMzKKoxGblRatIwMvQ23Mh3isKdRLK0nKRYy2iMmtwdRqS2G4Wyd3cdWN
MiFv1TsJ39mDjJO5kXIoPcBr/PKdrZHiPyEypBKw/RejNmb6Tlftr/O4CZ5QhU8rzcjyuPJWWOab
OWgYgqrroDCZPvXvz3XvppTqUWpor8WHMCxP5S9SJjBs2e5BNEaWoVh/b+fRLjIZzagJIVo4+SYg
WxC+HlC+G+NO+rCAXuQEDOIulu4L3id9WLDs4XqVYGhYqTCjH/WpCcO8OYquuJqbT2PU6UEby0Fs
ORv+pwXmafd7qL2zyaC2Szn4lP0p4YiIArKa3HzZT2+hkXK6ChGUEAbibREa1IjUZnCkw0trHygF
GNOF6IM9/TVoGf4zQgvyRoyDHnMO84zZtxTClmIZMXf2+dTNvZ5qDKfej3L0LjUpmYzcgMlND6On
AIDa3rYIGsh8w96KVtsJDwq4HM7cjn+zJhh7mlFdl5txCaTKgsJ/gpO0E5ykGQD15GNuknqcLsVg
PVnE1ewjplT9xuqRb5pdxfDfdQMBUZlXiuXx4rb18DA6xk2vk+654MB9yHW1XA9lnH71dIOUEgAr
QmcDJG9TCkqO3C+FAXA1KqBfC+vaXUj1sBdgY4FCFk1d2e7SMJxkPY8J2HJKVd06Ab+1FIY7PNl1
3HCr2Xz1P4CevbqN9jAvfrs7NlRxVwGMuQhcuQencJwDJ1c9XYhL0cDFbgAhqNC0v4+WlGn3hWps
tNkTslMXGc7Jh7wRMrFTI6bbRR0AsCQskJtVD2NoCqG6PHo1sjlBdSlzeJ/FlWjyIaHaNtVBdbjV
L0P0+yr2ADnA5KxvhbOsachBRz6cqLVVXfs0fg1dx4J8OAZyKsWoYf0eC0llXYXBn67+aTzp09f4
9xpR+0zYMj/VTh6d4f6Pzk1prSqH0CekXr+GhHEsuhE8SaXke0hoT/JoD91C+FQdCGrynijDp05E
feC0VtLWVbAVl3Fj/LADNdt+GBO3Cn/m8IKfxLVEyLTvtQSiO905JFPTmwqMlHNfXKETjC6JWe0+
j0utc/i7sd7w3YOE6BOa7pPPfVUxKvpijmjagdKTpbAUxSDvyCq3hqncdN3PX2vizb4MkN2Mff2F
qEdtNvmr56UyCuoduH45e1WQkL8anfkkZoS5HZ/LnE1jrhOtNRseNDol10c/9d2juEq6/I/Bs82N
6HVD4R69CkgyL/e/XMLfV/NYB8wUNRwX9YnJOhvuk8U6YsVPt6up1lmldTJx4v/LvNn519xARoXC
CjayH2TbYtS9B0kuYaEvnPgL0bt3o9eVn4hrO4ZO6tf2wqfYiup3p41I6YSt/+iHNs9MI5SOZm3G
x0/rNJB+Hf2uhO+GL/FJkStr30k58SdoBxY14jmnAHmJ4dzACrhpQ6CXYBHM8i2MJGcdw9a1sAiU
kzBNojW8Y82pmRqSdR+beUy4KLKyjkpb2s/jYsLcFW5iLM01czdGDlpt/7KkkY8f7zDP10LSEXWS
3FzDoBAqRtzBgpV8K7qxnCcXJ4kvAGyjfNmkqFl4PmpbvlbD89WjwKVoQb+AVKsjcf4vTYZeL3qv
BtzeC2EKOwUea3GZewkqsAVhtQ+DbpGZa60LQbk5VbMJlEiZSg78J9E0OgQSaN0/iJ5XQIAze3ST
W4dHYI1/ebBrAv+oIO+tFGm1Iu3onUtBklTUMdt2N+vXYhDqTP88CEKkeHISg//sM8+ZfaqJdkkY
wlDzdjJYPRiEcu0FrpDIVfKXtkKJ7q/OX5ZCKqRNSnUUxTDTc0/zsnUIlcNSPAbnp2I2wIzrT4Z5
7P4cnQz64BJInx6ropmXmg3ztHmp2TlDsIl4bZLyXK/HJ2r9+4VNxv0wRujFqInlkWulpCi23KZY
VnCV+I362E9GiDHsZaOAzBa+vWQax6Ca9G4zrS1IqwRHu1SDq7AGOf8jaQKNuehaZOYvutdPQkLy
UzmsW+pjKpB0QBYmuXM701ZuY/r7FKGLU2LBwsWZKI9W4hJi8aFa2BnITspQy009pH21KDT5l+vd
Pk8VV10wcTAMnFVElyg71Uw9ILxIyh5tqo0vbq0pzwNJz6UWWfoe1JTy7JeWDdu956I4nUMVJuvd
0pyyrwaSr3tDK/4sRtnmuDqNgWn0AIE15X6c8rCi0T1F3wd1/afoNVPOVvgGlO78re+05jxdXIl1
lUwq97B0xcc+6grq19lPKfwdrnoJYEaMtQrVmrXjOtuxyKRLTp3ueqhb1OZ6L1/2VaIcRtHEFQCn
bJITXIiBD6bJnsH1cfCS9teVcPngrUXBlzSTyx3onfKgyhBL/lYbFJKDopsF2ZG0iH8UQ7VQJawS
UmemnE4U/H/pEwrn0qRyTupVoMdIFn6Y0Sv50TAt73hfQFjmVcYUuuvV748xtBWJ8tGLl0aQ/yCV
mj+RgSqeJCn+g1x/e9KnniIb/Q7IJFJWk0deqMVTFjQrqM/Hm/BXihEh4p4SKWGUDLN6UGtC99N0
Mcl1YwXAEVrf9xvYcXJOUoPafi3Plx2hkoUZOdlROIMiGPfqQKWQuD8KEfJ+sElLQlxttdpbU5Xa
2ZKAx4qu5UGqPNZU5Yhu4VjVQtYj65x6kvz2a07bKtpZSuAZdwtHe5vnsIkNb6qK2p8Pp2Vgxd8S
MDjXbGpIYSpXX02MdT+pl85jwpDoGToJESo/oisa4eLrwVMPOvEwD4krakZ7k+DMvA65Q/vgplD+
/r7d3VOl1tztHbCu00cQTW/pMKin/rZzpfpocPbMYRtQ66Palzuz84adrdQ19LQMxaqpUbUi+uJS
jN7niOlmRRIRKG5Rrf0R/HNTZ38zIZOp+YwCaac0HCFEE7eeC+pq6leypN4HKXf5ZZ4dP42N04zG
bJxfk4VZ12J1q4DL/7y0ETt2grbnvyybU/qy0wb4G+EFiVcRijNflMbpeNPqiHSaXvZFsV8gRbZe
oTYrz1WIZKDVx+mX1B3yte1RXs4RG6LnUl5YmaysnAmZjxR0ejQm5Ka4EmMjQHRgxZNFNNnvK9GF
Jg2zY8TQ8nTTizfr9jJ75hO81M1N8ZP2piqGu+o6FG/mMVMuvHOVu1sx1FF0CcvsROmqDXa/F4Oi
CSGG2JoAOiae6+Y2N+ZTWLvZDXSmxVHRoIgzq0oHwD03LEJTPicGaDZKTFch9Jq7nGz1a1PxF6pC
A8nhSYmZ+l+qq92mPupTt6tBsFIh7J6E1bT9r93gDBcxFQTsNSnV4iZstp5vG92MH4UtkOoFCJz4
WXEU56VDfhiGF8eUngOY8m4ANqtj5oJInXoJ1Ab3q8aJESFQ2movDL3hlTentJsdTFrsRybn2dD4
0l5W9AbBC9yELzg2b9N4AFNmX7E6InJF5Pv32XebXwLHkDRlLXmeu3E6Hx6C2MuuopENpKHGGgFd
0UXQ+JehyiuoaWTZ28zO6WRFcqJb+VEO9dzvVaJeya6erzrrrskRCPptEDOMjqhdKFmQMenSxoRp
e899zH2qoBozkVPKk9QeslxoBQtay7k/mxEuhPBS9Ie6LnaVTvGyH43bjPw/LE9ee3M1le/bdKVF
5xANwCs55V8joZt1U9SH/yDhMBnavC6pYABMSrR47UoxdfqhA08gBLT7zqmt2zA1VOWiAlwSHYuV
wLr5iWHdDMW1tnUfWYt5TFck5USF01EMianCFxqbRZ2qPhhFVhNGxfOC+23msfk2TkvFcQs3zdHx
rXZPYTbF6XE+vplsuVeJ3hCPnLo2bFSU7esPfStVT5FubT1ZHcGatN4xBmG6DERXt6J13HjVTliD
ov8aulOqHnTOS8G3V3jBrQLxPQdCRCtYuqiUdAMtR7AV3TEsQFEqvnMWXaUE8Smlb6nmNxfeVPF9
EvosMA/D1LAWXrlmSIuyBM8vuqkFYaeK4LZe8LU18wylBeiA9lVupVseutoTyQae5BAJfA9M6Lch
xP8GR2C/tJD6vn7y1eEJQIsF3zRG5Z3t44riXWdVy6N2bKdGXIkmQIrqaBW+W8CBjkUCbrVotaiG
cJNuVFaPmlOHb11UO+Fznjb1Wy43P5Qm2NhWUTzknaw+U5YOPLKs2CkGvvbcg/ZYeUbnboU10Dnv
o1qiAcDAeUD5+xi5wKSiybkkhnijBPwgjGJ+WPwZ25yGxIifh+9eKcFwPXlLOcT+I8TysmHIq5if
2qNoKL6SDf+xM9r8kWLOkViSDNnl6Ebx0o45rqa6DjHqb///I+08ltxmgjX7RIgACn5LTzZNe3Vr
g1DLwHuPp5+DoiRKuv+dWYwWFagsQ4pNAlVZmedrunyrB6Z5Frb47qUIkg29llz6nDsly0no+EQj
Xtq5kA1Dlll7f0hfGqv8ZZoHZJlTnCorWl77t5Z/iILp1EpE6Qyfl1e3ovkP25ia/69+t2FRxPc/
V5phZSR+TKy0B3FnNMgYnnNORR0IiEEU8qorOCdZyPo/zcSChrsg9I7Sfp1BDvmn3832R58CVseG
38N3TS0Fiwxe+I9Xug2RV/++m8zANzSwrFv8rx3ljLe5ZT89UMx1yV0FUjcaAcvegSrNtzYuNubM
lpZ10CYhwcMENN5s/aCjYfRHfR7YSqMccysqx44ORdErDwQOmk9dnX1VcrM/yhouV7Fhb2auOr43
TwiH7MI4H45Z62io5JCpMVqRQN80Exdpk0WXmUAuHZGvZbVQJmJ3y27a47Pl+99WwSvR0CEZalqL
VmCebQx3bE9xXLvkqYT+QZnJr0yK45oAoWCqfGLQ/eAir0zB0ybXWujIfzegMob32DM/Sbs1pREY
irmLlvyoew6S5Bxp7gTAIQbBbU6xUJAlN/Q6sexbjRwYeF8ThEnu0ibJ7+wheggNM91Gv03SXlpV
UCz+vRzIaMfKB30dLdv/6PR7Nmn736csPPfX7E3hbwlyctZa72anOgk7QAtkGhTkmCxCqwu+Z4R5
kkT0g7/Mmw4b69Ok5c3K05zkkueQBIH7id1oldrFYo22srq2WJK673L40EzHwCA8e1MFpBLZtT2s
/jDKS1noPgHqXaN7hGsRs01st5iOt+YRxH27aD0+JnSTv9waQvCwKLGheamm+SNPW27H4EhljUwJ
467Op3dZk0VfGPOXpq/Woh7zR2lTQ0Aw1eTw48bkIZrNUW24lm3GbAJ/IraTorfLmy1NG2cxdgSr
3yYa4g9PQ7v8OivpYAfS5KKFnEPaMhe2rJcM0UbaWByFy1KEzQ7OyCUvRiQ+kFl67FxrOMHNPEVz
jTT58nGEwr8BmjatZFUW+PC/Eygf4Z2kW1Kb7sXjxFsOkqaGbOstZINuWQGGJk94GIkk85BmHApx
SYiON4opPDdzTdpFYBl3rB0Osuaok0GUohjLrY3k1kIar0WtiosnkArTW0hz0hb0qn42xmhRp1W0
tlylPIeFyeksaN5dYmv6mf+3Q8Czrb10FgcoamcE38ZCW6bAUEjm7oxDZoT5l6AkcdWBSgXsSFHW
8VTaRwNCycGtVWNr4xS578iHXIFgUT+ZefjBCVf1w462KGr4G+4z1dYme+6+dYW1zEsfm9W27iJn
bX5sG/cgWy0lhnifjHzF0Rq1diqxkPsEiZuVLirrSNr8d5AKAQkUGpLes+lW3GwWjPZdrrbkm9ND
2pVhLDpY1r+Gkbv5/zPdf72qtM3vkH2XWPtEylfz8WUzF+188ioLko1WEQG/x5tJ9vDFqG1aofIH
nftKmxwvqySCPhLvbu5l7TYvWTIZLJBtTrrUoSWsfJZZTp/LLiFZ1P4Myt691JywjXVW7nKhhues
b8j+NXXrAW8QylOuB1wJHdIFshjm58Fsn/qYb7Ay1Euz54yTXf7dla/6B2pVXo5uKtZVaZAqM5NV
hW5SyKu5kF2mmc7azl7rcEp/TKIYL9zRwFwPQfdBssqhJK3ykw/caEt+ebcrQy9Cxkb9MPmO7TLH
Br+T2/nrQALS1nWmcS2r9dB0a4Sasq2selMfrVRTj/ay6ooZfoXQxd3IrfLVh2RFuhHorVJVlRP6
z8Q1Z+DXStURL4OW/axWs79VVt3Y9UCRdT9bZTW9L4z16Kvfu2lyIb9aKqpDiUGsb5PFREf37GAs
DcUS/jOrVOnUk6zJIg3SGWQhvke9nqXrwd4LC0c/bgOddBhVv17Ni3USY8qeQyASzWSDgZTDtZWf
mkGK0tw7qUyxLkQPe/Z3s1uaerGSM16nJbN2MWaesm6Qill2SZcfzDhFJxC52NVE/PmHagJhEO5n
ZerN9aQF4aGtnOxJj/UPRDzTbeH7xOm0fn6SheMNzbF3LrIy1mXZrm6NuuJrS7NCYmloy34H0PDV
y0qSCd1KLFxhK+dmFgzhNMC/ZAm0JVPT/7AXZeYbi94BPhk2LX4DuslREGi7/dShdMnxRfTeChiV
lul8aXqfB11cwInvyMto+6aDGZG7X8AEfdGKrnoy9DE+sFTS1iCe+y8xy+NEd78YeOo4qS1UYmGF
9mhMznc5jn0Aj2/STh4GMh45j2gNnruheUWSqcOToVnaZzJK0e4kRGQvt46ySNkKBXbBY2reTcoi
LEn7VJsSgfDMdiANF5N9KlxrJTehTjTLtWX+UvMa9VLHkXrJa++9Cn1tL2uykI1R7C16cuNON7su
hHFsC30qkapUa/fVmvTpZHnhuOhURAUnIHNrVwzOVlZTxXxB1XmJGiuaGDO2xtCigE9NBEd5FU9B
Wi/kpe87cb24NalOw6al0ogMZ8gfHX9eIvu3MBrLheY4DcdoLny8MNmq0vs3O7farWxAfctD+iTM
P1lGRsZhUQU1f+ue6CF5GczYnWgWtZgfOMdrMZN8rvVrp5YjNw2tL4BYc8y0jIqu4blpbD8DG41R
uNQKrmL0XCexa2btnppweZ7qkb5rUiFe1M772Qr6LjqMPcpwrBOcBbl0/sdkx9sqMowfEPb3ddTi
5APSwPbR21u1nd9LR34iymmh+llwJ6u+FgTrUgVN5sT2Sz1M6CPF02fLc4pN0gw4H127epvteSnG
z6TMgmXlK8zxzrIkQuqQq0P4ZjgxMGO3fm5HKJBp2H2XZiftg22hDwsz3Vns0Q6QuyE1z1fG39VR
GfpZvpDm6+W1e0C4lVHy4LyN+Weea28NeYFscZvTd+0HmzyIbZXZ/VHx8x7Be6SszF67tGiZG4j5
YpOtsTr0R1nkVfasDL69jevI8k7SBhqEGBpRVAs5giCTEPf0PGuZTfFO4/ynQPwVrW9ykoqk38S/
k7n4A9rTQraaYfSe12q7mxpNkNUwjwiDhpOgwgrJ0vvdUWaBgfSxjmbzhW1sHIO27FjQFCxCqoZD
jK1SxdamgGcG7Vpo6sr3mx9FgStfSUp0Asl7IbPil9g7/1dk39v+Z4MUgL/aZkLGPw1OZpP8eptG
9pYq8Vfh+L/n/69pbrarfPzvEZkJWYXfLu8mnN9NOMtDy96392oG4tE3Mn2hKXW5wseQ36Mwlt3b
8xXxBSQwWRdpkcUUoCJX9Zb9R1c3aUb2Q7vrkN8zDOWYchvz2rUcKac2HLU7j/iypMlIuwDFC9PA
jRwG0WaKTN9daDxXT4XTrzVZlePSIsk5zlSNjeqTNk6aX9ceQyJCb+9Mvjr5vjY3/Knb3hrcpu3u
apyO17dhqLMImLJCyNl+SHE7tS6OUmGWzkNSu8aJuJeDbFNnU97bgDr0kdXRXJUNTdH260pz3ZWI
WIcv2cF5i5r2WQ3avvbhj3qxgPcc5SzcFdoH1Gxu7cT+NXuoLifbiXdO2JrnxswTnq8pR6BarRKi
A9ngHE2GeZZXjl/pe79pnq795BC/T75lXjbtUv7pOL4ZYfOT2DW1Hi6seVbZ7zbVHBc62kV+uL6k
BisjJCtr1c+njX3X+qTgFcVOVtE6RwjYJBVJVp0U1EfVPiEY4NyhL2Ffi3+qskHaOjcKN8UYRJAH
if3Toz5ZoG9TPaAxVz2EEWdeRiHI+OrHio+ZgjyTP22yM0/BZpX00DpkVfaTY5uItYeBg/k69p/5
6jpotkVNLraG6vmdkXc/C7e173oWDaTAQ1oimepXwyxZXiKEAI7TjOq82sAuhzkBZrDUSn8lZ/jj
Uk4re8sWD4IIPzSkkSYV8SjEN5HELFI04ZvIPZIyjZOtN1FLL/pUXV3rZKE6x2uv0fUhWFjBxx8t
phyUz+OhnrP9Jk+QZXjCesWoPOVuIquQ9RWFGRcKMsyc+gH0EdohHorwGJLnCn1eP0RpsvHxce4i
m7SqqSjNA2e21s43+kdF78myhoq80Keu2bCBGj/HeBHIPx3fhA8TgW9Is6mS7mrPrGq62vtU/GGX
/SfCSa79jaRVTqgqgmQZwCf1ZXmuZnXdJGZ73BRjeJhm7d3eRlpAQ0BvU89iuzoblx2/qGAlW33Q
rEfPinlAzWPLbLTuVSXctXNfNA6cg+N7ryBMp4fa6vRFXUHtgQWHjIOpf9G1FnkMvwvBmRukuIpa
LJLIjc9dWCRPKC5dSmji74RZZRvLrxUAa27x7pLJjP+oINkPjXYO/FFNTE+kaFYn0NUICJWIAPVO
dTX5VgCgiJP86qRVCr60lPBs2Vn2kQ2yKovCJo/d81Hk8YOZ+XLrKK+UGemc919v00uznORm64Pw
c2u/J0M+bSq99rVNOVkkLSps11YIkZZL7qM1y6i5yYzi8ji0Onfx1I2SDQ6kdPE/RhFLFR10V19d
J5HzXTsZcfdJU/RqF+lReL4VVk4UdT8ubxbwSOEZjiVaCVNoPuOS9PfSdusir+rCmZaepimrW4M2
OgzDa+pvzS4l73B+satRXuYVkR3Qm1Z6Yvz5LnQbV1xbtF+cKu4Pvjd2B1e1fxbSJquy4Vb9o0tU
Ksnij/rvaZTJM5YeslpL2Xob/L/OZc8vrDRFsEOzeQ/aY9qGgx0sqhmh1UD2BwXgFKtCcfW7LHBB
b0nUVgw06hRzvrMczRBnr1eNKiqXjFFz/ijjJO5kF/ADIWQlBJh8vzB3Q2LbrB4r5b3vtT2Zc9C4
1WDg8Gtml8/2ciq/6zGkjjAKxLlojEMdtJte6Q5RbeYfQerUPCV15SWMjHI11Ep/b6lmuLVha9w5
SE8s22QskLYTwO+b5kta29GLXij2fU4icQbu7cXjPOY59w+ySRagHwhpVmt0A+nNuuKhro0Fmrtf
S7SCn2PEbVGuUJayZiJm9GwP/MicuF2NrLVXtr6wlDB+8oO2e4qHNFo5qddsk9TqntQ8j07cAV9l
oywG3/vssFo8yho4DntbG+RuRipuoSWTOfNkrh38nGyqk3aLI/g0tg0HflPOGmaG+HQQsok5mauQ
T9Z2I7ZlAg0oDJWeh/AvJR4pjKMlNWBnk/jSW0NZF1+QebFBLOMFUNKAU6YhvpeRVkQZXsomje9l
ENbcVs812eZH0aVWE3UxNqw6bLMpOC6M1QWx+sWjnRv5I2tpkiWyKdvKqmzQc/KEo8g+S1NtdtVR
NPbztf88yFdmuVSfTU8ydlGy7I3mI3L99k524STDuTSTtbwN0NRmqXKTPNaasYhtFsFxEXYmqODE
27upcokqX2GzRODnGcmy7pz2Nef/akLSigfKc6vb5CygUVRtPU/T+RC9elmaAUdk88M0ETFs4wjZ
n7kmC9mYzz1u3f7vtrFDhW+oSe6NlXVuOdAJ2VM74EbWY5Q6d8MQlBc0SsolKq3p1/93j5Q5hr/n
aLUSTRI993dlnDRP9ai8ebzHYz7XqqwNdlM/aEtFMeonPR+apzh5E0YSP0qLicYISoZmv5Ft4eja
Z2OAk+TXzUMSCcKaS+PM3hRl7rTrPnoe2YGpRG+N7eqb2tXDfR6r1rnlZmD1jndX8ZirSNflcphc
Ze0UBECi+u6Aw5wQW5oa8TKCXrpWRWeJl7bz7D+qt1bZ+b/GZvj+djBv00k0R1m4KuQDHro5KMdf
NnmlthAvcAV7nIJkc4DnmCKrq0KWXF2N7RxNGrX2LrX06TAV0LEllL1FAYlnkv3caZOyG7uWUP1M
hO9qqS+BfgYfBE4SDhY6L8KOkEgsiMGJO8Cueng2e0WcYwgyJDfxMzmmfrG+NlpRY+8tX/0UkNLA
UY/3mtfcIlxrarcdAjar3J305zIw6juOP7qFrArg4PdhHSPSUyntUtc/aaJon2RbBWAhVsrgLGta
MRZL5zyF3MrvYeA4d2OsxEsCAJAXGa3x1JWTvkRuKfiwdXvDSsn81DUFVBEBIcsaleC1mAXB5g5y
ZDwLk1QDRCc5kqV1+DGV5iYbbfNT3/fFtovXgQ/6eyJiuPoWlugcjo2mvFpd/1GZVXyRNVW81m2j
vhBS1z5wuHZKkhzl79bjJFMk/lJWRdanW0KBrTVxem8p+fH7srKyiSh7ZdoVRF2LBNeQOhdmMMCc
+n01pJAy2Az0G9kgC61IrGs/G+DHHdCw5W18UnOIgvxRW0OA8IKNnaGiNTgtO+NqjM9uqwrumIn2
CKm5X8ZF7fChT/6itisDHJc+LAvHz++stiyd62XqFfmd5pi4oO0CIqPytdWhc+Nwy5EaGggDH3lK
5XqPLE7b9E/CmzXDUyP6mnjeEtdj+yONunsDGNX7NPKDMfSyuG/cuNh1vYWPUEvFWY9KdRVoHNjD
7P4iB43OvoBC9N02+3QRqFn1knUIrVe21y0qHwVwzgc7iKL85urRqHZNbLXP+CRmrTFi22VrlQc+
hzzGV9lo5777xAcjm2SB3Pkr+t3uSdZ0q3aWutMTcTZPDbr4P+eSjaUyOX/PFSJ4YuiaezLmwXKu
SDz7SWqspNutM9sEdaOw+emv+6PeDYqzTFuIQ/W8tm4E7I8JHswOVoT5nGiRvSm7LF4381q7iyrQ
twp34G6uqoM+nfFac+5LTdEK8TTED3KgnMw2iz0KHj3PPNoRCCrJ1krdOzmXqg///Ur+S+GHPHp0
37sWvmhMQkeDONy0Xd0uZIvblT+bZfXaR01rbU+cx/42OCrYWfjwgxbaqHMbrYhxuxMW2maEsXIW
mHB/nU3ejD1XA20MkWXi8to7DQmuVbToMIHIUx3t3VQDwoyb1tv0fj5+1ifYU7/MbQlpV5pV+z/N
f/WWk2SzT++v3tIcRNE3N4dtPKhOt2PnZG5jaPTPxuh/7axq/Aok5FEBQPRqiMgkucpUydys2P60
07SQPcAsbvrOJZvTCwoC2ttPeqQNS50T+BOrScirqtLkJ1lviRvvZy6U239laY1sV278yPzijK6M
896LCrWjEq+2jT91W8HZOdh1qxy7zhXrKe/rZ8DmPVy5eviaV/p84zF+4BjaQh1etJk7PXcEtsAn
UYnxmj81syLc4z/saKidGqNQn30HFmxvmj/7hwhF3frf7HP/bu7v2fSX88sP9O/+t9f1meef/vL9
/N3/P+aX77+a37895uuBA5Rn3TW/B3rbf22hQE9xgj6MsyCTLgT4b2Y7XAbiK/rp34bIsA9AbjsW
nKa5gx4UbTzHGz/DawPFVimfbAHzuJztiBePnyHyLI3f9oxEu6t97j85RrfDe9IsUgRX7mojrqpF
kirWXdnrNgIenVjJFlnIhltVXlW1zpB/mvOoPbTBMOxu9lHrTTxlgfqErDNcpjQW70VXvzicqv6A
t5sqNryxdup3Axo1ywEMyyYp3Aq0HwV6WtVRVuWVLJSe43LfaGpIKDySFFK0iqk5ySIu3OYUzoWs
euZgLkG8NKubrTJa/Niy7itTtNENf1rIcXKIbBgLqLLkdFbg/W31vZt0pN4q/yV3zPDY9bZ2tY8R
iJMhsZDTVFEkYW9gnLse/EucpIfSblFRT4jm2roZ6t6w25Ujjl7y5mxSkSd95t9l09MQsr1xc7Zb
9viEOsj05KBdQEpph/jibCPtZkTYlQVHaJHmZ4l7ktvGp2ZwQeASlgH52K3KpT84ZBQk4ixbrXDO
syJKbK3pwfTUAuKad8MsJpulruruWxSMnzS4hD+S+N6GZOgvLIv4iGnOEwSrv24T1i0iJ+ygU9vP
ggy3fovyXHAGATVvMfUeKV9IXMNOtQMiAzTAbmpZHGRtwDVykVflpe7K4Xqt8IxdmSLhMxsIBCKH
n6yh1Cf1vCQz8VRlxZBvq25kyQxQb8nh5HAySdvKYEFB+tG7D6/Ol0MxGvBuC2Xtq2l4iLV+eqzN
COQsYLndoJru2mmCeuMMKMZqij+8NvEMfGyyYC+idngdnUhbsAHM0GGgdSpjnigI4BlpOKBSUvLE
+F0gAvmzyv4oOihuCY8eFtCZNKjupbbbJWsRTk0ijdtG7KOJM1fJswd612WraND5L+n2TNfMiSXG
Bb+2ilq8FcqsIV7H7oUDt+rOILoEbSilI18yCDZM3izKhuyIzHHEgyxY3F90VQNl6MMuu9rBDhhK
cV8Tuf2QJySmhGICu/1riBGWPX7D4O1mmoB07lQdh/ZtGs5JEbbhyXgdWgOmXCZTm600DyHkimCc
UzwJ/RMo/tJXm0+5KfyzA8xzIc1qLFDQMKw3Daol5/3OBgl24qZiHIorRczhymq2r+LKVVZtVLFH
yjNjM3VaenFiP7sWKVInCEODwLYIRTnnRFZuVR0dNrNux0vqdxbZN5r9GUTzpjD8/HveN295pQ2v
hq32a0VE9RGFt/6YN3m56kXbPHdl6q04Ig93tRZOr/gXCKPxK5Ivem18DZz2s0KsCWmC1FTfZH2T
9k9G1hjPKrFT/Hmn1wxlnvtgch9lp3L+ypDzoC3sENKyyNqtog7xpjTg95H7MrzonXtUeO5+sRw4
mPpAcE4YojpJSiZcuqFvvpQjKXS5nTgPA2Sxu14jDmAkUvtLifNNd+3iE+T9ZOfbfritG7N5n4+M
ZAdUemHgjll3qDohnkRYvrb4Xbc+voBdNYNfG1fTnueIo01c2eEB0V+SIIFZLRH7Eh+D8qMUyviN
gFLufuSLPwauHe70ItR3Tu2pD40P2xvw2PSN+CEAWsrXyncS4m5qce/byFbXnY3kLKEOWV5Hd+5M
kJaFN07qkdifdDPOoRU32/XKATLtNHyhri3m3DHQ+Iht3cBo/56Hz8ZCCBV5tbLIhoM/2bgW/72U
dVkIwxgOKmkk/7OT2igqx85+PxzMqGQWAhgDYoRAJagEmemh1p39KjQfimro7iP3S2ToyKonaZAd
/dF7lG2225gPQdGpuyojJrUnpSBaxmZgrLvc0jjDmus+lNklt+Yc7BvdXQPGY+Fs0xLK31gIbTdV
HEmTzG6zDtY48akn4r8RsOza+7oOCftX+7OsAbxt7wvLwcOcxWItbbKYeQpoFWhnhEyYStoaT7yl
mtIcrj3MN5H6BzwUEyzRjtytnFgLtGPm+MdS2A+c3keXRHURmQmch1Qv7YcsNZsDmtrhQlZ9exAX
1BRx4XXO9KXW+sMgiHRR3HjaNYphbFh0qO8EIII/Vfb1oDzgeeoeBruMD44p3IXv+T+MIp6XfLOG
tflklaxNGs7NFgME5RcRR8mq9sqa108QAiBK8GTXLFhsm5R1Na2cuzZQa05s8+7izXIFIGLHp7Yl
SnA0lPTN95Fttm1AdZYFXYA874fCq+MPVPz8RZcaCHv0INVipxaIQUSEZthd+gwuFi2sNrIfWhx/
63Eg/JC0cW3TlDXZGAQe7KxM6Hcdi9693/ExOup8j1CtZmdMfXwi/ZtbkTXEF6QWeSyyC3gYZzGT
0i+mJ+TNVNwjCLINtmPCXhm0N/QTYjIO+VHbgGybwC6/Geq4L7IZwu+ZZAy3ExIHaTAurE6zXyYL
edywrdhU+xUZ0iJeubVfvRGBhDKEngMf1u3qrUgW7IX8t1G18iMokWQpeyU2Od964iA7Mg8C+bJy
kgwsqqi7s1l7Fb9pq0IKtVRencAlKdLFO5GL7sn0laU6HgPz3CVFiGbNkB0EEkpf9SL7Zqpm9K5q
hC+GkYOurGZx7pokE4GyFqiL1K/OUq5HAO23Lacs9IXa193FmdPIZCatzLglFrMDh989OnM6rjT1
sQ+dJenEwXWS4mkid/GAyHS3KKu42w3ExG2QR1IvcROG8Cu0s6wRKUtgylxALmy2MXxinpC+Ea1L
vRcLpUitR3AsYjEOlve5a8sLKhCOv+BRa81AW171FGYxmSNlFm4yPedJ2euxQnBUgqariGwSMxr7
hJtKn1Y+CVesE9vjtVp2ntg0JkAmh2Np/gxRtHFiTVUPalyjswVmdJEIrzzJIp0Pbyo++eFqjLMd
9BrjKBvV1IA+go9sXZqIeSQOUSGN4UfnRE83lgL6fiQOjJ9xbtxHnavfB3lXnkkwhOr6y1TPVw2E
SW8Y7bubfYgVY2nVXbHRwtiHE41g5+46HXdEYndG8zqVnBjJ0fZYV/0PrZ5g6w9B/j09173TfFdi
s10YTjk+OdXk8j81+gM7W3fVN/kHKwALFQ2OkDs1CzgJI8VOVm8N1yqHV7FbZ6d/7IPRqqsIrvZK
drsVeY4Lw8jupcVw0sJZDaPWLoXhZuvBO6jC7x5lETh8tJ7o1L2sQirXIP5C4hnq7lHhW/gI5jLb
+o6Duvw8StqgaZK9rkXuQfbrGxJf4snbXAfM3XIRZJt68saVHNVXRvdYVeorkqT5UZoGB63Zro7O
chCxezlqI8Gu4ITirPU44kYN5Uq96nHGguXn7ineFT/1N4al+wfcytqjNoF3lT0Gu/7Au6U+1apT
7Suz7jdeg1awmkf7Oi9MHZEX4Z3Lhnz/1jWPUElAuKIlsDKNGVKFNOEKDGy1x2/pvFk8XMLCNl6D
UIuOPTFoy8KznDc9qLkVqlXELjs3X00P+ZPUCZZNTsS8pjnxvk517Uh8WriNoqi/5E1TrKGNqo94
662lUdfRa1mGGnyZFC69NX5WEIT4WnfRvoh1nWebM25Db/LIK6FoA27ObjYKdjd44y0PsH4yvntm
4iybyZ3uyrizX8LEWgfFhB3+ylab4KaamT68ZwKvdAfW1cMTgQq5zhHIPHzMCQsLiqG4tMVUPXhB
/0UOLxxhrVITLLvg9DoO0xPOZn3vuoSat8XQnXXbztYBarvPZqmZpLBm4ZfaQj1abnmqfh92vfUD
yMGLacX5e5jn5VKtNfGYDaO/kTP2bD2uM9pwW89K2iM+NVj5czkMJqH9WvjFDLqTiAWbKGbMiKr4
pnHiNX6dtWd0ETjvVqjz9+gt/aingfEU9IRh9In93uuEsijQB/YGFOkn1U/YRQIomAo1Q9Aru0bR
+ZnR3nHnaJcyio6o1nY5Zh+eU4YIUHnOstIqsfNdqn2XAEvqe1ST8dcQQ90Y21BBIly2DjE7tICQ
7KVs1UuS2m1SC9H2M+8UVzgrmMX+RxKsefhrH2WrNYh2perRDOvkMipGNqeqDc9zhFmRi31VW+ML
e/3i4IsoWMvAsr/t4WyXgWh/2wvWC/9ll/2Voag4kUzNnZpE/iZ1tQAJej16CTpd2bYx/APbi+KX
XijFwRKIX8rWXEsU9h0jT6S51XUFaupDcpq0+RCnqT9kuIehdMmh78EU3KI/pI3zTo7jf0d/KIOR
HKRNBojIhtrkXKAmONTWAR27KLSdnEnnGFmJxHvpcGevhYXkSfHeoHj9Ws0AfZyAEM7mrsl3M960
OVGN0lNgjK1xlldivgLofxmUKTlI082eZ1az7X+Pkg0ciP8c6jXmH6NEMH2rptrYCU2LLm0a26uc
dJ+VWUBZlzZZ+KQ27EThompFEs+lrrqWBS65f+R5Gctuijv+h7+HoA62dcvWubv2k3N5HkmTzZy4
8odRUT1rZU/EO7RmHSqrzsirXQXodpG4dYDg5vwKMa8g55bzXEfPr2AUnb1KPQ2/k966D9akkWmn
DdU3V/9e5NHwYRaZvuRjSC8cLZuHAIGwjUBu9xJosYlGWm2vldRlZ6l12auldmTnlKLdDXM1MyvQ
y7FTHWQrMIeOUKagP45qmL2abfrZjXrrTE539mpEbOX5VR2agK+NmvCq9aQW78TwgTcKjOgcKW76
RObQRdpNJ8+J0CBpeEJR6d3ui9XoWtkrsu/GXdGHP4d7KYixEIr6WbeS/xzuE9Tybk35dTgQduPO
t12xtFOdaAw99Jaxi7cn1kf2Ak4bfarbNxeo0UtT1cq9n3CQnjrRp1YPnAMungZNmyL+NLBr3ah2
TbQUf5OFq1j1VoweCnN6FZyHBnX2AT70rh6RSFL8sVs1QWG+TqH1o0hQpyiTB1KTWWLPSRjkaywi
Kz87ujEcpdKu1OOdTXzfkeMwf0n0/jZVJZqFfRp5hLBW7b5KyscIOrW6JSeg+aOKdky7RyrqsWzV
/BzEFRmGnpuudMOAgDgXadp+TsCl7MeuRDhwbKL0okEcX0a23W5kVfZT54Z0FBwiVnp2naAaqpWr
J0Thdfr4PHh4ESK9fkOBsOSEfDRXRCPNDgWA2zC5k9PAQ+3VbJJFbMbNm6Fb6sEbHGUpR/m+aJep
iUy0bFXfRvB+bzhawmOaoKRGjnfD6j1KV2PtFYc6VK0Vbs1g0yU8wWEMdBZ5jOzAbON6mQPqrgnI
PRI/hJek4/Q/Dup0r8+YnBVrb2fR9BXPdxhlS7yP0YvTxERmoZX6Pa2J1POsbxFhCLiN7elJz5Ch
HQbDvzNM8tlARYRrxSbn3qxy9Iom3M2cpsNHND967sIcDfqgLZFN2A5eYe/J3bbOdeiWK3dMxFsl
zIt8ISMMdvH/4ey8lhw30jZ9KxNzvIiFS5g/dvaAnkUWyfLmBNGtbsF7j6vfB8mWqrs0IUWsDqB0
ALsIIpH5fa+BC4k1HC/SQp2AGuRedJYlqy6/KUpgkwj8pb2sGhcDe9zFU0Kfu0Fhw9mpojt2Vt0f
ZanNoh8luxfKQQ2BijPgo/nTUNzR+2tv2826KlZBYDImbRa3QbpzsbK6ps16btBtqUevsrOY4SJ5
uBgTJ3mUyS9bMb+wVMpuZRf+AdlKx99iKztZgiTXa5Whq9ykA+nkINb9CyZ2YoVRE9CmEDa7bPPm
EnH3taLqpItxKby2l55e7zqytws54uOEJERayrWHEpTmHxcJU/4pTojIz/wxsl2eFXeOuXJj7Mhl
x09X5wPNcxipxR1bifapzpzbcOxAgsw1R0ufFDV0T7Jm1/k3L501Oca0e7JxdMdrspiOYq4W4JkX
pen0QCc4U0W0Zqn7bnfT1lP3FHfBuEzxydvLc4l4Yy0ZmdNOnjuoTNhjH5jb679BQ2HE63BNkOc6
JLk2raEmG9nbx54A+jj765VYcFaphYVi1xfPnhXtJlW33y1TsVYJ4AfIQ0HxCH/wcm1HlWMVs58/
qkPW3Dum/kW2y+uEY406p9tMFyuDe901k/M+tKbGbNtU5yCM3ZOlC4swhIaGYJMOq3rAVrJ0gv4C
C7O/KDM9v+I1OakukLM/24UughWJS8EKjRGywxcaZhUZCixzk1+oiouw63jOMCs5yLbUjKMFM6ZY
lfsmAvytsYpfl64+7mMSm499Pt01VY9PUEMscLTr7tGyISPiEHDs59q1KUDNpEJzVtYi+Gp4mSf9
QVZHL8rWfhKMGy8Gg+i0rbXJJHNHDbx2UcxFzOM3ZtUF8xKGtnZm92jgeotVEwWAcGYcrjbF29Sd
brLCVt4aplSRsiJna71DZJRfF4jItyZ1d5io5U+8JOoDCrGzwy7taAT9NuJ6o2oPos/yYDVegrLU
DiHL7IMBT8ZpiZDrTNoL0Q/VfaZk7i4Yo2E7RMn4mOrDb4T+rd8ii3kEvYSXvDCTjQPy4oZgenhB
Ahc5GSu2fnOye0sd2q+NjsWv7VnJydUABdQ1qFfFTs0D2gj1wmPdwzRHVR68uDcPc2AGuP/c+FPR
la1GW6Yb8sNoPs79jdDipTtvNVneLzEk8I7Er01n1dtquAoVxV61aWOfcPBu2fNEPC1BUe46w7DB
19DhixrAaCcGSIpM1jvZSEbLuXaLIIBs4lrdYkCpa9Vq6J2ohjXd450rtrOxFBZeY5MyGw/fMXep
sGmIpnvfZcOJyMpJ1uQJZA/V1TBvVVWlaFMWtu2yTOrqIod4vMP2U65ZCwM14HsxH3wd8Q0/i929
rBqdn5wCdQfj+QLlnrB+9SxQX/AXEOfvVf7Jb4Efx9glhfmDCndlraZYDBSosuxtbwr27Jb8U+KG
+CERe3kI/FJZ8OA3712Z/LiiTg7kjyvW6GZt3SlT11iF6jtTi9G0qCrvFSHm75VlVJcAJgF2j+6z
bB4NlfBKOrlbZx5V2MZW6KH2yG57wvRdF9xr2jv0cVcDWO4bnKnq1yxdyf+HybEfLIMtL3Q6Oy/g
YifDz1XcLZUFSShrmY4TRku9WR0jBcLpZpyL3WwFJA+1Vtp4hzCmQAClWcjGjzEGyr1bUaTqMswI
O0pnYE0fd1lDoirimVwIMJpPo53o5IEmeMB+7q/7qnGeG2v+BeUvGIu5J78Pf7/WAG3ualZ7q8Bs
85exTBumVi/b+54SrhzP6zZKCe5ad3HqSjveVF7fbfnJ5q8ZoiftHLg1ocCs4iLG/hMh2jvh2/EC
a7PpSwuSlDdYmtzpcZyQPvVhK/4p1ShLUnDxqsp47WGjzSrX23yM66I+XYZWaiwzvPn6Nusv43xI
Soc4ul98b1M0QGRNtht+CIu0HFmLor98HeYmVXkuxKsc9dHcjCxwhJ6nu4+OsiCAFdkAGOXV5OfV
aqeBdzWy+EvR+2uTqeGU1AM+V+0Y3mdgeZa6BQp1rAAw9EFevmta84zpZfg9M8iG6i2zrqtts1Yr
2AKa/o3u1JhKKeK7MQbGq1uOARGcdHjU+3hYZUVpXjokYDZ6HdW3rQ6jRO/NmdDZd6sPvHwXDO3S
KVwoeiTMyLD0QX0ru2v4oDjD9N9rNojbknAwUjx5jE1cfje1Fj46GjCuTCmIvcc65m8YTXK3w+am
BY/3CjNPDo+Is+zjrg6WVd3nO2YpZBfryFwF84QrD00TFcG1HosqqxZGDZP83//63//3//w2/I//
Pb8QSvHz7F9Zm17yMGvq//zbcv79r+LavP/2n3+btsZqk/ywa6iubgvNVOn/7ct9COjwP//W/pfD
yrj3cLT9mmisboaM+UkehIO0oq7Uez+vhltFGGa/0nJtuNXy6FS7WbP/GCvb1UJ/4odK7N7xuC+i
VCGeDfYjnijJjgRyspLVVhP6ocJ8h6+cXpAJ3tnwoqOs9bVnP0J7B2907TVYWSJ5eZYduT5ArSpz
dM0chLrMLlm3jVG8+k7o7J0paVayitZgtqycNDoOZlG8tisQ1elrbJAMSiYtWcpBatx1K5dQ6N7M
wqfMyU5TM1QXzfSKnevn3UIzcujjsjErHehqgXeUNUKq1aXSlHGd1W68csq0uuR29+Xv74v83j/f
FweZT8cxNd2xbf3X+zIWqKEQmm2+NijngKnL74qx6u56JX+SpvBGBqYom4S1kRbzUac+y1HsJhI2
0+wIfC37XsycGXkQndbi6RN/B5pX3XHLaY/i9ubPUWKOlPzZpPqWiSqv2i4LPxqeE3QrJo90gayB
DYaMEj4HTdLeZ5MDmZcxvuLVp0iYREUu//BlGJ9/pIahq5rpaqphavDwzF+/jKHy0sbvbfFl8Ly1
Matha/OB/VPL4o2SQKLIA2HwR2PpDMGqIsnxU5sc3ZLjP8S5YsIZn8+WdVkKBsSB1SklhDgZCEQ1
7YYYRsJCwIpPVZAk10M3ZBGq57IBcqyqIqfAKFn3KxdsuN8d5Dmy/TqERPATqiQ+ugi1pi5ykcFK
MLAr/fvvybI/f0/s1Rxddw1H0zXHUOeH/aeHWQccOnVsqb9OVd1sNLNNNyZr6D3h3uQp6vOzY0bq
l8xJSUS1IiTuH0TnwE2UhewoHPMJDWLvAVp2dNOl7riOhxI7wqp5wKQVa88pCe67Jkr212owp1hk
nkUlcL1tlQiDniBp4ar+2SNzMSO693GPpdtHZkaWdMWwbz/OlWd9XPSnwZwvP1eO+Gj3BmC/SCwy
LwB5ORTZ6B9sGPn5tR4Y2H3ybW1lrzUP+RiHkGBwPcOVZ3x0J1GaWcve0P1/mG11fZ5Of32sXcPW
DKHbc5DBMaxf71CtajW675DgOyUsN32qurgsoZPkuBBPCcewf8dC7hR5VXcsGhcxgy5vXu1aDw9G
0mV3oYiyOy3BJTXpXXMv266HDoaMHxQYt87jZBsiwCkxnq7dymo7WtldX+gOweak2Yzywz2vIPmd
l90a6oyHXAh07tg0smYxVAr61UZMsYR5QCjZqZexrRVHNyngC/1UbBBm3kWTd/HUGlZAlPGN94nY
MYdZx2ko4+3QG+E5jxJ9Dby2v4uYOVYYVsaPfkcoj2iG96wUPVS8YVLekiD4qqiA9BXdOaLLPT3C
WbuvTK3ZTQDICAe38UUnJnyRJThF37gACpZ/NuUNYpBRkz6b7jQ41xOK0ofBmoKf/Ti/6aBfeoQr
Q4VZK5+F8SYrL+MvhJ8gcNuIUflqaS9N0eOHrAvo0XMptick7WWxnkL32iirAPLNm+Z3EZMj95dg
2uM5bJqs3SYA6i0PfrwznVHZkwSOUfpWamOpOQFWCYgNHLEK8I6J0nQH4vIIBVCT7ZZfsdf4qQj4
e41q/XTzMSZ3WdyuZN3Sra+R6ddbL2/2oVoET4HaFitBjuKYT6ZzcsmjL405KdCms/FmIl55Fecb
sqzmHuNy8sheS163ssYrnUEyGAbPx8rQgfI6Ex7GziUeXQPLkp2AlKNzX6GLILypWJpVOi5GNcIm
bB5sNC7p6Cx8tw27OU5ur55Alf44ZBlGPcQE7C37+Ulf1F2qniIN+CLy9hs5ztK+q2MTnO0mdm7H
DAv7wbOCd7eHHROPgm1ZV4uLPaB35+ZG+F51OQQtz0nAEZnKA+m4k9l53hOxq27hRjfk0saT4lWq
v+7w2CT9C9zOLYuzocCvQLoXi/F0Kg+yLQPziiaoVpyJ6Dz1BRobFTt1f81WmAAYGNjdiJizvy4E
i1slAz8iz5OnyJIbRBCOEv6aj2tNDsL5CQ/LOgkSvtgIDN7anLxgZbOtWGuNzgoHdf0TbJD8ILzK
Ote2bp3HCNTh37855HLil3nJsGzDdYTluJpuOnKZ+NObQ5QR7saKVXxRzChb2kSFtnlZ4C0KkOmt
EyjYoWv3nDtOeyCejH7B3O5EKCWqhZjOyaR4F1+Y3/rCGvGpZf/CcqK+EfqgvkRlsZDtgWeEO6Kh
xUZWtQyLUBAcj0TtjKMZDNX1sqVWsCBv1PQ0iSDdJLrWY7yQhBvd8R3mlNh+6ZE3imdQ7Kf21F+a
RZu/+2PsrHuMgfYJuosvoZpfAcYRWqXXdtzM25eEeLIE+n4an9EuAcNuqEToOBzCyskf5rzkqshC
cyOrytjkZ1ipu5h4V4Hwsg7DO+jyfdTmxQMG2WRYmvr7OCra+u/vlvOX9zzvEJtEmOB+CZ00xq9v
kaqsDYcsZvClC1qcoLX8ZbJq7y5KS/vU51W/aETbvw1tAH7Ady3Yyo72hEbOBkvs/k10Q7J1Wj3c
CjNt1nUA0sUAX3LQ5oNDZu0gq7Ik2wKhk6ux7ZtIj7ML73EkXVQWXCVeyBfEArGLHXho+lItjp42
9scCs4ynZhTnoIqmM6JE+ZOri+/kO5pbWQvmIGVTBPVBVtM27JeVa/f7aj6z9Nmq+ZNhb2VvCG58
baRVvfFdPb0JZsgZGMj22M18ImvWjm+XTd3XR1B7QC1li+z7GFX2OjLiDruFrEZpqo36b0xm1pzf
S3WL/BixzXvm52IXRzXBlEQlhBGrDDXibh5aN/7O9iBn1u5o39pIuU0LYeb2bV6ZpyoX476cO2Sv
bNcay/6HGy9v7M+PqU6MUmiqbagmmzXt8wKvR4q6613feB91v1rlVgGiVij99RDzg0eNxH3Oq8ja
sKWIbq3Sse7SCeFdG4FFWSMPnpxFZwIHZQs8m0p169wzw0VWg6sZe6TM5AGtqOzk2MxpfmMqLLLw
HHdQnSLUMpw6lnr7v/9Rm58X+bowVH7OhgoT1jAM7dPSKDZF6RhapL3bmvdSQ2q+bZhlfjoMPep8
8B01FiiTvUgRl74FNdKvzMxzL2Wq55uY7T1GSmiQiiz3bkontG5UIDS7LpmmW68bqk2BNfMF+lm/
6I2xORShRizeLOodoGtQQsm0drzU25vg925kqVCj7lrK/iz9t96Pto9xJNbif5iq//Lw68K1dEcz
HUO48+b902aIhcnEnn2s3qM0/Z5lZ8Lz3u0QRdYpnLE8Ep8j9DReoXgkVh9tshS3jn7UMNi6nlCi
UbOQxWiaQcRGOW7kBeRg2YGSzRz98A4jSevxB9S7Q2GgDMYArRWnv73Cv2VRHepZqmlM1j0xUHAH
EEZ1AD1ww/T6bEsdk7nNDlvt9joE1Ne1asxDfDRXFmjNjsjA1tmlqtNH3RHmjTQbwok4u/iqaHYC
EV0IWFTlQY7N0/g6NgXv7yxEGbQ7Xxk2faTX0H2dVlu0Q3kLUt55D9QEe3oHMB4REptNrHg1G999
t3q7WcJcQF1E651LlSDGqs8diA0RDs6D7Ayyxj8Xk4fo5tyRjaxdGm/EDFwE+W07qHN4iI5oKl5M
AJF//5jY8jn4ZQ6w2A27AFtt2wGEaHyODCBZmWho2b5bA8jxsg4JfuEusI6U3n4uTa9fibq2dsFc
VXow3KrRZLeyl1c37r1EhcdCiMeMpZNsHi2wU7zcvqIGaj+3GvgPJzfVpex0dWxYPB4VDnOvk98F
ff+IO1F5EqWwb4Uf6ssWZeWvwNxhVBnj61QXoP5wTdlnoV88Vkr1Igd0SlYvrHZs7pB7jA+BPyXr
xBuUL024kANyPXNXhRuMB6/IXHziPV7986Xx03tkfWs9sooxdoOh4EYmiZdOahH283vuLzJHW1WL
6rtxPkD/+dFWZWZ1Jw9IpfzcJgd/nKtEXX0d99GmRyglsab45Vqfr1/aoILYJulkzx9sWz0FcELe
EgN7obgcsn1eK/ZrH6EbX9tvXQOHLunUCrUmz3qzS+zAoSyyMO3AlWAwgsgZ7dAroSbUmXXpsgHN
6wRqqOuW+64g8YdQSMJjYvjYRUP3j6DPVWN/YOHRB89u3jw4OtgXPa+fXQgCt5PZOA/A2Yx17yLu
FuJG/DD6VYfNHb5HEdIVSxYuIMyH9izHDhMOXkmleLBWGetrJMOqfEoWsvd6yJul6UbTXcKG6CgG
zdjqfwqlSL2TT/InHyIrGGlPW6yYLx9N8oRP53+qfrpcC6NvVQrdWshzpczKx/VSLMdu1AJLo9xu
1l2fGxdRaA0JDj7WmEvD3CZ71cLVr6W/H5ejGb5xVXJs3oxxtyTcXRb93HsyWsu8dhCb1o6uRMjL
XmceLUvF4ANOYVxMjmgyIEFMrMVAUavRnTzkXoOYgRemyxlNc21rhDnt7WyGC8/j2vmgNi38llg/
f5wa2a1y0qd22Uejvkbd6Ml03PHOVqd6qfVdvZVVeRgyrV30nZPuu6aY7mSblgIPViA9yZpsL0Z3
nzvFePvR1IoI/fw2umSGaC4i++5ppIrrBEcjQq3jK7Ze38k3+hdX0cz7QQtOzWgPr6K0DNA0qDfh
kPLzqD5mpoFaeRrTAlw+jMFlNBppuUz8k4e02b2rKsND7UfsokkZbv1uGh70cjSOM//QcbusJD6J
BxQ4F5CCjO1yxYGMwstJix903hHo8o93bAOLB3VI27Wl9fpaVkc3Du+ysVzK2nXEWGpL09eVLYxl
Qmc+e2SEvexqY3imcQj1jtVfn+2wibR3wrT6ei875CHpgX1uXGHMWlZ9tZCjZU9jq7dBUpT3mot4
dtmI/ja2He3ktQCSAJGWXxMEyFJkHV/yNM22GXqKO6HmxRPWX3dywHuo+/ZNYNdKiBodvA63MW8H
xxmIqYzDGQpseoIMsLiO0FjJHJTYPH6MkMP8IsNFzWpAJpuqw2K5ctgdB1iTD2KYv7OkOmg+IvJB
SjWxGm+fZb2xRq2hRFmTQIU9eOlXAwGdMraGbxgVASzGUvO+m3zkcdLG2nmROjL3OvZ1SMIz51r2
bxZJZcmuuGRZOu55H6coVry0ML0w6RsQAKzzHwd3rn60FanJbZyJlhsQbu4iIJf7ilXfUioHpJWN
7p4KEDMqc/scqLyWpWLANCb3dlrqx6LnW56KHsVnVBvfJ2emLGnKcEpVQlUmZiK6ySYV5PeyaLTy
Hd4Q6KPAzeHStO0b1Fwrycr3CZD/1qunYiuriX5TDB7wsGEsd9No1ht5MpKQyxye20uvKMg7efG4
lu1BHe6aSBNPxaR2N0lvipW8jFbZJzUhDOZlPdIBLbqTibBM2ILe8GZiY7wobWlQNI13GLm/y3bN
B7sNvlsaGwyv8XAI5uF6o6g7F8O+tRxVqOJs1hYpXxDQt4ZVKCh29sPbKBokAMpFjN/aso8d8WSp
rb0Ymnp6bfw6xu0pHL+IyIe3XunfjCjbkSbxAWEqv+dwIyMCFeeSHXuwIM296fO0+h776Z0ydMbd
5IcZjGkxXDJg80sIE94mjvVZ21dpvd2oNzlrvSGo116ULCr0E8+uUDJvYWgwBCu+0k2c+ajkR296
oLrssMpKufV6TbkdbHTAYr08yKaPdllSe6/nj2LB+anDDAxlPfFh22qwcOia4rOThMj2mIr3NGZG
AqLZVS5uXvh37HCchQGFg0wsbZbfZyehB3ekKI+RavQHY9DMs9r44oxfSDzLsq1lkzykAG2waRna
G1KRRGZblgyuqgVPfQzgFuhLDIqkDZ9Q6rDPcVcyX9FpefHw4Bvf8zIMnwpVr1bOmOJ55A7N7TAf
Cj1C3iGrdqqXNbeqY3OYS7JTDitNo1gKSHxr2fZpXJkM2F5aj5B2tGOlq9Ohd9MSA506epwG0uA+
4IvvIb4Zjel970QQLjykp8i3+tPaBzF2PQkCX7mJEm0hgEofbB3hWA1GWodgpdHtFLO5XKuoypvH
sUYdZmGvTfh2T02GgUFV8JhEIq2eSoiCa4zBgq3jW+VTZiBnyaxu4xZDVS9NjESdHNHLuRratr0L
0JJeyqrTduUNC8zoWkVR0T3ASwR/NA9OJ0u91Qv/W6I/evGkfgEK/lsERPNtqEtv4VfCfkwqvV7l
jhXcwf7LN1E/qLeDUg4Er0f1Jhm5SYlVILGCn8/SUvX2AsM23qn8t7e0sTlByhMrvxo1NtndN00L
+t95NJQqSX6PWNktYqwRnstwDNZVAUT4dyfT01VsJTwBamS5x77Ud9gs8gAUpvWclZlxU3jjeJlr
ZVPwTflB9gQKOFkomjEhYqqmT7ZvAon2lepG9rpahuYiuvZA4unVu6FH5c6dNrJK1jja9gT01tOY
pU/oUZmLtFXio5vXwVnXtd+ZDLuXMEjzXQHPZm0hTPni565G2K9QUWWh1+2Cox40+X2TMYMIH2Gb
udkuzeoAm1lOqN1Lg97tuhhqdSt7+bGgcp9UCfgsLtn3qwqY0rOJjN7Z7s2fPhdSYLqW5xjtsNGx
Z7TUrr7HcSwHmlxi2RVb4clHanHlVGn9glz6C8wkfp9RvyTj7X51Jg+g1nySgHuyHQKBVfh8UuCA
1DKwNX6ZguR6kuX0S6cqnK9+nyJQYUf1vT9/UqoHP38SILj6Jav8F0vxle9p2f30SbB6d5NiLZhL
BSjRORkvU/TyUKXN5h82eXOsI5fJ+mtWnvSQbqoWgTMASH+N87SZVwSKCp/CjgID4c82PuhVpj+n
evQ2+VF9RvhPfw6MGARrXT0OJUuffvRWchBcbGyNgVpfTwma8SYyQRXJ6gyY3KJCZ3DjuIQzKP0K
bRJjJ6+IRCQoiyIm+TT3jmF0jrGguWjsym+I/oSnPPeyXZDgs8BqDeEPMYVH303yRRCxpczDAXZp
OuCMlViPcoQ/vKD51j3I/gDbET67OclaqPEqSkc1uRnd4NmpXQvBFIPduGptvcpQZiChc4RbCj1o
rtZKFu3iOIrAG1F1k3JAXtO1d7JqNhbM0KLRD4EzPjARP+uOld3bcZfdx2w5QGISoe8KnoWlH/Hw
hll6kL0gRtrbv7+DmvGXcBYZPtdVBbEaC5aQ+BTOimxmk7J2enZ4w7glQDgZZCUnJkYvRRyrwUw7
um2Fah6sKuNHxd8K0c4jgWqN4uJlX3XVie6LKo/vS0ys904sGtJjEcRyFy1RFWHiba2GynrMi+5V
7Xgxt6nRnP3aQW2lmPaJonevU9dPu0kA4wwQh3stDZQ3JkJgJ8vEIQd8+PV06CHN3ql5dPr5akUL
Q9Z1rPK2x57keQSeLU+viym/KcgOY8DFsHKGU2RmWh1T0Kcvzo/PdN06PjhuZi7lKF8g6KcxOx7k
NdBEIlk3rhQnGpYDkcCLjsLcpcB8wWd6O300uQJMjDEg2ibb5MHDimdjoq57PRU5Z+1oltaLionu
0cdfcZcbKXpvc+mj7b+V/n6cHbk/ruf+Wfp0lTh0xRboNDlE9a7uFG8bBWG4ZIM2zbu06U5Lg2Qj
2i5ffbT5WjutulYz1vI02dGZerk0U7vbfrTZwkEwbdTLjeinb+DAkcesNcGT56t7YRDGmkSPUnUd
Ovfov+dLKwvaN70Tj+DHAkA4ypoGCEyqU56Msqvf//73/ZdEtmGwRwCQYcFCJ2wr+39KGGUWm5xQ
b4I3hGrC+Mayd7WRPULwar5bTrsVY629q74jloFuG+cSTf19FUzWFrJ/fsxRv1/kAAcXIKz4kc8H
BVn/lRWDBJVVvW5Of/9PNj5nTQzbFbZBcNMyHNMxxafAmaWpfhiQlXqfxmEVuVMN9IGDmRR4Ptt2
s2ObHC961fvRpg42Ft/42S301Oze7Kw+QO0Dbq5BsSKNAHkqTfs3H7z+IhWpetujGfagjOnZStX+
rai4QTqWMrs0WEGbLvxMvx2bitDmYOKvnSe85C3X0bBNpEeW5EEOJAPf41sV5v8AQTCcTxMTf7hj
W4goW7YJngaEyq/JI1j0IAyy2X7AYsIUSZkfyc/4s5E3RXs+pLqfH70CzjkB7P2ndlmVIz7GyrZE
5Gi1JiZef/NFPo37qH6cm7sQd2A1RWjCmv29gbj5IRDuG8QBYiC1OWLQYPti45g1vfMQmKDLAeb8
RTaB1hr2zKQT2rR0yov0KjZOtROaO+Tohnu1KHvENC4iyrmk0vHb9KsW1Zb5BHkRxSuDBbAA/yAv
AsNsPMVYx8lOUbfx2it6UyZKDgkxQpacpOfj+SBLTW3mC2SW2/WnjixFq30hB1o8KktdQ0i2agsb
Ob14WgZG2D3aiTWe+ELu27RD3Ws+lMMbjKn44dpvERplkVwfZR/gDD3LmmOe4HljlQ1arn6g4dlg
qMdEK3+UZJs8xHPvp8GyTfbWjWnvhY86TT/5xUF1W4IPY3IntKIgLv7HQXZODoL3m9wci4Osf3Sr
EZLGJA0GkrQufrvKpGyM+c2rzQcVXEaktenJmd/DwEPi26nJzv31NQxIfoNZa0v+fe6d3XyQ4MzI
JIIWkBfpylS9E+1G9slRYTpVe1RXRxYq87v8v32q1o370DN/fGqUDurSGQRQhHSaUNDFoDFBcu+t
BskCK61wzxA3nbOs9vqovOk9UXwDAYZjN+jZOc2aL/gLGydU5c2TLFmeyQ4QlwyrLEy2iRPgEtkR
sc/HRqIu17L6cZBnVOi6fjSpJB8WrRYjk9L0yi0AF8TY9MzZBKql3Mq2j0Ng+cHSL8LkhuhxfEDD
CwfAuSQPteKN+UIWyVolG7RRz1EbJMfIz1DAcops7XAbVlVUVOsUmQ1UJdCDJsg1QHxrf/fLHP2M
vsse6oa4dT/q6vpardv2zsU2SDdML1+KrCL0UhYdfnQMDty+PWXRdCT4k9z65PCQPRXOwmtM42UY
dGvdinraymqOOeDCnMb4XAa1/1yxYtHcxHxJprGDsPzLWVZ3SSHJsNxsIuICev2Vp/lmBLT24ll5
tc17tj95HhQoWob3cgBKb+PCDjzrMoRudxBFjoTw4BZfQYPOF3AKxVllAIIOCAvpl3Y0p4XsAAJ1
R6Skeeo8v0BdBkHZOAO9Hjr6jRwgSjSpFYIunYOfarGMU8/sHnuXTauHRhs752ozk3C+DCuEEwEP
xRDYWDIbOy/UzWezBnI0d0dODJrbYr+S9pW1dgIx3MzgYnhfSM8pgXIopeLcoK4yG/EsSczwi3gf
1EUKL9dtDkPu/yBs6EP3jXxCcYcH2niqypL0FBDMt9qc1lrYKGf0Fsb70SWuVIAh3cWZPtzrqCze
teZR9smWSrMLUDeBtZRVYhd3pmlaN3gqBvs6NIxNrGr565jVG/ldWEPbLYNmqk9pUpLCG4W4fr0I
Ma+yLM/eNIOHGlcedT8EQ/kgMHySZ2ZajARaIeAk1ABwFNN31+4wBu9wNa43QvcQ2esdNDoNvDrO
alJmS6tCGEHpkLzMTLRN6xKeHOTW0r0WRlnASeha+LNrVP9/xvz1I7hOVrfVvCz4+AjF18U/vJb1
v76VcaYyVMCbpm1Y7ue3shB+46ZWOzyZ5uSc46Q9Y99Rvmkt/pgdGi1bWc2Q7bAqnYBZRWZw2beE
IMd+5eW+0sV8PXaxzBDEgySoREDi/ygppu2yyhijrSxde0vrH1KTyJT8um2dV1akJS0bg1wgRMbn
PQ97h7oswFA/mlWP8Caqu2plaDvbRIxTlj7a3P/SJse5+RnX0MWopGSl0IxJ9iHB6ZtuKok8Jq53
0+nFfsymyNhqg2dvxpY3z7WOO80GPWM0UYbkrWubZGXUlX1TugiKivohspWEVZmV7cMgTJmeqUZj
9w33Re0ClcmA9Bd+k6OIAKRrw8HJTFYr79EG0vJSABfcdLVTWadkyEq05sLiRW9Zf9RBg//jXA2L
fOUbXvXop5N5x/PHmm8G6Iw2zku5i+NmwE7Pib1kG6DkdO7J8h5tb9jI2hi37lmWqtZRURnDTy+2
kZ9eyEbFSt9Q0PL2H4Pl+USpNup86nWsPDdpeRvLxm7AdTz0DViyhuZt/VAtWav0xQshYBskQJHc
yL8kct17Mpcmwduwe+qajAgvf5GFX8ESTvn/Y++8muM21y39V3b5Hh7kUHX2uQDQObAZRNK6QYkU
CXzIOf36edCStyX6jDxzP1Wudkd0q4n+wvuu9awR4lZuGX+UmfgSxXP2Kub4D70udJb9Y8AJaqNs
JBzyYXmCYJ74JIyKoW5wEFsvy6VvV69rKHVK+MsqU9d4usaH+GthVStdGXh/LaUglJK5gDtuM3d6
trbFXO1Yj9sPtIlvNU1oX0ojSCAmhtpZ06LyHFYNk9DyQBfN55If1idHzsOdJep+XQ0MOE38en2c
1nO0mlMi6fVWXrIZgmGlsfw/pynrikFxyi+qEz/h8urB+qnGnkau5F/v51v3YuKBnxeW6mborGZj
lY70HAGvuT4hJT9qpQ5avYevHj/kggLNckA51GvPnmb7hHtYu2nKnpbM8kAX0PCFZCXdqkETHOYs
q3wzM5xLPOBwgUv62NRFA76sDD8Z7A3KUJmeessqj1Otw0+a8ukJm4dYt0LLUeTzqCgBq0pEP52v
j9Z4niw9f4KyNJ5rYhPYkvCsRMzzZgolYEidmJ/auEs8mfibw/VFlhOuOtBtD1IzSBcrJ0n2+sb4
XnaWE/X+9UWELqZ+G9jmDqRZc6pj2CzzNCPsaJZdk4i1T3/dJCfq+82qDOoDpaUfb14fFTUlh+tr
2yVdSVQhJd2M3qOj0/g3omAvwt74fpWpr1/yqatgr2DjllZ/e+z6CikwVlpiymhCdkkeBMZzNTY1
yA6AcwgwKdknNGh61dylxYKmC0qZXCkrPpRTYNwns3337f7UMam6oZC12zG4ZTX9dr2/YUniZQ1A
AExL6SVry9aNFqmJNBHXkkW2fmPO1XBG/0keRAxWt+8Q1gDnXVl5a+2/XSWvxtpfbwc0YzbEbsLI
YZIFhqOf8gmMZVMR1fPtvqoyT0Kepf0P4prlvlC5nZBqBwwWLF9RufWxeKmH8M6KA/HWD9WGpOIi
csvsJSMgPHbL7oadsRG5RRJDtAjnt2YKbszaHl5I3/k614XyhzrrI1QwAHcjZW8XSjyY3cCyQAqm
7CAwsDnMQ3IAT7O3KXItV69Pul5rtJasKNvOvOt9Uo1lxpUijpFdj0EHQWzgd75fH/7rdfZA9FgU
zcWqD7LRdcCc4zVNwpVkVvqZPa6Mm1VRdrkTdyd0W2DijKi5lyLWyvZc958hxd0EIWpFV/LDvO+/
uZvEYmq6OpuuLqYwzJRDNKP8WfxP7UQ0hallhdvXo4UAjQuKfdgfSjLrnDBmIYKZVeXwFwhq/T6M
mmdlyWe7XjiLk7gLsxMB8dLhetf1qWYEFDKAc+r/9VwrInlQMaJtGteGr6pTeKNm7Ux6lTmRTJfq
pzaW+5XqFPkDuVgq3lstfNFGJDANa2i3T0o/AevzWozJQuBT9E+OAH54PVIdKt+PVCwBrZopqRtT
qo0Tpa3CENHJXm6kLENP2TCngN2GSqwbS1pyEXjESvUYHyL5nB5KSKomcbvlSnYcl2uxUmXHsKzb
bUEC4bdr0X/u+/BoETbDSsbKjzpA3jvURnGVLFcjU5b3ksHF9eb1wtDs3Fx9exJkQ0MlaIOn2omp
eIVSiksPejO1tfQJyY+6t/Wu8VUTqzO8DMhgEdUB7GrZxU41cliXB+Chlf7gdPa+CiPnsU47LzX1
kYwUpP/50E/r6010XzuS5IwHsn1i2sUYwFLo2x15rnzVrL4L0QSfCW0XXlYsgDJJq9d5KvIjWF60
zGB3N9Uc9reKM09eFOFel1OaD9pSYQqXWlM7CH1n5/XTX3ddr9nVoPtiSTOUCfxRksw+kkhus+nH
NwdpzvDU5eb1vuvFXLJycfEcEhFpA+eDGHRbUwDzFPphgHRLUArX2/Nye2xCVEzX28zif94Os/pJ
l3OYX7n8LKMfzmo5f2eDCLQzN9gvITSIEt28QytsriO7FAfTysJTZy8NJ6mtP3VFDv0Csu9b95Km
SfGeq2hI61q1P0kMewgH0vYUDrW6L6ws2aRVV92x6wTxkVXpS0/g5vVVSl/ehBOjFcK9wGNo3fy6
8qcaP9tu6BLqjqXKlIUdw9BkTqefa17UKKPelsvg1SgW/MGshYeMWh/ejne1CZuXLJlXz0YH5jom
YN1LxGlSicZTGmzFkqGIm04ddyQhEflXBRorsuIs4rrZdY6vWaXYZGUR3UX5XZq0N4UW6ntZMrQ9
1QICXYoy9UTfoYDRMRuwa9L9Qp6gfo2pzNDB4XDQwvhcd0+KLul+O8Fvo27XbrBVUE7WaqwibUSs
hbI3F/GNJeMKAij9rCrAtXLtOX5DOatd5uITYXQOSh8Ixir9TZKj7PwoK4Gyyeruk+TMBBWFNDDx
2htbuqmZh7FSOljxPUUPqN7q0NwYE0lcQY/NRkCRPkiyRcsdQqqbk9O6zlCm+kNAPpUdpV5gKMUa
C5e8HoJUW8/Ga6er+a6n1LKyqI97BiDTNRXw0bPqkrW30e2CWaRbvLhoZWZ0Q4lRuCB6MXSSoSYJ
PnJT0ONJDBjOWeWOspjvB6DRsUR64xQx52PvhSmiJtYKHZO0QnhXrifNVt0kGmjdJ23lywDZSH6A
JSMN6pekANnXm3m1ysMgdyWpyvwsVMu7GDUgkgL1BMRaPbV4nBJFdCQyRB6Em3GP4Ng5kGAI+LzB
IEXPMLpPME166ahSciTXDRFiVe/g8PnwMGnmx+1uhmMPrKF0zZGKQTx3r5lcaUfkMy9hpG2siDWT
WRVx7gb9VO2phodtmB0zTX8cY1Pbh61s+YkBvpdVS+jFitOSHWk29Fge2NVlR8z82bFikJ4ioK8d
jow6Dsr7SC8fDKPN9oagVR3oB8rXN2CxzGfG3l1kE+5O7rgd5adCM+OnWko3ijUMhFqJxitoR97q
iOn6WnfTyEL9UEYEwJGgh1M2dvu+b0+duZ+RQawWmueaUN9Tl9rzKSoQqEgWXXGsWccyIGVWxpG1
tkbd2JdV/FhkwXAKJoqyCcwMW6mDbTeptzb7UZch2d6BLQUKrY73Slx35+uFakFOHKucCL6oRnRV
ydpBmxqkcpp1LOnG3gwoUfzJjMD3W8TQIrb1hmB2W/kUVrbxiP3QtaPoUFHF3kuZNO4mp/8jwz9+
0tURbbTGn1FD4OqpGsHC7OgRN6Kf9PsaQEIw2+pmZCXrZ6rlCUl7lYdqpQqV6WUax5OcZ5cWTx7p
9OhrMcmDx5i01k/yjiD0LFpRsHA2aWgVPhBl3xzDL6aq9f8wrCk/b7cZ1QzFsAzsnlQNiID5qASG
RJZbTu3kX5EdqU/FhJ6K7BirlzDktJbEpgvTMgypVRnEWOt7o3wnN8PaRMxo5KQkxKcnyT6hy96J
fsI1zG/7H0benxvZfERLpxqAXFlR6URY+geniiKraZ1VZfw2kgwF0pvMwUEubqtUKcisnYatapGi
UlIH8kr2jutUaVxtQGl1xQiXM1SOeAIqrqVrTTGbNQ0Xti2izW4LOXdW8hyp63kZa/NkEJ5jptpK
zwwygIroqZ3kf/rGf67SXL9xhNeKgfweU8jf7JvUMp0iwdn2NQNotoe5aB5Q7PjkyMeEMqXwsAhr
Cdwcv6tLuTYg+Twl0ly1cR4atvfrL9dRfiq3XD8Nuewgch1Hodn80bs/IvJXewaUrw67ELgnXU2A
d/HW29FiWppaf9adxDVjSC32aL9rUvLate147AZn3hW6valkiz0LZcMta8NxH0gRgrNWWGslquDK
z9Akuz56RgMmn5s5OieNpSDu6MUp69R005HEYayu5Q+iKp+kQgSuWsYPoqvumcWcVVgOGYlmqbGp
Ze1JpAQ9xjrUNt1MoMYtDYa4czq+LiBEXWXKKyXsd1nWqF5kyL03hUpNVpeFjWi5WZtmumoG6xBi
/SL3IXOzkTRIQJ3vTiuijSHaP9R8Bq1YFneFrTt7NVT2g5DuYYPFjwm/WlexnZesABaoTZ18QJej
b/OQCaSQ0nhjBGp94JdSL7rmrns3Jv2G8QAXXJ2upgF+bB0k3VGV2xZNrUNog1we2qprT2lGHLMZ
Fp0HrzhxE9kW1ImUC+EJEv0bQVJpM83vv/77K39b1XAm0sIz+OXrqmXZH1Y1BaRUqzLC/GtuyeOl
r52SeK1AHzz6OvdNpLItKqmqq8vZWVZFdGswFvz6M6h/OweX3i8aFU5EjZbqxz6wIlnNiJ11/qoU
6Supbu0R9UYKXS4LUalCirk2p9WkPiH02LADC3fRpIwrStrIn4fCXgtDfSGYoDuNhOWChpmkQwpT
IJ5y2R+GXj3OA7Ggv/7YyodS5XVgImZAd2xVcZZe6Ad5hpKwnUTXZH0VNSefnBhfnG5QfYIHgYQE
YbXLLROJzNw+GtGK4v0OeLr2ubDHHVM3ZlVyCFmElMNZ6kuX6quzb6wpdWObbALCDDyFvxlLYVt5
EJUir6ao2MKHkv22CQ+KDXsiIMLQbDKf/BRzN4Zz41M5tTeDTa1vaFM4Kxl5oYQzLZjv9CmQxnxt
DdCYI3rVhwr56KoKAkgsoeiPljnRz6GNjBWXSNKuiBu3iqeXXKe3GeGI9BJp6lZTOFrrwrAj9qFF
7zdxX+GGnJx12GnrqDDqW21oM7zzqbUaye1aB7oesyJxWK0a4UB1b27xu2mVX+th6wUlC1cn/oIx
MGqqF0nXjRMju+FLEvG9ik1waIVN3bViMVELCx6wyjm7QRfvHes+XEvXtfM47UDwltuyaVETU3XZ
sGJQ9jB0BdDgV1kj1hdAiFb35GoVbbQzl16bznab9EtBwmSk75ohHFcDCDOmACO/d6Cyb52+ezNA
KWYsalRlq2CIu5QNK9UbBEjs72R0s/tgOjpqmWyjalDcqdfFTLUk94wq9Saizy+aJRErW8GyHGQn
yl06F9KtyJ9zHQEDSRRKdiBvk7Vhrvjh8A5sPLtvCt3c6n0zey0laNlQLgDul5gj3ITF3Db/MA18
MAR9O5V1sA8W5XcH7N4HQ1gnBw6/Syv4atYiYjXV525iSc46QYG0VmTR0XTu+7NpGv1ZDxXyPePw
UKRY21k8rEe9v++XwEGciw8Zf5Rf/9L+PkCwAnAMB8GBYqrW3wAzmjrMczIOydsguhtkw8q94iB3
r1EYewHjtj91dXppoaGhk+g9RZ1wpCm24rUGSxhJI9W7aZTi82h3KGgTS0MEGff31vDgFPbLFE7l
Q0jP/5/EIs7HuZW1iqbSidE029H55f28YzQV0WQNkQVvUgj4ZgapOBTWpzaNmbjAl67NUR3dSAqK
HZ4d2kPIYu+hDV+s1NnnimnsrpupXtZOUjOi18t36kBaVtGx31HIp3BD1JVWOzQnTSl3MYXDjWKH
C4gDYw3ENGdfD7PsakGzIRrodUIp9oeW2AhX2voUZ0G9oTacPGR9TdmM0aftxqdf/+U+KNiu55Wt
s3mzZUNF6+p80MvMWQcRYEziNztTm5WTmCHzSYDtu7FvNVEmB3NUzBVeqbdJIiiqG/fS1BiHbKxX
uJcAEA/RSRvl+mhkUQnfWnm2CK6/aLa0I7Gwl1r9EbMvaZCYNXzUi8KtmrT3KKrA9IjD6jznwedO
7hjUAjZV+Fw/Bfh6DnUHi/zX/1bOn7/9vdH/MIWqNiepqZgffkT1kBmNHeb5W2oYso+SdjjjBnYI
2u5DaydY9NxkIvHRyeQnZw7v9TZ6D6pZ9RJZNdap7oSn60XhUNqF3APEwEBZid0q7rrklqEq2JV2
8wcRzONRotxrt9lKSPWZQOURAAPlUdyNZ53PdtEBDgnOra2jh2Tap5J+GWn3nZP8D2HtiNRISbMk
xwEeTu5orlHa2F1l7VNldquAHr2W6MqBUHK0/G0vQ9olJaxDN5Njjy8t5hLqXtsgjCOvIzTEbcJ8
aX6wxZrvjCx3J92UCDXJQIBg0LkBZ5Af24V6FGZORYQ9QHC0NHwwo5MepSmtfFoUN+gXi7M6PrTt
LLZsOUPq9Cam7iwvSRnuUw8huOrN2icWKEg8m+GtM7uDU9Vk+TBaAwN3aSomNymLOndG0LqKSTxx
s4XDbxo1UcVVfmYF6RxssxAHmliF2ya6sVWiYNxP9vQ+ik6l65Ar+2BJdA3U/C3qKhAO1DFdQgPG
Y0lKR1CRS9nC9hsZCtcGyxQschQ8ZKA1SylUN5YKXN9bLtEzh7GvgYrF6aOp12RaLgm8qk3NDc0Q
3hjl0ERTc9L7dxr07U3K6sEFj7GD9TZs9KBOHhH674OaGnExvdipFB7Z9FTrMYTqXSOtc+MJ6hC1
cflgLBc4pF0SWstjGJQvsHfeanzgW6UwzoCd9Tu968atBU11gEt7owoklaORveZdfdJNqPStHV4G
crYuwFK9RsnuSI4o3q2QudA8U9u3nnJlNt2J1sMhl9XzaCjq/aREm8kuk8vAjgfm2dRuGZaobw/R
QIRQhJMWvd7WFJT+wZMyGZeZs4qZyg8o3qdT2FGqmm2nuYTkn/3D+tL62xrXMhVDM9g/Wo6C3vDD
ONyTTMlZp3dvJvExXhJNLHsyfFm20zGGsmS4se2KE7JZq2S5l24cAvIwldCPCGbcmGJ+zUZhbNIE
4HxsAB7/TNXDcsFkObskXipUrOOZ/44kRGIGAYXHEBee8Ga4iZkPpL8Epqtq2KTDYbJ9JZzA92fD
dJSbz0mabzVEn3cgAgoCBPPuBL3KWMeF8n6lweAa2ZBdou2MkR4Q+LLkj6zpUx/rGLNIF7Ex572G
TBhrPDHqBvMA3tBQFIcBqFay5H3mTd3dd7GqeHP/kNH5grs2xis5Bw0UzfnbaKM0Mse+3YQBDaVk
OYWDWpz7uJ9OwjQu7VzW33b1/+snalxzpci9FmDFEIO1H27+90OR8d9/La/5z3N+fsV/n8QrHcni
vf3lszZvxflL9tZ8fNJPR+bdv386/0v75acbq7wV7XTbvdXT3VvTpe2f9Lvlmf+3D/7r7XqUh6l8
+/dvX75mIvdF09bitf3t+0OLLt9RNE7P/+D1ljf4/ujyL/j3b3++5l/F+7881EzZiwD79u3Qf73+
7UvT/vs3yTJ/d2QHQSflWGKtOS9++xfQwOtD1u+Yzm3HQp7JIIAR4Ld/5UXdRv/+TbN/d8CWOraD
kNXWLZOHGiJMvz1ky9SCeBDjgKry0J9fxXcQ4Le/4f8MBlze/gcLgqEjQUF8roHj0w0NXceHzeUE
nYXIg1HekiPgwnnJwndjPnRhuJYb9tHZ4Mp6DFHDZs/0ZjSR2/TE0kVYJL6quLMbOVgJGKRhFm+H
gVFpK4sb+uWKXrmtuPzwNX//8D9SDHH8/w+fVjNNZPh8PaqjfBgmCsM08fyHfNpR3isR2eVNVl5k
izptoD9PTnls+DGFYJ8Naytl8h3mLbeczxMxmpXUvqgMD72ubglHWIVDstLT4CTYnA6auZt0BEfk
vQpaph39DefG0t6acnIJIHejABbAucLXnizJsnl5WQ5HM8MLlvt4RoIWRq+K1+U5MOuhnsT+8naF
4WwHJ/Bo4HJoe90y15fa0e67613LU5ZDIqjZLJ/ALgeaBMN6MECQ291KLl91jv7nh6r03F8+0/IB
rx+4QoEjGys6Nt7yHMHhwmpyg8H08db7TSG5QABdippEckhuxfVmCDyUesidk3UTJithyzfLc6LM
XNXGpop4KQ+DlHND7ITV8tSQ+2LVm6rct9sbHa60CsS2orVQ1axGeLUunK2cBZ+RRKar5RiiIP0m
Kik3kUDHayudkXzasEnyh8w5LYdT4wM8p62uodjgZiKG24pnF+2UYKDlz9HK76pdu+FSxdVvjOag
F+uGVyRIngLe4/q5ePNKsdZ//lOX92ukkcQrZdOCyM777fKQrkXX/494bl+g1ntqhYV3+QdwHGhC
LrjWzfL1LP/25c2v98MFqnLC4pb34isMlus8Bl4K/pQfJw8ob7xJyx91mZG/jojSS3WL70veZBrO
fp2fBjsIcmSgSlxiLGtIu2RCAeR2L6BbmjCXlpvLkxtlZIKzyf6BbyulLhFonh736y7OvK7LD8v9
AQ2bvgdxM38WvMdy3Cbp1yJh0uRwyyFIWfcc6uI5QPDlU5lMKn++1EafXNHYToYYPoDuBlxfHquW
w+JV41/G0RJdEHqvtPdy2tMKUrzlEywvG9I12Z8o/1bIG7c9FJEe/4cb98WXjHRGB4Cvblpexkzd
lkc1XILbIv9LP2Ze3SV3oxQ8OCGgy1QrPycN2iyAx86kXVCyPsKKin1BfE5uE4/XWIcGzE5VMyGG
UH/ixCOvks0HIuJ8QXxM1WZg3+2qtv2Q5M+AR3EYk4vhAeVdgGTDa66HPtFwJEyG/GBwMV5S/BhN
H3KedSTiEsaOd7M0m1VHip9ItBsGsfDbrv3/z6H/MIcqmrnIAv/Pk+j2y/BFiB+nze8v+T5vKob+
OwU75iWNzelfk6Ziyr+ruslWHYeHwdTJDu/7pKmqv1OhpA9hyGyOMGSx2f8+aSrMpzSF2ffBHQK0
So39/2HSVLRlm/iDcc+xEQXqxAqwYWZ61q/z1A+2GOwy6RwboXovl7G0Tae020po9d04V4hKSaSn
NIccWA75QWk7/ZONtM5VnXraJ1npbHplfmzQsxCVkdNiF7Liy8hu9rDQ/DapSFOQu4LTVqk3vdME
3thipi3bdjd0WkaD1qBKYUv5UUuaBwH9Qm4F4stW2k90gvZykA6+hIiidaQSjAD5eZ1C7Z+9T8Ok
12ypy5qfbQd0CIJDNHkOezKb9NqtWORxuMdxLuRBvnKobV3msc5d2Sxav4hIzUzs7rYK+9ib2fuu
OxiXbtvE9qntwtXcmJ+qPPJVp7mvinGrm0G5mqXWoJJvrMYu3KLmnOHuWo2bWy58dMLd2XStOZdq
j1EwxPCHzz+wehlZxqATQju8NnWJQ6rU6Y6WHR34odsMkvnSGtOTDfHlTNTvrarX5U3f1rabIkcY
qiS7xf+eYnWzDLeIHZ0pRRh3A1OyXlntU2MH71WJ2N1MnGw9IplhlZOWK4EOoMoUP1lk56rTTSsZ
OtF2jGmE9ijgDZ2snTHokYtWPtZHnb7u+F4gCbsZOulZEvKlIaLuLjNodHVJE97nol63ljl6UaWX
px6tDq0TRGi0Wt7JXxgOIpJf49Yxz7WVRn6AStMPaTxsq3nGImKxk28jdH6FVV1o5Yl/KCqaS3Hn
w4lsmrbFj0OW8SBd6yU/nMhoV/UYoK95n1fEZMpBtzW0zlgt7pgVIYDBzlDKdsX7Rlkaf5aNJZQI
xZTNXvubHK13itKXUNL55lBshqRXbi2q2X4z9whtcTk64YNSlECnJjvcW2V/KxK530CkRRUywudW
SFEZOuWcKkm5ozkIyZTu9jgR0DlUFjD5mUpaZQlfI+j52DsUcIlRkKWmOZMutokmSgjoJYRntumr
VSZfrB6Db4PODOHBY592xl1UKqt+Hj6rWR76JMiHhIyagDi14iZWprtGt+mCdVhtrHBQH+q0qPDi
yNB2oKzd/zDI/U9L2GVR//M3rsM9YxCybVJOdeNjxbFEUR0GcpnfW0Rq+NGEJpDt9WroI+2khUzd
gfGUh1F4kx4Re/WHeJIuY9l/bmVEqYkoRx8wSoiWr341OgzKIOrYniq4M6elMJKoJ6EIssRtlQCn
5SJcbA1saOdVUw7KPh4HpPxB50kdUmhCf3dkv9l7Mb6EuZ7s07J/ahLJ3sapQCgN51IWVgRDK3sE
FORSgBef1LJQDnxL+VFSNRCDMEtSMuK1sBovhh08hvqobkgQEnsTvBaOg6H3LDEr7myVUCObY5qW
+SbrZmmjg+MsZ4j57ItWlTMSr2yXfwi5sS/moO8RoGdbeda+5mZ3RGCEyJzBbSITaZP1SkUCdVw8
TuFwJHvBx5tnrVoUS76GBxf5UrmO4pJgvxhhM4ZE5zDROegGshtFVODjIdMN1KGyYx46p/IsXGWi
DaO1xiZSh10mLE8hNBZDRM/KKnaeLaN7LTBCJ5EWHEv9U9YUAuNDv0vaRvbShtVDqCWbCJFQa0u2
R2qVijQlpoHdsWfJnG4TL+v3NicnXW5qP06lcw80hFyB2TiUpvKJIPGbTh8qdl+wEaFmqmjTxLB2
UHZshWjQSEdWxtk8HeS5ZgVNqoNfltW2ShP93JG0sRCipMhmJun5Sc80iA+VoMJcqsXeMkvfHsJu
p5N3FDho1sidG9eVJdn7HIOWGyoshGeCCu9tGLll3037aQpPfW9kG37oX1szUd1a7SW3Ux0BUyd5
zaOGLCOIC3vaXmmLMoPzCkoXCEF1To4VXfqItBsW+sFOLef8BKEqX0+Ksg5IMFpXDayOcbrVoky/
BJ0gxSMwNtRy5lU3GWBYgGpjmuQCOBLtza7aU9arlmCMcksYU+46RntiHzf582B/1lTBzhUnx1op
zS0/gmRLB5lMJKPZEICou/mggoGQNQdtVZjstYZoJjUkyGxeMp1n+klhEh6jYQFr2eWlNZvXro6G
7a+HAdqAPw0DSNNs3BN0dTUFkhnCDo3Hfxh4Ca4M0NBY0l2c1iA1QYm5as662UHa5WO3380OOLOk
svfTOCA9sDrHA/sUSZbY8WPBHp4402EUs0HNk59XlvePYd2UnsL0vuvD8StR4ca9yPbwgiDcEPyF
nTyFn2ADgN1IdWmssrJs9xLIgCzCq1/Z5fPo6IlfzWO3GwzOZIzjwhvaST2izBdsMjcRYBTLWoGl
RM6mYjoUXcympWlX7BPIntHyNzPQOphvne3Smm7dogz6w0wdw8PQMrF1Plb4hdak5IyuHgUcfxTx
ypBV+rEe2X8vI3uhLda17FA3SFaKMd3SD9vLqUUwVM/YP0i98CgmTkeCJsjraCV1NfHDOkL8crxW
psMQ4wph7kn1TUtOjN+NwJBgXMeulkvGoZrkxz6LPveleIEC4WxUNgWObKIWVIgNQTuHnY1oxcYi
3qU15zVJ4PbKoi/uOSIf9jU9v7ikCjnzAz6Yjqq6Yc8eVgTtsOyb9NOQa6VrT1QZoKuzLjOS8CDC
ZVs0xrQLxjRmAEg2FP0wTgti3JwyObVITv26SHOvoDZxtMPka0ETY1NNd0JyojU1YqJ/Nam5U2O5
O6aV+aDlHi3e7KiA4l5AvsdutsLL9WI79t37r89aczkp/1otLCettqQUyLZpAiglruDnk3aolEYK
5zq4a4LR8Z0+dA6BWTokfhIqIevqY1lnW1rT411vvMazA1TMWCsSUkukctUXOdA2Up4mK0lOWQXD
yfOFWqhrIrLGI4qfFovcHc2leD+2prQhRu1WMogRtXPCUG0HcmuZWbknHFlsdNCUomIPadhq74E6
cDzHrnsgodl4qkiNdwFvz+tZjKChQyS+mTkEGz7GiykGheAgpKBjM69aUqj68TYPLPsIarrBYQ8m
iaYVQapBWrOI5o9mEifrIPOZrVnZApdrPVaC5tEYVqQNtheMp5lfBKm1sQgHrkQnrX/9xesf6l7L
F68vext6q7JmgVD9+YvPCRSolSi07lJzBmoXK+O5Khk9n/UOHHs+OvNG1tFdF7axZltMXmB0KBrR
HUtDgc+gS/FdVpwRGEurqk2nNV5+0++S8lEOZOPQV2RKE5vrnJe4GeYVzS1sxTjntUzNKkqJYdCT
He6zlL5BicO5aKxtoZLEURhQk0n3Sx4UOFRpYv9Bgkaxn/so8nI1yElitl1g2s19GwYNSV0ka7JK
3kl6E+x//R3RPv772anThab2ThNhKWf+/CUNWS1q7N7GHWtEZswYcJ5Qbkl77PZ11Msb3vPZVKkk
mD34JrmbR7YrcU8VC5BTRtwRyb9ENiRN17L2HQePvEWWtXoV+qVVViuimBRiuJQDsOX5JDt5R982
o7aW5+YO2XS/J/z6ZFXxU9HJ+rZojlHWH2WrpGZVRspuIKcShlG3bs3M2TiN9TJFCHQZFecHiyys
etScXakRoAuig9zfzFdKahm1HM9ryJQE3dmkoCl2PJ1TnUEuEUt4mYDLLgP/KZxC31dtbh9Bcgko
gkOHf24aXDs5xxARniXFANUvnq6BSKLTsdQlwOopIfndFOkPsoJET0tmHEENfRAWEgwk+xDdiRcj
0bhBi9uDZUNLqo5rXZKpJDWK5DllTLGzMp7NgZ/lwF5nNQ65gSYG0aZeNOF2yEzFj3NTORQ7tNvE
GDmmtJVYNF0UfSDl0KlrX2rT7DTUkwfSUlC2NI9Fl3Z3YpbXUhuAmWsr8zwT1+THQo6OjiGeO61h
2GhGwm2TF3Uc2y92onqiBcJQGYG9zVgTDizFLziPvhLKPpGp6raobPw8oxapdLW+uc5AOnzZxXB2
LOTqLErpJh0U+6aupHqN/LlY6ao/52lzptmzq2TJ3C8UpQKq/j4NvQKIgUsQubQvI3MnQxZ61BIo
2eYkplvw/fv6f7N3JstxK+kVfhW/ADqAxLzFUCOLk4qDuEGQlC7mITElgKf3V+q2u+0Ih8N7bxS8
4pUosgqZ/3DOdxz0cPmqv9WjZ7yohYVU1Q9Rs2grXafGcE7gGJlnrLej5jXnwnMfx+6lFli7paTL
Ab+xgxa8IE/m5Enr/R/m4MD+FHrRdEZog3mwUr9dY3IjvWVD2OU9Plbmu1czP2W5lt1JL2133VDl
OHr4Tw/TkVvjj2trgjkXqjgeKdpeQd6q50veM/zYLahgVEsV+2HA/uZa7zKCrQIX6i3B46l+4Yfr
/S8beg6z//4U+yZLCUb7tv1nYHPb4P9LYeQ1Rj0xhJTPtkNxsNR+EXX25J4GJir3XErPm8PRD5vJ
enBL7YfIQAEKCWqnUovcr2xsQwPmTmzT3S2m3Z/NwoLZkDxqdYP2uWiuNj47MW5PxD5mh9xcgQ1a
mXjxvcEKc7Y4gUdG+r4V3RUIs73XB+7tP+es2aOayqubzjohHCtNJ/WAw/MXRqhnvTL9a5o2u5aX
+X4uE7T5aJzJEV76kDvTi3Gqd6GYvWVPhYtCzNcmrLxGtRsU8RGuxkQ1IdwqXDJn4wBPGJOirOq1
1Ttrm+exGm7Tw1QT1NJBZeELp82DPZlnbSXQQ/o3il6TTj9dmEBFUW7wS25pH6mexXIRdth0T3Mz
QnTX2uzF3KQ8lDlft9KW4lonPxwYHTFNEAQ+IJlH3xqq45SzE5IJp5vupk8Q3fRLAhkVECMcxsRB
4+v1TD5s821wQARlqyjvHEmdP2dWHaWkQsT+5H7XKNaeWR874GdzgltMZttde0DToM7MksF0FcBS
qpWYiW5e5E1PqD2PBroqZgj7ATxekNvcXHkzYd6joVuMjWo+1+SuquZ9Q7EX1G6d3AvZ+oEGbyvM
SOPae1lfB+OoNffDUjLXUNprPrdzDHVL38N244xzJtoMio62Ffa5EVddz7BBtDNhdcm0hUlLiuTk
ZFFuYrHcaoVyfvIJh0bqWYPY7HnrSDnGXjex0PXTJsjS4i0r0jqQUJujakJE0bCqDtrKp4cdsM0V
zvrEzwF6c/mt8On/aJ1bjDp2klPeNcODU1UBmKYiHJWsvyERcuMmn1jiV7YyPJGpoapj2eYmA8Xk
DPyivM+9/MSesnpBlPfFwMZAnsd/jdI/++n2LGVlnuBNimvVjGzHDMvaOflrPWiQZZH/PSYZge1d
XxLkOOgYFvTa4yX0y2dENAsZebTfVvlX0quvP2j54lWYWooWUG27Bd6l2T7l2q98zIiK73vvnFXE
g6VuY+7X2WaXrrfei7VV9Z4pooy1omr3JVAxdGnOKw47J4JAN9yVqcmOCTGomXH/LkO9omit82u1
ii4cl6Y4pnbzAgZ22k8kHp46/TqbPSUPYvOf3lwfZH8ZN4A2GySq3diOvwyz8M5rLW7UhhUeVpnv
UiPL73WWxE8qHY+2Nju71NIajtdufS0T3nYURxncg3doXrx5wJVEtW004copTkxwg/W5+dktNVkx
DtBCUdh3s9WhB1vaLdBIXHjsrP7HhEJjV/lSQ4Xpk2Q+wb/xE8aTc75Qk2nDekpJgm4wG8fAyedw
8vx6XzfQB5p0zgJbGNl7bbgyRBnrPhZ2x8yh/8WcQtwT/gQWNM8BJJTZtsM/B21ptoZwJLQvT0fv
emiojZ5vwZFasxl3npW9FMmoxV2K/3DsD3KFPk2MSn12upUykP4pmDQrOdSaN+yMnsgBszDmZ6Pb
AU9tY30cCFQlJ3kL6j55XGwGp9bcVMc6nQljs8zkZJV1zw+KWE7XULeMgVxw6hC1N0r1I22r6iK8
ddmb2A9qrFHBn7J5tT/HquuPNO8/gJeW4br64Aw0sHZ5HlX+uu+m4rsq2Drhr9PvhNSDDbRPpNwk
C9uW7DNnTe40Jbd7NZdp4Hc3OoZlUczqhnfYDBOak4u9a/jpGptgPbkuR9+gSCjHAhJG7ip8KEBf
GRYT61nrwezBHhKmzw/Nf+Rh6U+FPqn7Cvohsybzr0qCyywX7NTW2jykfSYCi8Chs4uH6rnsnZ3v
vxr+0Lx7zM4jwLl6sGTTcHCo3f9+U/7/Zul/2SyZtECs/f/nzdIb6op/e817GLT/VZfxjz/5H8IM
92+3RgonAO3sP9QX/xBmeOJvDtZRAwXGnzXSvwgzLP1v4DtuEkKXbaYHA+M/d0wmcg40GbruwvWw
mO74/5cdk7D/m++HyTBhPX+WXLQ0FkKQ2yT5XyqhdLVUhUAyOyrNJlpVtL/rWQ4ItiD5uOON0GnC
1e8IBJPT9DlOkL5X7a5UxnQ/gza2HPZFmLqadJ9PWxGSqJNEtlVrCAAoER33My+Sh2nRm7jFxIY+
EABriVd/X5GdwKQXaYSDK35zIqCpgjop7FNfCyfRw8pS25v6dCybDc8kSdndDt7UKSbo3UHpjD0B
GjLEdPx4Hs2IauPYk0F55Nmso3llBSwa9emmOIpJsN4VDnmZRrKcybjd7tS2Miku/SjN5EM9o5sw
ECRW3KIZjg5FUNDRz4aMMqq5UEDJiCW5EyNxI0mcNUE5zTvdmi+Vbm6Pi9Nqcb06ViwHxFvDWPRM
eUuftUrnxzRcfYharGYOzdAfvIoeVzk45g6bWjlxj9h51M8LWotGEq89fRJ5QVeDUumhYAoRVcKl
OSwIOsUr66zdpVfLBPrY1TD/lW5gUF0FaYVXMZXcAXLKd+ijC66YmzqkS3cZkLqrOXvPNalrAwiv
44K5LxL2cCELPDAOdSeu3TirOz3TrsQBxus4vDqZerIBTMzK2UnHCBxCWJteRm3+tok8AFwe06ec
FcQr55a+O/kvtKGfBKgEzIORj2FoHsv11nVx0/NZs6J2GTOXserwwcD6BoBie8/+A5ufYd2POWlD
ujPCv8ZdaC6LEeZGo7D2G4dydE7cpphBTDzyrV2dPX2+kNjynrdDebetwovEgoM0MxH8Sp25jdCS
qGohJ/hIWPfFjH+WheuExMgZGZEPu3bOygCDEJk1vMGD0SbKUJeufZ7ySr7DluzH5swgsucNB6ZS
osTFV0FiqxR12JKas69qth7e8j3W6VUXdUdMYj+RAlVeUGkU1Djmc2cI0Ab2k6j8B7xCaSjVh5Xi
ieiN4l12Wf/QE53BiFUdNLhhQclgyM4XL57IKIq1wScgirHtopUZw1UIdxCnd6ox9miFN36S8jTM
3QY53d9jQ1ojYOpZnJqa2sPLjetpehNVVZMT3BYxjr6IdTeP2dKFOm6boOuTu6QnD1FgO3Ulkegm
/sqh3xtsRaPWMtls1m1c1a4HCArH6kCUB26smYgkI5Cdez9atby4+bybx1G9ZFcLL2zePyPz1vat
RYuudzAnR5riphW/IFHeJ8m68xt8x4Y11PsJxi82QzYCBM4pIIFj9q5glkKMP/hLrkUs2gBcJqh6
55DH5r0onqVNizmpLpoBmsfIzu7dvpDUJfjSV2Spy01Ezhh5tu+lsxwnoxc7l0UObpV1t5VGG2XL
/LiuWcXk127oRsUYoARHezwReejLvZOkTz0dsa8nT8P8QLrRhpOLesCu7uGWQAUukaGITgBKsKig
ZjDlUQoGNPRxftP+6gd9+CRDzw6N4XNZgKW5WHHXVP/Ut9sLlG50kMLaER+4d2cC3fuCIQad+Rza
af89Cb2K6tqy9lW/HSV6+rtKzbTyZvK8SD95YVN6ktWPOpNtPObN50o+V9SaWUoL6/DNtNnvrsMD
5yvzIVdDihrGfcBiN5+WTL1iACX6yroxcVlA0nzPyjvi8PSeZpNavEOwtMwbgeM+tS8RtvS9WWbH
qhuxgNq/neKvXHNeqw2eYL36Y2SX4jcJzIGCVRmszooSxtavLu67WA3faW6qe9NuS3SOZJzONZw+
wbTGd7+AM9yovV4W+SYH1miyR/NwQXacTKTC7Zd2Rt9UWemTg8MYafIIEjOEwMCr2+f1PrFBF449
YjjNR30l9bvSVdSs5nnpJqKPWR/1GTs0cpcCeD4Sm9Jx3ar8RHNFLh8RkibTSIJrtaDODX2XQThh
NjpdZJ2+SHggnnxQs9pjJ/NCrbhtdrklkz4RT7Wvkx3VNTwFtToNlPmRYce2zVb6pnJk8IwOgjrS
LpcuRiygBzgFILI3P/qKCRSNXLHfSlKCfHc+1H/51fheeCQ8uZV8GlZYlMZh2bCYQ2B+qPR7q3JQ
hy0cL2PHRtciIK4fTY9Mpr4CnN7vofKjE/QlfWSVnplN6Y9Qm+KC0J+7Kn/lLiCeomQf4GqpwULQ
PM4915qq5SMSD4/kNyusEVs6ltu8L8LKzk6m0Y+yCprGpiPCZWzvcqe7DIcGLcMDuURBkTnzvWtN
3JBMCWG8/sgHzTy1s1Y+apPOL5Wqj1pBghChWHbhxihVfmyufEH4ci2BlaO6e8vahhgFT72hma1P
Bnsb1U3rETXCAvzQ3NewXJix+UTPdtthHo6cq3K3asOJcdqDp7L5qfTOnfJCU7r9vQ9vEG8UuEzP
5f/rN3+3zv7TZmqEd0wAwS0chnCvqiBfpLfjUfsAr/o8jeRoDinvf4YUYd3xxqTmUIc8Qc62reaJ
Mlygno15/z7YijDvFmAKWLQsahWaVqv73drWtJNL+1tOK8h3edN451ikZph+ua2MXUve51CuzYms
7p/1Yl77ySt3NBPP6U24WRXEcvr+FDP5wc7egtyqdShI493Q18QPcx3ljGoiQI0hl8J8cef3XOQH
xj9eVCPIdOr0YC91/aAzCsrI+fiQrjvsckODYDxj32u37GVuEzukY/1gL7ZXGztKVYRwlpc3p79x
pmR9NYhFtKGp8xeHDCKVnhBgYTDjGRtxcHw8DjA+YSYaxrxb8k9b29Q76ZffbWY0+94r97ihzg5u
RB4gfmK6ZhoBYuOXGYuty/TrTjiW2PmpMiLHZaaU2uDIK+ouXLmfxagzlWII5kpUrLZswWZo83O9
jkRHz1vUytsOYkwid5PHNfXHOxhJOO7d+UX6iBZAuMJ7VVp5aQuUTK67dZd2sfDWB57ovvREmvds
6BDvOiM97lKctnVkEZ895UYHPLuzP7s572Oj3xg5gBuz0xCb4Pva+ZyI8sPptWsJp5EZQkJyeCra
gNgpFE9udoHaQpQY2dZVTpyJNAubvBjjr7oGo2wRukr54B17yqewx1Nz7IYsrmBXs9d5K29v1J4M
eZfX+Ui1Ut15xkKJxFmXk8a3qweZsklSHfEGdgvVDNSMZNwMI+WSJm6129yvouxUsKiq22NzrUrx
pRGlEc54S0NNoEhNxQdMEudI9ssDyOD8bNQ49uutg+310MCbDBu1dbG2Ns+JlA8GAI3AnornAlky
nl84pXU8Omy/YVxhKPU9RB8bA7AOhb+LTacdrKe16UXEdhwdr27u+kF/bpe5wQGVoq6kRPdZN+iq
uw0gbod7Ycn9dusapmdbV0a4tP0TNvU7rx4vRC+wc2CRcqg0h+slgdtnIcrhlt1wzyyzduBEmhCF
bf3P2pJvlLzUdlhSQnNuDcaRw+PUMGNRhuaHVpuh/THltRxHL2jmAotFNc/BYKJMyAQ/b9dljc2f
Sf1lYd4xvSyuMVOWo07LPfJEtrFeMZsVeWSZJoJsM4UYvMBMLMR0qrS/OGMKavKp/rDnoysxD5nT
a6+zPClcilQLlH7qIV/lew7U1uJrZTKxstWNFp8h2GD3hJtwrrq090HHQHY3rNj9WS+XD3DbNwrr
SX7IbrHRDnXkCycb95qWZrFTSyucE/Vq5e5+c5vL6oJEbUlWe0+64nvGtU2g8fJANtdvVhpmWGDy
iWRtP+o0G3c2nLY+Jy6sToktSRzjmN4+xfuPOMfh6Kj8azDns+7xHi15AKKsEl9ZBanV5kth1t9l
Sr6t9vpbyPJ5QIpxq1ibYFrEHZ4mzd4TT3FpEOLd9vgWsc5gMAeNNGU9+0J4jVOWEUk99EfPWbn3
HqG+nYapA3/qPznz+qpYk+hMmtB7nJntfIyawqXSGDLIN/+5nlMM98igMzhpemFFW4r5b3tmbfxs
A8xAzc9PuEd43geVIMC1Tz8TbTr6KH9ty9iltDeupS6irESQGBNb55Zh5x89AM5hckzE7Oyhj0YO
aXhOkn35BuErW7zRvc1L9xO7UGg4/ovlkuGLv3Hxr1ihv6k+f7ozZ4iV6KHW/RTG5aZ96DG1F1wt
nl7RGzSPbLZfazd53FJxbrLuNdeQSeNLZEX3iBlwDsbKfbbhZ1XZRgSfgdw4K0qANrAfCcEZUvIU
+KuKqn7qrDGaIb8YdblGdSJIHNSWB5u5Yqf6x2IT703fHgqlQnseT03CCa0lMbTtM1jD+/bmvTAW
IfFkYFeEQxkA7sdiJkBkGK+m7A+VZbBbK+2vcgbR1l42zdPZkZdX3zIvRdc/rABfRAJcwfk5dW2s
lUBpvCR0By3qeiveui6/e+/zptjhkLlmjX6YCk5lg9WvIFWnsB6W3vqQbXfVBwGAJbmHmi2QpXmd
G6dL+cFGh3pP2l9T7d9R/zJoyxYvMKzpe5HObqXEgfwedgax4hJR+EAh4CyBvMHriubeFVNcD9m3
by9PQBuZCBS0fcJ9tD0nMrv5miPBlzcM2e2ladAK2cg36/7gM51vsapoQv4obuhcA6+uu7g+Gh4Q
ihp6wlacRt88ZITokLVLiMGkbvFLb4ob6fYz15R3hXG599PsmqDUVN2nq+/zRuClmB3serYbbav/
OAn1ms7oxoc5xtx/08uGjEFeKCtemV5UlFF0zyDvHktn3qXkkjErRU/13DlZf240Y4rxh3XQZMrH
EmrE0VTUU0xcLlqp63c5OiW93YbjOHNosA0i2IE+qq0FQCQtqnTnmM5+UDhDR6OMQc705j13/3RK
zfGCJeBhIfE34OIqAsyKF0dp+JWx1mZ5f9ASmJ8jujM6wI6VxLjE5ZqcARnebUSVcWnUcd/K363D
PyBZ59DkGSK0p3oYpPvmQy0HhaGCzFFA5KaBkXoB1mPTtvuqSIISJ6uYOtpXPfvsKesI5gmSqq0R
0d5SyLo9kyvKOACedlZMO/fe8S69pCwoMkEzn12oHb/c2fzS1HHoKeMKxW3hjH4BI8i5X1dzIiqd
HMilygmqab9YuXvH2urmkAGfCo1a7TL8iV3KDnDU2jfHKc6L24GpHvSvXlPrFXOS9Ej59ZMGAdxo
X63Uu3D1Pc5AggJHR8Gxaldn1h4mU72KgREMMNCRTtlHtyAeXJsEb+wCH0YpZQCH1NqNHouZdjrw
vtyJXieprvZJ+W5KmI1s7fLUIPRDZDuvIyyIMMuTxp5lBhsKXlsxbuJ9ZwMg22ed+DDbliIax888
ovrunaggPeDICjsuELYDsWo/24SIQEV+2ObelYR23pN2MMIdRZ/hF3EGFe9cMfGMbD07pahCFMbO
fGaj6A4mOQRlGmG+ODc4z/dLatG3G+pXXaAbg5OLzWnrD0PHsWEw6ozrUt2ZajbixRVnYdNytMuP
ArAV5RaWlWb8MG4C05HCRlV9pCxtvemF2zC1x/OaMWAbp+Q9tZyAeC+EXiyVG39ABtJDCzZ6dd8i
VaUfZTiZbyxHpfNXPfOATq6kk7TndzZj9AvqB6DWOkz7HpJmW3CK+3QlqnLNs99vzk502hNJTg3a
eVHGmaDxq213v5hjeRAiobvbbMToTODRwzIQmAe6BIozv+CyVS468RJlxLo4yEQqvDC1G1tWojFH
YbxRG+v8vEy/WlMtkYIYyM2tmFaZFzlZ3tFICSZmWRq3AkRURybJ2DGohAR4r4r+thbaG4xiA7XM
S8w+qDTkt50wCmRF/WtbMMuUNHQIKY1vN7F/1y4caEI/0Vd6IEnnTv/R+0irtG6IrCl9HPUUT752
n4AJxNeF6ctaJSUeCBGagik0WBEFZVo8ojH/zqFYRF4x3+VtetkMMtcEUC6BhwA5IdrQFnQ6yEft
yOIz2Zp4m13+4mogGLdCD8v4sikwybTmFdwQw4FV+2gQ/Ea1q5/G2TXpxhxQ9TrJbSaVidbtct2R
oUP2zaCjHrTrWQ/dfZ+Mr8hAmMemoFb8oo6tcg6ROw1hUzMZbVJxmoY4U73/S9PFi7MxkXIQZ4a1
PW97BqpYF+pD4tJ3aHkF/L1fGmglOfTbgpw5o0aagyZ2XCYvzGZkkoJIPnIShmDs5XevWURB8la+
tUxPPuvEE1xKcUqHTpyyorJ3jjE8mngsDjlIfw3/0AkRhXtSGbLoPx+xEdtiBaucc0PTTjwodIT0
OpHtMfv88wsZMM5phSZ1EisOt+DPb45+jp6FlTWLb0edphRGh8nA6liYQrIBNO4ZyNi7VtbDqWv0
LGI0IwIHtPQJIHN7MlMygG/BM+1pbRY+NFMfbaPX02wUxsFCYbJnnCxP3TajsqnXvdk03clkI3n6
85EaKWq89Vh1XGCVkx2n9qk2JHrLAeZfQkACKsnbV8/IrDx1VhI5TetjXPbo2P983T//mD8fMRJv
edn5t/zz96hCIxwL4jDghTnNMIACcPlJpCBlIeRh7sMYWpwaMu7//kvW0LayWXkzjbo5LbbNrAta
9hr++dD1crcM5JA3MOmS+pSP3D+NsO8QMPOJwUKq1ubFnievO4GCkqfsJs0G5meFRsO38eeXiacm
VkL//OdvCRt9s2y6vRQTI7V/fqJDSv73P/Xn94oV8wd5TjxS//kJ1bLAMCXFHB5qYjT6YU8r2Z7+
+YvfmymxrbffzHNU7D16x8LnKfAGH2WCmLS9O2mnZiD2cUxFGXm1/OFWSX1pU+phOG70hQywZZ2c
0TeSAUVMe6XPAP4nA2vQXJtRPyK4hbQeZeWxNW4ZUCC1W7g/QeFrGgdPCTo+zZ9qXOPA6yb9uUp6
tEzUSCSH0XiKTXCfqvzOLVL2uJByQ0eUSZzNzu9NEBzQNfORnsC+m6A59aOH44ipFIFjIgUSVlPd
MoV0ghQkt+IxjAyNqeKa1y9rMai9hdDMvWnjCsv8Jg1h5hVlAlGuxdVIqu5O60oG9C6MpVKc4BPd
LoE0p88kp7VNpker8gcU7VlstCvh7U2z2zzS/NrFLA4jo6Gwc9PTZsJk5phrkbVjdfAnHURDqR8a
fZ1ObTL/lFr9oi8DMA7mQU57mlT9RJ9owhnr3GOVTLRLZLNySJrsg/ZaMfFLSxEn0i96X5b3mpHv
nKTyWdqEIHHJtmu6X1K0CCXuU0scpEmrYq77CkEM2O7X0kCMRILF71pzfvQ01RWZrBWGsKNJTsfM
Vj20quIC2uullP4a2KAuSu/oWFPP8iTHETsvV5yOJ6ykM1SzIDXVQzJZz37fHZVf3Ov5GgH1emUY
T7/fYIuZk+ZltThxibkM5wn2ce0/3r5s5xmsSjAAI/PXoywvfjUIAWcm+Czi1vcEagOSOAhyev3D
ttw3hA+KTytIkPo7SMOVGVT/S/Xm+8h3aBcMRsaJQ2cSw89sZYbdih89oTRT7gQMKt3AWoe323cX
WowbLqXjbHhuRgw46aOvUZy3uDkZ7Z6QNfBjQoXo0bkRU6jb1y6h/tl4PKquavYIcl6IlEQSvNEl
5tOvQY2UV/S5TMC5K8WxQyl3HsarKJYEsTjQEnrAo5A5Yrg+5mzklpdoMVVe/yacsWJjQiBXgyMv
b3vgWThn6SqCNekhehrrtRP+t5PidMd90l2Midjach3GB211VOCjvOGaJ/NLy8Ch+Ht7YkzvQb9E
H3lzkme589gwxSTtrQ50dhlV2zRx3SOlbza+hYbN3u1Hx6LI/JSkw86m9nFft3SpImEJ4U72u+ao
KB2dH8ZU7NlSWhfBCq6YRy1MUNLT6jLwTeSld2Ap3l6Pvs2JFcqQHKEFuhir9zb3+idnpRk1rflz
bpGXWAnfs+wJ9Z3X77Jfcc5VcSr6dD+qSvHp/uqg5E1ZiFLYYHhtum6nlCSknLlwkKNmMRjWHRy3
JSZzLL7WxmMXMjzlzvCXWzIIBfIUEOs5MxcEqpn7WxWWLCJ0XsXIhAPQZObH1nm8PKQSSMu/23z5
nEzmLwXCCFEqM9d2wBk5QhS2+OD2qTx3yakth19i0BEeW69OzkOa5DOPY/vau8aDv85qZ5ezinuL
1Gb5SpPlh+z7vTCtLCe0VF8c/SQNh5KWsq7tKxt18N0pw19fuXRupsa0UcZmgQcgH2ZKZyQm8ici
YBnZNWLaIucl8XoYuO0bVN97K6+riDFCkW1vw0wWgaUeRiPd5aPDVxaedXMRHzVlGzBns2uR2XLn
Of2tTGV552nWPiWIg3eQ5OAsbrU73ZYv9uvgMBgRE+37gWn2u5aZ6Mk8LvNzeYtu7Z0PSQk22I3J
XYoZsvOepe98eS6bG942jTn9Fu321MlHV7TxajEGRLHHxI9PFHbJIlgm77c3PDlsMQq+WLPSo2lp
p2VoGU5M1lNZupG2Fp9YoQ++0+74p8H/dpjF+Up/hIJPjVthRbDX5SVrO9iMpfZcl9VdN39padKj
j4R/a+vwb8BkOX0Kps1geWh7sTkQfGFjsBOdh4EdTWliaofSWe+ZUz2B53s0q/GpmbQAzXTUVubD
n6+7AtwCJwsxGhPfrnfb52yA+yNQJRgbJbelI3fKHZCbFEhURKQ5T1b1AlYdXX+VYrpv1t8aBN3W
EwgomalA7mPIZgsJl+l5cHmWZt1tQ68H69Qkz45RRuYKgLS2PtF8Q/G17W+MH48KVu/Qy5dCFrgz
srPdaPemP5/yjFNx8R89pknmyKAoHTNOMMv8HKoVIJb7ARDoL6/60luyHdmdXYkWigfgtXrjGmjo
2Lr3+oHDVTEUZsIKcWNTPZQaThblFbSR477hoNUa+Yl+8BkxxUPv22HVWSCgZkTLc+1uMTXIXaan
J923rnA93gBShw7spYDa8pivboXVyf1YQfQEK5P3DilFxxom0BifUpPHbF9Phe3ErAM/iVqq46nq
Xop5ORGvpNvjt55S44gS8eFAOvp8x0W7r8b5QecygBa666312LWMiY2NuaTXGYABDLbtPdCFYmUn
1hVY/7AQEAopLl6ex6tukSCp37ZXyblNxqhBnTABUaRLZJei26Eru5/FdLMdjjqGtvzBzPD8jgUi
vbH5Rfo5q3drevcqGQ/j8CVX66OWzWtTURaQtCyd+aflliWE8uWJWqPZ0T+6XAD5Elaq/MxGc+ez
nYAQwqKh6b9sXs/EWwQPA4HYLXRtvKcHb/2RFtr4VLQ6qaiR0CWp7XiUb7inClgELBn6ti20eZSg
meUur2g3LUtMQCLvBLuX7Cm7dwb6EcIknYXXyF7SKD9HiSIg4aJgLWbunFFedMwGXJ66hZygyNjw
sr8V6c9Bc3b6Ks8NCSWBhcWWbHUXMX7/aGv4x93sWCzWJ0o3iAvr1VuNT4ZmFYjSeY89iGlz3Xzf
nm+MGjIcRqzMS92FNVLncLGcK75UVJ1Y53KHLZwy1zvbZdPm9cQDOsLFmoWLPXVHm5yw8mbw075b
yd9ia68NpyYy6ClwauoWuyfMq69QQjp9jIV/PWaMjP+U++74SzjMp8ZU69EwG7er+aGZEwoVyZG5
NSejHL81i3/FoBlfQ5+GG8m0m1/z9mliByEP+bWYMN3UOJb8uYN2kkb+Uopm2qVtadNYPeplkZ8n
NiVmfVubbWxkWhakLXCJ3HnXM/YCabJc1jJ5HfX57AwEeBtyOCcYXfkq3W8oJhwZYnsi0Wzvws6A
IlOeb3lxTBVYhYyeJGShQNXkfmI13eAs2pGL64ZBUhE75YLx0IgtNvyh0eIkzhiDBGwP1L7V7De5
5dgEhpopncF+0s3fpMDUSRG5T4CsBr4onyiB0Cis7jvCm0O/YV6i3OrDRF/5jkx23FjPDR2UeTXd
rwxX50kuHBnOx8K4It5azhVeXGvXaBny3lTGRkL0tCp2Tps+kHv2LrbCiNVibpGGMGkAH4evK90b
JmB0ticnPx3HE9ub0GXjyjLo3A10Fe1g3xvJ7O5Nb3nhrQALTT4KW6kjsp8nzS1elF41zK25anOy
QRGHjzGG4jZCHgYZd4Fbit0SlYUORBDtULIy9xnI+mN3M1F+yZIiz9UQTDn+tFNFIw9detw2NKMp
DSEEddbzinUpJjrICKXz6IN8Q0WbXyrmVnt2zjr4hPLZ7syvLi2LO90++uV9T5P9NBnbeclS88jK
bNQ3XpKxprLhwqoLYrPslORaq9tU0OmYJrsCrRTTvG6qqSMzPej95WVkLKRE8zy26k7OeBbZ4b+O
0F4i0373u29ndIdIGwAg6yJ/rvPtuQFjSJOg/Tt359bdprHF8a+Sdd7NgmG4PZyudWLZlpM61zrN
6YsWthUJC4EtQLdP398wyBHISdyMV8sqbR5aKVuwmdmzr/8/aGuT1YfR7H2YT15vyYkER6TFcrL3
fpWuTtPt0ZfFFkbDTUIT+d12HR3nYnnuedUXASEYSBCbM3lrX8qjP9KZP7bl9ngFy8Jrl1FwCmbJ
r1uHztNoIjzcd/ckgbNebNNPEkgcMLTvqGDQTwC47DxMs9Mjf+qfVrT7roryzdJZ2wO5ESQHy/J0
NHWSE/LRITAx99uXW9fGJm6ywdTlDOGt4dvcnkM9peqB0+NNOjreAnHur2U4zDOm8defSM+QI/SP
gtOwXF5lgrLM/G70cbUOPjti/Yl0xGWVgaBOL8zi7GjuvwG8mVz05sZZkJGF4nowWlC1mcAtfTyH
2Awzcb69s6uzWVitXjqriccMi8LvT4t3tz7gutN8kQ0gcD4tM+/8PiJXPwlv4y2UjqKaf16ltD+N
qj+KaXSagQBxDP3DPQ7V6oKC+MVmTeXAvp/476nNBmo4NVuGUOZQ9WAk9nawIvwELWoIBOjbMAEr
ar5dMpDDkT30t+KtN5E4WqQ6PXBzmTlfrgRwUmvnihHmkpkbB4KB2yFn3+Qsdy6rSIJzw2wmn8yz
U/doCk7CnO5tZokzd/k+ysTHZXBT3DKPHIWMpI9IYZfVZ3jCgNidX6TeLb4Nf7a0LDEInKbgPG9/
de2KMFcUgGYI+YpyN4Mb/kkJtjeUFvaQqA8Y4vBkRSC2WJ/4+fwySSrAnKD4vpMLd8DExnpQTo9H
VfYFLKOcmYyJMwgT/0pu1hCXzm9B90ycD1Npl+eMbmGaN/7n6irMxXQ4u6eaRIqxChz7pQdR65rB
ikQA9jgdEdLOVpehd38xFX5yFob+y3KbbQbe/WUyKu7Povn2oy+OZq/gWqEnPEtvT0pxx0gvIHin
kLOIE7pkzkRZUlnLho4L2xX1rY/byQgCnMlbb0Fm3RklsR+K5HwJMmdxBN7hYl0tBym8l1AMrRn6
lt5ZlC2DD0fe5tj3bRgk4C6Ykl6hnTI7rnJGbJM1gz1OOqSYA9ftZrUcekdDwXQ7tE7cmbhd0qGn
kCEndyeuvb6pu4//NY3ae4h7J0w+tED2HqDkFAjeOyLM8rf85760g9t5XFCDnveD1m8n8pgGa3V+
1/dUowJ+T0Qa81zVDdh9LqhCbC5gg0DTVxet5ATn1Ejqj2n/sqQbMQkJVlB9MYnLD+7p6Fta+P4D
fjjALDyU03qC67zCXIF1CAxktg+TJCRgRE/RQUfCng4iy7NdoPICUPTUxRh3SweRRUUOksrI0Z/T
eP6P6OCbCI0Uu1z9YjSW5cOi+isrIbLQgZR0ruk3zdLa14Lj+EwBeC5UQk79Bb30/v6V8E0thEzj
P20pdES0loJth4EP+4l+1UBm7Ssh8Czphz74kOwadf1T26HzBOPaUCmwTd4Nc95P2Q8dEXtKEFbg
09XmKxAkdSFwXwmhb4XSJkXLjtBX3/YDkyrG20FaNcNMyKhJfXWMguM4FkryANb3ayX1bjswL8zq
NVsJgSU86dMt0KyEA5sQWT4Ic+BlNVrq20pgXF9bawPDqLBnmb5mhql+0XZXCbZnUR5gOklvvB5Z
REHVuAvd+1c9BCa8JOc/Q+iBfvyuNcBagL8LrEhzOupF1yMtBIHyaow2gnQsKKccKGcAfVFXZw0E
KMENGzjjfvkGjmO7DOUZPb4ILVrVPMisOuchk4GS1nQJk5PWS++2gMOmfaKD+L0DEQx4EUIy8uhZ
ELoW5PDQfNmNk9w7LQhgtUwXAaGCFDAKOVIfeF23wLF9C6B6l26q3p2FDjA4+qX8/DkgpQUnih0I
2Ri6TqhECQ0HOYI5RGpV98gECuBhTd+/9C0OAcW41qzyjg2MpJr3JRIRvXt8eGwOZqR/4hxkys2B
B8PWRqDz+sPI4md8DsKvoUO/TgKhwPUNTwIZWHj+nhNh7Oqr4w04Nh6h5KTwFUZwv56f1xOabgI3
slQWQAHENtdBbIQXQMNM1DgKPdQCZFmmq0BYQEpDtyAfXwWRS0bFptRlN5/3LmMCzqR5iOiQDHBD
GeJi1VfXIJJRIUqOYFh7sBg92xE+E/KGawFqDhkqttOgiQ+6Wgg5NsmfkaHSWtCLr0+Ho/R8Uy1I
14qAv8D++4/aBdxQixyq4zQpqh49PqRfoWmQCNaHByMrbT5NogA720oZeRb1VDwj2aind2ZRiBCA
ErMwSUWJAkczCBoPuaOFKLJCBwdSJdzrq3/Zw4hIzlALrm2BnE4aVQFO7i+CyKHWQOlfwNdTX71b
BC7Y7/qmjMIE+CgjyIN2LkJbC/iJbBSi6ai3ITPkTKYGQXoECyo/umf199eCH1kCTj96bJrEYe/W
grDJbJhuBVKHyi56nbQJJFgB1G4R5NV6J+g916NDQdieNDUEUljkhl3P87Fz+y8/IHVu4yASSOjH
1+m5Hj0+vF+KGcwoaeZ6lEmw9RSMHp5yXwuUUaByIb++K7P0LmwWTLWZZs/JmoSKCjcIH8+ahB7m
0Cag6m9xVRXDDNcCngHN11j9Zil0y+zsCE8xYKiCUn31zyA4tBIbasElSw5YXfCQIemYRY5GqmkY
Xnib66t3YaOAed5YCwREfkA/hWzCxq6XSE49CKgm7RZL/7SgNqzhWiBg8kPiLipH+l13nEW1I/Cj
Rc3Eo77RP+voOgqi0OiMoLgG3wVMXO7jayEgpcx2EfauttY/N8nFjTPVgiB4jqhRKIdr/4ik3QJz
gCNGwrG+tL575ChAle6YPj6OAm01kLqxrXZP2dICmWXo1QRhur76qAVhfEQGFNFoVw7ZEPpqrwU2
COk2xQ2z2wv1quvRWiD1I4wNAlshinwB0Z9WQqfKQPqAPBLDWljNnZb6lVOk50CR9xiZRbUjYPgg
w9ys+G5OESVQaQRaFr+xvvq2FgR+jKkWOBzCiOab3bY/aDoILHgX4Uum/6K++hdGUXY0zSS4ZFah
n6L03ByRHUchVFqi8k5DltZC79wlSg2KmNloRxBGSY4aIE+bFd85KZV1pNeH+mwTq/TJLgIabRpG
UncDiC9gK3ytIuyfkXU7XkBuUShq8H5ZRDzcpiRulFW0A0/wT2f503kE+ZQP8V9zbPYup0wcI01d
JMrOktpJwFbSJ0InZtLlFYpxtCg9/fU/YY88NPwzPZHe1K3+ybio26p1C/sPv7Drgz8U0PS3q65d
1cTe+qLq/NeidWuv+u9fWg1KdQ/+3oe7nvz6d5q/3jzg4U+3fmv3VLv/OUzGi3hxDclm3VXc3Oab
eM68wP/S+Cqex/sN+JgedP71Tv77n9Z97hm+HwguZh25KgttLHcBVFLWFlx3B5sLnsVZERe7W6yb
r+uBDFPJx3GafGGIq43Wr9t5jWUDmb6Ib/L9u9Y9suaSs2x8XSbXVdkSXjdfmgofjFP4sRfjfcm6
3d9YclKUi+S6fJF/eQGoczW/aqtdjUPsfvXRcZyHY/17q/sUrSc37VWo+zJN7/9snAMM05asWx5N
JX+bkbw2Cz+vjPObeNpagE13nukNn6dpAoJLe0fqzi9j0dlNEnesiO4mMpacr9ovT9btOaZiXx/a
Jt3rYSwYAdX1bLPbE7XZ0x0EpqIVUk5xoGZdkTaVfREnWct60Kr4HMfLRQzDRZzd7KujqRya33JR
xAAUFOOybK3ppjZnLD+5hl4sbg/T6YqPuWjOgiIvWyu76UE1l10UCf8CvtpSuq5PPIf0vFp0Rauk
v7HoPCs7NqTpyDSV/GZ8tYg73lPTz2Iuehm3z61m1tBc8OrFMJ4DG560j3Xkq+LCc8h/NV4U45al
IsescvbPIfxivE6uW8dY02T/HML/ny9mu9us4wOdZTcWDWv89MVxvMg5KdubU+exn+cHBvGsu/fB
niJBbCr+7TRpa1zPNxmLnaV4JO2opkljGotejCfdeeW629BU8LtxlhWbdBl3woQm8Wgq/sM0vxm/
OC8OzjZdDDcV/xH2iccXokqWPYPDrX/gcCE2uTjT+/8N7Y+LYtxyKZqmEXPZ63ZU2fQqm8q9LOPp
bgsqm0J/lkrLmYr9NF7MOdl2gmrJOuFlLPkxzjr66p7BkPwec+5kk7K9NZtMlel9/5BwzzB++j0p
rnMoI1ueW9O6aHzvm3yOYlpvU5e1vi/5sUzTA0zEYf5pB//w2F9rJ9fUN67Tcbz45U8AAAD//w==
</cx:binary>
              </cx:geoCache>
            </cx:geography>
          </cx:layoutPr>
          <cx:valueColors>
            <cx:minColor>
              <a:schemeClr val="accent4">
                <a:lumMod val="40000"/>
                <a:lumOff val="60000"/>
              </a:schemeClr>
            </cx:minColor>
            <cx:maxColor>
              <a:schemeClr val="accent4">
                <a:lumMod val="50000"/>
              </a:schemeClr>
            </cx:maxColor>
          </cx:valueColors>
        </cx:series>
      </cx:plotAreaRegion>
    </cx:plotArea>
    <cx:legend pos="t" align="ctr" overlay="0">
      <cx:txPr>
        <a:bodyPr spcFirstLastPara="1" vertOverflow="ellipsis" horzOverflow="overflow" wrap="square" lIns="0" tIns="0" rIns="0" bIns="0" anchor="ctr" anchorCtr="1"/>
        <a:lstStyle/>
        <a:p>
          <a:pPr algn="ctr" rtl="0">
            <a:defRPr>
              <a:ln>
                <a:noFill/>
              </a:ln>
              <a:solidFill>
                <a:sysClr val="windowText" lastClr="000000">
                  <a:lumMod val="65000"/>
                  <a:lumOff val="35000"/>
                </a:sysClr>
              </a:solidFill>
            </a:defRPr>
          </a:pPr>
          <a:endParaRPr lang="en-US" sz="900" b="0" i="0" u="none" strike="noStrike" baseline="0">
            <a:ln>
              <a:noFill/>
            </a:ln>
            <a:solidFill>
              <a:sysClr val="windowText" lastClr="000000">
                <a:lumMod val="65000"/>
                <a:lumOff val="35000"/>
              </a:sysClr>
            </a:solidFill>
            <a:latin typeface="Calibri" panose="020F0502020204030204"/>
          </a:endParaRPr>
        </a:p>
      </cx:txPr>
    </cx:legend>
  </cx:chart>
  <cx:spPr>
    <a:noFill/>
    <a:ln>
      <a:noFill/>
    </a:ln>
  </cx:spPr>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_xlchart.v1.7</cx:f>
      </cx:strDim>
      <cx:numDim type="val">
        <cx:f>_xlchart.v1.8</cx:f>
      </cx:numDim>
    </cx:data>
  </cx:chartData>
  <cx:chart>
    <cx:plotArea>
      <cx:plotAreaRegion>
        <cx:series layoutId="waterfall" uniqueId="{75C80435-B39C-4A36-B4D5-573CB5D660DA}" formatIdx="0">
          <cx:spPr>
            <a:gradFill>
              <a:gsLst>
                <a:gs pos="74000">
                  <a:schemeClr val="tx2">
                    <a:lumMod val="60000"/>
                    <a:lumOff val="40000"/>
                  </a:schemeClr>
                </a:gs>
                <a:gs pos="11000">
                  <a:schemeClr val="accent1">
                    <a:lumMod val="50000"/>
                  </a:schemeClr>
                </a:gs>
                <a:gs pos="100000">
                  <a:schemeClr val="accent6">
                    <a:lumMod val="40000"/>
                    <a:lumOff val="60000"/>
                  </a:schemeClr>
                </a:gs>
              </a:gsLst>
              <a:lin ang="0" scaled="1"/>
            </a:gradFill>
          </cx:spPr>
          <cx:dataLabels pos="inEnd">
            <cx:txPr>
              <a:bodyPr spcFirstLastPara="1" vertOverflow="ellipsis" horzOverflow="overflow" wrap="square" lIns="0" tIns="0" rIns="0" bIns="0" anchor="ctr" anchorCtr="1"/>
              <a:lstStyle/>
              <a:p>
                <a:pPr algn="ctr" rtl="0">
                  <a:defRPr>
                    <a:ln>
                      <a:solidFill>
                        <a:schemeClr val="tx1">
                          <a:lumMod val="85000"/>
                          <a:lumOff val="15000"/>
                        </a:schemeClr>
                      </a:solidFill>
                    </a:ln>
                    <a:solidFill>
                      <a:schemeClr val="tx1"/>
                    </a:solidFill>
                  </a:defRPr>
                </a:pPr>
                <a:endParaRPr lang="en-US" sz="900" b="0" i="0" u="none" strike="noStrike" baseline="0">
                  <a:ln>
                    <a:solidFill>
                      <a:schemeClr val="tx1">
                        <a:lumMod val="85000"/>
                        <a:lumOff val="15000"/>
                      </a:schemeClr>
                    </a:solidFill>
                  </a:ln>
                  <a:solidFill>
                    <a:schemeClr val="tx1"/>
                  </a:solidFill>
                  <a:latin typeface="Calibri" panose="020F0502020204030204"/>
                </a:endParaRPr>
              </a:p>
            </cx:txPr>
            <cx:visibility seriesName="0" categoryName="0" value="1"/>
          </cx:dataLabels>
          <cx:dataId val="0"/>
          <cx:layoutPr>
            <cx:visibility connectorLines="1"/>
            <cx:subtotals>
              <cx:idx val="5"/>
              <cx:idx val="6"/>
            </cx:subtotals>
          </cx:layoutPr>
        </cx:series>
      </cx:plotAreaRegion>
      <cx:axis id="0">
        <cx:catScaling gapWidth="0.5"/>
        <cx:tickLabels/>
      </cx:axis>
      <cx:axis id="1">
        <cx:valScaling/>
        <cx:majorGridlines>
          <cx:spPr>
            <a:ln>
              <a:noFill/>
            </a:ln>
          </cx:spPr>
        </cx:majorGridlines>
        <cx:tickLabels/>
      </cx:axis>
    </cx:plotArea>
  </cx:chart>
  <cx:spPr>
    <a:noFill/>
    <a:ln>
      <a:noFill/>
    </a:ln>
  </cx:spPr>
</cx:chartSpace>
</file>

<file path=xl/charts/chartEx3.xml><?xml version="1.0" encoding="utf-8"?>
<cx:chartSpace xmlns:a="http://schemas.openxmlformats.org/drawingml/2006/main" xmlns:r="http://schemas.openxmlformats.org/officeDocument/2006/relationships" xmlns:cx="http://schemas.microsoft.com/office/drawing/2014/chartex">
  <cx:chartData>
    <cx:data id="0">
      <cx:strDim type="cat">
        <cx:f dir="row">_xlchart.v5.11</cx:f>
        <cx:nf dir="row">_xlchart.v5.9</cx:nf>
      </cx:strDim>
      <cx:numDim type="colorVal">
        <cx:f dir="row">_xlchart.v5.12</cx:f>
        <cx:nf dir="row">_xlchart.v5.10</cx:nf>
      </cx:numDim>
    </cx:data>
  </cx:chartData>
  <cx:chart>
    <cx:plotArea>
      <cx:plotAreaRegion>
        <cx:series layoutId="regionMap" uniqueId="{40692BD5-95DB-476A-A112-AB74E377A220}">
          <cx:tx>
            <cx:txData>
              <cx:f>_xlchart.v5.10</cx:f>
              <cx:v> Revenue </cx:v>
            </cx:txData>
          </cx:tx>
          <cx:dataId val="0"/>
          <cx:layoutPr>
            <cx:geography cultureLanguage="en-US" cultureRegion="PH" attribution="Powered by Bing">
              <cx:geoCache provider="{E9337A44-BEBE-4D9F-B70C-5C5E7DAFC167}">
                <cx:binary>1Fxnc9tItv0rLn9+0KCBRtra2arpRiApBiVLtr6gaEpCzhm//h0q2BKGXuvVausVOVMyCeACt/vc
3Bf9z13/j118vy0/9UmcVv/Y9X9+9us6/8cff1Q7/z7ZVidJsCuzKnuoT3ZZ8kf28BDs7v+4K7dd
kHp/SCKhf+z8bVnf95//9U/czbvPltluWwdZet7cl8PFfdXEdfVvzh089Wl7lwSpGVR1Gexq8ufn
q/s0va+q+/vPn+7TOqiHqyG///Pzm8s+f/pjerO/PfhTDN7q5g60snKiU8kwqKobjx/986c4S73n
04KunshUlhQqGuLjR3p59nqbgP5dLD0ytL27K8E8BvX47xvSNyPAmfXnT7usSev91HmYxT8/f0mD
+v7u02W9re+rz5+CKuNPF/BsP4wvl4/j/uPt5P/rn5MDmInJkVf4TKftd6f+Bs9f8fb7Ntm+TNAH
gCOdaKpKJfVl8uW/gaNTUZYlEQg+fl6e/QTOOxg6DM0Pwgkwfy2PEpiNH2QvM/Ofo0LFE0oURaaG
9qQSU1SAmmjIii6Rg6j8jpvDkDxRTfDYzI4Sj9NtWm2hxR9mxPQTqlNNMrRnRMhbPTH0E1kXiS7K
yhMi2suzn/Tk9/wcxuSFboLKKYzRMZqvMhiz9CPNFz2RDFmSdEJ/TPtr30IIOYF5UwxVUR81CbA9
icSz+fo9Q4dx+euFcALMX7dHCkz00QpDT+DuoQ/kWSEmXt+QTqhswMgp+pOJU6bI/J6jX0HzQjnF
5uIosbnMmtr/ZG6jrP5AzaEU868SqmjaYc0RxRNJFqlBVPoWmffycxidt9QThC7No0SIb+PgISvT
4APxkbUThMSqapDnqBiW661lM05UokmaAYweP29Reh9PhzF6TTtBiP91nAhlcVZu7z4wRJP1E5g3
RRGp9GS/pviIyolCNV1WEbu9djn8Haz8ApYflFNQNkcJyvr+e7mtog9UGkpOFEkjsqY9eXsRqeRr
pTGME52IiOLgmB4/E6fzHo4OY/OTcoLN2jpKbGzoS3D3gdBI+oliKAqRZOMtJjoCAV2TqaTLT5hM
9OUdnByG5AfhBBH7ODNMnqEys6uDXVO/GJQPSDShMJpCFFlWDloxDYmmrCO8liaa8k5uDiPzhniC
Dr86Sn25vi+TLP1IZOiJqCkS/oM+vLZhgERVJdVQdfnJ70+QeQcnh1H5QThB5Po4ETHv4223Le8/
Tllk40QUdU2VXnL8iSXTlBPUOFUqk+dC5wSZ93B0GJqflBNsTOsotcW5z0rvQ6NlKAWFndL3vn3/
QfnltdLo8gmlVNao+Oz4J07mHQwdRuYH4QQY5zjj5Pnd1v/AIBlJpqwbCLjoc51yUgQghJ6oiiFr
iKJf9PSpMPNbRg7D8Uw2AWNuHqWWrO/b7UeGYLBfsqJSpPTPkdY0ZSEq0FDkfZj2GA3g/OvM5ff8
HAblhW6Cyvr6KFGZx3GQZkH1MjcfEISJJwQaQpFMPhmviZboxgmhuopy/3MpDX7nNS7v4egwMj8p
J9jMjzNG3pT3Xpa+zM4HICOfGLIOny6rT8hMPD6RxBMUMAmRJ6rye0YOA/JCN4Fjc5yVy9U2SD8w
/qIKFor31fyX+Gvi5FXjRCIoaYrac0WMvkjCk0/5LTuHMXkmm0CyOs7Ia57eBdsPXYExTlCiNFCG
fNaQiYpgdR/poy6qxnOGOQHlHQwdhuUH4QSY+XGu7M+zbvsirh9guCRkj1RVNEp/FFVex8OGfLKH
QyXi83n15dnP4ddvuPkFJI9UUzz+Oko3v87K/8aqi4Y8RJVFnTwn7xNtQdyFHHK/onl4Yf+9XB3G
5y31BKf1cQbJp4iEml00vMjvf647WHlBEVmWdPqzH+m17ugKLBraAADkk8mbWLT3cHQYn5+UE2xO
vx2lDq22VbXd+U11X9cfGS9LJ1j4khVFRYHlNTIaFvtF2DVUM38E0q8D5XfzcxieCfkEo9Vx2rll
1gTVB4cE4omBZRZRn5YuDYKeAKKjXeM5WJhozrt4OYzNK9IJLsvjxOVLvfU/0KYh9ZdkDcWvn+1J
rzXnsU9GAzKSOokEfsfHYTieqCZIfLk6UitWDvE2vftANLB2vHcxysT7ayra+ggamoznBGZSpVxt
f8/JYTx+Uk4wWZlHicnVff+h3X0EUZesU2TyB5fBsG4sowcWzX/P5WVUaF47lt+ycxiVZ7IJJFdf
jxKSVbDzA2/7kdUXtJBpVDM0/XD1GIGYJotIPfcJ6P4zMV3v4egwMD8pJ9is5keJzSaKUdf/0L5x
dLfoMkLg56xeJG9DMQNBtLhf0X9pL4Ope60x7+HoMDY/KSfYbE6PEptVsH/j4mN7+/ZvVBgE/ZXP
q11TcOgJMQAO0sy3qLyLl8OwvCKd4LI6zoLMGd6EqYa43X5oWx86+3UDXX3PwIhTvdG0E13W9X2b
+ZNNm3ia93J1GKS31BOczo4zUF4FVbX/P8+DF2H+gBoA+l4krPX/WHGZRGpYkkFHuYRly+fuv7+5
nncxdRilNyOagLS6PFIjV1VZU34kQnjhQtXQPE6fQ7Zpqx/ayjQN3ZfKczPGAYR+x9Gv4XminGJz
nG2YK/QtfeiSANVO9iUYYqDd4vGDNOZNsilCeyhaAVV5UgB4Byu/wORlDFNIjjPlXN93n2bbJK/8
4CMbmKh8ouqKSvDm2EFgUD/D6wCqhLWcp/OT8ODdbB0GaUI+gWo9O0rLth/U4r6s7oeP8z4IErA+
IBqKfNi2aeiagWvCW8FPMYIxUaP38fRrkF7GM0VocbQIre77YPeBjU0y3p6R0GdO6HOj+d9MnHpC
kP8YWOl5kYunlbU9Nr/n5tfYvNBOsVkdLTbfsjJ6maP/PHKjElo2DAk9mJPuAHRnImATqQ7H9PiZ
vKG5B+Z3rPwalifKKSjfjhOUx6VPvi0zdDptPw4abASA5jJZU1C0eUHgdVygoc9JV6hEX5KjKULv
5usXOE3op2jxo0Trwsf2BJ/m1ceWqPEmjSrpkvESPRvIQ99ghVCB6GjrwLu1jx8YwNf1nfdydRip
t9QTnC7mR4HT7t/uLvE0V0/m7s2V/9fNNQzU2dDVqWrPDQUTq4fKNd5Kl7F7w+Ea6WTTi1+zdRio
CfmbkRzHjho391X96TpAO3r6DmP3X9za4/LxNd//gtVFD6OIFSXpZW1jEqro+4oU+uKxBPikyZNE
+f18HRaRKf1Emy+P0+ruJQYC8/t3GP6LEnOzRX6YevWHdryiQQntrJqMNsrHz6Ss8tTxirUyvMj3
1uK/j5vDMvKadiIfN8dZlbwJql2WVsHHLoepMPKKjL16nj5vXTJqkuhaQvO+cfhFynex9At8fo5m
Cs9xOOM3XGObq5shw75X3osEf0zagQVISf3Fdhd46xid4oRSVF5ewHsdL72DoV9A8zKSN0PECP+f
co9f27sfe4SZ23prPW4u9mr/q39/9nHs2PNsQvocch6E72l253d/fsbLEzrM2I9Ny/Y3eROs/mgl
/hvN/baq//ws6PREM6isPL05jpf8EA13CBz2p/QTVMv2fbbIXbBhw/5Uuk80/vyMGFpT9js4aXjF
luL9NJRpqr2Xx55o2sl+IyFIDNboDEnR9B/bup1l8YCXGH7Mx/PvT2mTnGVBWlegNihulT9duB+h
gs6Fx7cO0WUtS+q+wwrnd9sLyDiuJ//TSHAVo98L88G1Rto4sSprTAiDZOMOfsRUQ+Sx32jrKuwD
Sw37ktFBZ8pAkvOYhpIp99ShcdqZvhh4TKhTddF0sZM0asircltXicDGSPquavlg0pScl6pEF20U
bAvN9+2u8wOeUb0+zbLGM+Ok6VmYZB7vVF9cVkJgjZmQ8iKtqnndf60bJVqK0ejkjdyeDp23CHSp
NKOkcFmipQ2Tk2xpxKlv+0O7bAcjssWsK1msiyvs9SOZgpRGvCjC74NUF1ygfcWr3mWpWxU8r5sL
oXRZadCKaUGrmm6iEN4MBqtlWeeu1AzM911zULTbTOh9e0iI6eVlfFoIlOGSwsm8zhE8N2RNS7IV
qayyzBZ5SNM7NCV+C+OEa4mYW9GYP7Q3hkhshVbxaZOFuhnQyDAlX7GMMNGcQQhDrgpFyVyPYop7
1ectUWZdSazY6GTLVdqMZXkyF9ut3xj3UeuzQtKWSRw5bUo2ohdLTqGOfKRdca0UqZnn0Qx7Afor
l/T1mobNsmzahgeBf5aUNLakjH73qF9vfKzeMy1Si1nmiZfCZeITzw4qmnI5yVlZp81C94k1SKmx
NtxePC+ah7DeGJLk3XS9nplJF0WmrEm7Bksti05tuFzUPuuNYFzTpHGSUbsYglziQ0LVTRGfRyEe
2JLQVKO4s6pR886quNbmSS1cCHJKeJFFd2qhxKwdm5IbilHwUOg8J9CSi6zNPOYTMs78IJRZWLiV
STT5vNKDjMdqKJptHu/czIgXoZY7ahqLjHSdZFaaUM0CXfgSpK5lpKV87vtxA+iSwQ4GLz1tVTCd
FqNVXWd9ps6leLio5ZaYctZVc1cjlSmp+ZL0pWVUrs4EuWhYXymmpAzd6SB23jpFfmU17tBYtahe
dlGW32QsGKrI1GOvMfM4o7YrChFrPTrytI5rc/RzPmpNbOp0oCxrulktBNdRnl1WY56abu91c6mq
bCHWKi6JijpTjUHiJEoLO/CZqNCEpbLQLPyExnboj2tVudU62l81rccMt8zY6EnDPBRipjeCaA6S
4FReV1hJVmw0nba8T3OdNUlRcknTliSLbKWKFS4mcWd2YuIvA7HaBqN601SDyIUu5JrR3EphuwkH
2WV6EIYsqvMLQfeUZVyca12or6PQb1gYxhFTWjE0W+0+8oJw3iWt6Y6t5BCqyaZQe9+F2LejavAd
Y0x2QhStfVkYnLQvZxLwtqTGh6URBiYrpcJEnQdpxKIobxlyFYHLJFStfqCjqXZDdqo06tmQiv4s
o5nC2qxW7S7gXa3pbCzqr+FQnIaN7s/iKmONPu7SWKdm0KgrL8xdM+3z3O68+rxRmvtI9AwuSDXl
cTCYmiL03NWahNVUY7Gq0YtihR1GlrTOXNamTclG2QtZvZSkau0R0Uy9YV0XrWemkWKLyTiLNFc3
/WyMLC2HAaKKp1tEH2dtHa4EWfK5rOa+FbfNAvV+ynKSCVxIRI033ZJAOuZ92s9CLw+Y4KmdGabF
uZ9qA2/1OGFNyPpGkVc0hmkPDFlgdeibLZEvxFz7priNy7wkOe2Em1hqAjtpohsBNTamBH7Lh25I
+RjRc8EoPJi/wfsa1Soz+rxiYp3CRqjZlS8aX/2uV6yUtLk5Sq3u9GWx9Qpp3QZ+Z7VRdq0PuTar
WkUw/SidlV1wT7KsOzeM1Od01K+SVnBtKtT6ZRZ0zAuSzpEz78wdm4s+SEbmqWJmkbLuFgbsOGnS
woz6kLJmrJmhP3gkcBeZ1HzJ64SeK8G9Xve1oyYdyzulsEKhV5yQNl/HJGHVqH418nCVifGF0IsX
tVjcUb2BOrZJbWudvnRjuLxgaOrF0G+IWNnoVs4XXt57XBLy1tL1PuN+43ijGNmhJJu5uO7QYbBp
iPYl9cm40kk1sDH3BUcuvqUiDU5DIizlyBDsKBu3fRHmzkj8e3nM+mWoPZDRU+exMU+FoTDxOuF8
yImVhqQ51+Q448W4kd1wvKAubKgUuVbTNxJmIRxm5ZgarKiCzAk6ZRMag8IUbeiZGMcdG0u9siqF
yR5teN9rl143zCVBFDdq7TK5VxIzipvcFBohZ744FstKH7cuTcNFlEfXqiZ2ayNX5l6eBEzJ+/wi
6YNZFOmxQymsgeqKXA88ZVUW6Xkn+SpPKrFjjZFnLC2F2KrE/D43UnFZRhKsfyC5TFKbrVqq5WJQ
Qq4nUrgqXDVkri41jtI0MYtTj4e1W9mqIg+cuEZ2Kovd91FW1mJYCNeyWloNNb63mtdbdaErjhZK
ua0kNGRplp4JirogHvxtYIx3Udt8D4eGOhUNK1bU6XAKo7QIPRl+PPFPU125HEKjNwVXzE3awFU0
I+nMoS6uxAghjpCoraXIo5WTQGG9rxWmlI5XRR4JVlPHZ3kCXygMlWpLmeiaHrnyc0PixgBzVud9
uCrrloWqoM77MolMP/QHnkcV5WNYJ2ZPHqS+zB09V1daLc68RlPNgcjMH+ucRQkcdDEzRjLMItnr
eJqriL5kUXNChInM8yOfx7W+SYV05GT4WpVeYtZqxMLAi1ZK5ZsJ4qfTQRPPvEEOmDS2dF238TDX
WmnrFpXHVK3RVl4r+oxWAnEULTK4SOs74in9ski6wFTixGcKRhJeZYWRc5KVd73WZHZGsi8qLW7r
XG5nUQU34mHLOKs2FkNWx5dBXcomrKFOOt3MheTGDwpqa23OxCHObb9NKevFHjY77wVLEsbvQeVn
nITpuswUFd69JpwE9FqqiWRLeYD4zW6N8jo/E13ByfREZUHtw8nnhNp6racsbGOr8dyRidm487tQ
YhIiPRZnzWkoRZ6ZawksfJ4uujwqnHwQI5aM5JvQ1BWCuBKGLfI6psexxAbJ40YwcChKwV0Cu0YK
lWVCzrOmFTdxX2D/IFlncBHNvFWCjqupBEsrJswTEINkY3ity4W4CZOVLxiXQVQLczmoW1Mlg0WL
LmZjdZqE+rioh6A1x7E1k17xmTFcjzD0vZIhUMo6W491uyXE46kQSnaZhYKtZ4gCtb6Y12UhzWt3
hd7NfB1R8dYP8mwxIMpnStIZPKRqMJy6vlI4vSAuIi29RFt5ZvepHsRMLutsoQ1utjAkMRetPE8r
q0/8u0Qg2UKNy4z3jXsVUP8qcPuWDW3ZmrEXeQnTaZlZdeb7THeDZqHu/yiZWi9sQSyffz8eRIxN
5lF5IXdGErOS6vmiiGBMQRtanobxClkgj1yhfWzpXe+xx9PYalm0lUbcFA3NF/AixeLx26Gfh471
raRxIwo09kgbl3HJ80TN+S/v8nidWxBp5GrfxBwRUfvqaiVK0pj9pK4Rw5u+Ho/s1ZlXX38y5any
yAq9jM2f1IIgCczzMoljvxHMy8+rf14zGfTPS4jnI/PKO5VDBW6HQiXWz5NPI3ikjfIG4i0LxtOD
H49hE0KVuVqk84pGwF1BTlVn8kx5FIVS9mL2eCLbS8DjtyouEtNz4c5+nihLmBttL2UxdRNO6rrm
KhkhUr4RhYBZ6rPF4x83TE8zBPMOiQH63tS9+vN4zJB73/TSSGJJGo5O3cQzKdbTRSMU6SKK+5rV
flAjRpfikYtp4dtxEn+R9oD6CSS0Rg1tYSR9shAVJXn6NjlGqT4Tw7ZxBg1xy6lUKKlDjXRBhxgR
oJIPvG49CPxedyQlKvCcEtmvn0oKnpHxNggaJmVeyx+f8/PPsH9i1pHnxz6eyFTDjrVRcVySpAsh
a9OFN7aC7XbRMtDldPHzeNv2hj1k0tIP3WTRaDky7gTPfCQyfPXCJ2lmGwo1IghL4UbQFdxO1hpT
ltpy9shwvp/rx2+Tn9IwNPZITyHRS8UI8sWeg7iqA0coqnIRSWG5ePymQ2Wffvp5KzHdDwNTrYZi
UcLZLUqaF4vHn0/HIHem2zAnmp8N9rhAyYGdhSUErV4I1L4RDebEHYIs/6K0Ojtapkxb3fSLlHnz
wS7MylScdrAqbdY1PFTss3Fx09lObcVMZf1g5TEbwqXhWmScu5dOGy2SZaxzx70sLeU8Zo29VFnL
G7Pl9cCccVGZKiutb/uHLWGci4ydRaV5E+p82fNofpNq5o0u2Opm2OFAY+KBMXMvFZQ5sjuSWEJ0
CcV2kuWNe1nHKB8EMOnc1/m4COaIgs/BG3EQApw7uDdk+6EyU1aYZDHyzqxZ25mFb2almRuXyRhx
H3MxyByj674GxYqmG0zLmDjVeJYpO0zPEInWOM4N5WuMOPq2Hzap0VljUM98aVFUVu1a2WCLgl01
vE0sY9gU45mqzV3P6se5KKkIctZ4truKa8+KEal3Z50NSIhrdTIvwmUczdqStQ+pzlGz0GKT+Fwk
pt7dgI9o2egO2KANKwcWx6yzVTiFedhhWGPJKpk3BtM9C1/w06B2Ps7Hgfc+KgSsTiy68VNH7E6N
gScZAwgICVRjpSNh3skKHK6NKpCkzsht61o4quQ870zXM8vosqsLVsicVosgtrV0jeB//7B+TWIT
KGRfR2rDfkQNx9OzyhJUM5irnjmgohOb4maEX1s1nmUEc4gF8xqeDpZawD7VzKss/VLfFHNd38Tu
GTyWhX/oTWZJDuyddB7FTClMNzbH2omuh4EH1/JGZmLOXZ6HjF6kK4nwduUvBIx0QXXWXSHDJAXv
9O/iTmxmCuZad/zv4llcM0xYe1/4PL3F7CTDtXsBq8gMaR3728Yabf+qNYOID99n1ZVoWz0s6zKb
B+WqFiwjuc8zUxLmCZcvIh5/T5NV2Kl2El2T0i69nkXFSrxomGEGpsiMB3eHYFEBXiNf5ytfOq3X
6Zc4XwrzBwrFKbpv7byPz2tpptlZMldgMXKXa7yHRLd+bxZubSWybCLEUeKF/NA/yOCcZctwCxFo
FMEWtTkloxlazWW7Tu7ygJfXJJzrtZPIPB8s4BReq/m5UQGf/IokjlecV+k3kNcl86T9fNBNZTCv
NIE6QY6dWH1/K8RmPmwgj4Cs4TfjQtw5ONl8Ra3kloSzlrdI3mMeVRYEKR5n6YMRmz0fqwuS8yTd
4NnhAIE04wfAn6cBlBBXooRI8xWEy/NNX9s/UgGy+mU6rvxrDA63hEL4AFarLurBKuheoiOZD4IN
wR/HVUpbpjYMN01Lu+pOqWDDGAzSg9Ail2+2kOSqnEvENISl760glLFmyjlXqI2DzVCCmVO9WsSP
s5RGi0j/UuRXRr5r5Du/4I6RWEU5z8q52DANha3Sxi2DcCmU3ysX3qdkin4pl3YiLVsE921csZQ4
pBtmpNnK7lkrIwQc50lxHg0Fh60o0m+iWPM4O5PylX45kkVREyYAkS7OGPSbpAMqK/MWubhPHNwC
vR83KTOy66qyvBKBmAndQy1QYSV0MrJ1Btwbmbec7nTCBjsq5814ZtzqGyAslTPMa8u3Adc3NVsH
/oXiDDtosEoYzBPUBGahK2c1qq6zxNh01NrK57KTsyHmMOXRckxgPfENcGhOu2itve2Gjf0GUcIz
HLJodrCrPZKiwQLRuEgfFPywwMoyvUadabAlRGOMYqSesc19Ll0K9yUKdbdQlSpgw060cytnVTmj
EWLy9WDTS3WjrfxH0xQ0joyCQWLJCwghOOkXw9ea+WvMAepuqGI4I/3aEFP1LHcz2J3EvCtYzmAJ
4FLWYra05gtYoLhY0Xhr1RBevbcHOx7wcFgfmNIeutaYkQ636M7Igjh7z0E9s7UCnu+tZnoNY9mY
SO4bhipf6MNruZbm6MFS3egRPCmkXvhCayd9EG4zOHfBbhcAC2UcaaMSk3pWMjc0xKUsCW+/0UsB
nX6uJe4wdY0JLgZiQpOgjvvbhzeopMDsKsF8dKH5HGdhqh8fLyeOoPFsqeV8q91amH3hi3Zes+6r
zoxb7RzuDzhqDibI33Y7fHE6E1oNLxIFLIrtmqXww3DsIoDee0JqwjqQhfCl9YEUZENOz3IJErkJ
NRPObDwfgShEC7ymLODJEok9xKFkOuCQMV0IJaP5fshc3G0heXAXGndZvSiW8F/6BigZ59D6EZ64
skceLbXzBPeDP3ButFukYcscN/Y7E5fDKMiOuBFWwheyAEj4/ya87vkOk6Be9hy4YJqUFWYcXzF+
DAvCDxfaLvZ6qpzmlh9jkOQc7kVRTSW7jq+lS8CYLeGe3UttVVuQaBk2yjFCmCzMlbaC91POoWXJ
ErcNt356KgE/LnmWMMzwxNGBK9NZPoDpzoDMQFiQk4ISphJ1VhtWtPr6DcSIURKItJGcwlR683Sc
BUsAD+MTX8MMkgU0D+slS4wMNuArnLuy+oZRyLcYjRcw+FDMrMJqqxJsPEq7/VZWywAO9RZ/UPEc
OAyqdwWxT+aDZ2nnjQCBzi3gkjKZ2v42VU4r+Ml5bVETVhLCijUfMKA5mOGkNOVz2H9Q9XshVXsb
YhY/gC04fzwCqfg4a8pZ7p5VO6i1qzlAJR3ncNlDhLDBwqONVWsJwRxRlLAE5aDOev1yL6XUiokj
QdCXsui4xRxF4x7BArW7s/gBtXgd0Z53oUWY0WHsL1E/8FF4bb7Ab9awqcVtKRRMUbozTEG2DM7C
gVed07Q8mbcs8qz01G3m+5o+pL42TCoBSZaHPNFKNjQr4UJDMXDWY4oVssiNaoniR4taiV9VuK5s
bNqqp7EfzEYZKfy81mwsahUiz6uzsuS1epVj+SCWdCskXFlt9Usk6SxXGExDvzdyEmEG7/q1p305
G4qvaeLEjAa3HYAXUQ3gniCzSMh4oPCorueaOy73k0/SxxDNDrrLmzhBZdFG2JRbcKt6eypdSmSp
JhuYKOzIy7pdvyADKhj7IkDOsSLyDe60w226IOQ0bFkJr9YXlmtnxirPrpWVaixygIgFEeK4rp2m
a6O3aLsXAz1b5eW+Nsy/eBVho772S3sYzhCZi50jZSsf4oqImJ5SU5StDMYfkSvwufBWSmbJyamf
3OvI9a/hWrUvITJKCLBnydBTz8TSD2KavYAtC9gRxPo7yCzcOeJsyG4y6w2zOyupXX1rB+4i8lcY
EZ1YsYuvQzMX564NoJtmFlK7pzZ8YJqe+vq6xs/zXl8TkUcdaw1TlS3HcWDk6vJC+FKWNiQt+wp7
BQnoRa6gpt3bjbFKEA55ZpCvaGAaVuRkHR9hBWBWBj6iACbNsSiIDAPRSs/FOz1wZNESxKuuPQXD
yDggW46fmRXyHbhXxG5Mypl+lYYcdUcE6fAYVTMj67hkiA1ixCkIhDs4KC6v+mEmeWayrHZ99ZCk
WPw7x+peqmAya2UhXZHbwoRSao7rwxgj3zitWaQjNIZBpguZjsxFlT0W+7MCFenapTPtu1ESJPz+
t0JSrXDrtYwilQmMyzhcKPV15IDQQ4pqB8nFWJ5iKvR5cptn815bUMUMS8tvmF/zhAfx6RhtgnPB
QmxpKRCuGQLb0oIA1mWM5GkpIiCRV9W3GuqeOHCkiFrrC3WGJYtY5Y3ARZavdVbtoHJZaEGJQ41h
dTnhSsJC6COWGRDIGWaazlH56plxg3rTgHq8x2VUh3b1A9yUdmqkVv2/lH1pk6M6lOUv0oQEYovo
mA9s3pd07vmFyK0QOwIhll/fx643r6ped7+ZiahwpW0MWEZX957lgrXugGCCH1fwlSoOTR6mZF2y
oDqMB4CPIDv7O5oFS/UGclduwbSAPRExBYCI1KUiwZL6VEfcjkQwd5ENSmwEXGtvZuIPo0+CqQNR
e3TNM32V5HoJTZjKla+HL9cT/lmSleBxRQDHfrnirGhQD08jmG5rm5OXApdNF0zmgcgdXplReT81
o28d5zpOzJAj8vd+Nr1MlhEYKuhDOkS9923biEKvgxWwdpU3WxfvgD3Kg6GOqYm67U6Jk0ffQajj
q9jZqq3XKbJnO3SayKZxEbgPFy/oY3G8JSYGqjY/ffOOmDjOxbNW1Xf6OJ+x4HkLGLodp7scyK4h
ERnXGkAAVt2KZP5Q73MTaciKBPNXCpD+MvCw2NVYBv36mQyxV/nJQ7JG0T0N8SDMJmzscktzR4L/
H0H23FmXHsAwD3O5qhRmkqJ+L98cxB/5ppcCvzUqJxEivSe973WBdUnu7Mo3v0ozqJ6SN04QMiq/
c/38Pj0A37Uu3pD67YfbgljbtHI1goy8Z4tv6hBhjL0le++iJAsa5Ra4LPU6z0esiviZud5kK9fY
JwrxZdoi/uBScHzsCb91aa6ls7fUsQPR3u1mfZdZ53R8WMoXrqNGzCshXk2cABBdP5N+xaVv2hAd
7FkfdKfyczHD4a5+Hd9kiVI+xAqMKLmbfNSv+zmcE9/b9nusykYdaOV3H/hfnMqT8ajOIGJ6Lygq
H2C0rU+ePkL2kPCQj8GEeJFH5FAZYaYiCaQNwoN3RIx+9HPq26MvAdH2QW1EfWDt2429mrcYu1Eq
P3lb4mlv7QWiW6T2KUMk1GGN9ODdXR3S9fJQRMWI2lLUUYoR0ZveCVP7DeqFUMooc7brvEWujHov
WMR7T9wzdTCn2g0PmjcvZjFiJhbzSD6lbuge7EeALJEBaJgeuIUKY2vgqn1WOk5YXINpB3AHHtWL
ae63qK/WImbIUZLQJn5XHrIC4H6xS5HQeyey283VBjSGfZfu5Cp9NIa1zMNiVeShBWDuhGjKX4vD
tLOob66rIjLXZlhdPNr5Yi8QzkKW+2RnnVgIxBtRocBm076pwXW+m35GcfkE3Uu9qUH+hMmrXFEJ
BGDVRL29bVd8P2wYUNnzfXK0QrF3TgSQgu+cmqjZ0dmf7rP1QCKBLNTYVz8mlHcnOYXTQxaVsT0G
6fJiv6Zvw6OiIRXbPJSPHCO+xhn3Qb7sKfQIKpCTj2X1mV2sFH/MxbExdo0bdf09fug+cBE9/CrI
a7/OYlBbI1l3DZQYSLZWzWGUt5jYBB5i/rFVvrFxov4lf0YUpa9gyNIVwyibmyxH/N41HDoMX+po
kG9t9mBnIWYxu0h+nlufOf7CNy77gazL7dbIEWi3ybOgRtZdVRTPTOq/onTC8ocMgehrEVM1EH10
U0BACV//byyFES8xm/duVG+XKK2CftMFXYGYuROTXwJXwbmkm8o2Uc77ix2oYNiPLw4kCMhp3edq
n60qyw2GbF51z9AoNGnEy0BTP41asgOZhaoKlA6oNhfCIH/u/eGOu+F8MLwgBTFT+dz2aR1NalMP
a2PyO2c1MszW/BHpJir0+aUwwmWOkOq3keOdF3YHqJ9u6mvNDiVJlOEgjY/1H2gGOczxO64Cw0eI
c6oVaJs5f6t9TAgViaNYj1+g/lA11X7hgDfx08dSo/Z0IvXs2VtILPzsaXDitF7zQ+Mnr9fonT4q
UEO+GU8vxY/sefgogMIAfg/ZpwX0JPTWxewnXpDMG9rvi/mt/1G2rW9CMYE47h0Ivo4MMC9+2L2P
GAd1ATKOPZMhaHEQUEa/BxxgAEYRkfTLDWgm6IMAH0ABhAwBUR6KjpaE+Ut7L4qgX41gMNbuBkn+
/SK3fVBdMlwZeZy0781dJ3ynhRhnB/0TwCHvKE589Fm9Lp9drFVj4FqB5/jJV16zqNhU7rDvTcsM
MIz1EE7b7HUICZAi81q9iCfNVoMRWkuQXwhkTCifPfnaPgFS/VT5HTItsqr4eVBhyo9es2U9IOEW
NNOyRugotp72E5IHejMe2bP7OhB/JVco7/eYkmas79Wz/SoQRUGJx01qBViVrGmd5udigHrNWkEq
MHxjBFAF/qiORvNtWRhTvjcvE/KJR8fxDX0o3g3UvWm04BJpfBZnmINJF4EkaEAvP7cf7Ufz6R2s
bYfKHrjGCXIBqAVMeV9iQg9ToP0pQqrynXtXfGTMzt7R3OHqyNYWcIyVdZrauxT4wlZtKfuR7NVH
9tg+t9E1KzslD7W5TtUplX5i+mwqQjv5lj3HbLkGAyxJZRbXxqObKf9b+WYeLOt0B2jAiQwnIhFH
cPORASAAr7OV/lD+4mtMH+xVgHTbTWu1nqBFCK7juEYkSe+Q3h68o5T+Qxs3x8J5WQCjxZSHS619
iDfuL94xfQNfJRzwqq/0Hhjb0zsIIPsabZ/EM1KoHL8yDus0iHTuufTiBjlA6iPs62fnaDUhcPGT
iUhe+B7ATz+PDdTxq+pgPU9fBoDfN/PSPCabgfvOc7adHnAlfsv8rGsJQPuJp1vn8sAJvtunDLJH
5jvHBOqGPiDHYkuOA1ZkXArJuQzVEsqV9ocmSN8qSBb9UyHW2ogM+rLs7MDeIjkDulEYd2pM1sW4
Ud6D05C9Iuk5vRJAaTWh9r/9OZpXLqibkUNSx4vTsTEDqnQBzgi8zzwQBwIvDepjBAN0e82T2a6F
jmdVXCksMS81qNGrqsvoAEnmyzgHv96prtv8espTDd0DfVC0rgJ1Zedun7893DZVPMee5sISUFtK
xIE/P18YHduk4zajIHYUseXPh/T69PZa0o5I0YVrvXvQDEU2ymFnEL9t+o9P3vZhNeCKfu2t6ZIm
Lov+Hl2tIf7rRASidp1IsEW3h1Rej3H70wJhz6Lbn65T9CxyaF2v+knsfm2u/z7NX695KZF/7eL2
4m2bquyyNZaa+Nd2t9d/Pf35l6gEDf7xTsGFCYUMlqZfb7imwkFuz5sReRlrWy+87eK3w9++NhSh
KWrlGdOqT5FAYk5XracjKKMAfl0x3KyeY916APRktcm1XFuWI2Iw+3RlmPKQVuC8shzY1WI+sIIg
Hx3ve+athxblX2HyDdHKCgfIJzrbCpTC0m4L95Kl5MMt1KHnxpvnqNVcQ0epKGA04kFXaz4LsxsD
E5SFRzwIRjjwn5nwIoCWtw6oly/Amt2VrhgDYqx5rDVb0w6ygiJxvLVpQSYriudyzKfA7q2Nmjto
8OhDe9P6FHrCLqdH3IIRUbDJ78dx2VUJ0jMqo1rPYc7WRu5FE0duKYtzXr2kKfIUoBwjijfYAjek
n5Aq5hVQubKLvS5DvZKdRF/FnDmIXWZ6Xt6py7fOIKEuysmWV91jm5F3ai93tVXESfoxahNcUI26
GQHHM05LVzcBNCouWFLLiOxBHZyBAQBdAOokztsEuWgwufUZUrM0aLrWQnEEdSQqALCvWEUs7zVN
IdZrOQCdZtTkIMrjmDjfs5qMsGiNLyhJDjR1XtICElZjWFZT8cnYNh3Lz3rsKn+sFyQBood+dfgh
avcDNHK9G6ipVw1dxEpkWdyS9SIhTbQslNPKgExX1c/OnIMrZ9tOzluISTZVBZ5lSfZTZlz6Tp/n
2fCzsYM6qt7OBRihroYoS8WVKoJutJGLIdwnHVSN3HgcvJV2H2y+5H7jGNFgLStmu7sUmKey3jBM
Hz1Ef8wrT8zIPziyrXLyJn9haWTwYGyBelQYMzNn320+fPQpTUA2cGR7WOM7iFwwYrPt7JXDOp90
ltiJxfUTxTheBlfnSdMO2+lOpi3/XArQRYl1qdT8UrUdcFBvAJpqltAZ1d8srStfDGQ39k048aZe
F9JZTRVgMGtATcWvPDUSyzwn80bI/KupAm44NEyr8bF1sbrOymr9WvfTRhf5foIeKOytKexJ1/oV
Ldtj1tPXpTWKUBouCbWJerIynqaBNZu+Wt4Ke0FIMRi0Mn0XQgZAQmgDX1Hrg31KA1ZCeZl1eeyZ
/BtXUsSYekpG913N9ikBK704kGosdHqcJr3TZRZ1toRyV1dpyOhhdtJ7R9TbipkKiBXgD3M0LtNT
VwHQKT1tbHJwma2hjCDN+KM5uJMvLeNdflLT+yGLSm+KBsM1SY1Fdt4ZFkviUWLn3jxj8dLJTlmZ
9omclkhYWybIcaFJDIVvcoT4defl6puNnhEmKB7K1n6EmryDEBPq21mmh0Vb73YN+cLUII8GI7ZU
noxIR8FazM1XPlfRnJjDqaCNGxTLEeLnE5MF8o9u9mKeJj8Sc8z34/ACazzIRjptrdK2I2aC3RYz
c6FG9+qgrH50ThIob8Qq7rp3XdIjyaiRkOsfvF/uoXbOoGNAWZgk2RTkTb6z7f45G1BdVMaofCgA
AcN4IDtKVxZR+1Syylopazm2hDwJzE2MrvWS2V4bMwJEJqMbN53BVdpZMAz52zyyZy0g/zI6la4o
QcWcCQvmhNkEPDSLIOnHjdnbB9ySYWdnRo+Khh4rUSJTHdNz86279itR4HksEJDV1hQLDSXPnEA4
aeAYSTDYTh8ZugTWZhnXlBCMSzJnW88d3poF7KdFAHsSxJ51VyZAzKbsLEr5ZrX9o6zHI8b8uHTG
WiKhnYYcrCmhz6kL0KvwHpJRnqtlWZG2PWfcBPZRY2HonIX6SZX94NO92UzcT00b5ohGnA1uFpAG
l0DkaRHkuBOrb0BhGhBLQ9FlU9/ihQqoLj9J4wqIq9UPbgPekqXcpLz4KBC8A2WKD7db8g2kwdPO
SVDyI36Xsmn8tuAQI0IK56j7fsh+qMyYz0zh6l9SqNW5NwKCwCoI2UMTV67OAA8OeZT38qWY2jHo
VX0yzyaQENJCwVJ9W5VhBF82B10gxWupPmyxYKpTY/SbmdYBq5YIQv2tUd2RpDumk+yPUFdfVaUA
1Fkzo7JJunUylmBrVPVExPBhGWYbOsaV6rpidbwLdVWWwdjUBMvz+JjZS4/s1DtB9mn4CYRzLXjP
doaA3YhI2W7J5Dgr2nDQwAXxxwaIeasAgrjQ9k5tczZrcF+Q4tY+T8ZnOnmzn3F30zVJEdST0UNT
bT3TjiJjpzWu2kEBCOmKB7oYn40WUdMPW08EUwqwtrWQPZUQlzisgIJgtq29mQNJV6g+BRCxqKly
6I2SUm9q3rBg7APT3JJh75gJ6CYKmiFNPGhNpnLNCis5pIAcvQqiT8ecP70S6BTtARlVFSBaDUC/
cI/V0CSh0IOHswVPUtfTjEyHAWhv68vQyz7WnC6+3QMCcI0tTRYExGyawiwhvt2xPMggDov6of1k
hb2++aT+MnH9YUX6bNq5y1KhfjqT/n76vx+aCv/+4/qZXy/+xx/P0E+za/rmh/rXrXAvrWuPlP6f
G/2xZxz9r7O72rj+ePJfPGX/g2vs8t3DH/M/vPn/ZimDydL7N0fZ73fQ/WUq+/mpvzxl13tfMfho
HRiWYC3DvWL/9pThbkD/i6OROVqb4nYmN3fY354y3NgBHbTR8pQauLmsQeHC/T+eMgPtNdDEFl2e
XRe9nj32/+MpM/B9fneUoVG0zXA7FRedBagJwwB6rf/uKFOL2bRyGKZjPZpexBqw9Grie01bVJ2t
0I8Nn2pUfJkbysxyQ+QY4OlV1q6yBBqUBFcNlvbPFE4u6OQEEPP6mNniqrbKLaM+VdQj24TPbxlx
25XoMGcmj697r30cIdA/1TnE+55y7fi3H+K/MctZ/7DKXb8Ypx4MLw5HNxjDRoOe378Yr+e28MSg
j6kBKn30coD3SIF4Z62FSut94zgiZNWQryCBx5Ix9O6+Gyd2bAX/VmJpd96kT43dTtAblfXaHIiK
XUPbh65oIzp2w9nJBAeyNxYgDIELdG5SHhI3+dLFmK3pVF8aJL0PTtV0IKN6HSV5q3eZW8PyQOsf
0NaOu852Ebm5ikgtx02q63xnDmO+KxSEG5PTw1o2gwq1J5bsTDGeE0LcsE+0+ThM3pVh4cj4Iqsm
oJ9nl9zbS2uuaz7rIE1BBf77mNq4Vv95sXDbsWFl9CyHugb9x5hmjnDhXlLHdJlVrAeRxZ7mQ5Qq
J33QKbi5dpm3ZOE42Yxkq7rN31Qzfrk87VeZJw2wlC0A5oKetB7MtWrUENU25IwyX3VTZ93ndllc
YAsAxmMbj7jBrwSnbb2kpYIqpQSUrltd79KJRil3keCP+QLglY4PBW5F6As7v59KAfFsCbPSqhQt
MAijao58YmIlrQSiJ7TQgEDTLU/aSkDlwLwTSuYgizZG9mA6GEtvObvCrp7m1ILtqQLxbbXiULDm
NMPb47SQi2XzchUCWpcigwEoF1jlDHgArEHuTROa+spGhf/3g/YyrNczsNp//z3Yf528DoeNAFe5
jTlsGtc58PnLDurMJB1JW/bH2voo0qXZuUVnYuhygNACjqE8MbKd5pZ9mDTPVgWAADupI2mInZId
VvDaOg6K032m6siEDcYD/yMlffr380RriT8uG4c5Dho1Xfs1IVVGg/o/T9OiU8rbPq2P1CD9Ni+s
Q21XVmQJ2BYGyOD/L4e7uWB/c8nS6/E8asCu66ILHvpK/3m8Ftf/IjvRHFF6MHEi7Fsir4QJzbBg
TmL8OKuijqBn9+4lJpRPOeSp3tDsPAoObuD04lzM2UuflEnh2BxNhDPnI5fggFUGclCUgDi7pF01
yCXABc7OoVmqLm4NYG89TWx08frbpvzfxLJbrPrzC2GuGRYyRdwY67qa/PmF0AAzE6jOsqPFzTen
FGLnCFz8k8s6hKtUBqkNuSr8yYDrdAsHEyLRrlsGI85teckyMNWwjkSK4UPmjGjYt+x8eyi4981q
eDfNDFNwZksBx+CS7qalBqEJ+YAxdIjsDN/OqZcxHoH95Ykct5DKI22vNOQExGRbejWN9J1THqmT
IMdacufZqxoRCLGdWSKOLB8cBs7Yha5MBam39AgBbR+n7Yh61SqmAxmhBVQehT/NgCrCac2A9MMP
1VNxRBWkYO8wIGHKMrZ33YRBoFMAVbXLfpc0NRxkXNVoUfxv425d7dT/GHfnujzivnAGvK/8Ov9+
m1/UHqzashJQDG6gkgleLmKNd67VvYyCIPDq3ICuzoWQVsxfBXPzbxMeYyPHDZRk4TCwKtw+CZLT
TTESvVKGk1zymUCyct1W92Cdyfw1DMWRF+ZmMuz8LW/c2a/cWQARhXRDlhWQcqtEJKpt/s5ZAhq+
vXD4qcKy671o1gu0S3I+52017pdiGUIo0ckmrdn9aBQ8ng3J1wAFdLBIWq+JRWVc84mvs9qOCKnH
9bRkEuR6XR5TsEM66V41CoNTabbdE3fuOqOfnt3eUgfKcLe0fxtgtNa/Xrp/DLHJr7esuN5jh3Gs
Kkh0fh9iu3Mz2gllHlSVZIFkJduhSmM72k/I1dOMrcrFdte3N24Pk5skKJ6u23Swlcr412dYQj7b
pYVg5O/d/LaJ5eRMwoWID/7am+6B1mhnbsOf+729nZQ5DvHblotNSFBnsJriSgFKed09Aci0IUYZ
//bB2xs/D3k7QVGh/ofL/+nna+btDH4dHIZ3/BgwpdJNL1T4336nX1v/tV/2VaXuvP15Dn9/md9O
9npyP8/pts3Pgw5tdcpZyDr4Kyzl0l1z3ey2QcI7l/wc+ds7t4f5Nvy3PzmmbCGPAmv8imm2REmf
7omZ7DLc42JthRlKp4NmCH3am0yYONskVnqAPBF57JO2lh9LqQpUT48zGX/ohrPNUJj7nC8/6KTs
UM/ZgyrEO0wkC2yn00dbUahZBp0Ho+MWMETuBo+2jwn6GuS9AQa6t9MVoLNnI0O62ljQCA80Aoyd
roa62mHBb/2BgeTLaxKZBhgakTS23yoAdalEmlAkxtEwxiaYp7uRYDlPu9zP4CZTML+HY5JBi6JQ
VhUOyngXrmyUs5BJ0ul+hDU5GjT2kblOE9D8G9nZEkiymFGVbXntQMJm2M+9axzt7Evm+qgLJz9k
JkTkABDiwu7OTBunIfXmqMhH5+rPhYDaVrAoDyDWMA1Av0OrZJjNRZgDFiRbx5i+b7x8c2Glgb4c
TGOmIdkxe76SHP7znMOR3nhgMt2rPs52g5Z0QK2Ldt8U0o76THjwCLCXZVoI1BHbwnSOadqLHVFw
wpXNHLnAAtfwe0Z93Rl7S4LaKpvipUgo9HQgU1g5feVWe2/wboCCxLjkaXfwpHIhAoIcKQWl2/bt
Snq9WJV6S2qITjxYstMJCkg6RvWgPx2Uq11ZFyvFShVNjYSwn7/BeR4kTQvsZ25JIMzJd3vocYhd
r9zUZruGIjKyEEEl23Ttmkh71wnb3mLF3hUD6cJBgG3L3S60CoZxcPDr5dNnJssLmkyQg+EiSjbc
XLfOFKeM0M3sSIANEy6w2gU4n6g9qu8ByKW1mUQK0cKCYjpVa5ZbWN6F3EtrXtmzBvMl0eehK2qM
tFqg6pwAVqAnBxSBQ47spkIoLpxHJqHzXoy09hVoiBLqJGL0Q+QsDZQsJvC8DmBj5xCYqUYCrZox
/XDGYltOT9zKv+xmiJupg5eF55c6bbq9aznbBjbXoBmlG8txiHJDf5iO2JcEbCXJLgrrvK8Ltq9l
cQ8m3s3bHi0q4LSHTt3weblOCNup0nqaciFPY8uDVoCUbnt97qTdhQqV3kKbe2Giz8PQADZMu/ZI
LGOImhygZtaz8eCkXqwlaD4vYZHO6wdTtysKZ3HYN23nD5Q3ocpKaB4mCOEUR2jNl/Jr4dqFsk6N
YPwhzKNp0NaOhaxbHweA5j4f6R7EASSbpFzR2T6iJW4X2w6wD1cYMHu66XZkc1znzocm6QkBq9y6
PcwhAylQ2bXzujbM7ZzMdWQVdFulcGdxp8QktdM73iQTplYeieS9sokKTSQbcTq5Map1kLtzG7s2
rP76wcnLkzmKiCIg+vNYJ+CCwN337jBGMNYeB3A8QTXwzs+t/kFq1INsYXviQC02OZjK6MOwXpBf
og9L84hkK85z73G00zyuy2YPhzpEqIZ8xTUEXVLtumsTrVBgAW0hmBsXhgXaeiUuxm8CXwmfZ2HE
vMlgdhrQA2Mq9q7ddJFTVgxtJvi9gQwVSoq6XmtqZLC8S+gFPPd77CE3whnWIcmcHcqhD1iDobrA
SGeWvUTcJU8kMxH97PRZO3yFUmwK2kV5sPivwIEdJglVi04digBZhsAwUSjNM99ZNeJkiapoyXl+
V7pZpI25P/cglvOOb4Yuz/ADmN3KttsibBMYGxPlefGie39SgMwGVbwVWo9XJWdv27DUqGfRF5up
GFyoQCCK7CaYH7xBHWfr3EhibKYEYt68tftoXCYWCvtOLZDsmjOKRlV5u25u4b+B4n6mkFlPJTVX
nEHpIyXZ6dOoXWNXQRfiKes+o+UqRTy8mr/SAJbIKwJd3ddJeWVMYL1HXbROyqSG8+Vt8PTeGGDm
K2rzwTLcvZPgF16U2LgayOCceEXYZ8u9IaFCntQkA6NhU6zNd0wwvSqH7LFA4IResTf8wpArgawa
BEwNmxVn4VSkq6pEzweP1uHcDWjUkuNp57RPcNZeIGpYXmtQ8FYB517tXaUApv3SyQmwv4raalkN
aHATO04by4ZDlgpFjp+JsojHYkwgUyarKe8h/SPTDPOfW0c08zYj+sGFg2neMzTtAIDTIAIYRIQw
gj8MBD0nJCMyrIh0Yk95O5W01grAxNnJp/tcwy3diAPVyfdQF99s6IXP9LS2FqDDjE0vtAb6ygTF
vEMTGz9rheXn03CQCtAsH9G6IR0WqILrZ7uDcWm5kvLagtO6Q9UE8/NGQE7rdaAytllr8s8x89bz
nLAXwyI68igfdzr1yLHuGxrctrg93J4WS52eqC2mXWItoH2vH7t+nmFgPt0Ux9bLQi5qGqZ1q0sH
Goc0fwAr/uO2j36cD3BtDs8S62nMK2psR88hp5mUaKxx3Uft3gGxBhaeF1nYWEwcJ9X0+3IAW2l6
HXnVVRfd9uUs1ew7WMPvDDI1G5Ri1WqoxmaXCygtFqd8d0jbfRnVldzo1QvhrI5cg6AVkuGNB0Jh
BPPoUL0RO41vm2Lo4f4qUsAjQs+o3sZiI5alu0MfINf/uTd9yOe+/DQcMgYlWv6daO0qcP9ExwxQ
y2PSei/W9bh0KA46cQQ02RQ+cpoKUEbKOqQFloyWezNkmGU0MluifQB8CvMgh3ukPLsJVTMYKO2t
QVGzOzok8NldN6P82eQt/5h7QtE8ou5OczqxrdUrGY+0y54cw326bWkt/JhXwngeUneCeHHiu4r0
6VGEBeF1yDxN3uoKClVpdV9umkHiZpv5vdd1ZAWjLGxzCjprLq+U5PW7cIEpQ+v+Y2o8HnSLK06D
03hbewZ5oGmnUMG7D7cBYqU8Y7mSz6XVmxHmwbiTheyOFprdhA01uvemAdF23Su6NwyQXjfWpS2S
cm03XK/rIZOX0oTt4baJh2zXFW7yTiwQES4jUEKZEGARUpJIuo31lHji/rZpOqSXMb/CBpJCNghu
YVfhujt2JoTNlT3wd1V6fw2kC9kBaGt9YcnSr91UtGs2KnpJGq1/HnjUVdAOrucP4BSOVl/Z4cDm
dt9TiZYRM5w7glbN58ifyVIa7zoRoMZ0R/dN2aijAXTw5wY12XUmLz/yTEH7hT5ae02IOM44R4ja
zPrTa1BfjuwDnSnQcIOPkD7y0TzohsHIdz1EFUwaFxy10QeqdNVySEC6HcbBrkKZz86HC7n37VS6
AeiqcuA9VV12YO3QQ7znYk3uzXKf6PVtK6R8EFXgWMdmIub+tgHEEe77TC6387GTHrLtOaPHooSY
wQNtHo7L0r9rKBB/npBYdNA0XnJEV5Z8T6UDdbqy3DcHP9ZtC+AQXeC6lTwheFo7MRs5ZGuzeush
+LwdxfJGyLcyxk4lyumd8hx4jBDxXmEw//m10bsjCzBA4py6VrWrrqHpWty/2lmDTTEwi8LPY3hJ
fy5S093+J3vnseQ6smzZX+kfwDXIADBNajKZWpzMCSyPuAGtIiC//i3g1K2qrves23reExgAkkiS
SUSEu++9fM5Neze5efxR4vRe/0rkBDhwK3FMUiMhNmhm2AlluOPHNH1LQbSt19GGZ900vsgevalt
zpI5dy+EkX7rZXlarwMIDvlH2o6PyjbkeQrmZu+l3F4sD87rMzKpu5uEW+Jxbmr3ZBc4J9IKgb/t
V28VtApvnMevJIBl5plTcmm8yn7yGvPHYGTjFzcP0rBIRPdBzGrfjElp+MsLTDvH8+N7r7ntREdT
ENhEsT18WuqyvtD2Upgv5DXOzOf5zjFjMDFB+bo+WFPlJIFai7vBC/TdWHtg1parptn8NAxm95K2
Spy8Jsf2kSXTF1Jdm7HwS4Nm2XdmXJ3C3GxebRJ869s3hUZhMxXOtZQRJKAcAsx6QZz7nxpUynOn
qM8lVYCRYflDZVwTROrho54qVidlqo9wkey32XeP61usIChtBzlZt6lOnAePctnvK4oswJHg58Fj
kgr70k+M1eslRQQNLu9iLIfaOpRGO+PeFtk3M3G36yX7MZ62wZyQODDb6FFPOGRDQZBmBCp8qEsL
TYJqrIdaJc7trAdjs372sY5PpHnmt6r0iM+s0d+nYzh/1AgorW6aHyhzdDfCjbLdWLf2OUnd4rkL
jI/f78rmhxYl1XBvJp57DQzqAusDCsxYJv3ytZ9FjbgOu6A9dtkX0v/13Xbz4O0alXinOAfXVtkR
OWK7evr97agOWbasFWN5hG4wVvHvq7ZW9zqQGH32rSE/jw5wuPVD5MbFZqL/DGTT7R2n5CcDn+01
aHFvLv9gwzKszfoT6+QQ3a8/u4m2dJ92ejDt+MfYM3VLKxvP8I/bncPcrqPAh6dHvRkURX1qU/Fp
WGl9LByvuVaxZGlSovQRbuVf60x4+8Cf0Bz2PbNqhwLdq06pjw5kMAlWLdc6DKYb37QhOmNWfjgi
9fw06RZFcKh2ZlCHh5IIlinmu5gy48FO3HnnDAjBejW423AU2AcC49MPasozVoJqZwiq1wp9VZIO
400RNc557IMjuiifG1L7V98hqpZuB4QoofAGj+vZyN1P0hjHPA28t86O5ca2+/7YCW3vY9RUqGnq
cRf3oFtmnTUo9Pz690YCaLrxySct/7Ty7AcJjp11d/QQQXa9fWnHJsbHCsLir/P/fN765HXjLFiM
34edGx9kOV/Wl60XWM/PfcvfWHf/OskwHm4q34P4tcogVxhJ1sMrcWtMuYYiXRCo6cq1sEQI0FN9
Vr6VPsL5JCECig09H6pAvyXxN+CSIQviIscO39dntSBmVoIKOmHWunXPmr/MhrOFXOQ86IQv1zSQ
tM3eTcBXtM/Fl6/N6WSElj5XLSyA2a3qXd/lOPGCMcUNde+7nfj9hH7K9DmrNK6aZbPuZReT5NTR
Ge1nQIcYz2J11uavyjD4QCvD5zfIJ2ywEmE0ohpj78MB2XlXTLuk6b8lSlYXH1GiHQEW8NWwc73m
vvCdW1+2CtoV+lHuMsQq2YBCLINnKQwChrTpX9cPR3a0PhcF8ql6STlWYIjc75nmqgaRyr70k1do
blxb6RczjceNWrE9AwSXBgodGm5t3SaQ6PZ6Obc+WiqW6AI9RtxN2bbEGx77bYPkwN+yUJC1Rsu3
CludNNxWC56mygs+8Zyi1RvFgeXYi8o47SjjIS4irDd2D6Ey2RYdoaUfOjurLNQ5CDp1ridHnSvJ
xFuVZr+BjBadoyzOtmSvvD9gNevVV7bN+neLxMKxNnoIH119sqL0qCgZHmdwcjvJUEWJBVfvTNV6
KzxSDmmSGzfe7Bsb0acK50772LlldzBBS0ELzMeDrfxbYUyoAhMgfjdUoSmI1FDe5nZ4S9xk71dN
gGkjDM8Eiy4yrnO8CHItrCrnth9JQvaJ2HjBaME7pbZX1xXjb2pPOyt2UCuP0Y9BqZ+pHxVYv9uM
8ppz5/ZlfWgrcZ/Pjdza4/DWLzfnCsBRCzdn3WupnJHiN4Zyr2NsTBoV3BG65duchOIa5bci6PwH
o2riy2wDiyvTOjh1vPSqhr7f5Ar2R9vAb0hTz92lPk6SxMJOH/ntUXVikCjqxMbus+ngWX24c3qr
uzMSpEQAb960180XnTr5pVRu/TRPCOaAaaK9EpWzTx0j30xdjH2L/q37qIqw53eWc45GeH7TyNpi
jAiNmRpAqRnOATVBeR903r5sSBDLjJV1jWrUnF6kO0QPWRWmOyfPq51n5vOTUZJl5O/U57YjZ5uB
tMENS4Uj9Zr5Jh8s61gXuX2O3fA66drfixkKVgaOinCoqfKDcrJLSoh8XjfF6DyECpf1AusJlgFs
Jfb8tckMq0RyhIXN9I0fMktezRDfHguwCARQ9yZiY6eykWIDCRHfbNTZNLjl/f7TCzJrP432Q+zY
zdlXHiF4kB5jh0Bn17Dy577usRHEGV+QbbWHwalukVna5782lUAjgKpsxCxXfY/iAkdIBbcxFsHv
9z8oQF9jnzs3Xd3H2zpJu/O6IeXUnRP/Laz68aS4Qc9ap/dJibU2t0d9Xk+Vf+71YYoOw/feZoMb
MB9HBFnS4jZMlo09OcbO9EeEs9TEydY8FBZOK+XKept3UUo6WMUAKdffub+BPgYyKJz6s2c4Gw1L
8TQE2XTxivE2S6vwxrShuvg+02iTh93vzXqIZthHgLo8YpI+F9VQnYblk6wbiFfeNirLJdkVR+d5
2dQSMFxRAhe0zNjBh17dVb35EraM8nHEW1g3gen/sRf9ucfFnJuyoZafpcAntbCG87rnjtHfD9cH
zNrfFqmoj7IROAmWjbOQl7KmeJWune5jK2zP66ZoGMeihbz017kgM6isx9LdrFymyOmZDNJCodn3
wTM64rWT2ECi2YGHsrx0ZTjFMCQ3XtFgxXL98TRjq/GRs1/o4JrXmFwRh1F1IzUaMLbbsGgXw1dt
7+ehenP7mUSNaz4iT3ZYS9TVZbAwTeiJ8UIuNVhDA4zK26VQyne1bgSr9ZvKTGBHLl9JV0AMtHJs
QOPyq1g/TkZroENEuG4ax9IJuv2YZF9m56UXD+xpM1kD/jnGqXXY6hbgVEXOkEJI9EB6DULG7OQ7
GQ8ITV13PCN0iagGDFil5tA8p2khT5nC8mj0DNqFz61mlyYO4vU4hHgqoy4/2UNabk2yahsXAkYB
u/DcteUudyLm4tjmx97ZDrxJX5b7OOpecmkDz1vulXU4WPf+cU4Kfoihbqi48rvodBXuatQG13Qu
0l2OH2KTVVl5S60wVCSZQWvEAbgFU44HgM+a6i7BGIDll6zMmr05psH9KOx9R5j7RQ2m2BYhQsQw
07h9omg4DY1x21CTvnZj0pEClpx35FH4c3broOLBdaH2yRg3n2FhXxNKrC+F146XAO31NnuOvXB8
KtUc3pVoDCrH6M9pSEHQiaktuZTEb4S01GFK5HQ/NHichDYgCwcCHycyqGan7IEyTd7H5GJt79by
qkORCUDRQ1YErN6x9caFJKWcLuGK792heBkebTK8uzFoIC7nw/Doex5hlGVGx1hAc5mNEtB0SZZY
OA9R0JQbO6R008IshqVbf7NCF55Ms4zW6WhvvKzPbi10YjfWBLpQ2Dm2y1rOVGcCG7GnDF/yPv3Z
mlENR4MjcvEsASsGlTwNsbiFnvs+li7gH9/67FxD7BzXQn1hF8n76Da79bxf91QR7Ng6CSdr39qi
PVSoe5/CofpoJ2lvQ5wal6LR4mhPCGDs2XupTa99d6nzn+oEEkMnS/VeWbO3HSV+q/XRIDM34KrH
GwcK6l4VEpJzjn77ZFbMzX4/te++gFxLD9LvDZ1KWT3Nu6yosgOgn5hUDpb8YXzSd5lI1f26cVSd
IJ4Yw1OKdJx0ZWV9aaNFPFB4L7KDbEGoluyVl08PHeV2Yo+3RhvBm4P++lgO2ZVCSrczqth+kMve
lADpiZOxOrZuya3j6YzlnDs9xnlrbGxPTJtpnqot2i/NV60aqFLpdNOnJjI3/Atnf2YEygEinUzU
1kdV5r+KtjNxkNf1W9hn1DYSRbLNnY2t7SA6CwK337Nu0Dcmc+X3Xj6HWX+UtWO+jUFyViNY01TI
5sW3x/xUjsjoUXCRTzbvlDI83oTPNGKJEY2cmpH9jRoXRz7uIA1GN3maMRWGWj1iyOkuo1VFv5wM
eItSSIl2lupOQ9vUby0Fjk5W+T0eCkRfo3MnwvKJypT9ksSOxiTL0JDCq5l0emrHTt2XfArhT8VR
O7q8Xe/0RATOJSn3/kSpa+I1/NeY6sqnvMy7q2O31/XI8hHtGWZD5cbHGudImM7RHN8fjTF33/0x
P7RzVXwfQvJsUZ/Kuz4fP5qxnm4pi5L79hz/tHR0fPSWzdyD9EvJoxemmxGx+Ix/DT+yMM31A9qn
TYe0AvU+jKckEtOj4831qY+ptkVOto0qxCLlREHbjlh7Rn3pfLNJVt7EgB/82kIPrlhKRC1gr7L7
QHcltqNS3jkKZfUShqQtRBN8yiWVQKqyvqVA1CG9DsW+zjyT0sc0/QhysQvmeP4Iwx5FVB6D/Agc
gEtmBbHcnfSzLhpG0GZOfowy2Qa1L34ZaTNme6MH6M7yLDhXtd4xkMUfCCAlCvMYm11nho/dhIfB
G9+tUDqvjWcmFBCZCOzYtF+9qPnjcH2UCidFUo+lYqWi5lmMDM5Awb+5jpoPTSSRrCyHTTt+61uw
rak9/Ft55nzXg36TPfaZCTHAJUhDFrguGWBPFBkmWCwqopXUSpOJvAnpXVP8CAvK90g84hc3ohBA
lWQ6SjPwn2bw0ZRhMEW6zjy8lAfPk+6/sRJ+rygmv5fl1G8R7xT3uWSVlIRI1wuk1IdiylKKDS32
sj59dZPxw8xwoXJ/BF+2Ch6bwG5+DaKiNBNBA5mrI8kfyBYq88HueQzLVU6K1Muim2yS6jz5QrxE
8yB3KSsCKFCzvZW+Ye2csR/uk9z6yBM5n9xZ6as7+1tLpPVbzchepO5rL8TwXHDPl46r7xNDlni/
A+vEjwh7qhdUu9bMim2nOrDZrgCi1OvnqslfrMbRu9SZP3O7wokX2MQ1YCiflKGsbdv1xlHOdf/O
a75lrQvCp+HGaCkVbxp/jjaTJr81hTUhGiDPd4DZwMDUJlOO+OZQ4S/K09iYFvZSdchlbO4bN+pI
mMZHh1TSkTQTGB8xuMeyL81lfq12hs4ApNnkZZDVq3uqwgSMvQ0ZKoOTV5W2/9xObnijqlKcc8jL
INkr/6yzTp7IHs0HJ/euaWbGH7FModzkxvfYMqjRpSOxq5yM7cSI/EONP91xoAY7OPXVMdxqU7a9
RQuN7m00IGEHVeHdpp36bFurfc5lDaNzyW+KoPW+go+xquVBac96GSw7v4S6sJ5KJk8oKwrORls6
r/Psf6W1tTXiSt8IIezdHNnyROfkEmhImkKdJDEXVI0GUQwVKG1DojMd5AfKIkxippxukcqQV0gq
/0D1q7q6HVgQzzWu8OTjHfXi+qlugdQFGgvUH/9BbedbR9ovolDjNggz9aWSdI8a2Th4Q5yfgmr5
VkznuckS52RmeX2pI+q4Fo0SnN4bn+J5NO4s3R/WI0/0eM/yVF1VqZGAzOWCFYbj5SfOzwxMZ+sB
eC747+/gQ0ASUP7XgCR2xjRD9w6/jJs7rSlkNM38qkaEF1aQuB9hD4s9nW7FEEwIKpVxdUy3uEyT
WqRE5gVj2H82bXXwje4XlYyHIY0QFhoOS4tkHi9GNd3msZW+JsbkXwzkc3Bh0/B+yrrwnrsSOpu2
KnWDZuvX6OXmJo3d+UiZKn3Oi1PbquDcTsI/S9N4VmDYj3QwIUMq7PmuKrNr6RGKqREO5hxpuh10
+by3Y5ADazCtik5fotw+DYMC1mMZCGCS5KErkD2MIqSbwI30q+AuHwir6uUTon8yQLWwwGqGXTq8
FubUXUleBHdK+wVxRe+9tXF8KMJpBr5h1SeKxrCtG1XtEppFXLXXhGcu95qZw3tCUPVmj9K5iQao
ClFTfyyVx68khqzjpoPYTYqOEwt5fc+nya9uPfQ3mvzC2RgmDfKr/EGG917nif04ZDLYZ6THtrVK
zUMXgL3wBsjvWqhz6TbqTZjk0mURb4rlNukVsBI7aUboh953E3rzEsIPj0jsi4vL0n4TxVaylZU6
6L5dPnn0KjFGM2nn8Y9oWVEa41FghthVCUbU4NFxGv+m7fsefozGOhrGO/JFOfIgK3mY+6V+Hxlb
0567VyPCRKOqhKkuIqM0g2RxGP/2cYn/0FPOs+tTZRGJMd/bRpJvB0TYRxmO0T6n9kEJX30VA0Wg
ri3+TY6GqprlF7dDwGrJFslTE9TJlr45kB+CHqy7w4A9Cy+/uEU13XSO9E+GmVdHFVg4nYYOudhs
DPNNYo/O0Y1BEfpV/u6VJikW8vWlxn9JMjf8bjJZmLEsnms/vW99ZW5dbED3ie3oQ+3H9MqpEnkp
LCkOVkU91e6oZYn+o6jwCfZRkV9G3zqoUDOHJfKbJ/2BNxyh+ja2lVWrK51Vdrnp0TWjcfrywU69
bsNboP5EfxO49l+8KedValgLWSkf6zSzdrz1fEcCy3oqmtR84gZuAZxqKqOuS+DntrerVLwo4xYe
HC1RxExvFQBL0SGuzf7A/IEsqrPbi9Po9lInzPJVO50kAvwDK47oxgrtfGeWMKEzHrm0wdheiJXv
DIEmK9LD6whipsk658TaBIqaC89xTmMHL+cyu6mPWEMbGDuvuZiZcc1jO7sLMhgtxuTGVzJf0A1y
M77NchofFFpdaDdxsszCeIjkbN2MPbdyTjbsHdpJk8KA0jTKyZPiTgdOfmc0M85TL35YTxWZhZy2
APlU59MdntUXmZj+S29qC3lp+N4nrXhMmvd+PIykTp7SpCIBLBr70I+LjdTNdkFFnsS3jjqmyYGs
ZwyvbXmQBksdDJM25YpPR1DxTSvv0xNd85TWjPaqKMR3s7E2NNaQz9nkg73T2Ghk8pl2fbhvPFEe
tdTju0aXlJZjuCkKNz8ZhqueM48fLOWPYxBKsByVJ0n9FQ7NSqLymW+DpFSr4wtKmBs5fdfdEu46
n6O0JEqNKDpiCsdkmWS3U886p2oDf8NahsZQyIp7MyuR2Pn2pYvHGeMH3wQ9G8Z3jCfzTYqeggKT
P76zZkFIGbWAqJytXcvskRii3A5lG+5EJdqjRwJjyR3I67pJRofr0pRkG0q9aV3tv6ybjNTuZC8k
vGJ8HwrEUE0q00MCokFKEWLBgZUfxV1+VRHTsVuigKFVUnakaRIQ/QhCXlGo+pNM1YN2om/YPY/E
4j1LK4aCtCN8Dbogvys/7YnhLu0W2JQIqr2inIMgJQeRnPf5YSpCKEWUfV70TKEmJBLooYwxS1l3
EQ0TyNi7xOpJ8YKpFPAQ2dpUIt2mr8yvMDOmc9ItCJa6rS+2AUcmkSYa8sF1ThrRXqkt6zopwswq
9xvWJkZ6QGTr8ZskbhuH/LETrr6mfXgrBU2s7K5CZFZQcDYQtfg+2mxdN2DVSXyHihst650zkAFW
1wE1KpKY4VOg9CbM5ady/PCtq/waGG5toRGtord59Mr9G0F+ibslxygM9rvHqAmfyTIreS/jJnv1
4mTbW+ZwbeCr31SFsu5b6fqnJii/WW1s3aNjudAKrjk5nShf/dI6l2OTUpBp5C6ZxppkRZp8H6ez
Tg9DYEcvzTANLzZwMbvNflLH0lfDk+qRCBgEbBRiu40M0gtFVWH2SZurP1B4NdXgoM3qKEGY8ANK
5SfHrALuwOCRH7UOWxYYbITKSI7hk8UZVNx6WZseWQOhih5H0meVR3l4ML2XWENwKd3iK7QDiNw2
gpRWPtfODMyoy6qPspYUcHzvl0OZXZRhzUIUZ+jghYemDNJz4VXWlTSVeS0otVyR4+nzAK9Rl7AX
SEt9+D3CWlppJZdKRu+anPCRCh7pPsJ3cs4PSYuNqXGKl0jb3aNj0C+gKKnSsw4tsKp+dUaA3s6g
ZtxZC8+KqunJCwB7kql03uhLn+wTWBL7NvPsN1sgFxgnP38eCotUfaB+JnP+6tfIdPoumQlf1dIc
aXL35PVay45uldUHz4UP1TErdiStvPNYkSSb2umYeIx0NyQ9WL2Z0gGlPDn3Y29KYgL1LlTl3q+n
4ljBkar6+ujVFTlDZs08MWHZ4j3Y6Hogq4nM8nayvR8uKa1N1RnvRTOP56hrBuzTcnywvFruQyyA
VG46RERUk1Oc34d8NPM3Ij6aMLXNtk267Eg9xr/RCC+PVN/p/5VLcZvazb2PBEIHtrwO2LWeNPkM
HI3gcju9nxUgaKxp6d4xHP8quuSCwLl+Eh43U2kseG84aHaYUxSZSE6WJFWPgRXDbYgqe2vk1as9
59x8c/HQ4EzZuW7IGBtYryJJmqOUGQsGq0LLMNVHqmKIEdsENjz+3Gvuhn9skrDF5VvS14hxqv4q
CkNc1o2hNGIIfIGkXBa0MFgZHNTNM2J/69HvquxoJjBpa5lD3GuJQxFAAGGbx8B9hFMRi1Y/psum
KW5oa4cCyW/EVlNV3VrWJR7M7MMqkTZOk9XvxDRbZ81qhVS3k6LiBC+kBag+p0ihE7odzeqCxtu0
Y23fJ60DCEmE+tgbpA2nwRgOahr9HZAJ2GlhGZzLIQ72VtI847cPLqS0g0so43Sr0hlwgQD0NWcK
sittb55V+uIu4y4toIJDXwztC9IQAnkFbsHQ6mchkJm4Uzxv62GsIRcg1hCBKo6o1M9hvahgyi8V
FfI69asYdOruh4QbMzJfnb7T1yhDepU10NoNSz5Ns+HfjVUnXibN/Z5gFPsdV/eQejZUpMlRo4HT
7WfY9PPHKIhBvciBLbEcIhC5FdWMRpwUwY1ZlTH9MCz3vnamBnnp7G5Kr/7mKO08DMPPYbC6h1lJ
rAwVaqCOFOyVWHKfWX6FnWrKiU5DnOqoSzw3jt5Td+z3QP3Mk510D9xoVPJtk7ZqHXpR0QLhtZaf
alzVN9R05vPQ028g6pcCdhK5l3HdjHdkfYAHUVqtbmLkPEB86eiS2ZASBjpxtAMsa3toNgiNnQ/R
zMdidsRjIzAOVNWpqhzx05USXXGXjk+D39yyOgiPQ2Iit62y9JVyYHiXLHLywGnPXsvaOnBD8PtR
iFKbnF7mxOeCdFSbwtyLUrSQTt0dymmkxm+XP5NGEvIk6i5PB/eG30V/skionP2uB11sh0/opgGt
ZLF7XA8Re/VbH2vuwxxYt2NNN6qqb2HBB9wrjmFeUTNXOzKlAiRZbtIXrDevYHAZ0VOmRMuR6nns
PgrDTp5sX6nniiWyIe2PUpgmfAG+CmmUf+yt54w+oOlb4Rx8bSCfxHT17OThlTRK/zFPpLjqqUfY
ZLVY8luIGrJiyLDQIGFG7SghyumTxOizM7Tjc9KogTR6hgFAIFjuhqK99xRQzzSf6dCgeu/VpUXQ
zUT3nW98JApjSVp9dTp4baV8TLjVDzFwmHY29UM3Yz+hzELYrqOFCBePwffFJWunPgrtWOan3ETz
ZJaId8jGRS+uQjttx+LsQ8m4c0zMZnGiFudAlZ8w2bZn27SiM+B1xx0gXPblNtBd9KW9FG18Lb71
qUdLAi1+Dj6ZX6vLUb7YCLCa3DSeSCHXG3Musw+Ei++S4uSlnLnEQDR+Ehp5QhUa8pHxE7l9ho0v
R25EjpJSAbS1eEGuxc/GVGG/mUP/bA9Fs539cN4OtZ/crpuko8DRxM7XmsGN0VlahoS63YGCY4g8
NfJBM3odM2MEIEz+lXp6H+wiQZnZMYxdRaUNebWFCzJpUtTs0MlRYtHHIioo6vY0dGoQ7hDgQWgP
tK8PZmqQf3INjxaTTnD0SPtuspYyXhOHhEBUJo/Bdzxo4aMmwbVReVDAn4ArwpBG1wuPhLLlXLwl
Pdy4g32zOuP+P3HhdxPfH1VX6nZ6+iWT6s/e2UuLW9vFw/ynhfC/tfB9paPUr5//61l/6V/qP22d
/3zdH8gFIf5FO14HrIIb2qgnQBoMv5YuvpZv/4shCtwC2BfE1AI/5x9NfH3rX45Hx0rh2PQ85xXq
dwdfK/hX6EDywZ1o+3iJbf//hbaAjPh/szsSPnB1hH+Wg2U7dIJ/NvDNLWhR1pB5vxqnuq5B+Njk
9raO5xBzHZb3AXXztpjb8LA+agaG9ftRe8kkro/mefbHo//Ta9dLrU/+n15rhV+JrGjlhBT6sm6C
PG9qcuj/Oebeai7+svnHuZT873+eaKhbUWqoje7c3v61yevw74eJWxgXljBhEzoMGzmgeBFK0lsc
NlNp7ugn7B9s0bjvtq9/ZqUe7uU44yGAx+IDesrmYQLK07AqW0JuOe49IEqMjaY/u9s8miPyhE10
WfdEHUaXMpJwmf86ziLUKn1Pf1MGp53rR2CuWycF8I/hBnOMRcxl0Xb5sh7HorsnKDK/11mSHica
Ad+mcwzAf9nE0egzsmGd+scD6+G6EQlm6azO4Fqtu/UxlAPB9HIhdBgGxXJ0Z1JO/X50wLOn8MRw
QEfBXbzszQQo1AEBMdbWoVKOegvNxnjQGPHIBDPPj3Vf3VFlqO4iI2PjN7DLaszP4Ohkh3GtQH1d
k8g6OFrfWeR37mRtuM9WBewfQJXcr5AFPG7DFf3ma1PgNjRj0+ufsixVZ6RgvvDUU2fm+onPge49
wQy5nls3y72yzFzytB4KTG5P/6cXrRfKvf7otCw6htGhuOIl3XRZNSR/bdZzte2Pf3tgPde79esf
//PAuZvS/uiiLb1vMcQ/4wP2kNAJfNauiJ9HNVn0eWLSpDqkD02mGaEtGw2NP/Qs6Rvs8yPNZstg
rp7skZDPM7L4Pct9MBJj2F/qklJ4RS1zkw4qfVv38j/3FE7R3+f+2vMd2z6meQxkC/LhxvJL70A+
DD7WejzgKDzIIgTYbU0kUOaYoqIaMAaMdFedWyCEkCyCJ1x4NIIyivRnPA473cTFp47ogsHslFw9
TaQmHfjckZ5oA9ChPCjqSFpkICiI8KOv9jUZ/7t4QhAN/Lm6m5ZN4w80wgxbWjguD7TkxC3uGx4x
Yo1Esql/+N1IFjpHZlsMAJfCxjgvh2XZI8ao/Nk4O131ye3JB/rzsC3d9pFyruXMxWX2NDAjN3Ot
S1rC3NhqhJMIY9GrrCd/P54q67uo6enoF14Cp9tAgE5QAWXV+GHoYrwiynPuCjJZQern8xtyBFbd
TSIXlLeEH0+IOFHxzqaHkILi703p0ogxTP5+BlPfTdUgvY5cnjrm4wYE33RAOZI8VkRzNzYSwB8w
xI5jSt7KU+2dXzaHbBlH1g2jXnTxlnFkPSzWweSvY/6B99GMcNtvMRhoqAjXuHXpI+B78zeJRFoo
W/ykQ/uzO3vJexHQMcz0ovS2mtvimuBS+/3UvpyxPxfV+9+mwoffpvm/94e3rMUs/5eZ3qW9O5yC
0BNuKAQTlvlPHohVJF0s4uBXJpIcVNjS5c9epE1GjchJI0SCxb/s/vP4n0/92/F/2/3na9VEPzUD
aBBY29l87Rr5hF92vC+SJH2lJ0NUKNi8FW2N8+XfvG4sgRMoMgqaB2FnW08Va9lx3Q2WV4yYUnbr
8/562Z+v+Ou8Z88UPtZX/N//RlO2V/hu4MQD+r+pvhoeE7ttb+GNgSwXuv6SWX+WoyPfipCeJ24Q
FXvZBvUXjRPo1fqlCuriGifBEU6NejOM4lRQRBtm/TzKuXwwhAavGHdXOfndNxoPxsdZCHdn+br7
VvYE6UWr4vvCU/LYSuwU4EgKMgZTTBs2BWbfNMfbviQSKTJsd8t5FYxYUos5OsFf+i/Kzqu7baQJ
078I5yCHW+YoSpRpybrBGTkg54xfvw+aHlHmNzuze4ODri5AskUC3VVvSF9GRJJFvHFCC1J9qK7d
JPLflPrUsTt/hQQrbdqm1Jci7LX6tg7z4OKBdNzXOvoebkcpWUNu/T8+fbZ6/+lDh4Qnnq7ZGisc
PorMf1LLGEPNrkwZ2nuoRBqtDl5doRyNb+iWmXNoyKwZclc7N6PNqzxj8xQ75lzy6uowVoN29j3p
ZeALS3kKh4gByO+h1OTokOTl7zMRk+zkkUqKt7mLi9y+MfsKVyuuvU2HZvFIb5T/8X+4nYjJVbiG
Dw0EirZz3+DXLdc0faOSIkSSjd5rbYYna/pyG67xWCA89SJSVZ/dlEhtR9pIH6mZFVs/gDZNohzK
i+kO2VIBsbFA6MKjnS3pEtbwj/CKt3wlVx3MHkQJOJNjPaJZ2OB9Ic7+nL3Pk/pg1QNvuV57m6X0
p+zUstHndurIB2kYPx+cXNmGmllu7+K33MjN5YMYmkZ2qPvE3QQRNpWzW8rtWhEzQP2qXdxvxKVi
UsTvL0sc+SxFqAD2uFK7Yzx84eVJEQAdm1dzgCwf1Hb3DsD1OEYeyI4Q+b0gkBpY9AH+XIZTnpUg
mZAi6UUJ+/AksCQfo3ECmlCVu6htEp4EsGSaEyOVN9XlI/P/6TpUBD7d5fbzPH6CGP35E8Romvvz
p4tMI42tbZTDKwyVwD/aOejR3lCzRWLp3lHExNntgPYEE16sY+LW/877p2R/atv8+zfZ+lPmS2fv
pGlIJ8FYRJJl2vT8+UXu/UBS/VKTfgSh/FyPpf1kW2F4rCK8ScQ3miXB94Zd8xNLn4CO3d9xm3j1
EW9H7JazQh2mJcT33gqcT/kiTgf1e+z+FZTO2aljtNz5cisH9+NTez2bYvJY4Q8fmFSS/EomcfpQ
i2lxEJ82cSYSeTtCwgcC0sxE8HpzW3Hx0R1hREoZi+Iijia1WifdF5PyWJLhYuXLWrAQQ+iz8VMN
t1GM0GMwnjUXUG7QJ9k+QLq3pjrqDsY+Lurq1KldPq+DKPleGJSvXbN/S1gmL28ZpvHDNXZVa5tb
S9MwVVFMFlm3ca79x2rA+FN1S/wVp82uqhqy6qAUePdXzJshQzJds3/AVlEMGBIKLQ6xMcworjeq
9EUMomjTGbn0BXnWDPHXv9rE2iMJ6x0xuGFV+DHMXZlfOOzc66xDs+TJ8YaFzPvGGAv1AJ3U21S5
jHrIdKZNMXEmYrfZLMcW/JYnzrqgOyvpSDHIQoTT0tV+RdUfKOXo/T6IiaxxejaFf8dEyshLlrYC
EzkIThwTp+uoNP6+jcgWiU40OLN//6aY//tNsdgc6ojG6Yatsqf/85viAfqX5N7Xfhhp7c2rSZtK
CFSJg1kFfFLFaT2JrJk5Vlp1UO1uoSLlDxMHrYYdjaFDy4j0hwhniFDzq6M+NPoDMNbf8SDUY3xm
FX1+NyGu6p3J4VMNlnXjSPU2G4NJiytrYYOoyWvRB8rWyIzqVE0ISW06m+KZbg4YXUy5ESIyJ72J
0Itr1cuoZs6jZQX7ssu1ixYN9uM0Bz3401w1jXS9+5Jl8QAJSCq2VZeHe3EWdsPvs/jj7DZ7O/M6
C7lDtSrX//63QaTrz/UIjzHbspGpNWzZoRyk36kV+pYPym+Qyx9RnY4VXom5syr9AeCAXTzm6L9s
xegasqBczyipI92q2Q4eomI8ZYt5WP/DrrPK7ZDaIJQS32jXg5N9uo2YELmBiU4Zsoe4++QlEijZ
KH1DCvOc5UgUzSiQDEgpzUpPe+zVtHjr3NxDCCOVn2UAVzTTJPdY5HJIdyDFJtf0tWPES3OpdGH5
rGG/PR9QnHmb7uhHFlSu8qC7XnS2Nb9c61Ku0X0vku+6LK+LvhtegzbBRVkCIqLEJla7U0Zcmh2F
eZSna/GZnT6evd7IB0t8ZrsCvWADm/GVgHyImVtipjYTsAxvHjRDqyenx6VsqvDqheM/qx3eIYFj
VysR+8hAISOin+2ei2n/aIx+iqqSGyyqaShiQWwlq8Jh7WeJHaf3MU7ZqT2JRBGTnJDmlRJWqM8z
cbtXIjauqarPlEqqd3qBuUptpw+N17Mfns4ssCgPOaJue4XO9F1cZIjJ6UqRervImK4spys/bisy
RFykqUF/va0I3V3+520rJ/uPd7b9Px92QzV1Gz8H0zB55Gt3T/vaxBZiiFL3+4S1UBTLxMd0LNih
y2zTgVclezFEAxPthDIcF9nIRhD4H9N3iaHtW/ikTlcXIqmfkkTmLV3cUgzFLe3cOEEGTzAzqIcH
ZLFRAa9dmqr5XkTGThseIhG28tDFpUMGYMRLHS396QoxT9UW5RYrjtajEgwP1+nfd1GoIs3KEtlI
7Iby0kYYq5Wa8qCA16XJPJ2KQyXF7j7xlmIgQzU6fEq+pQ3TjC/bzh4OapDn3E6ErqduE/ACQs15
5VZxBt4R74icNTs2O212FDFxMKgs0IGccuzOOuQy4HrTr7FRuuWIM9+pf99BDJ3ccHb/8bjT7zb/
Foq3ss72i/0/Tyio+XfvImcMDSevpfeoipbIiLEtlkoUspWs6ZEC4s1ye5fYSLU92ABfeLkE4Byw
PJpO4dAXi2gcf+eLmLhyBGT50H7nSTLd9XavP+9//aFBaP2y+JNGfVI9JdOhtc6+rBeP1zXDtHBg
C36LeHYSPebhYeJC9/xdniKEqp4dCQ5SpWf6Gi1tA8NoEyH6Al8gMdsrvfE8XaDTebxeQMWVC4Df
xVWVrsXaBkAOcoiAnjdi6CVFA0tfyTYCluu7f8+KyvttVlTexaw8Jd9dq0RyesmSLtmOef/LHdTk
ERhzej1IXvtjzCNlK0JiEoxRuw3V8leiVOkjahDjondUjX9JkqUNHEu4qNPKMWwrfMjVwTgVg9zs
IRnmS6Nyge3AbC1dX3sdR/TUvCJbu32DUHxe+s9tofnPMOOXgE+kkwj1cERYyOb+ojNC3nENCupO
jS2hLwUtVqmZQ8PKsU/WdJYbHt7p+C5sbxN95OhHJO3mIu0WFzdp6rT9NEGtEJssWWIBQVt63Lcl
9GYjYjUXIsouS+b3erD616HNIF8ok4xang+vbpOdzMbuzpHv/8eD0PpTE1e3qIrJui7rhmLRttHM
uxpY07k2sKOxf+9LKv3yLO3BYpt6bxxZpz1lBvS5uVXrv7TWd/ZjKLfPlG2rTQRyBLAhQ3Fo8y9m
OhZnMQDe2izQB3VXYugrKXI5ofEkRo2bts9t4P6KYOmgcyDlD9RW9WudaxhoTXYdjmtT6etaq4qB
TK58esXzW54mqlhO4y6xTgB0shOLsMRhpRzlMRIu00oLaZPPQ2dwkkWNABRtL+OoxdmzKO6LQx4l
j16LgpsYufwJ4NNZiLqJbkBYmrf8DGQPyJta3+lhry3EWWL29hdccw7dVKcRcX2I9J2D7MKX2s7v
41oH/hN943LeKbLn/tdK7k6HdfqbmpZuarKJ5ZGGXPHd39Qu6AEPlZm9V0NnL1LXLbd10jyE/YCs
L7Ds/ohMXn8UZxD7qq1ZVg/s52DDiORpmHQudChHO8dybB2dLEg2ueP4u1rqkqMVjubSSpP+mTcL
qgNBkPxlJT36gugWz8pJZamN1B8W+GHssowHlZrgkSJ+SoXLHugrsSIpRhkSoRkP6WMKnA+JoHWT
uOrMb9Uo+KnS2Vykg5/MMbYqD7eDSaP+YE+HWwzi+ExGUxzxakdZOizv6nPWmtsUW4UEcPGLFuJb
O+S6sTViSXupTezNVHRhm3jozmHt7nkERl9z64T2TXTgV4GM93GwxxJPvrCt91kVKxsxUTotHSLV
k9fXbTONpy9xXrnr20Zb7M1vw9u++yNXhESGKeVL12jrbZV7w/52GNt82CdxskmSWt3gLZQXs9vs
dWz5NKwAnm0NgCOn0ewWqHoWR20aiVDNW2cv1/1RjHjG/I63sF1XQygDjPiIiRR6OG+IpeCiR423
fA81VJu7uje3WoqtZZwP3rdES3ENM4Nhnw1J+qJMQndTPHPdbDv4YbikMoe5aIY5SoLo9ElPUvNJ
0euLOcVB5dGtBFi+TiUrpYkEkKnDYKtXhn3bd+ZzqmXBpc5gDUB+0lEImQaiYqT7tv8xiKc0r/2U
hltTEQKB//fVgibT0v7cKuArxbPRUgFmYdFjmOYkffypWNtrXQrXcdTeE5/vCxr60Ping2SP4aoY
ABvdYjp4jHamUgi/5qRxLGN6CP/k76tE7t1Q5KMqlM7Qd2hXVlE/+xLy8GELN00cBkOeA6frH24h
FNFk3HDUdAPUVL+mQamOVqZc2WA0iWldhJF64UDMdWyEC3tkFZW+cL4UpiQv0bWgozsN81EvN9EV
RsswHFL6gXDVAAkzhNignFpZP4pR5I/ZF8+4Xigiidlu3DC0Hj0n+B7KSbpPTIrODYTymWiBDdMG
5C4mTzH0Gz7n3WKSQef62mu7u67RbBj1QCbhD3jfmiiJvlZtKy0V1eeVMnju0RwBiMVGhLPf6G1l
pTF//JkaWbx99CnVKNp2gTNIh0uob9F5af0HezoUqN4cZBm5D4h+D6ZRYBoqZsW4s0Fa8l7dSqWK
3KSIOa0Bu1XCnkbzEdf8dB3SjNY6tsEBFL6PbOZYv4Hokb+GJss0sPcA96dhmXf62oowrxXDSsWU
SbM7d31Njl1/rsZoy4khjnKvluE3J9MrFYyEMFfVjJ9QZWkmGprxPMAPPOam8ireYiJEb27P/jY4
IXFlHbxIP+tDRp9TbMjwqcHFWqGWdNup3bZlYlYtqBvd7dckV8ZSG5jizhldnj41PMZdEehbiJfw
WVVQuvlQ7bXp4CV5RcOQszGLMLHCnu4WEmciTWSIoTgAXka03AXxRNcdiJjX2GvVhfSaZUHwamaQ
S4JxGI9R57lfneHkW23wKruGux9RTECthaHqJPrCMtGnF8OsTvdtqiAvXobf3Mr8K1KGySgYoyDH
z5JL7SMIH7fDm4gHU1zV5X+MWzyidoGEIKtoh/YmqkJiKHqiohsqJm5t01usGetNjkSEVMna0UWq
a8XLT6bpzfB2QKTj99CVMcI1CrwJxKxH7WNymWa6LNTwOAZbNy+0Y+iExdLrdUwKRs0+Alk3Zl7X
IaWaTlq9vunuWyqTl7xxqTEExTcd4tw6VON6VY1y/q1Q9WPAm/3Z1n3nevk4pd1djnzNQsRZKulL
lFAPQYE09g3+oGXYcoWJpe1EjJWAcqpGhb8DoIkhheCLDI27shsvOlnNBXEUGDjsytkc0Gxc9IGE
2XVIA0vEDFOhg2FdcB74Iy01XqOOnc/MzyXnSR/OI8W9bK5AOF1EKqBvQ2v8Z9kp3GmymLAPbmue
/v0NoRhTxYA6nZelE6CKwjFbeCBSpqxohmmwq/zzDWElKH+2aZu/gSDHhJL1F3JIqDvOtEDheD03
XcPYt1Yuz0Ef6nNDTF0TxNT1UBp4pHcB1omoKYP+TeNrITqfhjafzaXYcqHSjaeCVMVLsSEz2+z3
bNgm2ZPDV1XgFwSeQZzBYr2UVhNsb/EbFKL7e1LkC0zELc2Ru0s4VudMTWcAG4NLBIXEapPxFbMX
vlNBIlHiKodXB9lZjO97/yFyumuaNFrtMYEbOhcLHlYX8so1lODaHxOx20rorqNxS75bTt0Nb3fm
PRVcuxi3m4J9PNQaqhRQ6h9EXzIJuidFiroX/G0Q84dhfnCkyDlI3uCj8o/vY6WVD0FFgb8RBeLU
q72zy7t0puR1cdJhyTx3qrzjrT2AbDaSTTWU9AumoUhTgTIdcgWnuMwdCsraffJ4+yx7Q3Jp817e
XT/Mmpn3Gy1hjytSxKGePvi+mV2aLpN3t/gtV9zz+qWRjOx6vzAbgnk1oh/FJjU6U4lGPLcyYLE5
RngWBxQi3sZEH/Zi5HaK/ehGr2IgrvEtV91qNVIft9jdffoU/4x//wIZE2rw7gukqSjJOYCMtKks
d7drifqoSlxQ3G+1ryY76nL+lRHQV0Myj9h8LIzKSCsYhtAE/mlaTNS58a0CjL0XG83aOTXoCJ3F
IIK4ulBd20cMmE0o0FjlKLv9+brJjSL5Z5FZ3qEtbWMzKEYwd/ve6BCJbryFVuTZooP0uinC5iVg
6wP/EiHzehydk6F3uI03o/Zip3q4EzFzKhdgXkEvzi3WYjQOOpYo7gi2qcPL4zxkGR7IAMT1J9sf
l+KXSlQqDzJiJEuxW3azxn+iVT03M697FhmI2NLAQSF7K4YoXtq7bir0iKGixfoMgnK3jvURVQAd
TDSrpQczH6gaFjV1RsVHX97Dnmnu201qLsQUWrRvTm7rG2g5I4Qxz98gttSiR98rZ9+q2sVIcefs
RZD6IZoo53CKZa6tHiWxbLcixeEdGdBKj/1Hw1dpm0yHqqC/JOJs+h7FaAxkVGVCZ2+bkfU4ws0S
j44q88ZVC0NsrZSdt28Qad/6qftUx311FJC1Wk1R8nUm1bfpkS4OUuI+RZFVHcXoliEgb+Kqj3uI
jMDr8dXmGz+7PRfFw05VKv9Yuz/uwmJotap/pFQlBrdHpng+ijm3+XF7WIqzQj+2lV2aD9PLKrdD
lG3o1eH2XQGGCY0Od5AMsIwd99T74Iv1shF+bVA0myV1kf1VJPUj1Dn3l1m/t+lggoJQ8iUscvVH
VStvKaIe37zI9OYpDY9djikmzBxYEGi0WsfQQjARmbxsmyrRk40kN04RU0xMpPaz6bMGbGVp2oD3
Hrr+reqtb6W5Po1XmdMe+RQ8oaqrf/84QcrhGoFaeJuqFesk+W20N+XYPqIBBom9KyktNoaEMv0U
dBQQnIsCiexV2lkBeqCGscvlPpj5TY08XaUb3kKSI2clFgc8fcqncDjFkr0uALEdbs8/i/+NFes9
RGLEeqGtzrVvS0tLAWbZBVH8hfxXxdWb9yaABdQqNHsM3al2lpxry6KkhwQ5diYysgaydV2W0TFp
8MswXT2fY+OqbiU746VrOwg+sHPdl9NBDG+HspDRLYv97S3UmFG31jAMHL8qJVa6FLyXFN/8B5Vu
5GNPJ/vRlkKTLdVordGSRxkLldV25RemPBfT+pSI9BGCvLJHgxOXITtA8FhrNWcdxuW4Q6gNdGwE
m7RR4HG1uq7PK8O1XgrL+N6PRvozx+TUcoDxzUZvwACi7N8jCSyF2lTuYqAojuBjVj5nkj9zVNV8
iiu7eM7CJlgidh2txKQW1NbJlZyVmBQhT0HBo6YgiaQ7l0ty3O0ND7N5ZJNQrBi7+BKjjHdEOjdd
5NDJq1VRyckySGiHYBea7GXdpIciTkVQHKJp+noGEwh/zpTmyy1HDHncmmtb7yV4qpB3Zr1eIjkY
hK991jsnt8AIs53OCjWQYODmA24ZDLso6zdu6Ukzdi/WPHJhiTd2P7yqkGOd3nrJWxXZvT6vkEqG
yQDjf/w6pjIiP4YansXBky6NC/lQouh8Roy93ytD+Xab10oEHLocl2URU+XqLzvrQxYKVjf0a1w4
6JR4OdQRtKcdU4Xf1cnWg6IMqEdN+Mp/yMg9WVlhOvGqsT07e9Q/takOIkah4X0aTXOsNGg5T5mZ
Ii1vo2kOomr0M6GIu4+zJnxswMxdv29FTNG/pxJ6Xa4L4HFatXtXB7Dn5gmeX4r01bCreVmOcICl
qj3LSrpFjFD6Cne4PxQafqXdlBXmHbowhZ8vxSxSMdXCr3LQxTkQAnFrNYvjR6VGUGda+otD27XZ
unTD379B6GnJuvYihGAiWzv0o3puEgtuKSLWyJ6atHqVzq7O4kC/FCHkzFjifHwyBHClrOiQ+UFN
8X7Cw1yD8YC0V6vSSnW9kFeYKbE3U6P0MZ9o/g4U/lPob0XkFr6l+oqRPIoJTCT6KRUhRJiOOdyI
DWY66pIaeYUusRn/rACXTZpMVgLzVjHr+mLEmHPBdRthZ0EutCS4Y3MWiWgOTCAfLQ52DpoAF1y5
y13r4fD8EUe2KcQjLXtH50478/KZy7HmfBGVlsx2kcDt8rMYha71qrSue63LqBRBIeMW2U5Mtl7t
LGjExWsxDDSzXoeBpS7E3UyIqztLlVDVsV38UvFDp6Tp0Ct2S+Mg63RWSgv33Q4Nj3e+e0+tEnkX
JIbsTQ5JfiUHWXEcpg4Xu+l1VUrBDyvWJs3QuHmGzymtGyy5NqCQ2nM82s1MpIQR1RZQIG9xJ/EX
aX3Aa2rS/kcNXPhwZn/sxjRLtizF1pAqMzTlbjemgev0FCeP32Dnz8y2aB4V7LPP6DNEu7yKIDrR
7ziLWG5VCg/9uFmLoZgYNev+ql5SNuhf19Izyi7Izs/t3sFsDLLoxwnYiuRJkz11STUKSIClIaog
Dm5iFFgvyX+NklTtU89CwUy11GovTweRIoY6fNrfM7eLP10j7tMP5bd/X3wrAtzxx/+XxXsI9g84
aHDR//P/VZVy5XeJ1n1T2zRZJZ4SzgQBWFArxVmOgTZaHXJ9LgMr3IoYGl3W8SpaQx+gQm5GQ5l4
CjY4PR4TnMwOUYvytJt5bEZN5XR31qqxeo31H2f//3mdWq5qw0NDfCL9GACCZ75OYU1si8XQ08No
LxqTYhjpffhpKGZvybdr6wxNmrvk29CrML5B98Cdy71iHewsy072EG1QrfSfxYF6PRKNjqatKcBC
7Bud9GRa2lxX5eK9jAYJi5m0hpncqhtUxpKNb+sR+wJNQ1+iNX8gcVXx1/5hYtw0OSOFu1zhkWzm
VT6z+zh9RXNdWkp+r6zFMO2tL1JmpU+pSjMOdN6D5mjJaxBn1caXGqgGYhiOOCN37nDswnb4qqU/
w2RMX7s4TfcaNqF8oLk1TAMELGFV7sTsoGPx5qflJQhw+xa/gbiZnATeSvwG16HufMnsNn1qnLQ4
V63xkHg+3pVGGGwbgHWLEj1FWho5dH7UMGZ2VATvfDm+BXamPWtyqG3NQPER+gvLN9t6l2rLf7+7
0G2Ul3///GMTfrf5pERlqhZYEGSxVN0W4KhP9f0RTnQhObiYmj1rka+6Yuuryg9RdvTQQGwbdy9N
3Em/LZ58z9PXYiTidNYsZOmnWTGGTUPlHRjYpuv0ZDuYIXs8X0dazVIb/FWxqthqk1xUUZj5Y2Y2
c6+Mh7MIpRlU5xaD9KuglJjQVefZLBsAg9NFFuScA3L0FzESh0nwCHIXVZUWyC9eV/CWrBEr3Kxx
x2UfApVkkenP8YSMDwZghJc+AJVgJ8MFJJ23LUILZnzbGvUEhxrnqm7ZC/Elvn7lxVc5qLO1rpd7
D7o2sgtesg4dPCl1ml7XA7bqk3GWEX+a8KcUcYU1XSGS09x8VzTXnOdODj+u9RqaU05U7OuPs1LM
iDGNXttGftz63ucOgO8pUerlh1o2H+/qADf1AFEbCIbZCIrtIMJCXuBWMqhVr6DLhtKDb8NVhwEi
ffVC903n2X8So6Y+xXpmXxLVTZ5kyz/RdpK+qii57GVZDxBuRLobklKwNim1Vh3o1DMEnPTMszp8
qviD+JFsPGNlaTwXfpdhQhkWexFLEMfP6mRYC3tjyZWaSY6r3TuxaucIFP49Fme3HCzKWJ1NB7Z9
Dz5FZrVVeryspk2cT/ECtd/8ImAUAjghznS/QTA4c0CaDzl5HqXkW56RwQCrpHBkeQBbXwkMY442
gopwHkNxkGvPOKV6/jQhendDaQSToETkHkvEze7SwgIa8pUdJ48Q76OqxJVzOsAHR3loeBQDqoGU
naksf80addzikproMzFjBZOGi65Qtp2ucvgw7e0aN0CwWue+snDY6+JHMULgIKF/EUxPoxDHVg4J
ogGrEX4Vy4u/Y3rus5bP7XkStf4xLYcfwgs6MnNbjJCL1i6hNH4a0XO7jqpEVS9R5H6aExIXlF5R
fczNcWf4obwTZ3XXj9czEYOHqc3kLgag38ToXxt2vtMyxaXdZjVpPLueKzo8xSSM0xkSVurWLoZh
2+NddlBtFz6eNLgP8OLHpUTf85wlaGvpqV9fUgO9L7ejb4HI+s+Q/eR31ID4OPc1DIAgnOltwKaj
KssZ3PQEp+a4OSSFBCXer365Zm2/pg5C1HquJJcMlhhiM5CR/v2B+j/MXRvPdZnNIw9VHqZM38Gr
ItP1066orItf44koXr1d3hTzuAvjnShf9xJM1Rxt+p149YpZIQIoZmUciK6zt2vFrGr020bN8qd/
ul7cTlzgqyCMjbJUh31a9OBaah+NwT/pA2YD5J7NMFIB1yIWgpjdQVeDCpPAprvkpVsi3WF2F51N
ewPYFU/kk64H+ctoB+Out3DWEkMqhfLS9rSBhySzpmcBpS/q4jiio/diGNm8GIp43Ri1g/u3b27g
/hRro1VRvx4N3JPZCA71iEIggOfnsDOMTeXJxdqrQ+sitdo5gCq18YxJ/aEvdjIajt8MlGMXAcvc
o66l6t53sGt2MrP9mlTmV1Hl/khNKkQiRarVuuicTKm2079kXY4FBD67R92GlrxAJXsph1mDk4/P
Yq8ZPPuo0oI9anVnv6vJeDb5Ur7LWvHT8nvzm5YnCLgk7vgCaw1KpGm2F+xedNY8avMch+mwKBqK
FLJUt0u78PVTmuKwBTAYPdkyl9d9gzmR2enWBgk+Z+fYVrLTpKzfWl0n7+2iQPzThAzoBFmwbvrc
eshDQ0LpBCsXFVgwLcCuOadhhkJVYNdfqlJlL6+mHVplk5R10iuvgYV8RJV32I2M4yv/kvI7C4Cj
NRbWT6NLVnqT+TuPps2m6PjntHoan4ZsKJ7SvHjvQ035pni6vKg8pdhFFURIBVsBEU/62lqXYNtW
PdrQyGYaCHPa/peuOfV8ubejg35eDlUaplQVzGlqRd91JKvRiGp+DoXtzRqzyS+BG3sr1ZA0bBBS
72h7RoIaXeG9RJ35tXPG5qcUhaumQZnHzEJ1M7CnmWda1JxRENdWWiO3ews0Kw9EL181pZ8/Y9PL
49LXknesAVZKXtZ7nPHiuRXl9p7Gv3U9iKHJlpw1iIFr9zSh4EZTzsSpnISciqTrqTNdrtVjuo8w
P/q4jTizAyQ2LBkBDVVyqkXfyeWDKwfqDokrdeWBWvwC4DHlhaOnPzX/W4eO7veUfeK8L1P5SS3G
dCOFur3RUSF5RGGcr15hFe+VV87FNThA/mpUObvkiR6tGj56e0ODmY1LAaKuCtZCmYtCFHbuyY6n
4XMgVh/TQZtWKSJeNuOzMNMWoVucriRiJmR1rgopAh2W6z3+rzFxE/ETcCB4TbBsmpsBJtOg7L0v
DQo0D3ViP6oSsrkiZOKdWdFMPslTyHYQRTfAIK/FJPpNCXAymgFi6KgD9ThzrVsy/hxV3y7hzD1o
8VifzFqqnyeFLC+OKGMpbYz7gqEt26mqBXU6nLWqU50KTWue1cb7lNYMIC0T5wVRxmGTU6ZLnA4U
r4ox+aE3wK6Jgxgm0cDfzzBwWhRi5krmPWI1ATWXeqUISZ3xpskOdqAiNpp80YEBoDo+XcAqI9//
+/uEOsOfC3QbwogNypPWKl9ORZHvADiFliZjFqbqhf4nzZgVz9p814322qTu9lRML/LRcdbQNn+P
prnbaJoTmfX0Wu//yPzf60Qm6q8oSPz9Ez6uCyIJv4oyxbKgdWmnuE1He8U5yFULZtI2hwcREYcB
UNRaCrG3vZuozJhdgCgUY7AmL5wy3fmRAZNhatPxBcerq3Q3YiQOehUYOFCiBamgJxWBQLSbeeug
AeunOKGCW4IDiHirNQTuLtDCp2DScxUhcYYCZYuWO1rltwmqW+UqTTBzDXFt0pNRffSmVeuQFPnC
jKQC2ElqPKMTK+9ZP0SzIVHfS+q8X/Bj/znWqn8plbZbDamrYCsUGQ+6rvkghr1qm2cd4n89wgda
bZytPMmfozxdR4mZvZhph9xoQ21QDJHUxyugNOpV2af5yzDiziopOxMrnQf8JJMFNSkV/H1m8jXv
jOzBK5ejUgEZrSRpy2IBOe0EEux6GMe/DBV32SFq6yWVafvS5OoZ6eLke9LSQukzKCFAg8xNrNFJ
/4cMqpt48rqKuobIo6zGvKapoSYJckdjvkxyOfnKu+wHRBH3p6p+a+qmeoxhFusbFzE8tk45TnVW
bDx2cabsQiolS0gXxqucSyu/N5LvOIn+zuC3l3cT6WxpmbSvqhz5Zz+JWIJPkF9K6s08Ltkrqzkg
FzCngWR3uFdNEDlUHL0DOoEH7CgLjxJBMKtRRmPRFxood3TqL0/RHygzR+8l3N4ZXtfui53jScCi
NPoytIGycPnHPMaBU69SoONHw0fWu6+BsgxB6+/d3sg2mZ3ZR8qN8SrExe+JvxiiDBoN5cFLzGrF
Gnw8agU+YZmaaVtPlobXqOcdkPcONXO3PPbwD2YirrvVuND8nrTpwdXj63FLk6MC++PpCSYNKXer
jd9pER7O+HD84tUevej8FyKiUH7zkDtYxqbtH+qwKB9iJXLnHgS9dwXlEQ/F8kCWs/lYRw7IKEfd
Vfgo8suqxUuUJQ+JGZnfkzj+mUqIqllFkf/X0te4YxbwqHIUTVcVymmyoUN3+xMJUvcomcVNNlxA
6zjnUv9qaw0PXuQydkaLslkUR8W3BBW7mSnVzantCu2pVxWkNYhHY7Rsh27hw8OYa3kfbcVGRAyD
yvg8FLNmVu+LIH9yRht7SCVAzRc9unNcRpiCU+34piXjUyBwuY69zQ2r+FWZ+V/aENsvEhTPedJh
G0Hz51ddVzJuexgh500+vPlWeq5QDHoup7gPGH/h6drw1h6K0M1OnUzpXezos2iUV90kJiz2+6Iu
QIOrPwZqbmzN2NLRTM4Q6iuM/0PbeS03rmvt9olYxRxulSVLtpy6233D6sicA0g+/RmEvCxvr7DX
rr/ORbMIYAKU1RIFzvkFI97ib8POEuI4tUo3r1+T6Y7QVqCl+yPWBAEbJHUQR9n2g0Icg8HqqEoM
qKf954AMsUubKTIQNcthnbnDc2vaZ4kklNhDWO7pce5SIA3ch6WTIjHhCmT7dfXkOm21dtT5YUhV
sZbxouFnG8Fc1QPrt+NWD7HvKl8QFLCWSVxr5wmyOvd/jVzc23S04F6n885dptuzGH4d9Q+TMQZ3
nemLnRMN+V0DrWBRBHb+pa6jFp89O9sqdZN/CR37BY9YVB5xD3j0oM3K7tHL3R3iCUj8zJPykac/
U8eA1AzV9nNU7EzDz754RWnfUCWul7I5KOMj/Ju7eBYEymv/1sEi6ikQbYoTjtGvZH+ABTCguurJ
aMdV7qH4q6blxmxbtuDs5I+Ax98frn2qgze5WdTGQoZcB2QTpKhYw1lyVrloxtWgZ+m9V2HXyXZD
5Ycy6rcoD1fHoBqLPerZ2SEDuXBj8AXdGXHXoRGCIKca9C7wZTw8xiweHtLU85elmzfPCTqxi0HT
ui+4ZCaI2Y3GN92fa8Bl8asum814cQ2wtkhxe9HCGP3ZCzgKFmpBEcZ32h8o1z4aPT6Wv3vAFHtZ
MRsa6gI4cN+rczWtwK/Dn0UU5RgVncuYMZPi38ZkTe7P87ykDle9yPULe8AzZzeKwgt3EoEJN9bA
ASKEnDVzpNvAUTamSEugrnwiu0dPDfZs44PfMBX3oV9EL+RCNG4UQ3KbeqlxUJG22WSx7jy6NVXs
CGmWX7G95Nvv/Ky1CsdkPVceXG0qti2bgcMQIJcUVOw3Kz0dX1DEvom8tD01aoKSH5m8BYnP4DeQ
U7RUjd9K2b4UFJc/O11Sriq3m+4MB8f4ydDLveF35ibBC/sGpZRok4aNdmPUWnRS2wql6iFMPhsi
/YQOQPcLlMumS8zw25ig21HaY3iGGMGdpsrDXVD3xr0TYohSjbr13RFf2TJDN0hzQ5wiSVOwh1Lc
zPVJMfMV5ACIoNczUxtxVLCKaaGOln3uRftSlx5mF+44bhw0arfmDMRqse9WO8V7GlNRHeE1RUu1
NaMvXREDV+PjsZNNb0JovQnEQ+237b0okkd9jvIKI93hR4YozdwkeUfmUwl/5JbosO/jvyEpISNd
QVJTNDpUmiNy+W9gq7HrVwqSU3eyy8GAcFfjJU6twLhJkwHCReB4W7NsuDOoqYIZZtc9JTaKymrd
i69tUN7HfDqCRYlaZ5Igmo2h3c1o9MH3dtIg9geR+Yyxx2VjoCQ/uFF/wp3d+Fy2GH90yI+vZRPH
km6pKHzTLqP8WSJHTPyf9+n2n377bMMgQayD4Edd9k8Mb01MUKTtSnkSXq6BbTKM5VhN/Z2KIvWh
EbW/gS5ZPGGNR+lMz5yfJbjAoOVLfI0d4TXux+SWbQHhUZk/lRUWduWswfkWnqHne1k6heCKQusc
Oy9tzWySBong5YWonU8dkPo0vWnJ+P6qW+0woBP7tW16cxm1cX42k1rfFTx37IJCi2efYvZgShF8
zWBkB2zK5aQepUeyoOA0JnAT+nwnKK0senKCGCVJqvMhgldPiaD4O99B5Nhba0ymj2PzPFAuzn+R
lQEy9/FBCcaJgYaBahv8A4H+n7sP0je+CZzQeTIo7a4SPCtLTLzRxwynZAtQrLlxVQE3U57WHeXI
dj5cRnJz9JayU6QNlchpdJdBZoEktaeTxLlIOIw8+4CJ+dAUwhpRj2htE6VpE22gDiuLgXoabrc6
m0637240pXKOGDj26wZpjWekSvCmnt/wrDwixmD9lJMyJWKSE3cb1eCZX05qkoCvZegaz05astVP
73S9DH92QmAN3/AtqYJiaY+AYWD3fXNae/qCrWmzhMtiPagjRik46dqnNjaVHfxDdZ+oSXiygAts
zEkoBy80P4WYXq9TQDZHUnTeDfjQeKNks9MNnDh+K8X4ywfe3Jp8QMDjgffo42eReNYa+eLXSSTC
o8skHlurt0mjRArUSHXVqR5dJsXzlebHpsuVfF0RT6pvUyIBALTtTS9b43kWRp+mNvimofh8FEYS
H6Yy9tjskmXECahcN8MQ7Mw5B1kZarGwqtG75CCRl1rMz5vPZWqt0DlWgblq9pey/93MOPe2a4dN
TT5l51qxM3cjeVycAzP5kjmZjzwaXN2m0T8jY+jfyi55kE0vSzck3uPjh36z0fVlh3gx+t4P+BSM
N9iI1EgNIXsoz64H2ZcECGNjNMcdyu15blMf82QGHKc+Jm1zadexwdPqbm4f9d7Wn+Xo2KnWsfYe
g3po9nqWGJ+TydtQpLMf1cEJ7+tQPGL7SBHMbLydhtHbSpl0Y61gPrcpyjrfCfLvK/mt1dwx33mj
212acjRDNNbXxq1Vtr+t+dFsAKi/IY1j00VTibVTBf4T1/mfxugox8YbnZPc4IbaJnLU6nTZ8+qu
jQGe2ev9iuQ02xncB9ZCjVFPa0LQ1WzVeMoMVsgVhMcyDrNHa4rf90889Q25lT3O8VaXeS+mfkxH
EP4ZOtjPSReuTfmKoqzcs/V3V8Lo1Z09WfwHZCEme23rntokLJ6VNljL58wx78p9Rn54KRK9exyH
sNyWLsLOslDoJxl6wYnpHRPess95fC5VbfwE+uzpAoIB62WsJkNRN+yNnUPmd8rJxelg5cdt9QXP
tXMw5zr7uDzYWW69iATrAIN92V3lYzbhKU2zjQJkkjEW0xcuWJWfmDebSfM7h+vwkhcPJIMxh3o7
UZSPPe+HctALmA+8i8mr1nlRIffJogLYl7lG5JBunT9OeUPJSI+0YCNHe2iSVTF+xyo7H3lW9/nv
xAigaNFldpJjZxUR2muN89Jl9bpJW+1HVnTqwtOS6T5lkwQQ0HY3aSS856ztn2REnUU8sEbpc1um
FfYwebTX0q566Obkm4xwEJ4orX7EdzuAPTPrjUhRX6FCplHDDM8QLRx5rrfxyhOOjQFg58TP2RDd
GnpaneWPT0GLCeVZfoznsWurNYJ3rbd5vs8H8Z9//T3V+fPv/wy3ofKjUaj7sxaSYSmNEqjD+DR5
h1rRRLePMjBJnmf2yH3HyLiPECPkGa5+PABhWhKt4sZXwJL1/qbLkf2BnAIPn9zETWUOLtVz9Slx
EuwwuFVtR7ONN7afkxWeocUSZBzPGjctAuB5BWEtQtToxubO+skxvU+5m+h3soVf5cLI46cEh4mz
Zuf+gft2vQpyx3qBcf3TASh3j8WlcptMPSbkMMxuR0+pyEEM92HbN5D/up8WSrUvNZk1sAv9+Dk2
umgZ1ekZLzJxW8Sw0CPXLW5rz/F3sSaafc3TacYz5Hrsqv5x0NXpmEbdV222MB+rXMdzug82tkdV
oeS37qdnNwuD926XaLGyq/z2+1ijA5eZWcn7ERgroXn1N41ve66XzmdzNP0tdOB8a1dldx/aJaYt
o/6SZsZK1pWQvg6XoyjCsxNX90IJ4/0wRPaNn8NFkQd+PkEoYpnMPhOe0Myr6n/jza0i8QTvx/sS
Fj5Cm4Za37jOiAsEL3FJymBcG9ZQ4afgm3c1d6el8Ct34woQBQtY26g2dYnz4PrqnQEM7psGYAYT
enStfacseeAZN4Xqfg6tHO8iNyoWlahxsZq6eGvXqrbkDiA+ezaOhbUZ9j8C6PB1UIlw0RlPfW56
v61eueeheNdSnV+NDoyFEVvGttUwqs9Cd5uYuAkWQzPsbFc5+FORr7URFnva9At1NiaZ8g5/M3Bx
m8LveALP2zu9BL/XADr83iXi7FJs/UXJiZyN4y0DHwF/5ILaQwosRrL9CPiDFpiPUw9tIT0OiPrf
y0NVqdqNkgDhm7sSRamXUebihjxbYQhnhH8gyi+DW54rOy+fgNU+abWHd6Orqc+Fon0qAs251eOy
OY1WjYsXwrhlFsc8wv2K1S4/qlHw4MHr3gdOhmFdHRXmUSEB7a2n0M5ehE3WuOzUeiObymjfuSWP
h7bei9vObocFGu/5i6ngVVurXXije90JmKYL/hkVMcmgCT3OkBr/mZThbN4nXvvlYEISk3TNHCLb
qI19Rag+X/X++ExlJL+r0vh59hK7xTSGb9IktAO+Xz12HNypgYZnW5IkP/ndFfcZ/q6nYXB2VmqG
0RJBLRJ6JhD0eVCdXbL6wXEO5ZR8p8ZIhEAhYe9F6JJd2hGKuIsR1uTCH/J+XZJZ/sQ2plsDvedn
bW7ahu0tVU/r9jn6zJvIwx5WtI2C/Itt5DeXU8fseExix+UuxdybBPxAubqyDMVtidntIW/GczXG
1p2btVuePtemZ/wsBPrpatx+F6bVn6cWa3S9cOtNHb1MNfXdmCedsYub38J8FK4jnrFd8Y6Vj6mU
U6XQKpIOEknMLR0JP3+nYuSzKPk6nzOlK8/5fOaY2jnjpn8ju+RgXzTZVgjc/GQTcFN2q2j194SS
cNE41lOdqP1eNDaO8nPTwQuRzFvyLVZy+wltYfGQdRidzq2ygLEZBX23HtRBOU7zATTZ6xmWgf22
D+1v165r2DXWg1FMaYOrv8107OYGFO/vyi/dw1A18d7tfA9K6JDtIlMLTiKKmm1YG8ktpcRxY5RG
dTe5tbP2MqQ9hAjOHr/MuyIrshv0iNtDyNd/10WFezRQSt3oozrdDVVbrH3AHw/dhLFAagr1qUzv
69oCdeBO2T261vGuN+t6HwdeezdGXUTeK61fdD8/qRXf9CQFW6Dlzde47owlSL3sbFB23QGkUnd9
2SXLCpn/tUYWdY+NZIwUnDL/ZGCW4DqG9s3mwUJXa/uXW2aPGnuIJe6D6llgIY64SPnbhFQWci98
CXpeIfbnxdnKo25Xj+2ty1dpm+iu2A4WWBnVcckt2KH+WbWa77qdxb9z+wRKE4EFvsxnm9rzixMa
5bLqteYBuZduU6VtcZxdwryYmqAfKM0ZhlE3O/8k36tiWIZFnf5SQx6zvJw9ie2a+QZ6YXEzTYZ1
0sGRrEJPaF9MMZ7IgbgUKj2NW/amUe0KgzxrWgtXrQ6kKR0cmMUvuBXcKKna80Tc2PdZ08U3RhSg
5Jf14y3mqTy+WNb3WCsDaBntuNNCXLTsgC0SkkX33ZgHPzxgcgstz8aHMTMFCPNa3dR5330mPUGB
hIho3ji7VZHd6wLPpm5odthJpHtn8uy9NsXFkf/LZDuqrX3nmZW3isQsVzXE3m7Uo/GYl8Dxh8jz
nyzTbM7Y3xwSmKnCEAujotwbDG16ihDgw1CxbtcS3BXwXq5sgUeThH51CJuDFHFbRK2AfjWdu+jQ
NH1S1T5/UH0s0cvWurHqPl0aZi/2XacFa5w58heIGL+ougznyoPaURjhTwxeQG8k+IL0SrmMdPKw
o6fa+z7qx+2AF81DoAuc4ouu+WF7NWKenfZLoWRRqZHzXKn4VGla8uKOdbkqcsM7Z/MBgr1Y6DEf
VN9WdGVBIkhbTbVTrkO/9s4y0PNsc+vGmIBe+1B2g99icWOZV5FhqTXYZ/ey9mWx1Na2AaiGXkyf
RyUI125R5iclIAEIZ5D9c2+kRy/2vjqJ4Z0ig+frsHmcDCNa6pOOYK0Hy73GVNlztVMJQWU5oa8N
9ARRfC9t9H3epyPOkxxwcx6zfMPDcbQreVJYmXanf0bu9JtRD8Nv6nMTSOXZxjZ+rhUsIpvWK9aC
3De3yzSYDkrKjdpUrPuB+8hOHZV4lVY2BkRx4Oz8RMkRacz5vmrpF4Aw6WpycSAxVFyJsRltlpmB
tUdsGwN6QEmxcdXRORZVhw0LJblHq3Cyney7HjQcmF9DGlcnr+YA/2I3giJh03x2G9EscseMPvWI
umPtbRnnxAt5RAULAZ57i4ksFAEICeB7EIIUeiVwrmlPojZ4BCRD9ZhRZ1pAyh72sk/LDHvRTy2k
YsU9x0bk/KIWhQvCsvUD9yEw2CVHuvpNVXBTA3k6HUwFgNHCRzs5GufURKUINoLJF6WJ0hehhgDW
gQPNwGWXBHh4AJXeI3Nm2MtkcOu1DYYeTzMKkkEWHdVyyPeRtDMtVWWF24dOac/zH0ZHPAR2cIIb
jRM0dkkkWJJuiyNMcU8+DUqyUuXw2Fpo4za7Jii19bNdjPFpIK9BKqStn5MS508vMZ/4/NhP0wib
Bzr4HwxxZ1aLuVLBKp7iVhXOW2tJEJcDcdX4t235QzbsMFTXhSOSlePU0zlBGmthaO0AM8GYzpc+
1D62euqCvZhD5ABPC2ikKGjA0FOKOFmqVs4GeFZNGzynOnZd+nqGiU+yRjbSQuZLNC11WGIup9yJ
+Fylar9BMh9dRAvJSUWF2p1pno8HGgc+Bt6+g2lloC1ysmqbH4Asvm8rJeHrz22RHaxzr00D4ii8
M3urtpx72de6xUFPmmlXxK6OwBTMrg7jJM0fUINTczRVqvGWqpNxVsfRwpY7DO7x/qu3ozOmO4VH
y0oPJtho45xCuAPBuuot1eRnGuSmV+pwcWLzpYfUdwr7n1jUU2jtxnLjuSRuyyhxDo3fsBebz7QE
+ZxLp2zLQ4ufVDWMG7zU2jVpU0oUJUxIoaQvPv6kXzETmBVRlPYT93tt2cZ+8AgWJVqbce3f2Sof
iij5xsMVBfiuBrzfWfy0zE15EJ4OqtbyyA7Aa2NIHxwbh60Vrpz62WgeIrOB2KjaSK/4vMFIIqCc
rHp1uvdtXcDf0JQI3xvyAWZipatoUox7eahm/1V2W91GC9TXvrrFqKwe9Go/pLV5iROadktBz8Yx
3fI2JdrDq87RzEMbkWnx0LB+0kK7eRCNWKiI4D6ZTr/2ElW5nzfqftdonw0Qq0cSBP6laZVZtoxH
geewXsY1Wrs4YJTI/2+RYEqpxRY/XD8ucA4QAnMuMs2iNYd7CyWN5eilOB15vnuT1MqnEEeqBwFD
0uzq5glzxfqpAI1UGq12WwZK/eQZwlr2aFRzh6WJC4u/1XpSM37r31oFoCqoW/5tHts/tWmKPwdZ
XO8jbI1WlRckn23YMmtTNNFOjsKIQLszNEvQK4xiM4HKbaI8qq6pPvD7AYyF7sHp4S2Ghb2wedC8
cZQJwGBvGTvLaHBy81UbxlTSINgEegweuP2ckUrAv8JVV+T1GR1VbVsW/LwriWORYgnR7wQmupZz
da8PtqVWduvL3A7QGb/25PnmYHZ4zaaYQMbL0aQn92eOU3VpAtPiB2sc1I0MzkVKfRMvs8soplX5
uu5IjF3mDoO/cihob2Ww0bf6qg5d/zKa2k2HvkVW7WSwGmHpV/WUhOSfkEyhsqTCmmwx49lZjtff
9Ujfb7JoKo9ucgP6JHpSsKbUVPGkaE7/lNXDJ1hU3qkw82FX9ZA3FWMQd12LBF3Ue3CHlMi+9LXa
t2pCT+3S1SNWcGtSbPbVEp3bmCdmgObhwRWuuJNr5PVsMGfn0dbNh2Xm5IItXuSsgE+nN0EA8RvW
24+c5NS3sgz1BSgP6y7DzHsXDe6hbbH4w4X9uVOT4DN8ZP2ArwWK194Q4Bjbthty7eNGjgIeaJbU
CL2DHC3M+hEf4v4cRK7xqfvWVFmw08NCXZXCqlEMsetVA29128QUOfG0QAYJq/TeWmO79cdpOp+a
Wlbpy3cB707NTMNUbiR9EFgPPiTMTzZ/3qNnAuMdvOCTwaft3k9xd5hbiiXMO4xIH2QrnnIkUHPx
Q7Zq/mjo21FFubUKP0012kHuQI1Orhq3k7HxQaasYlsx7kZffT2Yyt5RRHB37WbDj5moHzzLoGt/
OnsJhiOV4g8DRRCrsyfXuL0GyxDyETzroGMm3i7n9zwwWrWmPcOH30SiHV/cyfZXUwuoedRy9aTq
pLvATq9ctF7gv9d4Kc5mJ/KAr9LrWWpYLl/v2b7bwf9EjmpvZ2mReeuhh1DyYUAGy1HRKcG7Ucg+
2K/YoiErQe71smrTuIu0mQDudZCKSbCMU35ALuz1ELNVOKTzQZ5dB65x14EPcf8i5Lr8BCAeM9n5
wtd5snmNuV7pX4R8WOo6929f5d9e7foKriEflm+CGZj3YfjDla7LXF/Mh2WuIf/b+/G3y/zzleQ0
+Sq1fsSjM4wern+C7L82//YSfxtyHfjwRvzvS13/jA9LXd+w/+lqH17B/zT3n9+Xv13qn18p8g41
u0OjWCIQwtYumr+G8vAP7XdDlKKYlafu66xLuzMTPLznpS7ty4R30/7yCrJTLvV+luz9y/jrVa8x
KnXnaX0deb/S//X6PMzw6C3MmN359YqXVS/XuV73fe//9bqXK77/S+TVMXg8W5Xosd3+492/vqoP
fdfmxxf6t1PkwLuXfl1CjqTzRT/0yYF/0fcvQv73pcDUd6sRh5+FGY/NbTeEeO+CiF/KZtjPkgFm
3oDcYRSMlrVUK9dfKW5T6Nu0wdSvqT12lPOwDBzGAEwc4JUjJHUcQQs8m1ZyOOjXpon1KZhfGHSy
q5+89Kby2AWWeqlv9dFwViZFpSW8vyVlBqCXs13bxcxN+rpJNzc4e0h6ylNrmBJlefV4053Xideu
qxWcj/cuKsdN+s2PGmVvIvm8zLMs2VKTIh+lZsUDqMydWeXtLWJL+YNC9uVoee1Zjsmoim/uxrPr
YQUtPH+QYTp2pIuQZMtBhui+yhYpZ2vKqjIgLQswXGasLa4L/cur625/dizdJ4n6F1f2RpSXdP97
kBtk4HJXnCaQWCNG4hieyTZmk+FySL3X4euA+RZimwohxUBIIV6nybnyIOO8t1WsKgk3hQl5Vyth
tBh1TBVAnsoDWUJESq/td0GJ655AX47bd3NAnv4R/q4XccXUXQ6GKpDpQ8Mflzf7ttci51aepXhX
9H3enT70syGKVuxP+Qx9mDC04bFPAtQa/lhDRshDyeMtKlB2v732ybMwdfodNMhfH/rlImXj3tTl
ZB/koOxyUrHJ1FHsK01YYCapE2LkZPEW4SJv196lXw7Kfnl2PQCvs29kc5ICePLUpZji1/HrXDmt
MSN/FRl1i+dZNmyAAPTLKJ50b4G+XnNeVBpJEkyNFD61QKhJ29nDJvaK9iwCtT3XWukcnN59kl3X
fuS3nqysdXnWIFQeMuDIG9sM+uU4z5R9l2vIla6d8jquE4yX68gBtZy+ZEXdbCVNV56hA3X/ytf9
QN1FhM8rF5exy7nk7Er2LrKwoB3alYcuZ0gN96C2hpGia15lzUGpFJtzX1Hr/zhvNaNWlzLcb+t+
uGk1HW/lps/wDTdeudOJ0nku2Q3Y0deDUTaIdZLNl13vQj4yr+V4ELvQsd+FGoov5HRJxEa+YBGh
849xGjlr04AojcWvfRPOoAgcItWvWYE60OykcY0IbU1DNFhkS33/AfSTZIDPN7LTmd1C4b9aJEBW
xRs2CE2jm9wOqBzNGUC+KQ8RVVSEK5HFkwcE2TN85dr+IpqHjiYM5zmupRp2iQNqIdaonjRIx5XN
/axQsInaOl6FSL2HS5CCOXCQLF4J36vvSzHW97JPm/s6SN1YDpGj3ci2HP6wzqDGd03nB/vebsSx
V63+6AkqxAvZjlGhv3H126Irhnx1GSD5BB5gcLrvIeY2FO71Hv3loFxdV+jy+HWtD33hvJ6v337o
ttVI2Sr6cN+5yatV6LvflVcX0dqfluQQtHe/MJefHUqAN5cY2X438/IjI/xIXQaAnpYw/NDHVaiY
Zmn0Wfhasc1nszl5SN/ORmkqd23L4V4klxkf+mWTJ+h+C/L/SyM6d1qQ+IQ15UFizsxIOV0Pud+8
Ns2gXXTARI5yUPZf5vawcZbBVE/r6zSy6v6qLytteVG7NSEcQoMSiAGaRhQBAtaqteI0L8bYZcGh
zR1xzOOcB9OoqfbxlFb7xEhd9UFY5A7Uwc2XMqaeAxPJSBg9kNEdVTfykLeyyw31YslmVCAP0mhq
tvR0G73iwZl2/Mxpd5BZ9Tt5luEDqk9Rd7r261i3HTPdQruIUE8FVLvQhtLaOrxsKH50Xg+k9fhL
QH2vIsWbKwPzcGR6SFW+XU32NfMlh0KhJMPVri8grPPm2Dfm5Wrv+vO0Ah2DL56Y9P2URtWWPLX6
6HUZQpWKb//UsfMIu0x8d9tcLGtI/Wf/LTYynOlDrHC+1FwmrdBTDjRKAF2DOFrqNaST8mBnoNck
LsOVHZGRBOnw2ldArCqGCoedecZlslxHhHNSrwrdRTOP1OiYaSu5oj2EOxnyccq8NtTaCNV3ZsjR
wqpWqe44g30HZj1fuw1Cw/zX2T/tEJ6IllTfQjtG18Nq0ruqTvD+xcxwY8FzeZKxUq7lP2PVfrIo
0wB9UPRaWTgaP0mSM9DgegAZJqE5w4hVA101OSrZBnLUcQE6yFE5t+ioQ6qeYXr10medpUmdfFHP
Lgfk68nAV+Cnrk05Ws1OVHI0K3CVqU0ATY2Gyq/XLUw/be4QKoHBM59dB6594TwKgkPb2jFsBRkn
DwI15ssA3I2fExW+SQiKqNcJ8hIfVpKXGFE7QRGahWXw9drp/KJAXzWnCliT4Zjl2h6B40X2EL/A
g8IORn0JeAMoFkZIDYtOe6ksDZBVOT6OhYCfpyQplfBAe3Fy1aH4qfqnIJ1UDBD5wM7T5ap5m9f7
gXzvv1vVH3S0MRQFfx82j3tLuNZW83uY2eCzFuiH9cdIj4LPYTntg4psf+vG01NRFcthFkaDP1fc
6h22UcEcBWmRvbONx4wc9RK94k9hSTkql4SVJ45yNDLVd0vmY06hmDXctvhJSSGlwuAVIOid7kFF
cHzfuaG9wezK/qRM0a38Hb5GpAA/92XkWJuwsRBdNlGnEot6sqqt3CdPcWTcmE6+/LBXhlTJDnxS
VePGil9HX/vkSNTU70bGgZ+fxWWrTsFnZxTNYzLbNxppioqO2RxaVSji9q1JUTQ4ycOUO3vI0eXJ
VvCzY6Fi12hu9CAPHgCPMgGLJ1toW+inymxvjN7EACYbs2GbdaLnJsuEie//g5Ol7XL239oWSNFh
EtOqh7LtnJMMGXVf3NrutL1O0O0p2XEHhVUvJ/hqYS1b5NMvMZfrTsldWRThZREDece7cKTwKV+F
Awwf23bfWshYeQA1na7ANomNOS8/KW65HHBFeFTSlRpjnFJ0jXgcg1pfRgLjW9k3gLg9gor66c16
r7KrKkykgjL15MxdAnT6JqltdpFzs+Sh78GwvsgxGW7G8Ei9DMpOq/rmYcz8F7RDxI0XBOJm9AdQ
6PJUHri9Kwq+Fm8BH6OqtxEZI5t+0QbVQraROovWujX1lzWvMVkRj/7yOluua9Xj6+u4LCHbZeY8
qaIOth9C7EblFzXwnkOrxkml88yD2ysR2MFJ5VQerm05LiPlsINU1mukbNvXyMuQDKUgMS61AJ0R
GSTXkGfXS+JNoBjLv7yajOQZNUR1EGSiqjfDnYPA4CoetGQtm70X0tcbw13vTs5CoEGx+TDgi/Rn
SL1l/7G/GA5hmWk3dV6nNnYqLDK4j/pYittAD1rASZmz8XiyvEfUvl749ST2sikPSec+qGYfH2Wr
imPtvrOGVY6B0F0xtzwzCO4hZl6nVKhwnLrO2vljM0VLr2tRGfCybxr072iJxsvEV0RH7E9Ony88
mKHYNFEGTqmql8B7xH3tqOEjRABwlf6jPBix3YIgsvxDOve5DUDVaVIwd5mbVOu7uzzQD5XpvU7Q
eyAMFkaCsgsqWrZ2ph7Z2Dke7G1+7Avn9zUeaiDwLht3uzmg6qtxGfThuJPNqS07wGh2tJRNxU2N
h7z8lCXp69VQRapIX9rO3kjbBNRNYZC0cWffMrREY/6yOFghsY5j2dwXFRYg4mvb3BsQ5dDqJ8Cf
A2SUbMqDEdkxOJoiWH0YuDbxbjE3oWWDEfxkaC4+OaMRYJXiUmwa0LG3AD6uWtFMG6rwSNe7UXiv
Ru4iHsvsT6Nyroklj4xNDTd4lPMh93+cLyNCxGkvEdcrvF1fDl7XABSMli8gdA+p/40VouGV1Fjo
LWzIOydXadcwMwKEBCzxo27j4BDPGOuFjO7syFmOoTGc5aFFNfVU+g2y9u14zm1IHlnsZ1v5mpCY
xpLBqo+XlksZrVGsYZHIt+NtVL667C9GU1Ji7+Z281wxv3W5mlg7atUBDKcU6k1S1gfggmhLAYB9
GMJlGs0F/7mnUGPvYA/5bzl0Car9bp1WbrS+zglEkS7GPnhdRw4gZvz/cZ3rtYf//nq6flKXhoVC
WZVaxrFo9G0f69a+9Q32W2nfG8exYhm2XqlxTG0jPgxQgLGFNI6yS8jRS4wMryDlrLXWg0syT5GR
cm3ZVAbcI1ZVgOBTm1TjWnbK4csVZfgACWkN+apeRG6UvN6lyxGcz6I0jXGHJ8Ya97vIXJLUMA9R
lVlAt7nntwE/eVhM0Pbk/V2Ok8sZ3XVZte3udV/jD9GeLJ9yyxckuHO71N0MRWugdfxHnzoP4H8H
M6fWL/05yjuYJc8h2JJ/6XWr3Mv5sktO0Pj4rPikIIsyz5cDos/co62PyibOBvgcojyClaiOk2aV
x79qygEZMqJqbdcT1Nr/HitXSqPgm2OjiFbbj6ViKEt5ZgJauZzlc1+ZKpj/vY3+cxx+sAqoYJKZ
brr+oI0lmzowXiWPAMzO+zjZJQ912AfvbLhToAWpbyDblgUnzQkgn1FfNs0MjPNgGgCY40dj7vaz
LjmMPEsvZdOqoN7/P9berLltnYkW/UWsIsD5VSI1y7LsxE78wsq0OY/gBP76s9D0thwn+7v3VJ0X
FtHdABVHIonu1WuBI0kDgHmunjlDEh5ZIOdMXrzRL2vMeKe5T534MUKz0jMOGX62Jt5joHBhF9B7
21a18yBCG2qStyGaQ/ZDBEKTrSa8xRuBrOya2qZ1AkX4dD+DJsWSRn8ECZq8D00cRKKBBbtJuO8M
NW5eU2pnp9l9nUCz6OAa+TKVRjR/srI0cACl8Wu3yZHr7OW2YolxrdFoFfQ18mSmZUFST9lCzezW
dWWLJYQcEguswMxWHmouf/WRxQ5IDRtXkJoe9DTWz6zv3GRdPUv0il075ZJ9p52ZPe06w/ESCGkX
8pBp/J8l0kSzFtDpZrWma94+TB6B6zsFLKYGhv1I9rzzunUDiY/tstTtw5CbPmDq5MsHuS1XPTMv
c/ZlyiMQJmBjZ6j9pJtoww5Qf/RtadjSr25GJmfgbmm/SOHAfCMSpPVLzG2Jm+Nmuy0DtZ90NeN3
Cq376QkptGc0VGqfukpa26o3611XtPknMPl95wA+/vg9YEogeNFGSMsQFZDU0SdjgMiLyAD12DZ8
uyneD001pGDyUvBtSN4Pcysb8PQOGOv12FvGuciAB5pC9wvwrSw8RAx06WjiActXW2sSaZrUPCO3
a5wpWkydn7XGeKy6f/LKMg8xKJ6O6CTFf1WjQacSnaFVCxIxWKFjPh2REiKvVCF0RodWoElq8Xwc
20lnHOzhByTNbPRFqzhajsZIIvVohW4OqYxA1x5lQ4E2aByMmcXabmqQsJ/xHFkPVlO6/+S5WRyB
Bq6R+kyK4iiAiFpnTsjWNEm4uRckfZ/g3ap0NPMMrWZ0rY8SHYBKIV0NwRolL14c9hAh9169lj60
1xnSAGc04D1j11l96Yt0XrEqCZ/7HnAkNlTyOWwSa+V1onwOHcgOVlXkQUVBaCvNQs9ub6CjCWUD
78CgTrv0aZtpGi5DRlQPYKt5N7x5qa/u/+/cPI+StTNiS96p7k+jBzzGaBOGdwXPOduK7QTlM6DY
JWqGxzFqArJNgFzO/uJWU4qhYkGrVjDR0BV4jLeB22r1DvQpbpChbfcrz9IngRaDqz40/DIWTb4i
e1kMpl/ogJF7CtSL9me8mrEv4dx0B/wBBJRKiuwrutvESkReeAcs4PxQa92V7BEvmk0emhYSY7hI
IrpNbwJO1IFn8zl5MeJ0+jnOEeQKcFu7DnU376B+0ux0s4gesB0Eht4u7Z/JC+/Af0KRoDeTVzsF
LczrmzX4JtH5BE1HHxQWOXqg3uTnyYhWgzyQ0snPQOM5l7LRtLUWWXiavZ1FJVKlZEvezm7e5Syd
qnNfghwriexrjLfXPb6Lxh0d0MRu3llpCNVGKAeuPjhoKNPwWteFu6fYWwR43pEJs4A5HfLoAeR+
5SNr8zQIdcD+K4HGsVSr67U1OPmPbkrXsymnlwjqYsHcZu8jhCqR/M8I4onK02RdJDHURCMNDR8l
qDa3YLcp8CvS9PgSqg2HiD3Ht3Rwgi0iyjFtThy1DSF/GKG/QUusowfO0N73lIO8Xu7iR5O3Z6nV
LZpC1J7m3TS1NmrA01G0505J7fIBCV+j8eoHCWDifnQ1vpnmWntCBmuJMND0syokiIfsFC1RJerD
TPGtQwX8G0rP7Ahm3e4BPIryDtznO6PEx17rlaw2luSjT7F0MPT8Gyjs2JFGTZ/M6KkcduBzF/fY
XK6HuUVZMoSYGwnldgJ5uMpAdmQWnfzs8NKnFmjQo2I7DDkVn7qcXe6wlWvb+hkNius8ZoP2mIRS
BmDdr2x0yoAWlw6xresHzVIHYM0L3EVwCmytydFS0H8vcG9EpUB5KFz1tP/XaRlBBLJFOyz6Xhs5
XRN1vwbZl4UaTm5hW4/GhfLXHHbl5ibpOQN3C3W/BlqB0tmR/aPqJ4WUqTEdcxmbqxksHD4FkuO2
FJ1Fmdimb0t9CMvci+axQiRbUK7w1O8Ky+86u7y36hwbTTNLty3vcl/wBDtNPUfjfK9DZ9Rsv491
4W34oM+QIoA+NWlXk63zhnk9aZO4kuM/bbqaiw4/tKbeYmhK3opx3cuJ+VR4vBFEL2XLd3XMGOpF
m3AcP1PVcnEv3NF/ni/lTdOAJN3COd1Xvb0Zqv6zm/ggv1xZfMrPoxyGOMg0tHo65R/DTHUZlyMy
dPnQbWn0FtqpXuRWHd7stCKNyE4Rb/FkN5VA0ls8XZJCvRe7AQFTDXJM7JJxqOrQDsTQzqubjc4U
f+aZVx5obCnGcsFLiH7913mdO6IpiCLHrInO05g5QdVk72NuK3YgXtuiGvUTegn2oWmsu+XvQUOw
XqEtGn+A278IVbYljExu6aAK8DZ1GZLngw0Z329h1DYrxkc9EB3ubMQuUAvjJwD1wyUCtBgYVrYi
DgIRNcXJNMETSlE0yYkGsC8oKvM/J3UiO7+WSljCoPRtlmh3qzMJDSnIM6+y2p7ONI4gj7MZJEqJ
ZNNUzPtAdF0HuFs5y2xyIyfMUFlE/g3YawPEQ+kvE5W3vVZK454Oczc4vjOKKLjZWrTXoYSoR6ui
1E1siyHVPirhMDogWw2+1RY573IKweCohMNiOzMgRv1CAe/M/cA2oLMt1mS7rYGcHHBPwnGWNchh
l8w78wivmupS/dv1gALKN/Nsjh8deOf4gdLrsL8t3nj4GdRmjy+fx3dgUAIljBJtBalhezV4hT5r
x7yIEir0EIdsryqATBRAh9R5b6JQNRFgZWuZ+Ptat+V/X0tW3RcvSdnB5fHKsa1XFZmUVVC8Z2H/
qmvTVSBF4rNn7ns97x6GofDuhyJWOSpoyYwR9FVDHdHLGIkr1OJL9hrtoB3nvsJW5mP07Xo0Q1fr
k02ak3c/YX0a9TV7Tor4ecoS5zqNeN1rMiPe05Bad7zZOaILTZyph6dIveiasiMNKCgGMz16Gc1P
ier7ITuiw202ADXVWmgGW/eQzvOZwC+HZlAMOpBfL3VbSl3KQRIXstv4MKyr4mvYos9PraGj8+o0
4jKFpypbelhuIj0GyAI4/fu4GO7aOZdHMtGhBqvTFnrYHGSOCEPmEUiLFHG6BfBApjnNoZnM1IGS
MGS3d7SVyOgRR6d0AIdj6HeMsRVtU8hG2xI6u9luMz7YaAETVb+V7lZ9EKMBFJAh8IW9Iw1Ds6iz
b/UcSgyKTgztrq+EYZVsA8vioMgcIC640dA/uWlVgXTO6mKDNoNs06hq6s0rI/5jYkDQoKSXrNGn
5AQfYPI0JG+NkuPivcHkCU6PKm28zP3gWJZS3mzGNxnahshuoYsImkZPcw2mrpCB0d8dmPUU9vwF
gkzlhZx9x1cgyeOfmqL1HiSPt2SOCwjxGSP6cCee2E9TpYt9qdeZT14rEloQeSnqaOoCIbSPlwss
S07OhwugmPjuAokr3A2oTIF6RZtLd7LibI0h0i40LCwA+iTj6zwbDiDwdE99KBNfWEnyvUEjx8zB
fwohOHMz8soGqUWVfZ609koBAFA6ILuIjMttJuQB4+8NwybYC80v+VxYG4i74GtlgbU+nwrwwyjM
yqDALrcD2UoIr4D3ttze7F7SjpsGQEnkuSAO9mEqDTUCU6q56NOFXtTbwvIhTfBlsvqorVe90qeg
g131SFTRaZsCgtWpw81NNjlHsT+PSASR4+MSyzp1i0IxstC+wVv7dDuM/SAOQw3o0ps9AhrpZEwg
2vP/PUXL4TCLdzFVl0zbrPO+D9FU3YErmZ9bbUMDUEND5tnG6/hib4ot2clCZ52aM2aCn/FuczNH
EJQEpx2KrL8t+m69m/23RSMIYg2lSFxnzdE5pfYUtAGxQtfeTlP2smxRqHCiDh/2H2gU/gLRL+Bp
lRP4Mr5J0gnZ4t9jHbVaEycvyw6IvMt+ZmhGH4Am95gaRYOUTtk+ihwNfLo2oxmlaBzwCDfOJ2mj
Mx2ENf9Aws79zHD/RA6Phac5bdsjNwCEhH6R8Yi/+biKtU7/qXUX0vlSc6yGv84JmRaeRJRAmjur
ZMBGuZZFhV0xMtovHe7PqwEkLpdWDKDz0CPsvuJifhEOuB/AFynXuQCXozPKykdFJb0AejztbVdq
W+6I6uoyr8HOB31Yhge6ZUUeJpPxfhoE//JhEutaDWyrZnXtWvAeuJI7e3P0ZAHVCbxAoj+odTaZ
VRpPWTvd5dLNf2RGhk5KvL09gF+zRY8pImJNN57acbij/NnfIt7W+M8INLG56xJdwL7bZ5/BS1Hc
E9ChD3RUt54sKVo0gMWfCFBRxbp9mMCxtcAcitoA1BNqGBtjAntVD77dbW2Uw7qqTKhtKyREWibL
ojS/82lRCbQkLUoYCjR2OsuiPZN9kEK0BNBivKbozngf6U15grYBdiAQJ1uGJFJPvLEMJuROwLCi
XnfIrkxtqpcnWuJtHTJB0HPtpBrDnxn0/TZAj2i8AslHdJptnl2EEtLr47j80cdATHWe9yJnPfRz
bLSWCKvTh1UMkI4HpN3GFikaqN7yqaADEJeqzhkckJGTlD+9GS3wYEPmUsPWhWajaNOsODgf1AM5
sv1qmpFek0VxKWpwiZKued+kEwBVfzpaW8NeQjkiZNSWGdng4VusHFFamydugIf4PCFVVVRCF4+v
+Z3RcIrNhAI16d354SD1b132DKXQ4gcyffo68eR8x4BvOqGBHRRhrwHlkARtrgHPp6XuVnb9xtI7
52jL0HJ8pEuyTQkiRaCMoDFP7kTjzjHBvwf0Q9CrzNF6t885mtjpXwaYdWAA/f/cT2D6uNnBjROY
eRY//yXeVnaeeBWQjQJcZBXoPfKsxa9U5SRprLtRu0LZ2IKgHXIXXs2mlWkXHSRjG+NZoPLSdkhC
IjlwF7d9vSKWTfCsgNJKA98hDU3b/N+TGmYCnFfKM5JUFehv1UEDTyXghdDP6OZ/bcqRQqYMijAj
YE+6HUiwG9fMbU6pkPIaq0M5WYGoK7C7qxEdAPg3E4GXTmXxil6/9KgV0wiUjuDjALIPksjR8WZK
p7Y4joP+lUx0sHuv2rs675aZImnjfdlavyDR0x/B/QkZo37KBoiDVv0aROgWakxjjXy7MpKHIuls
CaexGRW/ylzXgZfJphO2TCxo5mFcEdaSjei+wXs5PDSmGDqjA1jSwFuQnW5m0PcCwFn3/euEVkBi
u5n1S8YdSBlpnefgnqxx/OX6NgxkE7l+mhnykxhi5FEt78p1YLniqQZ7qM20IznnUdfRUAmhdfK6
oH/aQbQ6XJPXxaPmbEvnGzqL5ScLXNCPkAOo2rbt11WrXZoR3GIUWVnozm5kqe9pHd7ipyOsUQbk
5aIfDwz9rmDDxCcCjiO9T3l9oGUpAkhIEPZpzQONkhJElNhyNidaDTmrHiT2jQSNlg29URN6eBYb
sA2bY/45RDMrCh4JaKKgRLob8UXeG6DRPaMrG7fmNqo/NSDHWOkjlNkq/NFCJHwiyAUJX4/SaddH
JQAXKqeK7TRbJ0ncgBUPw4JXsbECmiE746EEvpbaRLONZjp+2qVsnYfFb4GxAxGAsCk2etlABViV
4DRVggtVaS5HDsgbpu6OTOS0BQhsdM8cNxRBDrsHkRPNJ9ttEWb1wOgW/R3ZdaGNkKSBZhb69dmp
7ZtyV8fhNZw1E9RfRGkVFRxEVgwcqXOY/ijwLAe5ivLEwsMptGCyjQ3t4BUZwd2McDpdQkFdWQZ9
j7IU5Kl9z3uOq05ebikAqZloCwgTbUeJA3IkwpwghC1aHzdY454cOReoeVfsGQQZ+cGpqhI3Po9v
zaL37uoOugaFlUBQIZzntd466XM3utXKmYvwW+M2d+OIhPxqml9qbPjwV606dJAMza/MLJ6sMStf
eg3/tehflp+xHyj8uMzFtR8qJARMi53deJp3MnL6Q6N7I1R5+R9Xribz/ZUtdWUtru9qWSHPUuUv
KNq/v/LQZ09pXejrtDSHy5yUG5CYgY17NrWtWUntmzHie+71GQcZdusGoPj3Tuj5Hw6oo7OtMab6
fQZCs7UjmvqLJfpnBdrG/H9AbYRK55x905imP0eDk/kcP/r7KA+1Lfq300OSpeI8dekcWN5cfXLi
EITRscm+Q0jj9WMwfAwtjKLvvYEk4IePIWfvj4+RmG7128do8WJzNvCevO4n/J6bEfIVKEIUn0AF
W12NDrcVNTI9HQdg+UpHlndkwtuW8D1h9Fsa0vR4BlaJhp0xLdPR1+2ItZqKxgD0mIPo2JnNxB+M
2HoMK1ZcsdUCMKGzHqEnYD0OkUrCQATpSLY2ihTqV3FdgeT4EQij4mqHr9MhCYZ6YmIhm2D2+qnv
zNeDUGcZ4O+2NgBdqkZ2MszIreQGEqfKA3IeqPYwfa+DpdInXQeTIbuAEsh8AhssNPX0H2SGuiik
YlQU6dRQVDlLeaob/Yr3lnCd1DX4MOVotqdBMajQgXfDgPdjkEEnoH/c3xyQRkC0/hYtpzaounAH
uc5+bSB/tqfiXZ6B+woMEy7IUIGzJi84r709Ff4KPkOO1wW9rB2GwQIcmMc4XoXh6G6rhLWGT3rv
TBmhqeBuSdidxOLpjLwcLG6rTnmbDtiZfuygug6SsMscG584sdSqkbT1T0RhSz41uvlUpP4W+fs8
CAwvkbXRGmgkAywsHC0ZZB04lOgVcHkbJOOU1NAJUS+LVCqnwxJtdga6fFGavx08qclA1nj7HWN7
l5qaAZBCIl8A7PLr3MueZdLWaPWDnbhps8QDk0WTL3ZXKoYxN5Qvyn6LZ9z8hde3Efcw5F4mxdhO
hy7j6BYZ+wTpNthu3kjFFU43A+xAu8UyL+K7iOHB1XUjOi2kM33xvDDyJ6PgB6ruONX9PEvx/CFq
dFJVWzzk2MFfNfyn9YaNwoWbOKbvljEKnEqYdTTEdG0k/kuprDFw7NmovDYZmnPNTd14BMtOoOF5
A80Uqz9pOfZrpFTDc4bXOR6jiUjp2ED2pQQ0PRZH8na5dZCgrXiIotikNcg8QFr0FBdYg5Y0kAcD
HikrVkVcZVCw6uPHWjYN6HcAVGqMJH6sQNwPshZ3PU9gn103xgBNwzB0No1pv3ozbKtpKpn+Nl9F
kNNBg11gQZMGvQOt09XqnyIWAnOnMpsT/ili4SzXrbg9kXdWlXHyojqO4Bj85jcv/ZpoGDv8/dy/
BdNvDXe17DQey8SZ1qXtaZ+0SP5xJif+ahvfzj7EaSm03CfRTltRZsYxnlyQ7qgvLXAQD7Ke5KM1
dMax7mUOVUN8OVvQfRvYvbyz05c5/Dd+TMEFOg/VaOtBbTtIEIHE5DiLmB8l72wfkvDGimw3x9+G
yCXwZkXzbm6jnG2/i6GQ/cHB1Po5nrh+5xqQ+NJYfKFDUeWf0L/qAPH4r4nOwOvmrcEpnwcV6WWS
sU4FaFNsFxRov0cnMcDuuf39ZjZklNyuUDjV6xUcC9gtxRrnrXkU5wHNuAXbWvEYjcVe08Cyie6l
dNUUU7rpoPIJLTmX77tZb+50VenV4sI76j0gBqrSiyeteBDIOUFmoYFuq4ogRyHMPUMP2TIJ7cW9
LyBuJtkc3kGOtFtpuVd/7WqUIy1exMciHOpn6JEt9lZCpQiCRGbQZG3ztca7KmNV9WCUIdiKCgmk
sbIPajo6oKLb9AaSq4+R3T9B5KLyob2XPY460i10RrZR2aSy0dn/mzitQnqh1ME1PU0xW3vGDLp9
dUeztvMguy8mj+VR6sAskzXLC7aeRtxR6tiAfkXQzyDB9iDCo4Egb9OKlG1J6GJ2jDuLVfpDVkzZ
fSL4TzJTlJu4+rY0TflFRemeszUK4GEqzXzEu2Z5ZBZuAqjHW49kq+LYn9DkeDUsw3pMIdTsO0Bd
bymCJpgS6U4lAPtINjVhsMHeuuQBXB4lAPFlAVi742fApdt9OLQ8iFXqy4Hd6qz39grbohcV/zf7
OOdQn23CVTzF/V1Wju4m40MVVGVcfAaNobGDLqW3jsOu+DzGLZqWnchZaR6G6RwiKVGDHpOCmQE+
n6EY78iZ1en8kIGELMKr0widLb+IKv6J92NyHZ1u3A2Z7epIw9ndocbDMl+NLAr3prFllhDDT3Jo
FeiujgWfusMSDtk+6M1AhAroqQYsLHM93ZlJ1T93vj2Z47OuiQ6CU1O+omFU94phUoMMrPJClbSG
uAJaWWhYTFAwi6zxEZVp7+r29pnM+OuCoSgCyL3OWizpQgWtgBDMjrwOky+hKbtNlmN/d3vcIjuS
y1WCDAm0AN49hulpe3v4hlOgmnrfBZAvJgUWOGfIvCzPaprIkYNOQIZ0MsHujj0kGzeDqrIV/dQ9
JHO46fo4upCp113oHcftT/KR6TbpZvt9UjfNzZH140+K/7+dlPRAi4HtAR+tFy7ypM508dIIUI9a
jEbzXbbRUUvxtvlYhl31qczCf5h662qcNlm5eJk8g07QWIb270Py3oKRsRLn23DM0HHG8qjxPW0f
mqqzeDLc+R6jiPqMh7+ODKcsV2NuNw+AhPC1VcT86nImN5CVbk8gghsOo4BYjue44oL8suFrAEx8
nhsIaciqab+7TbwXDHjbVQU4N/gJIBRaGN+hvBN/sbnD1xnKbcuSg6ZoH53ydclxBmCpH63XJdFS
forw3U06MX7RKj6AmhFnEj14K+gcjF9KgWvS2ahsf42rjBk0sR4IS9dTV8Qb0gYLkVY52w4oLhoQ
Jwc0bPsWQuHQ2iSlMNIMqwvunN/sJC1mI4GBh3GW4l3w7JaQDV7hxAzx/FlBqmM5ee/6HzE6AD+H
YU6MTdQbvR/PTrhPPE9+cSBn3Y9V/SRYlZ5zMESvJuh6fKGwJMm0PTiCobNpOquaD94uzXi4jdGs
6KMx2QySscb/dZ3PvW9UOXQ/aCw7swetiGkGE0SFoAtqz4GhO1tgmX6Gloz2xFsP0FV3obM3+81E
9tliSzxR3JPJUoCRCXY8VaM92clEzv9P+4f18R1/93l+X58+p0eIjre1R25tPHS1bZhmm/hC/nsY
QGQreX/pywy8783oonRRpt9bwwmzANh25H/aHiQjasISY8wphF5SB6owKe7Sfy51s7wtt0xPQelr
TwUUwpUagllZ6lsk6rXH3HxDNtJO6MF8ejfm+soYOHix8Sg1zIjtURrVF9zY6ObmyhJuf3bAMv85
aYzXB3Bav4YtMDIV5nVVfwZriP05+zds7qY/Vvs9jKZXYYT/YhvffmPGxhgKTJeutqBJbzTONRGJ
eQXac0T/ML7olX7KOzBbUKQwjW5n24YLrkSOTYmKb+cEVIdxC65bipGaZa9aATQdR41liVFXAPuy
9e4Kur+E52M4n0AbcU/RtOzk4b5lLMUhXUyHyQFqxQy1YpdDB/NJr1GSCJ0wOtMQVH/btuiSRw2K
dI+FNHypelyz3ODoehLViobzzIwdyJj1xZtPMYAwU1nuyEtLxhDcONNQLSlzcPLRkiXodfI+6s5W
FIIWRfOQrIjXnPIm6iDaAjBxyMGdKJfSR/UMTbwk2tCQZfF45Do0i4YmLj9FqBs9mvmSSqGAtgHl
8226EI2+9pw+YJ0BlcIo9a5Tg1Y1rtRC63EA7YTTAWjcD2B/+DNidLtjO+FR/yECyCmkxVXJ4y9r
ONi/+1NiQB8e7ywFD4DEQUrFNkwcZ0W7P6Tahoj0F9viB6k+SPabFiywVqmxrdWYqEpwsJqiDtac
HBqiZLIMCWFDmJp4tBbTDVPzNonQOhT1ZqIRhb5N5GhHOMURWqlTXl36PDtCftB5BDTYeXQ4f0Ib
V3sGSawDyfLGDZDfngJydo7mnSVSVp1ykqks87vKyTlYaTE7S6w0QEt9u6Hpri4YdqLt92W2mgQp
jS3g/ck9mXR3wEsViJ+39Ammwe2PMfSAV+SlNThqcKXOhyuZxlpDB9HoZDv6CFDXbg4Wt3UAQP79
RCD9geqX9kCWTi+g+jR/D9Nk2FMCToAgdzs3fb0k8MbE6O7woL2Sk75kqMZC9D2Nr/QFi7MObR+/
TxdFXfuxzUHfXGbuPsFzANhdd995TfHJ4mn5qcB7kjFl0yVqDHzHLW6uLR6LHTmBkJ53BogS1jTh
bTruVwVIXKUTuHaV3hnGI4EmOB5CPiC9M9h3wHefNSgqt+OUfAcN7je7h74PiEa8fRFDjdHJc/aC
ieSnibLWXN9KAZopfU1P+d5SEHymNXKHsjhT0AtxRV3YWoV1m29csBaMkEH60meJAbbTHBWMXClJ
KSkXZQeylr+z/x6PmuGZe23c79G6PAHCmgGpoDJ/H3KAtZPUayNBQePmeJcsbCkT6Ixg1SwT3MOH
oQKXxhheoeIVXm2GKgtej73tABnbKzgCkPO30fo1ut6JIniYsvup/zZLy0rXuRfbij78V+iMdrq2
FDtwq5akWFqDlrSaFpp96grNwJG87aHeHQ5oelM7O9yXbMj4Rd2ehi3X/RissJ8T7Dzw2vJnGD0q
BgsK2l7R/TWsUasRkPktTO1jltXIThfVelPcLkqr9QMYlYdsBHACwmTbbs6yI3TB8mPBNHMrgUK4
xGMFGHvF3Mc+ROq64Vb1lSfx1yQe619NCr27zJnilTEBAt3G1a/ea75KLS6/Fk2ZQhoncx4lx4+5
1uL8AoGK16s0bHp/FdtM0gB1sBb0xy+Nob+yxkBpejwCs0UcMe/M0IZcaGX+ZqNJioLDjRgkNjw3
yJF7e4RITHWwULKBMI9lPpItEl+60RweRobHgWdBdridwYV1i4f0FSCNQsdbasva63J4HroZoqWV
eW/JyT4Y6mXVBnZjwzKZoow9iwuK7RPQrr8bF/F4MhoqMg3MwyRc92eV6ScdLCe3E8dmi8X79+S3
mCr15FPSNS/0jkxvy/SiLAeIzYtQ35N99NxLbLjAPuTz1z6C7MAtvUtpYGU3OcTOTTvaUOeBHJ/q
CEoVkIpgfoI6IyTn0vnOCIW+pgDLe8q6xlzHJZrVWxHlazHr0WZOLPNOA+J2OTCPxydPmMFQhEhv
kYNCRsgtrUv8yDZkG9D/5+tWEkGYrheXYQRdSGdl06YqBf5+TaUhASnkAS+N8gvYcx1IVFraoVdD
zjeNNznPNchrjpYL9b5YaUezYnbWvQCF/+xoJZiw6l+1NLQXdeJm9esJAz9uJiAIYjFUF0uWs6fG
7To/7oV5GRm0BbI2KQ4oGIDRIZy9oOZQRUhZWK7zGuQ7kRKqK9VZ7wLtDSAPxjpD0S+ddBb8dwwF
0iFNwXYSq+jbYnQWF9/KsvOw3TJOtOUcqni+59p8IhmyLOXyXvloh0m+luPbojanb77/NQ98KGC5
n8yXFrIMKxAfxY+xEbob6QJjM4LG8MxTLwn6RrCnSuu/FdUENfMEPHh4q/sBumdjNalJGv93EsC3
0xkNPSmYNTX9aZ6mZRJkVZdJbYWEFuAmWjhkx6SxtHU+j+kaOafsGIUTSNrJ04WpfD0l15zpSKBY
xXwwJhTQStVWWWloBE8YhNehBZacvBAMGloh2gfNTOt1VYv4RRbjxbHQ67Uaxm+DcLtfaJn6J3Yt
98nJDfAwu5N5yRw9g+6TiA/4y9bnTBo8EKbrPPJUPCdhtJ1V/YgOYyU9YGti9I3TODdQLs6s6cCo
AvUu5s0du7E80KjToTjfSW/eEiSomqBTPrTI6C0IIQUfAiXL323CBgMFiVJTMMVNb3MJdUTrUdx/
rme1eEd3s+4E/g20p+iO5t8yLIOpfwJLOjA3KklTmgAFVpYNqjKFjlYHmhRC2ym42ebUu2PaS4Nt
9yFxvRq7ZF2b8DeM/GU4jYV9kWORonM38ZAuAHFSog7kAJNduDKsMt6+i8bbst/KfDjfgi1HEXtn
9eO7MAi5J8FkFS24wJ9BEOOdRVVbxqpDPmDvGeFzzXl4JwX2LT7g9xvbAAPZEoKeq3mVJqGGu4ss
fOCJIGpwuz9NPK9BZh3Qjakjuyl7867Mu8IfVTB5whwVuJUuABBMxRL84eZHqxfcYCBbRFu6Yju0
FT1ixEv0ZdKpTsSHNxcZR5aaQPUBm6GmkAbeu7h4YFXsU6CVMLQHGbVj7Lk5LrZlBUPWuxYybWa8
KuoCchOMmfdJNjc7K+nyfWlY8jJDCBIacWnzdYLco6NF2i93bHZ2xZ2XzimmNU0q7LTZjTkD84jX
y4uBJZdJhW6f6Y5glt0OOSJ7mRQC13bvpTLgUOhbFapTwVadCnSop2aNpJV3NsyRAVejtvbg2ohB
f4XWAxAyvsZh1wTmElE3wJsj5bN6m6xXybiFPhrkjVHOuQAzPF2KbGzO3IZCveCFDfEdUKDoSSsP
ladfaWQrE52BtyTf9bZqT1BTaRFylFqUbfQa8DsnbMvXVbw873zeI5OaMDdMgtLERnPKOAgJb5dC
bQmfBgiaHa02yXQXpqm4EyBVCFx3TAL6RVXqZ6Un5SOU3PiJRm3odeey6cH7Bx8dvEYfAxuIiyCt
vFcbOlevYaW5y28RXbXluZ6NC8XTTxHk8SKI4rEJbguNobg3IFt8pnWQHAb9hnRSJJlAqVIr/iuW
Jf+IMXXurQHi3SIEaz3ZhW05a9YyfmyjcvrM03jbSZd9zUcGJeuylVsKy1BCzxk29u088MN/LTtz
rV7ZI2i4aNkiHMuDQbDAVuuNHboGw6Cw5m5DLGQ0TJFbfzeM1ZAoy/S2CYObNxyRlNDLfyI8Fj4P
0BQ6iAz/ShqaMbLlle2iEUF5U0txRMY1cIlqqKfAHgpF009DlAySc1Z32TKM5Kifo1r7tayEisdd
GpXfaBQJy7obOv3Jmef5c1eK7qJBR4x8MTPi+zb37sg3Abl430oDnAG4Ihg1mitesHYhCFY+J9qs
AVMkN+QrBs4ebBAG0rz/w9qXLccNK8n+yonzPIzhCpITM/eh912t3fILw7JsLiDBFdy+/iaKsij7
eGbiRtwXBlEogK1WkwSqsjKlI6v7oYmX1FeMYfzAsp8FfnnbLgHWXQaive8ywUHLlbZHpsidABu2
dolpF9DSAV/U5IJqmtJynFtqJSI1gQGMjQ01WwMYbsH9C7VokMACfYEAQXukJk3pevLW5cnDoGhP
0rbid5qK2ooisrdYYLSQu4mKfY/a/Qu5ICkTXaBBsZ8HNFmtb1EIAASFmoQOMovraZIwK9u9Bejy
AgwTPlLZBVskpQ80c2Hb2sLUnAgiW7W/suUYXIs0D66olkx3MeSNFjr5lCbK7EQhL9RLB3IeDsIP
2XVy4hUeLhV+A9O83AdTku7wcDcPmq8l1GWMBBS2PhfOCgVXwJD4oW4eHXw5H2uBrIuB1qb2p7d/
Hw/pWroIgheNvk1k2u4YqoXuw8h5i5Ix+y50H5kDN3/MQJf2NwdeuY/+kBeTA1687a4YsOlSM6TY
LN254JFZxAya9sIIi7ObatazWW/GIIufi7IvL30cAqetzFJ00ZYDOL5BMsp6nge9N7FaTxDJGsf8
OL0Ze9PHPRJHOcr7II/06SADAN6idoDKLzoq9W6lM8i8uxdseGKr91dk8U0T6xye59sgFVDDc2wf
sq5pvXZqM3msMywF4yZs3nLEqjTTtn/WSGMV7pC8OA2CGinw2dhpS2wPsfw+GEWFYjs1PIDYzTR8
9PTqESmPdp2kWO1XCgvBFD6irmy8Ll15oZarg01hbHi9NAYD+A7VK73uvTcMUS5fOjkQU2rox3jf
68VG98FgGoPCGrEAFMK3qkYltUCrghvkHnl7D1xR2Au0rql/ld0D9QfgdluZlj8eaWCqBjZU3DL2
D2UaDwdXlVWUjScujjqjZsgC3KdBezJGaG2DhQP8jGXenciNPEYtzLeNBFnsHuAjufScrETGc9Cm
2oAgTfJFbOjd1Wi94gLsiwY0K1KnrCty/D4LJU76a4QVcv8WhIDgME/t727t1Ud6Ockq9i+QQds2
Ed70y8oM2w2Y9KrVvNRTA1iXNkcydaDp2+ieBZA0wqN1wvqvQVrsQbyj/TAc4wTh0vGlBrPA0kW9
/w14s7SdI/V2h/JSoDbVINdB3WKil/uxj/KbMbDFgg8iOqeqKpXHgEd3kASaWh92p3ZEvcq67CAs
cCnOJDOAhULXR5Mu2FV1caCOFD+vdZ7ayPGbAZRcpT6cSzCkPcufRWfI59DsQ3DkghXNL33ruQb/
1yYxun5DTmBtfR9jstJ+Nr7bYbrrShHfytKK7s3MAjA+1UFfVSXxfVrn1QlPnBfqHKOoOIOi+ix6
lp6sgacrKONCYFE1fYk34IJO6RBoCR5hqmfoOXpcCHcqoR62JmPrvAISl97ag1teUuBHF03r61+i
qtdWeWmKPTU5MhZQx+weuaG2YMDZLiIww3wJkrIHtkL39m7kJUdUnbIllkMLyev6aczC6Kxrgw8C
XcAAICTbrLTcCw+5aiq3WrnpYRmdEa+EJlpYIRkGFNYKVDbRgZofboaaDWAxcKMRqGCsXlHZAYat
Iv/mM8TUVcQ80asOSCvpXXpf5CdUxLHVhwdSEigBSLpuyZRH0IBSnjygSZR/C8v3OchDg+IcuIjA
kYwHkn7XIJm2HkvUgPR5adyhlN64S2t/UyFKeUMeWZxYQBz4/QLRKfDsugkbF3jaDHtyti3UZNdD
BcwVhtKISs2JcGS1tvNuzJYF0zZ967yY0NTac9AxLRrFDOOMQXGkJkRqrEdH1u/NsB/iTYxS5VVf
1mxXCAiG0V6d4a/e1XkXr2gjT73UpN367Gw3XXBEUCdZUFarsRtQBSei3cSVpwGknMlDbVveUQdq
a8qO8QCUXD0yrDSA7JQ6q4Y+3g7AAE0zzQP+nBORIqgSrniEZY+ZAugWZS2/+hxvtH50b8tAwAQM
wbE3va+zqU0YJBHsrFuGTSqTpRtl9SrRGr6Z2kU4Ks7y2NpPbSPAy7fMxYWmyDPGr0MvsT9Ug4G3
m+ZPUWILkrr+kMbHLOz4Caud98PoJQD7/NmO8qI9ZtWR7DSiCXwLNKo6Uc1YF1eBzcc2gGCwi1pK
K9DMBdkc1YF/f74UAEWtZxoQOkMYHWlUIO2iOLsfncF56GvAZIb4Rtaa80AWSxv3oI+Q11qZWksv
F0kh3SN5CGQkVlUNJbRKqxhWVCiVrEtwSNHQCFKyBxRj+QtqoiTWuPwvV3KtUl5jQFwqZOF9mTqo
lB7L7NioQ9xbaMshyoAZGrMjnVF3bsse5MRWD97GjzEhuVM/eRZjAT6fP0+pX6vacg0prXhrpyFf
kW74PlPVYQV+Jyuz0ruzBAD/7KQpX6W6aR17lv+oAy5PRiffD2FiyxPZmAd+PcdOj9Q5Kg8JtgbE
0T5cqKdHBR0oncGrlmm3c5pqbN3oqA/lS/1RWW4jzUAmSlPRQWtAUam8qEWuNHCMmmnglNH6Ndc8
/e9zkf3jivNc5q8r0symENYRtdh4fOJhVHJU3hKC1/toYrtjPiYNHitzL5YTn5vUi4R4lJrV2Xa0
7tybdbDHq+3QmAkQO2SbTj0AVPaJYRzIRgfBCtQzqwPKDEBS+hw12EGAt6t2h0cN8Hsv0Z6Lpsxf
heU9e/ghvIIKejoBnnQ6+a1LD3r3CVIZB9Ut1Mj/ZYr/7z6QAEOVF/i71450nFPZM3tBRA9ZlEab
Cjq1EzuE5ULZpSh059LgT34yvYd4NK3nvw0KPLOa2CH+dVCfFNZzaNnxqRMovpSZ1l/p0MRuCq3M
5WwZEYi7slgtyHmkRF91xWYpCmNrxNijss4YPg1N5VILyjyYpmwNcHXovQpKqCuomN61DCJjywMQ
wZLNRoZyUTWuADWoKNYtaur3gVunT4M2bkVpAtSq7LrF/dnehfm73QVj274Evu7JybGH/LDP/r/b
8xL1a5S9mhJfKnsFyktoMg9TsqwEbe1J+tXDnD9LW7Pcto7XL+f8WYcUJqKwsbeZk2LSDl/S0O6P
ZJrs0TIPUFFGObdRC/gpsoqH+dISD5xtWUbDcp6mCtrPU1PHYKTT1DSRDirnq2TmcjRQIVizEYHB
FJCUS1owttSqOkMdQB9cph48oYY96loeM2Ujv8oMoKAIBMmWZpjG0gQfs3Rg90FBk5r044Dl6TTT
bJrnLGO+xfvGPVIncGB3iZPKU4sy/lWfuVhxq4XMtPLAi68YbKRmlckDz/QuTwdQdakmLVccESLX
1gX8SDbmgeAAoPAb6pzc1LwMqfDNbBPmz3labfA+T0uDfA3BrKSrOfZRWAbRtC0YramTDs3HtEGN
rcJQYFXVN5qzLxqs7Gg944XAQVCT1jPUZF7boRAJqYm5Sb2oZcP9wk9eiF1PiwribdCP3/wGW6LQ
1dsTCMWxxqO2q4x0Roc4EJCI5dWWhgZgWcdrQw2h9jxDkIPg32qruz/s08yfLjKkfrxwPdFtEOJo
970b3pt2q391IcTqB078PZNJu6z6xLtA8Lc5gcYD5YRD7n8zyjM5OFAlXuYuOOXLvijOAjoiK+pg
WwsaU69Qdi5XrOxiKPqG2SUagT1Aaiv+zsyHtjDGbxaK0lfQsRVq2RxskSJG7KGGcCfeucPXTLfr
Rcyt8CoEsy/UgS0AaitUh4YSu6mj0MC/HJioo+jLg2tEoFZ0FASqr7s7snWNA5Td0A53JSKDGyvU
upsgjcwbo9Jva7WoTZBKolbXaNFGA2M+FIEh8hi6rnlAVGVPRS1zoQs1oe7sHEB+PnWSP9npMCC1
dHBitvvTrqYFO7R2yI1m98lf2ekCfNSiIwpyps4/hqN6F/ljvZs+3lxvQ26ARIrjWKTbeVoTmPpz
4nXLUqv7M2NI6PTA5N+0AV7XKDSL72ruA/abQ7Ghr3yxNGyjeHbrCmV8XZV+9TygALpOfPc5yJME
kz+lLVacZy70Q++QDEqwS0nrZeFbwU+kzgDjTvlrH7+hRq98tKUc1hEejadSF/nRQHZ1M3o2FpUg
H1iEmdd8t8xwqY1p9hMc3E/SGexnX+sR3Efk/cI0Xd/nNkr3XezJbhPhtcuu0Y2vg93uO2akP3V3
PMjBL78CtAmBLrAfurJeRF073uumSLaBXfJD6db8xvaicGX4bfcVSPrtUPD0hz5EX2SaDE9t1w/Y
fRri5BvSPuHOztdu6+bPrkQ4ULlazbiPXS86llXsLIswkaDAdupj7BnjfVMb9+DpcL5CoxlqToHd
nKAfVtyBpu2V7PhjEJVpy+4sQFt3W9URgNSxt9J8FNeBADO8aJmIz6URYbNvWe1r5axZEovvANdA
Jks5mDUbtqihjNaJycUVxS/imgco8ELAoUC83smuBrTXvEWR4ROP6Q2ZUMOlITPd+Va06LV8F2pN
sukU6AP/au3W9NJ4gbBxd7DUe2/qCFAtMAb5lVoRC/JzZkbneVCa460/RDFIPD8mEkgYr3AzJRuN
ICJYUL9PTD5uZNSLzKu+E9nbqPg4Cy6HY5MthKMo3ybit+lIPnT41C76cDzWwLpKwztAwmbhMLB4
5Kl1mTALI6QxEBxINoRxCIVZn1Gg8USdZGKRcTat9t2/BsIdabLQOWqV5yyJjsLOqy95bBt3JoJm
p7/Y21J8tidm88VJ63f/EgCgJbFX4HfzxQ8S864PUU01RbJE0Nbv/K5IgpxcBm5QwiRQqVoG/oWm
asA9EdhXfDH5YwtJpl2DEu5NM1jGlxEP3lC60SteYaBPqbl2GqQz3kCl2gNRBgqS1UjkdPPHXo2s
cwSGQlZMI8nBCVAERiMtICpuZALRcffXSLqm7gKiSCOdyNO/1AAfkQNWeqi9CNdZWNl3QIgnG/wz
/FPHY/ANQ7x6Z9VWgbxAZEEtXOrQo7ZAr2qZ/DukizZD4Y4hahKjNTi6jO+JjcpCIGaTJ2fUu5Vv
duZN3oXath3b5sDKZjghzw7xcTcv70o85lGe14oXLCMeAg5w7yK6G2UFxrDCLZSqiP1Sa7pY/u2z
jdL6l88WFvqnzxZrGkR2Ve0XlW5FfZ0taytqDlNxlmoCNd8cqOyrNrU71JHU+6LjvFsgsgoKOQrX
eZVbrq0YjAGTkSFtu/b6SFsgjS2wa23cTQ8xs2XUB/jWyVjnMd7RoXMalYpXrw5C6u6mDiF27hb9
1updcdAACTl3TPZnOqODTHIwlAWMreaOsgxe41oPFlnl9hsrCa295xbRnTeokrYBVL9AnpxQ4lk8
k8dgWybym9Yjqn+6JfTYw0OPR4k1p/U/xfinU3Ia4UQpADeJnU3XR9j2g41uQHDXcT3UoATpulSw
4tqqm4XRABnYAhb0wBxApG0+fiG3QAfNqVMUiMC12GvEcdNcGuXWhqjlU8P/5tbjzt8KQBEhY+XK
xyrLtijlRl4Pd97GdKJxm6lmlxbLBLohz1yU+oGbDLLj2qi/6E7/Y0h874pEc38DNm1UrCt/y/DZ
spYuMldq2kyKLfkPifs+bY648W7MUNkOam0w7G48YMaWyC7Ge9raUrPQk2Q/bXxVLyo24k9NxDLj
fVLqyESXqC71CLgaxk67MIzWWfvC108OoV3xkmjZBuUZ1/crQp3mGDaI06Sj2ZxQZAJ6iQxE1ScI
dAbmJixQVJ67fbehfjpobvwtYYW57YUpUcOCQyzC9pzXZY5S/tQBg4zH+gUZ47x+97GYlMuirpH9
Vd7UId2wB/8llBZ4geQttNblWXYBwITQl1o2OSQaOw40P1L3OMXKq9mA8a1ZeAhN9gsyVqqHzjwg
ZfZ56d7M9sIwQf0x9UprZRQAGvZYGTh4jR9rutFwC0Xnhtu45+g08u4LK02gcIa4OR2Qo0o7hHR/
tRvwCwnw+pPl00hqjzw2oFm+pLnmMRASQiheHczMtdZ2n7L0AnqwZqODC/xSGIF11uWjoeBedCAz
nY1RZy1ZMoh1jJWKiz1I4J3GMFuSCyfb4IsK+j2RvZ5nqGL9EbuTCDR9nhQLDapkB18d6CzkTiPA
pMBgxH7OX5O1GSsb8F3l5bg2lM7rYUc+ZLKd/NdomnJukw818zxz7OXcwww3XxkMgpJVh4RRJ+L3
Q4JoZIV6ebTT3itBOBT+mGwp9ZC7U7n5ps20nxSB/BSk5HEMlZ8I5OkN0Own7B0/RzP/CG7SYM8J
H7VYewIK2jqbGvgBOysaoBQ/JOdySAW4l6R2iyI0c1k2kYkYTxouwBgp3vqQrwFSFMB+xBCucYLo
h0zK1zxkzZdqQN5eY5F+hwWPB+7JWsf/Med7vLRasOBUqOZ3+Zrh5Yr7wRH4LpJuOE2nmiW1g1Fh
TSV4iUoi1UMH1gGZNYAWr8dusIlNFO2BDuMFwMtbiHVW995Y+CcUC1ZLsmsS5It5FZU3PLDGq+/0
WL+oARG4ApAxyp2jjfriBy+HnG6ni8cwH6tFD0a+Ex2GTstOujrMNmrKTtZLJzU3+QhAeCfqc83C
/NEHCvau9oKlblYRcC2rion00emb/BGRV8AbC3lHjmGeXoCS8m6oVSXVWy/KYZoEenWgVU0j3Idq
zlxtaPEg6vbUTEdnXAELZG+p2XgF0oMIcG+oOcRBjd1Y5a0sdVFwhcZ7ZDesJfUiE68dyhz0FtTr
sTY+Nw1WqNSr92Z1g5DBLXVi6RovCmfQd5mmWSPYlnmFgozq0GBxgFBSxoMzflvBmc60rvgCvuxu
Zxq5My7MMmgRgB/ABG9k2BhmUGZWZ3QIoQpwCGIc5ubf/OZhNIJcaNjc/H+far7kH1P98Qnma/zh
Rx1u3cl9a9wHEUSWNaiE5As6nQ8g/nBWuVX0CwglpMe5w41BSV/m2a8h1J67PTXj3KSzPy+QNshI
Gi5YDv/naaLy44PRVeiTTMb5qmRkVWnnC2Ybt6OMsXdTH2IeQs3JhU5pSFEkz1DeLPeaFefXBtKQ
DlJBJ6EYO+lQDA5QIFpQLAfTerd1dJbwjQZRo/Og7gBgo2W9qSRHrcTHWBqRJ0DL9a55nu2jjtrt
McWTiK46dwyg1+lYxy/Ci7Ayl1HL1ryI/eV0xY+JEaVC4TY4vDu6dioFdsmlkaymqWhwJF9St4tu
pqlSaRTrKNbKycXX/IsFEqItGCbkgUldHqYzN23fz/5iI5fes90UNzbG0UF8nM02pqaZZ6WO2VaC
JXSZ2LjjQe/m3xWtC26qCEzq1Awc7t9JExLaHTdvIuVRQl5tFzVOu6TO0vb8uxzxlqzs9PM0qJNQ
CkQRDyJfgIgKWYsbz7IuoEkp34rRuWhML95s6V4iFycCFi9I6pMbp+Bm8vVg71b9IwHSCYYeKiw6
IgGTfTaRB9mzcrxBlflCH7AhSJ3kCgI9+zaJE/eCB9KaWnTQRrA5p1bz1g4hR6avASKv8Mt66bEA
LAZuFh6r1Fb7+ZK9NB9nPDHebXTWpjZ7iaIhXeh55r5MveFWN/x7LiW/dRyH34L3mp3qZjySCeIQ
/LYBEP8mwLMMqnl9uCS3tr2NQMZ0JS86NFW941benanVxwm/rUT+nLsCTBpqZjL1NTgrmGaG+9nW
5la19BKdb8mFOlKZoegiRxEP2WjOqIScaNjYfDVfNXSlteU9GKjn+UIrNfeu0QOvZXj4wEk+ekeb
Nbc0jP4k4CJKKJUWn2Y3StDwJtNHmP8Ejh1lB/avy2wSQXXtfTc6zZ9MukG8MECTiJpUfGHkW7Mq
WGgacz/9VaUZAEZqgq6KXOjgj+AAqY3amP4qmtRtfYjuZZlczpfVG+HttBK49fkvbatWO+he92X+
4hAgBe+/TPfzp+uF49/k4QvNNf0P/b5QUdfhZmqOhX0Aw0animm6vWtCJEHLs/5bUjcPZprxhwSS
jQdX14HQVXbo2Vla3lxGrMMB/vTqTQMqo72XFfajBNEdOenMNJYN06tzbDnaSnPybCEhwHff9sZT
1wzi3KkWK/xxA6wImJNL37ivWF9dPZBeNR437snUGqD2CrMwPpKtb8Nil8W5vpwGOGZ43xubQEoD
TJyA6GFd3SZ7mhycuPyAqIixoCYN8PFj0ZjR35KpHRFKTPu22tLkqDbJToklflAnfVwtNo5I4YY3
09UbqwPaLGZrmsxzeXfR7eJC/nTwk+Rbzl3jRK0ey8Nt4Jot6ETwB41aH94CqbKiTjLlkMhc2FXQ
H6jJx8LauTGCdeRCH6FDZZw+3pNBc6Hx4pejvqMPAFoP/RDKHltJ7Km6+FmPrfZ2tF15LcbuLeh8
/wuk3Yc1FAGHXdijGUltBdItYDQT3z8VVQYFPlRQfwFPoQ1K3Kw5Fm0M6Jp5O5lbKPDJsgRfCGI0
y/cdNyjUdhNOb8bmc6Q+jq0oFp+AelZSQ0zcsO40fOwiDJ4pfx3q4lXWMn8okGTbyRoSP4jS+g/K
gVLbWAO+2vVXDUHO18QBAJJ39k9upTdNOpgvMmkG6IGa4pZZcbv1SrM/BCXjiFNwHayBdv/AByjj
Cgh0flfDoVFq/4wx3M0QDMZPNNgEVoqfRqqjJEHVkceeBmYLg6P4LI36J2hUgMsZ9tmtU9Xnqe8i
jYiA2uTGUHtPbqiOeJ9tUG7zbHHyPSCiA0geD6D5RnmHtsiGt8yNgC71zWfIDpcAJRrZru4b/lS2
9sktjOgV9TzpsgA8+iJdUz/nxoDUmjXErx8juxRiFDQyZyFg25alr7QkQYIoFOkTnYmQ8ems+4vt
b36hbuh4bhbppzybxqzhCGaw3aes3pRjc4Z7zRnZntJrU6+LLNna0UqUmXzk6MiZZknLekf2PkkX
YkRi91K0RbFloB94NrNi4rNiqWesueVVe6CQIM6b5hOfFdbSsCcNCLRNX3tS/h7iZKhSA0zBGXLw
KJtFZ64Vdn4ZMR882GXE/5t2t0zkIohlcPQ5ZEcAleH5JRsdJFyMbkUdyBPmlxgagtYqGfsVMFTB
cXYLBifaDGHqLnsb1ZwdgBpHmbXtQ9SZYg2Wsn4zNUcQsdmswkcy3fZBdsYIAtf0RJ106FwQhqGo
65ZaNFvPjffZbKN7ny20tHDTStEg4uWZfEGcWZAfOnWeUV2oVetpvUv8rFpSkw4I8oKYM6wvdukD
sKk8ahCILW0lJUK2v8wxeagBv8/xt6tYJbRfixbck9FgF/caN47EzRBAnXTHUWu17tVNAY2+WMWi
u5sSot33djcedYi/rvFwdI9RHUbLxhvtU81z60kHXfpEWydFfgALZbEKgZr7Qm5BWtonQw+3npm3
KKpnr3TH1DWEK0rELG4bXW+OTdh6Kz3k8avMznlp+V9bDtrVsRnjg56l4l4NpP6K59DQMQEXsmLO
9jzFPKw22VuIgE8UNd0rsqXdsrX96Mo9w4CY6wiWUSsfIaLM330dKLJIyDGKlYHkaQuGXnB/2Pqq
pzMLW9VOSA/hApxNverMir45TQ8Vdw9lQuoAUkwZbmsAerdOYyMpK/EkarCMAL+/O259PGduSxep
dcWXNv0zomZY1QxBV/pfplGb3EJZTmlwXR1fd76m4NqFmGL31Rx7fSl50kFLL+x2DWu1nY5M502H
kvAl8nLjS9n3J+LQ9gXYO+O8+6qXKeQgUX+hdUn2IFB6j9JtnIVVAdlQPJIftES+2+ZeOhO6Xq87
UYEZyMaDEiUa2YE+csDS9MTK6tv0idWfwgqQfZFHFskdFAuSRz8rTnmu+Q8JCJ8OeKKou7Abvip7
quNtYUaRfWAuqFJ+t49IZCxyoy53ePz1Zyz4+/PosA760Ha+5WYRL0q9hwgB9bhRPC6a0om2eTdA
10yDDoLnq6CWas42l6fDDti26rZVhxrE+shewEZN6phtee3WmzIw2yWh3Ajvhj3wrWuzYE/4ttmu
ucm41YEdXqRE0zorW/lWdYvcWr0WEk+PUDPMG8EdbR2rs5AN72dk+1svgKWgzwFWcpvg13PwkDrY
1KNbPFaVeLMQZXyLy3qDQFz31cgCvgJ+arhIz0Nkz8jrjUhdtjTFqC0CLzNOHjEiUKCY2g4icljn
hAcy0cFVUWQ6Q5oCWq7FCCFagFc3iStRrawK7gjERTYQAED/xmJnBHLyi68ev0KaL+bY6LvEdvBI
LrSe721dw1ui5NBAb+vQhpiOkbwFuCs8kznfCj9KVobjZBef694xGvN63UshUeuNenGoeb7ZdfZz
yNvmwYviZhsEebYPMwdKaWoy8hgtKK7HtfMNof1kFbijWLm6N+xAIUgYdTr4QpTrwHXMNTU7FO/d
sXcH23K2LMsAFx+a+1EEKO3ncbZHTgMFhlB4uIUyyLutdM9akOxFxNZ/06wILLxqVeeoUvGuiPQV
IIuddo/oGr6FLg6LFdX+c6Sudsj1mniFQeUJRIrVbYRgzGSjJnUA3d7srKXmggChtVvzEWXg7cE2
C8VN7SF8WEEaYm4yECjie7XOiRUCIe0xf8kVwzikWp9YXYX3rtOkp3bgwZIYvdkvu8yt9JRbSp4J
Efg1uHxTiBIWC9y2xiv4NiQw/2Z6dSUbwPWCf0TqxO297lUgHFKP2iF6920jMBpbpozuIgPk1TJA
Igt7w/GrrUOZp5fDM+Ri3u0ExABH5mQn/1EkwTrURtQYNA3f2V0cbZDkQF7PG/FcRK4c7DYoCuFp
ujN41nwhj6iJ7W0Ccb4FFlvZcqKebzS93/61TcTzyJehSsbx/J3JQA0XsRrqZ/SVyupzk3oR8e/2
9P2XcfcvvX+MnZ1bNVXpaXI7huOhG5B0hRR6eewRAdiIyrDuBSBhkDkW41se3BR9F/ywxvKn5Xje
o0wN7CzDPjgBBV5NY2RWaGsxoFKJ7jd9sKttokU5Yk9qDSTVgqdTh9QfraWuf5trpue66gJkEvus
hLiPjcrrjmU1BIoH+V6JPftBkwFr8zZ7tPVax++0q8BNk1mb1AG4OOZlcUYRvFgD9lQ+Va7xnUob
NfYdjy3+No/R4zFaaYHzIhn+mVS1BoRxuZmbft2XG8gjR5vUDcOTM6D0yumfCf2e5y2k6aJguHi2
151MiY1MXAbGt5pPDlZ/r/fGAtmCEggR3BI5VpgIC9vFiWRoMtV0VJN6rRa1ndSLvaL5SL1/G8tZ
hMxFJkCgqokLlglYV0KA1ix771hKHUtNZe8qBsKAoXkppZdbPyV3vTvo0a7AcBtmt1GoChhkfAJT
t2N/F6ghXoFWw77RCqj+DZrLH8M0r9ZQkhrPKPlKD6zgbDsWuXW1ksJZtg6LXlpT3GVpbv9EYT/w
jb58i8pfw91IAr7RchNE/nhXgB/BRyjGz05O0wZAD/RPdPuT3bQF27pFNakP+YOZXVHbfRQCwkiz
IFFWRM3WkRHIcEcIEs0dRmFD8EO7gsEGTFQFUPsIrixKJ+6O1GyG/L1JpYd4O3zuHX5vUm+iozzs
vx2bj8DolCJbgdr25NSu2PtqgQU0IhTZvDKLztSmg3IJ8lHsE+7GJwOLT+IzSGT3I3Dy6Mq63r7T
R34hMgRLdNYWsNFkQ15DNv5AlV54xdp28iKzOVjw6lN4qZXrx1zgr5i8RF2wjfRqa40IJQDCfaU/
xxa44XBfB7ciqsHHjYf/GTUyyEEFbYSgS2edR0DFIY5YW3dNXjfL3BD9l8S3vrW+y3+YZYPhKg/l
pCW2Sjp/Yz6EVvvQ0SHIFuKeDmtwo3QD0iStEZ8DQ/uWaoE9LShbbmSnPIm+0TKNNggeqlwXntXy
Ay3WfBu/QRTDF2ti8yJeL9kH6Vmr8KpQzF9kb3qJ0g5ltztvObuSHTKdKV4MfrkAYe+4RdFM9uxC
XlwYXvSaBSiDdsHFdknSqLt4KKAG1KCJXhNIAzg6uDdMNw62v4/kRjxeRWY9C6xszqBgEmesesUZ
O5Bk5/Tak2fF8dFK4k1oZuV9mibtlXEXgJYOyqA9Yi7LKtD1HfVqrdOcwtD7OvXqA3urUfxxxOII
uxZma5C8RISMfOkA4rqN0wnthlpx6bPVP//x7//nP7/3/xH+yK+AkYa5+IeQ2TWPRVP/1z+Z/s9/
FJN5//Zf/7R9z/IcxwaHheODfYQxD/3fv90hCQ5v49+iBnxjUCMy7+06r+8bcwUBguwtEUGI2rSw
ROjWt3eWr1gVUEl/1/ABZbhSum9InSN9Lr632mrax4ZdxI+oWNlyWmF1jtPuADVz0gsbo2zrEa8c
5FLtRTSU8XZSGeRx81sbdcSXCECYeZmRcCdZIRuTQSAEzER0CHnw2UbOZZaudPzGD5AnBnpWHRyR
9WdLHfqkqTY5HnpgZPrVm1byC8j0s53T6lixOxmrgEfy2smFxpIzTQA1BX3xP3/1tvmvXz1jNsMv
y3GQg2b271896PFyratddt908bBDEjgEasoY15mtlS8VR9JELSe6EXXQpWdXV/JgqHlCqbYOmNjf
vSoRaIcs8j7N0+mKZsPqJcSKtYPj1NFLGlfmKrF4d3YhiXksC/BkDMhNPY0gfcbXy96UK/ingfFW
rvr/ZezLluO2uW6fiFUAOAG33ex5kNSSLMs3LDuJOc8zn/5f2FTSipOT76RSLGIk3eomgb3X4MNp
JEinM/3MeD09dGFsHi1L4JkLSoP7P76Xyvz1w7EYor74dCxAQxzbsf/+4QwyqSSg8/nzskh3Shu8
/ML6ggxF8QRH2f4JVP1XehxGTW5s6ZFHRd0LcK38aSrhVSxC9R0x4G7j2FkO1TQ8mMK8gVmDbbdf
RVdfXL1GxEvxlseseLONEpZB5YCuU2GdGvcxNIr6EUD7LRL29nOh1fQraNtC7iDxT1QHybBk15bQ
f6RWGlBH49bWuvyImsG1to4s8PbMbI3gVHyY3Ryq/X4OyuPoQzPDHJJ63fhgEYbtM7zr7edf+lr8
sXHEQcK545elPTnMic5WR91I9nNzH4CdNCDogeUvO3Mr+qMeVPbS6gMihWVtxxAAQyGLnH7Vg3p4
zFSZv4iO11uDz8WGWmn0MKTL6ALivQ9LvNEqBdsIq00+icv3raufyrzdUkMlWPg/vhGW+ts3wmZM
cvxvwzHbBQ3ZNfXP6dOTCk8WMUFKJni28YqCfRwbrwOHvDLxDKPqC1eN+E6LMMvox3Ng++PVCBWW
aEYNK8g4uZCr7OISS+axiz0sndaqLMtVq93eIoAA4b1TxTCXSaoTDaIGKv4/65bJApb4u6aRQNlM
pkz37jDzE7MkP9GZNSZmtcqjCWgrJIrY3pLx4d78jz5LhVV3u//x7Pn7Y19/mBCAcizmSCUgRKec
v3+YSVgznmbMv7ljMyEVm6kVB3/hUUSGAug745s+Vfl7wewNrXWpR12HYOkN1gCFWwjPIo1YSnCP
+3LfIM+gn7O1frp+OoBkdOk7eLmhA1XD4wNBJx4inBbM+bpOOORdBcueuEqiFQVbqIFlxkcDsjMR
ogSQdTesLl/HZQktG1+lTw5wLv/9qSj3H18x03KZ7XIByV1mmb98KlhRWUHeps6NwS73YmrDDEib
JICwaZdb0kQNnDj2xvIpcubU+yS9XMDQgOSSqQ76eSDGSkjJk7Sy707AwY1O6zV1bECLO2vWBAUs
bMhzwAo5ONkaMRgHO7cr3bd7r8YBOs1lsG4cdGio9GOIYkRGsKdip+sGCYZSOJn/qKN+pQ41LZ11
P6qbGomltmW811ree+UGs/WMxzB8RUQQQ6nLqQ7UElXw2PJr2HBR66feymoaGORa6hx2Qn8Fpm/4
OpXbWDTzPrcBVNH1rBgdPCMQVIRqCnb8EOyXAOPbctU3anwWmkBSgoiM1C12Srqk24YJDkppi7Ac
LMLCIIe888D9A8y9y2vXRpCZn1v/JDP3a5p37Y2qCry6vBQ5jC0VqYGnoFAx/v2/vyPC/sdPR8Fv
Q3GYCyjbwi5ct396Dk2K4XU3mdUtDLmOOudvcVNHP/IBoEN/dNgjMj8R4HkAAENfL/xRQhED+X3/
vURaaQvfVKhkuE708veRqu4ZNjDTWWVGBI4rtFicIa4Rk4JcLRVlNG/Cspuf+9CFqkiQbyPtiFcW
RnGBTCygprqIHUa7l65WudHFrIb4aCXtcU9FEI0+pqQirJA3EaBmG2niW06MoMgXzSaanfYT9Rps
cayM6nohDiFQNR9SC1S3hXptZxCSgBMYX6jXcJsrHnzT/kS9LoOx2XRD1i2XoOtMIOYA9y0S910I
t3tyhAoekh781xEknnezE3AKZyw7A6HgvvCgOvhhyd+hKtJu8Uz1d9QtjqF/XiLXNbQSeKceOwiq
d6z2+31aM5gRAdbDadqyKwKE4stz01kzcKOwbpyqPnyB5roFfA6idbXbHKYGGQHQCtw11C+i37F8
ylfZXPmvST8LzzfG9CEHNnTfFb040Ex2iwzgfaaBZcFNlSPIyfDJ6v1xLWAah+A0uMlSH6jerttp
09hmt+bO/FFHDdRvxCiTMXOZQ0Y7mFg1DzJABCW3uuwbBOCP5AzZxu3JHmf1DhCjs47dKQR/Avap
blvz/RghYM+FaeIOZPZNRs2x8fNXkBmSB4bH4dOEjRE8L2BwbRf9C/JcAezsguKlyOYGNgFlv6Oi
U6XdoekBHKciTJjNx6Zh27gziydE2LlXsNS9iapIH1jl7vg0ujeqGiO/9Xzhz1tT1wmrauDcsXT3
hzS/ijI/ULAWpkFQN0ydAwWMQsqQ6bp2dIGN7hkI4VgsSUi3vRs5f4pqG0G9ojmYfl397EXy3Yxn
Cc5r46+xTbceK242OyttDOCBZsg1gMW5LaOuuP3bPGlyGLOy2iFg0W+qHpZ4eVTeSs1GAQwSLsma
iJIbBUwbmzTHTwp1dLBhHEB9nRlPKRlVyMmP01dZFN48FdNrnICgISuHI9eCHTtWtxYIGgVepFrc
0E5LD8Si8TjUbY0M3NAPyaWJi2rdcKaeoE8a7kxZRnCcKaZzIhCdByTRfXYEEgVOEcof4FRt0iyw
fgadOvUtMjI0HHAA9WQFYbQDoGne/veT0Pz1bYlVg8VMhheDwznHM+XvD0KEoapWjEYPw3iOEOvg
I71ElAHITT2qsON7SIUhIkJ1PbyjwrZ/mVunguENVPIdt+RPcZ9jPTBU2W8FvpUAl1lv9x7A8AdI
VPvR3tUSK6Sz0kFkFfufXm1IVKXTBrZ0BgtHGOOug6bJlnWECfTxurOm5NqFrXikBoYMyON/fwz8
13Wp/hhshnWD/s9xaIf96X3gjiNw3pJ11w9Mu6s0kxQ/eQbnY4h4IQxgihl6mfcffRqYnjWa1a8P
AxpRpgD5068/LKFnh0xZvP7vW7b4L+scl0suJf5yEg8P6x87TzBNOYwGo/i6LOhn362hhB5E3xAT
TnVQHmo7ya5SPtv9WU3v+JoDSvXP6gC6jUs1M7voG6w27r2buHU9O6pyaDRtKMyZuSp6FTa0XIp0
M4UNhIOR8vDyhIc3I6g+zmCEYHlDB5pHHnDLm/TZvV8Oi7z/sR2n/cM9EmLjnY5tsIWNhekoi6H8
96/zMM1jVM92sp98UL3stQlTln6G1baLhSYCSO5tmAcY6mrCydAljwC91V/uPXzDmpEfEuNqCHy4
NgpQGaJxhJVTCIHpFO8csECL8NlmWXUcdCsV6RAgETw5Y3AOLQavqr/G54OdgCfM+Q82nP77OyB0
dOHv/1z8eKULlRBLuC44WX//54JqkU3IZAX7hcNlluslIoPYvrqIIEfiEhoqtT4kc9BABxz1/ZSD
0waB6lXiQMUx6HoI8zEXYetAmLsJWs4h9gug7n4q39uJEybr//Ftxh/J1NGAT/8Ymwn8S5QyBSI8
lpS/RrEYXH0LNwqbXdol1rGDXfgaSCEg2AY7+BplChJ4AJ5LtwZT0hqjFdUDAeRuocWIBHSUh18V
K1KYHdnOlSPn8JohL0rd8sLOT0GIsAsVCxuy1E08MIg6Rlgtj215RMbsB8BW8c+svGLRiDdSHpjI
SPnyXUsNrxEZ7G6Wn7bbjFXVuU1794gk8rBra2t+BDc78PAoF296nr71o5/z/DGPMKD06CCZWJZX
HoR4gUBBsr8CaH+RQVIcBX7dXIeHOihQBd1lNl5r6G5cqRdVU3HqqnkP9vN3qqcqaqTD1Fe+x7Hs
Xy9XoMpGT9nwsV91eR7sqO7TxaTb7ropbk6f6rI+z84tqzx7qOA3SUPoUjbIXzuR1tnnOupj2HWh
PdB6BCz+edewosaeUDK1w0qrOgQMKogpmGNwceTgZ8o098D2E/Y5LgXC9Qn3IZPXGf2JyoUsgnUb
8Air22mT+o0DV7U5mdYQUMYbxWmzZ7cL3cts+Q+OFaKkq7rU56umZTa8QuwM+ZvAOhlW9vPeY7DZ
T4hgu3i0WwnWixiJRJx7aF3YLNMcSk8E4XSIFnT2hXpYaZXsERtHAFo3Up2ZWBuErsLH5UqZmrbZ
NM3eMkeEFW88xw9uvYuaBEpxepxoZL7hirubZYbCr55M+FveJ3X5HHkgepY7mtWaS/8apcFR2swu
1qADwpGi9Kd9ypbrtIFvnWHd8kbdaZ4Raf1VCyHNIxX9UFqatQNcp74FOlQB9DRSR5xpVCADY1+X
+JvQXVGdKUBHQK77Sv0jK4I4h89Djz6bafS/mUUTnSW04fCM6bcitKwbhB6tmzlDCgt+EmrTOnaY
r0cjWcGxJXuiLsAYmKCwwY00EqLYiNhqd6qHmnCTfk+HNN2OsxUdLEOUX9LZxwLETb8DAdl4TluI
E1xHx5vR9z945SffgYvCUiJv+VUGKnnA6tRZUUPujD/7yjWeIr9IznPTph5dAJHxk9RwxqKfrpDq
g4z9iD8FXST1X4pSmVBfHdNdWg5q11hG+RXW2+uJ1f5WpA2opQppHKM9DXGF3EOHYOAaT5f4wBOX
gWONjwyRR7Yqx4hVax8PMZ8H+RO1cifqPQc7/x0VQ0MBzwTj1WWqGt/hCjGaq1Qde4YhRrT1BQJ5
VKzymj2A0rhf+rYj+NmwCii2fmP+RrO5pWvsYLJrr7EL58/CGK1bZp6obanJwYTIgHhbblUabX7E
ngVWK/rOzRT7K4iIgDbU4KWJeOzHPeuYaIxk3Y7uoyuYdTat/OOeB0c+AE6cL/esvw5baBsUG7pq
agPBPrsuMun6AvpA941487Dc13/dMw0aG+Mf9xwkNQT7kXd7aPNxOxiJvetqdSiRmwMHrSsB7DB6
LC3odEq7GrBV5ETKyLX3ilqkUYCtmKewdVt6tiB1xLYM4NqmcSF6jgGI6q0fybfEDGEkTXUM8qLh
mU6X2rIXbAWonZ8biRdGeAGYyXPcVOBz1FB5wxIkfQbvMn2uMjhSDuqJOgA0YG4YqFQbKpYsETcM
po40BA5g0hvCId9SXSORLO6iNaxQp0PRp+uPYZi3CVvgcroKutuiT59ZYLcPE3d29x5ZNXX4Z3bF
nubq5lZd8Ink/boqyxP1o6F1MMKOjY3NgerykQ3nyYrf52ruDtKsUg+R3XhntaN9ZEmeXYKxxkp9
9Py8PMikgL0Vy7NVGpbTH+G8TXO3+Tml82/YQYsvskByIa79HJhwCN/NjYWNpWiDp9GHjkzei+yb
4BK5YgwCYBY7nVZ8j20TQvztnN3oyuNU2Mc4Hp0DpAF3pXQgLyRm99TG4R/mICqkSQ2IWzrSvkR4
a2ytMuBg08Eye0oqtWY+MA9Gs6ksCHOkQFl8lwG7QkJbpz8RtZEjPuQYQIEwEsXvRhf8VsHZ9asz
smRtDZP/3ECf0oMNAwPtY/64Nlj85fGX60ZdIJ/AhwBtLgyHL0AJg+DMgSj42/Vg0Q0+X9GUWzWV
UDCH+vm2hgaI56ew0Ml7jgX31PPvIOat/F4076oB1T6EatyeIZbxRVnOscr0rLXiaznD6Mgce/6Q
RwlyOTQSsUg/rKZnX/Hy6MJMekMDsnw3i1h+A7UkhUHO0BwA05cvs3IeqX12YsR0eTVcwxLhebAb
4Xeur5SpAEJflvuCn117GFmYbCtR+9/8ersMNGW/Ed1cHDlDhAsmf1+XGwFqdmXk+OASbAguAvmb
daEnBHDpWERd/mWW4bQXoIJvs7br3pNyWlEHwwQ/D9592QniS9VNSZhP0aUaG+TtBquGxwAYiLMD
BUyPGgy72So8Nd86aVo7CanSXZiMxlth4S+vrwmJu8qbQ5kihQvEDzySq+XjKmCsvgLeJbg5Bhxq
fG0iTCPqGIgfBJLe29kJduNc1nu4kExf5gI+K/qDTjLoKkAAM7s4s6EAwYvFasYr6RXJqtdqgoNH
BDzBvggS2IYtiW9kv21oJyCe5SB1qYVgqIEH7rMxwpxTv01rI7ZvpT7IFGu7yoyNDb0+I9WjQf4W
OmOzvFDLLJp3BXR/1jSIevVA705YTl6o5IydguvGgNdwUYgdlrn8CAbVygUq5jW1DOMpCcoT9/vg
bXQLfDggey6xyLrmgDmxbNxQq5MFqWcgdXeg4COQpD/TUrIrlfSMAiiK11zPCHk6CKsjfmlXuO6f
ZPE0hN8kSCFnYE/lubN7rE77ahT7we0ehG4A1w0ksk/Nxlju8dB3DnMZw8MOuCx59m3x5+kUOnDZ
mcffA/5tsAKIfXd9hiCYMpN16IbtWuIduatMZiVr2DHuRC/NawO+yW2uWXgxM/bw0Tk3kPAbu8xb
ygLxQjA0qxZON3qyJocPKYuf0kilN6TGEfAP1R+dk6JNdDLbiLbB14wu1FjFb13Z8g2Q6GwDvLMJ
JS4nfksDw9lkhipgbINiNUCS3Q+T8kzF0RR7YNCwiip8+zmfy00x5clbENbIZGhTLyykkze4Jchd
zfyP1jgdEw+KTdOBWnvmfreKsH6goUawmU0GxkJalY8IvrzSdbLcqo50U5meH5Txf78pas0QfaSb
MqDwicVCUu38aWZnQnkueE9dzJEAX/nYySxiAdRlkRH4hAwNDB8Bdt3JJTGB+0RLJ5oz0p3sLJu9
qg022NKvAUuKn4EDmV9NoN2TFuxgKrGhwBINauxUktw8mDNLllJaTmczKIZHavNb9QC9LvlAJRGw
5wrSkksJqMq3bnT5ldryIPvBQztaVMMZHOaRG7GGy3IJVqcr/Db8M2mDQ2C1XuVqAiBE35zfFdAs
4Kk8UWuO9/yKZxbyNNQK/3f8plIgbbuAvTquStcZu7ROnRyQGiteZseNd4nBuEfFIGXtRdb+V5c5
Eb7F8CkNJqiNUSNrcanCbNQxb4ziZUz6YpvHCNFT6+Cb2bmZ8ERbxrbQSZHpC3XNckiVI1CPhbu+
aNgN/QaODymy75hIQYHhCPR/Wg/NNTVhLZAmGfeQX2+udgWfX4BycBqHwFhMcGzYLpVVqNBUNfwx
znrrgNDDBEs4PQcDECQzs6/1EB7GGRh1iCPmz1wN2bWKwiszuFEALDpjw8ZN2AnpVjtq2pM/AXHm
Z1XxTHUwuvpmZwJALF0VqQGm8XojNNEEEwdrQRQNnr4YP3JAp/wQ5o5UpBGi3IZJz25Uw0Os9SY7
TbbUFk7J8IgwyNKdegwjDK+7EpEkKkqEPSHc399md/wGqZz2TNWtAVgjvqD9kYpBU1lgGoEuQEU6
DLV4Mds0vdCV1Ax6RYS3FyhLuFE6MNuD94aHL0r6OFgj25is6zd40lTbvC1cjwb2BTduwx/Lv7ap
1OxNIJsDlodZ5tgUD0ka70Q45c/U3c6RmBVsFh+3LwMLeyD7TSXwm1qDLwo+frCGsxOUvV3TfExc
jcw25PFeRWfJ6G6B5BsvVFqqYLiBtOE47kCo/RgOnX8T0PGpX0Pp4BCWo7tJLfAcJqBgH/tYZsvB
b6Q2XPCPqisgM5M1kLsbx/yjn6m6Ydu5MPZTYRl5QxLwC/LZ7QVIwMxLxjT8zT9QmPnezqz+P9tp
PF7NGTZ/abFFlsv1KqSITl0Lbj65o9+LJKJzL4I6BPkZ3Rk0RXTG8vv13kpjG8AyvVqx8SCRwXpo
TP6TUsKODCHRVtfOjlLCWLVdJhgR3FqsQqmXH7uv0wC94iAb1HbxUBL8te+i9klZqnpKzfQLIWHK
OJBbtyzVtsOrEynZ1eSAVgmScbG762ylRp2dQ2xbkiQKS6CA/uxCGlvJGFYepHDGzTQUybRyVf4I
3cP4QACppY5gUs7YNt5i7gbPbwBEyhEK6A6T+NAgpBzOFiC7OYgz0P0zX6kVFmMwOIavQ5oMwXYM
EKcrjQFqmlwU7BImasORHXs09WGC+sVjkJU/JlEnRypRvezEx1CqowNzjNGbsGl7sE1oHUcQpz5N
btO/2EnXbNoqbLaDLloGdw9OHERrai2sWD1UtXWkRqoq+95TJuNPVIJfDuR5p6w4wYP982yMb6Og
dp7glN3ejOTSiXx44tr+fMiQQld+y1bURnVOYMDGKhoQENL9qU4ll7buxLmPs+t9oDONbEXFXwaa
uY20OAaBDzYgTDF/XIkGxFnu7wshZXrNsU6A6AJHCCtw94aRi1PuD84/zrDC33LXB/qrRfQIkTRE
KTQLAfCAoertM5W60bBPMMb4TiU6API/rWM4ne/MbIBQdy+DW494qh5M0/hRa+hfd+T1TQLVbT1j
G9r2eRiM8OaEAEmlOTwg5y+C/kkxZK09K3QkJFDx8dEhrutTaprGhUrTAB7tOPAvVKrdoT/XhZx3
KTJn5ygI4SipD8lfZ3akul2bVO/UI+XVRw8qTmm6tq0yhi2h1UKCFiSgGZa1KwW17OtQpeqB6YZM
NxQWwKwQhAVNvxjUA8jGHyPAdv05lwJ0HTs99BqiYPLZerKgfjmL5pZpmIKLR/u+KRFGoQ5UN2gx
IANY2GVQUxjWk6u2uXtx7HHtJCICWDq3rnQY1AgbNnjobnsYKmFDj4ZQaqDzpFss8BdHEyE16ket
ABe+9HBl25OyVq4cWKI48kTCWopDY39FDVTWrYYf/AbMJ/j3IbyEcjWI5/tZYEyhV+o6I0CrlajP
rfd+Y2GfYXbzIxyG6h3BWaRD8Oe/Iu8qbhWykVRfw4MeYbOm3LMxqt5DbJOysXS+9B0WPJDgxJZb
19+H53CpOdWAZj+2Aoo1M3yc3rCRgAC6Pqt1HZ1RHbVSv6Gvw19bpRo+xha1X6/VEIqdMZsgybUh
RJKgxH8EAGVDVfd6OiucNrh00mp2yk7mFyv1LwZMOn7XJ4BMDnQCU/ilxq3h5LtYkfv4S3RxFx6N
mj+mPvYQEf3l6LRRM8x65DQgQIK/qaMP1GDOIjyqP0dI/EuvCxXIhXELMB7m7IlibHeDrPgL/pTG
bkiD3KNi2gBpbCNss6JiMybYpmGlENSR6NamIbbDEMfADmGoAsJxVeGXdzJak7/QxHVcIbCqi6GD
iVWOWLuPCC90gif5CIGxTRmK8ao0OSgZYRHK7MDrwXpCKttvLfMNimGQNEyycs1Var0ZTo5orZFX
4LlV5ltdNu+TbaaPAeKfL/8yyOAT8/JCOJccttqGESdYK3lBANQlfjFeRCfD7OGN5ewd07G3mSHy
3QSMN+LjePlS0Wws7Kz0y5eKLfxU13MWVk/TlFpHkSpjDRmo6SuDaNK67+zsjJBL/wZMWm7BM4F6
haVlgG6mxq9KQrQXgk/Z2ewN6kWD/62XaYALknMnRDQk6d8s40IzlG33cVkq/nJZ9GrSodhWxsA9
5A+z6/0Qm9CDK9nlXpNxvMdXwGSt69ouz9QAd5H8CvJ7d2YQ9v2aZ/gt4z3zCpcwZ59Nlb1NkPn8
2teNl2rMUuzCxCAoW3mOoQT7MPawPF/ATBjp13Hymlbtx0juZ8tI6pD+NbISmbmMJLQTLCafpqLd
R/Cq+N7kuxGCVT9rOFGuqrJ3Xm2odGyKfogudWUkp9oYxVbZTvGMSAtyW25v/dbN3YpGJcX03oVz
9NYiGO8BVRZeQwupVW4jfgcSbHKLGz9cB1la/YgGCZUHZM4SH29Uo2y+zpGqoNnShA+Qi+wPsi7e
sejPvGq0EIuC8RL0nib5DQtOYGq76Kc2OknAenvPM+6u/cKOHnnri72UibMvTI4kEfD3sOkdxnfL
KWBjg3crN/z3Di+Ejtvq6le8eOlBIViX8AjZc1UULwypKtA91bwurbB8GaaBPbRwS8TvrnihHvYo
98E8pY9U5dSqWcdShgfqPwe9vasynnrUiiB+e4U82hNdiqpkOHqw2umeqNSGpgLfCD4mNHcU1cbW
gacypGFxM05gFgDBlt+o71hk9TWLbDC+I8OEmU6UvSB0de3TvPhmRsBIW5D0OdZSAls7g9TR8OLb
5E9Q8+wsfCng5fG1ZD+ou8GBTRolFvZUhC6DW7TDe2F21R7Oes2WquFj6rVWnIFLkYlDIcJqQ5P2
hn0s8GN8cfIWlDzTOgBDltySwoJvjwVwd+P28Kcqeh+vwgrvakSTb2ULlFE49SB55UOydoK620PF
y0CCVJf/PwcvU+mr/esEPIALaNwWUF/Rig0tmP3Qs3iNOcTIOl7aK6rP+Th7ZTCYS7c6Hz91a2X6
uZuDxdKBYZ18mSKyBEcS8fcoadWqcTn8EtrZemNw3s2hB/2FMRU+OE4Vrmb9EMX6oN8pcDM2VHQq
G3l4BArOVPTN1z5w2i+hWVvXMQsSpDExWe/YIBN3kDiM+5WDnP9vYLN7TOQITgDYdIq5Ut8sE25y
sE5kN4i19NsxaY2Tr6ruBHK33JpRaTzFEwTfQnC8v9l9dxU0fk4gAzVE9e9lDouK0W0HKLTCe7j0
VX51y6k7QMZ62sd+0z5kkwFVYViRfEGC6I8s7sOfAdvbwsR9VFy8ylSOcKPBb8/QJLM4rvgOzIDu
2IYz3Fr73N5E0P58YfpBgd37+MNwGmhZIyYGv8h+n5jM309GHXhtI8zXPGrlvqwQhKDiBEjZPjGS
eCnC5NTcC9UkS3EI8CvNYH3msSK2XlM2Iltu5jneryi2djyi6BRLZxfp6n0FI8Wl1amDdu8iIrSM
DQsX67w0hNWgHls6yJ40E4f9o74r0Hsy2MYZ/dKa2SCSdpJBhVK3KlVG+4Ab09KaKt/YBT1nS+uc
xv4OKXaQMfTMtYtECCzBzaXV5nB6tgUEx2mqMGLmjrXQUaUi3m18N3cNZAv02Hwc5p2wfZim6Ovy
Xow72LeBqjU1h0aW7d6f8ld4D43jCizL5kIH/Hk/zmLzwW3m8fxrD+oWgvK6QiIv3VGxKWEynIc2
TJO0fWRmCXlRcwucUek/4OVruhBHcaJtFUD8lCqpHx2CIv7hRkCWUokaHQP6k102bGM9/t41ThGL
SmPkwu51dNYK9iJyWJre527gzHqSoX1sIh9vPOrmx+DcVtDK8WhinuHhs4rAHs/Asj7dL+YXsB+p
jOIxwYb80/VB4WggcpTHG+p7v5grkoMtm/J8r+8CIztCu/oLXfk+d5QLuUZgjC9zuM++y0EV1XYr
dDAiOK2ECi7Zk2aV/VmdpqHdrqgsYJXx16mNVBr0WyA5YBqZxwCwOC+n1LUtU2MVtvDjo5b/mK5N
o53wA6QW9CUnPY8TdNgVUdmaDAmJESU2PJZYm0EHVw1cHaoA33IqOnbiYt8UFhdmq+BLDQ83quej
NA9VzbCMBfjqK29ABXMawJ2BcrZeM0QDqD7J1HiYwxHkQJoctjzIkQBXiBgIFrQcqQA6lG2szrU+
ULFt7WrLfBDFqW6oKiSpkeMvV0wwC5Gp2L3EbutekrTxOmXOJ7yELcTGdIPju/0GgS+8V5Ic62zq
SC08gm2j7h3qsfd6OlM+/xhGxWVsHdhHq4Dm6o8qbXbTJIwzIA2ptLILHSYrgmCVPtAZ1UVIGHnA
QdfrXxogNQ4Coh5LnWOj302sLI6/1FMPGoo0ub+tsVxervhvF6OxvFY/EEDUkTmEftPBn7ZM2yNO
+gBc18ehJAPFFLSSgxOwTU3Fe5/BDNiaKWPYicaNVza3IxhK18HBLbN0N4RB+iXykyeilMyNH+Nr
0X7uoQBG/+8evlG13jS3kIdVUBBVXYvgVRvkZ8HcjWXCa/de5aYxxBHu5fuIWiTd3iyqC+gx2Znq
l87uxFyvz+BoZ3dd+witeTBbLDh2jIidKKT7ancPW6piVU12+7hUlnmzA6BPC7mirtCHpk6jDfbY
zKNplgbuwj8mgZr2zLSNk/Z2Go2JrdPU79b3uliGrruUC/JuujdxDjnVFY2kyk/tVG4aaGH8Mt2/
dhz1HVALHWhGh8uPunsRvzq82KmPzCs4wmwTENA8hYzLuCqDqbyMcGNEZqeo2KkCN4WZIYrU0vmN
6LygrcGtxF95S5VO7WhTkMmMvaSG9qk5NLcqYniWiMg9SJUgXDLUyZOQX6mNaoA4jfcuIo/re51j
w8cjysGm44ld30JgBW7FjbrTITUVlu1Muss1qM4KWQzRkLDZi0IOe54xYGCyLL0gGJdeGsQ+9iFU
ICq/4AO+uxJHaqE+wHK2wGP30HHWvakB3Em+LXoTkmFZKo6FnfTNi5/B8NeuYIWnZPCc2dH4zjNg
1ms7a5GHrmBKlwYASOTNdJwqkOqxcAweIaQJg0YDDMwEW+fVkFnT7yDar0FCGYJV2g3AGpkKmCUL
ggJp1L0YPpJ4vVlDusOF9DZLk/hg6HUXuEvFxhyn8aVsACaPHCjrc5kclplgdIrgig/Bxw4/vzTL
r/6cQUS1LU+mLZDHdae0RHbozzKd0aGJmmJvNSbEnoLg4vx1QGgN3PcRj7UskmLHZPNOjff6X/rO
YxVqbNu/znEfGiayP8KTb0Nz3+vp7F43lzI6R5DN1nfwy5XudXQzyQzpZQkXwr+6ytyKdpWTQ2gr
sJsLhGFhVO8G5naUWbOp4xn4/exJuSByGkUrX8pcPJawX3pgSKS+NB2fV7Pbpqd+yNTL7HeNh7iL
i88ArVYzOFsTy/+N0EWlvXRnAxAcminuaw7fmPA7NdqQCrr5+LlgzX2uE7uEDVuAnzq813H0tZwt
MlDAMlCZTiGTPhyBaNW8j1G9Zj58vtNxuFIJVM7nLGfDw1IKLQS25Pi4lBx3n80Fe6KSShAhcaAb
kJvuG/DnoA0P7fxABwEg7Cb3TQaIAuryyvpoqIGohOWK/D/KzmO3dSbt1ldEgDlMSVHRlpy3vSfE
Dv5YzDnV1Z+HdHe70fgnZ0KoihQtK1RY7wpu2KvWYKPwX89gquLHjFDH7zs0+ATc0lgcyjwhjP4/
d0Yc74WlAfvSI4QTuVNhhniP2Q89pJsHs3LS42I6KMvGGmrJejBARe4Louf1iN0Iq1L6BiM+GK2c
WZ7S2q5NE1P3WztBrk68z8NAaFKqzHdqsky7AmTrNy48jWb/bnHa26lZod8ZSu1cl5Gy2naiQW1O
bqf6MU4WGk7ZfyLIcg9L11fngrAGTAC/H6bQs8+UdTsZpLFenXvNJrtrVqITkQ5gzggqbautX8QI
DZwZvj0B7tUvBQucQ0sU9m47WyAuvG+n4g0wOu+DYZK+OyTdU70WVXGZkb7lkOI4xh6hACikiBUZ
SvXcaZH8OmTl9N/N34q0C4x+lfgCKoQuZX0UyUr8V3M78T99+Xpd7ZZE0G5P0WQfMrZYxxY60CwE
FY+lEKEj1BZVbJI+alaLEqbpmt/daL94s2q8ZMNsHjPHjPZ5PUY/FGQEM1Sa343EcrQcl/6aqoVx
P1PtDJp2Lm9zItTuEMco0UpYXvhhTNFJ6zKyIjs9etDXA7um5jqtQrYUuD+EA8sivZtIjeHkdhlT
9CfwdXre7rEdhJ1AAo/3yFLhpQlTkm2OlaFpLD+NusZpk0I6qVBDekhGGOHRaIlrio/DtWoEnq9d
ZINE0Pw+IdZmYfZQnwxCmL5PKLbV3CsQN52mxDm37Jx3I47wWhatc7ERFv+Yht/22h2RAXUaVnCQ
KkHjw2COjxpaVxywJoV0VFu5QzxshlNcUPhZT2x921lLY5uLWTvXQIdtAjwIfaWQzs3rYYi7jpn8
Vpf8qWsa5aWG2nXspKnv86ZU3ktLCbYLFhK2d0OTmXfbM6MSqs4WvULMyFOhqdR3/xUF0Vs5s11m
3FLb0m8gktM+LhQSRP7Ttz1qU9EEK5yxX7xlREPIzmhcZpcvJs/dDlab61evetkaRsUA4ReQ/k5z
5fx12mXIQtbdeWii4Nt9P6tZnx8b9eh3S+QcthPbS4ngPhDhE2Myv6ZiO0jxlaETbwuZ77ex1mKf
gj6AcyuXg9N0Trhd5kaUCGzTY95dz/5/P8sak+Z1IHxJMfTxAXOi8QE1AlYfBjnJVJLuvvuHpKRQ
LKXLdpDLthNZrqp3QKyn7UlbP/8vpg/9tEJcjnGj2g3CPrn2D9VS3zdTndQ74DvgfCpxh32/5tZv
TqfYu9GDX2fEoj91JEYdYWYZN6vu/vVs3tF32MP/GPHwye3i+y+fv80B0FmtaYRFilMSEej5bQ24
nejH+VbmmbrTcw0ycOfeLxquapsjVTrqh1hN3PuttfWvXdtVnhTR4avwq5cVhD/TFs/1okePSvEE
SRjJy3qQRDLt0mZO9lsTuugao9wshyaVGFu6w12n9cvNkgVGllTdAyRV8rSdTJx52ZPCXIbbWfJu
50tRksOznW0LHL0WeFzbya0LpQVUW3O5bS0rAmOIuruI7U2p79a86XyN0xghlO5yCOnB1vzOq/4K
utna83pN1yh9sGVaq447o43WlmfXxbZTVwgyZckrnxVUPWwm5tdlbW1dqq6/YROb32/Xd3xlD8TE
M+usV7jQiB5HYQLgczMPMQUmGzDFdGJ09ORKPBZLwJnRp84fF9Vm9Wgm99Sl1B0vaHrE1k5nYesz
bj7O7VhDrtSzYCkW8vaUkZSA4T3uLe8hO9sMNo8O2u58Wai25oVzMEHX967j2Xuzyt/rtFYg6dtK
IChPHinHnjACTh69iMFdQ6P40wXoNnscmjXdNPC4MOfr9kixoBs1NQaOus3HmipTQXx7vZoeewH4
E7M0UCzIGVPypEakHXeRuXMrHRQ3W5nkR2d+XLx1ReRh7Rvz97HAWKqzobcyeNUTVN7YZ5z5/c8+
NLY/FRZ7T7VqxKfYLT68Mf4l0tg7RInmHbNIAdtiO8wsmfAtkq9WsuQHe2UzuN18Stua/xX/HDch
pti0/AU7qYcaJeJeYHuQRbDPG+1lMLSfnqa7vgojbGcOEWin4vitQYFIXSD+TPEQjBO/HlCCksyp
ntguPEPUB89TsT+nTujrUiAAohARQnp2EJ7Wc7ej0hFO08C8rObpZYa26Iuqvx+A42MQ+7+ZVWIx
2xh9GFdas697pfAnE4Kpno8BvpIQnZIPzR7kr74ZDuQXnjpp3Yy6VS9eB7eVyWkMvaQtfS1Z/omG
X22J+zJ730+ssHkvug9cBg+pV/4YC8gkej0gxa2edNhq/tQSLq8rP+IyC6y2YVppeuLHhPkrL9/x
/dobvDOlR2je7HSfKsuEnWW+oQZozlCO2Z0Q9uKb6QhkoChToMsyh2Bl/dQTXUL4Zk3pJZUIuOAD
MWlYl0ywS0HYVFNn18SGWS1j6nZWRkbBXA0H2KK/lKksX4bonwYL3QMitFcFdJR1grzWMwBSkayG
U3PO5CGdnarpV/iY/CeywZUJeAGK5PSZp3F71RaDMLT8ZRhH7dVwziMMykCJxIuGLmRX4WywmxkD
QDzNE/HiV1PO50qoJHFlxXXqyXzSkMiEMuPDoNA7HhL4pOckPnlNHzo64YlR1RKRY06Pg5a0LD77
5pDYmA6O4/AA9WNntssEC9k8a5Wr+GqSFDDthmdHVhQsl0ruhqhszyKdTu0ANxerJUqz0NeVQT1O
ExqzyiwhvsLrwraean/iEKFSUybqB9LiRlIZksi+ug40Z1JzxNDYh35I8M5M1MCGASmwXjhKiY7B
JALI16JSO7Mtd4NpUFi6R+0JDNs3m36BxaGeU0+gD2+aRA+bpenOQ4Zx+m172KB7y/3/Oid1lY6y
ssdDpw6nqgbogh3Js7a7aNvprxvEZASlke4Xs5wOiD1K1M5m6xP1PuOjIbuz8BJ9bw3qTdXr5gyR
XPILS1ziUtgf77oFksmgL5/MVTYyGek9dmJ1k2dl4DP7xWdbx1yhjIOodsigyt2/T+Q5faQuG7jF
aRK/1H/rtvMsosHXqemdYrSqoZOOf+qOj0d48qE2bQx8a7ybqcBX5WqSPXq3Ns8S/IMJXrXFS5nI
JswHiMjt8Fk4eJZA1HWwTa3rUCqJexvb6FRIV3mOMPiNluSiGcNrafXVHueSj77MldCJOj48jB1x
/xnvVVuMlPApVGtd9dwl48+4NXucDBP7kNkUVOpp2EdjWwa83uxSFPPBS3hDihrPFr2wxvum4s3S
cvFSTNT19YatSyQOWVrsJYDy0RbdXVFUWPtk1etUq4FYs2HIqSQmisw0KprZvq+iu7bGVSLjx6hq
40Mdae+J7gDVdO1FZb8RDHIcQ5SL1lnRFQFmn5mnXGBy0fbNP0KrKp9MakNt/8GlJ/VnMyWavMsJ
TI0f+9LQjjj0tvFg7XBArpzuWc3FW2Oqie8ZM1tft7gmjh3vW2PCXziGm9p6xUnXWCRkbvbet570
h8xdAqe7q/vcd+3F9oVXEvhe1O6+otxzHaAstnHXX0trAM3FjgQzNXRYvVDxpOyGVzD91Bej9W5U
MYosIKebUL3jlON54nbnSlk+PQf/K8v7sKaC+E9jOpVUnvxEUC5mcp6DxYLOV+meGwBDz0d2XjnV
Ndxs8qK5pFPPGOzO5p7wDN0f1qRPI9feEHTPcFfbO3NxvV1aj2RnZIhTxZRetsMorPRCdfSSF62N
dNguoPGOz26GwAJkyS9sxR/69p/UsN6safnT6j01sMS8g4x9qVEhOgs4omm7zQ4fhB8dYaOhU+Yv
2Ipb15np3u/bvD3WcVc8FAs8PCUZHsUgfXMo8rBgUbfTEWZhipWS8KVNcGkLOxg0kpUbXRgYArnZ
sS3c+I5Ymgi3HyO5SK+wThErtbNIMu2cTgYKzaSUlyrNpmOJCfId1HDjoAmx3I9JEbOYRdYKPabZ
jxPBiNSatLBOM+eh6OMkjNv7ZkDWYwqbYioBkHhnsCQuG3IOE8x/g5UFGfSZSt3chBJvCWG92IZH
XKAUzWvXHUfFJm+gTN3XnqJ90DrWgNt+gsfwAA3IWIhkwiJf/SEbdk5aM1bvSkNN1Mv6+VRbprVD
8tr5PcPl+2yh9EnQtbwjK+4hJ8N9gKdK6t8gjHcmMJIVkWq9z/YwkOErVLI1LfIzwEXeYwxRfIb1
6R08nQ1b1ozvmheNfgFL6t2zsEKypNu+xxVDBD6GzTsSshlTbSzeYsU4EzioX/Gf9AAknGi3NVMh
9WupoCKak3fZZ3WALsmE0x33+8acmWRN85zY7Imj2ByvPSau147/9TK77R7CGXtlJqBd7RVILXPH
umetDaLkPSiyVV76jLdsMoPR5lViMZRh5T1PeCRjCjPExoqC4uYDNQrab0yCnj2bWmBDGd+rqtIR
nNL9csecEjPeIGj8q2dqOst+xE9kB1PIDkjDMvxRM/JbY02Ov4jMCDMgYN+wxoNeZR6Z5Om0l/V1
zJrlOHRpdJX8L0pq38FZfM2TSDwApA4+nlRMWa2i3rBCx9GvlA+2uTBhV+0SACTArsO5m8IUO1l1
TIcAMUO/N9YQ1KFMAxTx2c2ehurkSZJWsXYkg6WWP6uhImekkoeGVL5wqb03yMG7oZ1ShC/8/iMJ
43dpXMG/YsMNIXC4l7C1HTuMsiT2oxygtWvxwRE83KcpkiER4fGlTfmDrWRXfR264xzgyi6Gdjfg
Hargw8bELRA+AAjgxRpZweAVjq8WFYVIpoc+jeynqfYA1a1i3w1G7U8VoEblxe4uIwDO76gsh11S
27vFbcczRh32fSq0lC+dhLfQAZdpJgNqyRL65lTpXWk0kHSNuwVrunC0lvSCtqM5sPC3eGU3fNOa
o4ZjhlC66NLzU8Ucqv5jOnIgiE1YxxErmiRJgZAXRwv7PqoOVSzywExfO1trHuJl1n0QtZ+M3lSY
J7GcS8sfl7H2ky5WbnbdDdfZnhW/pFx/34lJBHg284+r3jkheqOsgHmyvn0A7YbcMED8qVocKEuL
AG1H03Cmx/PSx5TWVbXsirxxz1divvYd1UZiFL1zHLkkphbuPUbuhzFWcn901ZsJoBMa9rL4Wq+c
e696FcJ27spe+WxnPqjZ0ox7s27KsFuyv50Bf6fFVJzknIdqaNO7fJxmX0kXx59JGeiZ93GFYFpR
7eJMkHcULhHpQWJEKT1EEaFrWHcIR/k0Z3O6mBH0rblOgmSYraATfE+GWi/OihiRgBoAo8tcndxl
JBnErZo7PMeuasuWyoAqYhCJqBO5AVmWFZko7Es7eyS6zCyetHbsDohsw2RWkKw1Qh4LK++gVtYv
fVc9KiqENwy2u4PTdR+ayPXAaDWTX1jOj88zb3KYUcnJ+OTGpBatmOgwJlmIHTQr+Fhbdiq7j9pL
xBmNkkr1Sv7sOgOuHMuCHT8KNBTkrAdynkkfGryPPCpNv3dGsA5smuYcb+jOvlEqna8zJEM8i7p9
7sZvDmY14ezppJmKPJRzbLMZHnmDxlHs7ThSQ+HkbwQCzbsGyCzEclUN8wQ2YaXEGK3o9V0544fV
RUxRhW0avoMl3F5JRyfoi7QPRJQcwODyc4b1rq3q9oU1/h1hlz025umDoWnKoeaH5EfLQw6BYypS
8dixn40tCs2GS91EoCvpm44dq9rqrPTZ2dVGPB+K2tZ2KQQbX7jYyaa3WMwWy5tuDAoYkjvLyR4T
T1xsy23DHotc6taFuh+R4x2lo3oofjE5YQxHSjNmxX7A+F0OdoWdV0oWA37q+2hRw85xWx+5cr6P
PIuRJBJxiMvTh4bvTtgM3fSsFcBCBeqbRteJ+vI8MksNjL+aKJ13hD8+81G5YCzuL+DPfC8Uki4W
Y+fkcGRiQDnY+k5LokmLoZ0eFdB8ZvGWgM+gcw0UuIGQ2vs2GFlS7BsLB/MGJwjY4VX/1ORIuAwK
gR41/3aGQZ/P5uKrrKTNgWgwxp/f2CxMF5Hmj0rUyGBUtehedMaHbVKHl2N9TodMnMqF4dpUoHNV
VDNq5+Kwy0R6eiF7d6eRQhc0jYYjUhUhnYvgKWXduddLSF5zjqdj3PgRBqsHVWHPMjZW+3WwJCwI
syqIRrKtx8jL5B6NJmEYGYLUQSrs1OcihQjgNSciL4fzPInxvD36PsS2OZyLFOoUmhpmage4HX77
YSlz98CHW5+NXK3PNnjXvpfVdcHs94wlkjynBZs2D11SsN3N7SkGDPl8aCgwYkNzAb1wfaD+q9C8
9pw15VvrFgAopTm1R5kUbJE9VM1uvmBLPCznyRjwMnc6snBtrSh8y8KdRS/N06isgXj1YV5keWYW
KdkEzVFoDdWbncAK6Me44v5ALR05u4VZBUpSJeyl3Oi8HVi+sg5NsqsF7L6PFLU9y6HFL2uyDi3D
4blVM7iLCctSv2mrlzTr/3R9OXy9V9uj7W1KpIX3+RJJF+eXQRyiNY1y22dsj9y1uUbz8Xnv2rqc
edEc7Dmaznb8iqipZqALNaz+2V1QlfWc9M0o41ILOrXJTn0vKbjLnTZlj5ripaTZ849RfLOwocQJ
ghV810VRwCC1voDmNlbdNVMYLrDQDZJsiQo/UaPoIPPmOHUNxgolqYhpcpp6dIkKizVosLNx3l4B
Zh7UhR35StmuJq/CcGWwPey0pGb7Gxl+0kOixCoE+fdLVXpsrSYTvIZAqjNEB/0s0JgHtYOOrfnt
yvw3uIvLOxvhITfqlsvumDYZWMSgJuK0fVa1Plfndj1sze1gYubB13z9KP+v0xFB9P919eR43X6Z
BOBiedDqKSBs+YPNyRB0Jq5woa2YGIyU2XFsCo+iDhfENfnflZtilr74rdfCzxROA+WOwwjjb7/8
FWRKUAGcNaW/i/IhOeVKgZ37bSAmcD8k42MZ1XcZ48AZl2wS0uriF3ZyMUB5h0xrIGNW6rcOb3jg
cMUNnaxVfIjRlBPiVD5FTVEydstir03xo0NVLCqeyV1/bVXXOIwrTKBaVnGeY2wi21a/LBrRNgeE
CM7z0PIb9kYXvmRRvXibDJL4gTJGSDlOJ6WyM3467nIVC4ZslqN0rJrAGT3MG5oxP0eqwJe7V1hW
Ica68Nac8IJRLF9SdfaVGZKWa+h+5sXmM45HZV1nZ6+Sf/mwyaeBtHoyp5JsTT3tdwklMn3qvesk
pHEAVK5RjQUpW4id1XbVTS0QNY5sowKR16k/5HF1s1IqzhhZYdpfHhDayx1VGI+rMHw2ZpxtybjR
XZm9w/pvL1GZmgGRyOWuU2Rzl2GcYWiV8lYzzO6duXVPOblEj2RnUpO2ZP9nzsTBkT3Z87357Dii
OvATKI8ROPpbVUY4JqTKryEy6wB72hHGqMivisq+p/PGsM4T8Suuk1eQpIAEbvNjjMUjhqjOZyHA
05gX9FKxb3nE8qWM08ZvVWLbzM7+DTLvggUwRjlqPxwBS54oDaJxGRqEVqAluyruspOO4/zOKUx5
xMVUHiSlgx0sTWMnlb4LWT7uqnpKD2qz4h0eiFQJ0tqLwb5C9CeuUIxPJXoSI62Sj0ipbZTgFBP0
56xWq1W8koSqYcunblI/+k57L6e+wZ0cwSTVfuowZLWkburhAzSVOzyXs0eRZgXi1mxhkAr7pcgv
TVFPF2tF7xaovpPRNkdvbJVXoq9D4RlAqij2dtGQh3Ocxq8wBX8LgqbuzVZXXgzVUojPUKfQHQqY
jVaV7PN2dj9a8OvWc+HWd9FyAfiMd7mJndJIBfmII//Oxcn9V+dNRuBkjnZjB2Cc2jrpDh3as+fE
7FG9Uwn/bLEPtrz0b0sgMetpzXj0qrxes0fMo2eM4tFoIqANRZR/8voTW4GEGmlS+7K1vWfYxtE+
ThwEw40kY0tm8gbE8HfR+5NcRP88db37OGBskZTwmQmabg84gTMcbfXvnBd73mreGbW03P9uf53e
rtw6t/Z22C7/fvZ33/95i+20LaNtnMesTDnFIJ+oP9ZQ46+H1UTc8dbeHm3zzZioXLS1/+vh9/nv
y7e+7fA/fdt9tr5F68udodazz94ux/utLGsm1fWh6rCEAU79d68xmiwI1vO5AmU3JI/tX+2vp34d
xUIZULGUfZyJ5rwd6nWancwK87GtbXbLv9u4V7OKHNO7atHjJ0tT+Tm4hRFAIoqftr66sBndU3M6
bH3bQUWbriZTdPfVVdjZQ8ww9v2knuTGk4mb/1ffdqLsZEt9Z/U6Xm/+1Zcqna9po3r67mPHGWBm
b9wqM9fCxK3jg1VjNV4pjXVVa1O9RoWXMPXN/a/W1d4KiMjPuqrMZxmJIrQJIHqsFsn2KV58LN6q
jwTGxSElAPJIYQTVMupEQvZ2mu6Nu7HNwVKi8t6uxu7OTPODyxx7IcmTJZLM8hPKsUPGlv9SYtl6
wNzltWxz54r8UA0Vtl0MK7F9P/Vzygpfvc/m/owZSnEhvVcQqQORGxaVDA1Pswk9KfCPq+Qv4WA7
yRvtPQPo35d9q37gt1buxGSXoSq1B8rNA1vMAZvGKpuDDnfDg9lWVHpUDJk0HaEcS+9dNo7qa+NM
EEb7bFVTgCTl5EMRQRUb72n91+iGjp0yhMYhtt7kZNa7Au3cU55gUlDP1W+w/OWydbWxPly9vDht
re2AUDjed0i/d9v1W18/6K+eNbZ3W2tMKkmFab7v+8WDp9aLXVVk01MpohIZbDKFSjxNT1tfUrHY
hRx13VoeqZyXpCk+saH51wVyxqoaVBIOynqP7VDo/ySTJR6323i1TE4q0YX+9wXjQNyDqbT5aetr
+N3e9Up09Tpq+Eu1wy8xftBkoRLimS17x41XeIJhe+uLreSxKKmgbl1WNcK6zas/27i+dSWTXAK1
1vTD1kyXrnpaQMW/7lASga1DVNo4rxvJFTroQ1qnzjHtGF+xbPk36fbrkk6yPteiH9/9/3sdEH8J
HdLQ99v9vi8cteR5phrHzqaYAhycqnssA82TMa/+OU0y+1vfdhgrtbrv10OcKtA59UWunk9Ic/5z
4vtiLZPOsdbVh++u7dGSR9X9d5+bFp+q17L6aRPPd9suva90SsaCsN6vR999ttJDImi983aFQoXp
67IybvKjokOG6XVcx9PaJAxFLfrXGCAojFgz7LemJqqCNIQB3bVjda8iilaSz4oVrhcnkyiOqRCQ
qtfmJIaaxGB4Jlg1sfcS9qvh5fDbKhOEeW2aFNWPegdzv58G+3Uu2+koFFZs29l87rJj39bLLjbR
yo+97ZyjlkWJnYHOqYomMEnL7RdnLNmCeeJta1mFlj2vdYKtlbiR/WKYFi5JffG4dVVDzGqiqOXd
1oQxZQZkOH40+Dzs9LnxXqxkVLAES5TQ8jz3RWNpdFRLFnVbs8LqBf81FjnbxQbDxQMKhst2MoLR
8fJD52s9BtNi8Luq6wd1vWnWs9ztPa+82y4klpg13TKQjERwob/1Tcw8oehwofLY33tJPSKiYcqb
t4ltm5tc3YmAO9cyTj8iFwkMW5dHJ+/2whlzuJ9xcihxC3mJp8e6bou9pxAMnU+r7+VkPwMSWBR/
tSGsYGW9KtkIOpWrP4Y4Y3ZfyuLV0uaFdT6jHKExOWtxw7nIBLkzPqL566jMFFu86A07aCI4Zsyf
vcE8bK2mntoXxzgxOiahTZalAyvo7Oi6h3wrw4q6jMRrN4Nk5Q0lKWQ0+lErYycQ1ARWlM8JRpgu
YZKbwx4Ya8XGXJbzxfMyGGVg6kV89PQd5qPug73mwWwHPT8apnIzyvbHoCtE8bjNcuNFY8NRzeDV
OXsXxUAWmVI8DmK7Rmqo4yGIa1b1qy/Hhyhq1BeSDDfGjd+aXvRcgGtlDWt1VWl4fxYNdtF62B6J
dY1hV+Z9XMb5V5c2R8lZMcantMv/1LZrHDtiLK7Cwh9uYYl7KZrinbV398c1xXWcC+2TmI195nUW
m6Vbt0ifBXlJDbvvoUtYme9hrvwjXvnXomz9mGyMVzPtTglE3j9agTGc8pATY/Kk29UFZ95yX2ng
tKWSlqE7pTVF7+QHi77mMLoIGUTvCfzps/7BHKsWIMBO/rTilxpL++B12srOL93dooIRlqmoCM52
AW1VmLG21B9lOpUv05Cu6sJcnLdm3uA3CmniDuW9/RANC3WoYWrQahjzQ9Kaq74s7fawgtNj1+AR
YinlkbgnQhxyuz0C+rWhucrK2ZkbTyz9+fOSGiQFih0kqDBVKPRT1Mr9VO8TwBvbN/VHUgefYskI
ZDDU7uNIr0j7LmF9KVr9qjs9nrVF+WixW3sdpas99p2+385hfepdBjK0/dn+OzA4v5rC8Z6LGnt+
IjJeR8tYSNEmhHk9N2MEB9ZMqunaUvFbfGpGkPu1NVIsfipJ4t1a+AHXT52X7UVUW6991RC2WxaH
7dzgWeqjE7XHr1ZtNo/9JE+mmqnYWujHrMnltVgPvTpdZNrrwDW06qEb96Or2HgZ6fZ11jWHPe9S
+CA6eAZsncZ6JrWYY5aluBR6a1/VSeNstPQyNJNkxLB2bW+ntgMFTGKexuvW+LpV0XQWRdUKGLWY
xHEaC2DJThCY5lqtQDCEc9jWrNY/QBHA5tkr7ZmqBXQimnOvc7V0VXkaxPLy1dzOaG09nhMruxb5
+G5WaXUqQLyu49j864ADphOSK9cE/3NiUr35XuelfF/bG45m+N2sNT4EcqxF1rskPWDQrKcYBphR
fDMyd96LETGllqvxjV8SIgF7lMvdmmG09W3XuUQD3bam25gPKO5AGdbnf/fLpsO+qLUVfBnjlqVc
pO3EEgkUpxzKtC8hGCOxnPKaIvLal5iMnhgBxdA57P6lsMrXOmrEdWt53hKt1EoSydeTU58qB2Wy
UzbS5fCi2qV+b5P7AWOkh/TCFQ20VDbHz1tDtNSY8KuXd1tT66FyIMbLD1uzXsr0FE0ezOH1mdh4
Fjc5JV9/eOuyrSVI2jx+2lpWMQGxTniibM2E7PfQNlcgen26sK36jBbD9rdmrjvWQ4sEd2ttr6+P
9WNuF+3D9tqLlec1W6lCnub6uldi0aJrdbg1a8Ll+WqWpN1sr80usEFKMYJaW9vdkmh8yGsgXgrL
lNYsrVQDpenas02xACB5aRirzao7qjaVoZjwz1dnrhY/jWPnFwTiS8sjMun4PXWW/Afc4m0BCf2o
B+QiFOXFMznfTPUsDX0yOusrDI78WFd2dO4NKS5RpCRH6pDlscLE86YX6VuOPdvffnGezIW8dset
/5ZFZRO5nM1nrSbU2E1h34D9JH9PFOI7EHw2Blrsptd8LlOYOHF8oUR6SGf5YsvS8LHjhL5R5/Z9
L4dK+kWj8fXmlzrmxW07KLad30BDsciOfjk4PAZjhgLdnRrqaXEzQriCeo6GTsVjc0DF4vXzBbK8
PLVd85vYTOVkacXyYg0NX7v5QSMP/o3ctT+ldAMK9Dh319Fe2OKzGYrslqQJvrW5o+yR6atvtZVq
LFr7vebq9quwD5TE8h+GlNPeUJI0dJX8EiveH5br6tlsk08zqX4PszAp7zTOUYMxSpXNJTgLo7G5
TXMcmBA/eMLIfk4UifLFcqEiNRQrHX7YWTN7O11QXmogAjxV1QFEPqXkR+h5X6aEv+BOTJVA+9HI
2DtaHpVPiO952AjsMU0HstIEF77rxujO+umi+r5OpfZkqN0ZIXrjU4WK92oFImZhdwnwMoP3qqzN
W8e4zfNPncQT47Hqbfe4FAP2hzME5TYAZ1SOmkJdDU1Ts0c7r2MPEhnnP1A91GsOArbDX8nelXa5
5sjKE9MjFpt2/NEUbvssdSZtuvSbQ+EecrcjQEw5KOYs7mYv/bOUhC7OE965RC3+I5HB1L3ukQYY
d4E1iv6R4q12sBpLnGOrBJVPancXl6rxBvPz92Sl9T8mLpjUgj6TYWgQfwvA+qrGHGLqB1/FpO5E
ct/0pFZa8tDAUtla26Gxem2PcB5wbL1iO0S1DtNl9i4RYpUnbFQ0aH/pEW5EmJLFcBs1U31eKK2G
nk6te2taGCleixQv+PXkCLvweTIQY8/2eLd1GagPDk5iN7vOzbRnbzR6WJ4QiNbW1qUZFoZvfZ6d
tyess8/JYGZm7ZIcKy1a3T7r4XmJoLSaSf3/GDuv5Up1dW1fEVXkcDpytodTd/uE6kjOmavfD6LX
wtv/nH/tExUKMGwQQtL3hrvI4UnlbWPbxUJnquxZ2RCvrk8i56hK8xxIMQgBC0l6UabiEXJsndSE
RcMJImFSsuPVwF50OsGzpWEbFZEMGoEWzKrDx0Yl+jBVSlPSd2z8SZAGjqIFW93dyc1QgVou6dnx
CfHVaP6bk6DL1oEzPA8h2x2DoajPlYs1Wlr6pzjx+dJldfjHrE10pZk7PVm++RR3v3I8cV/Y01wP
mtFjTZJqL3mf//QjhCZEHVu08hpxSucAYlR/MRX8DKXW6baibaqp3qnApmYtajuZSA/268be1R/5
3ueAYcohOTk+MwioaMGTSBBHybZF5Gbb6L9l6hAkK69wEO821eBp8HpQXq6D9re+j/1Ae7azRnuO
RolBH0zLUWRDyWmOygg8RDRROlN75gM2WEkwt08rwsg9Kq0Hczq98ModcHcXQXS4bYXUWE8iicKK
0a7q+qPlhdZTjTb6rQ8laOYqALRM92BH40izF43ZEfTvaMmxpnHrdA3qt9pyg/otwOa/1yubP1ki
uVuY/QCjsE15gkunYnFXNXNWlNV6uSkVvmcih4lpth8LAHZzVnU5a0z2LsCNB1HUayPhvCaUsfUo
vGdRNozuSUl5MUSurKX2UBtlRgt+VCStOTzkgEOucxEsSBytOmelWWnwaNm85jXaWeag6itiu0SK
tc57Eokj+3s508abyPWuXd2C0t5nahxE67GadoHLwlqJ2izgKx8bKltnVRTuljLNiX47ssxHr82r
uxLAKvtt4S3aV/KTSOhHKHi0RKuXMlfvXstA7i8o+shPreeGl1Ixvy4NItYpKG9U1X4ps7Erq/v5
olXbIViBjNDa6M3hogbhY907yY1vYHIjhH5qIUGcRA6jTFNeiUMn9p+UWq+PH8rEaUaV/Shr19so
eZEA8kmtu0jskl1CC0IADHXKclkCpEsspuw2ERzV5zJ082c3ytlec8JgL8qSIGWvMgRi7qdZvh4K
V17R992jaKxreLRmqBRrOvCfXMYOK2aY3XpNUD6XY/5Us1F4Re+1fM4iRG51X3LXMnRQvB66s9Xo
LTeASh/41IZAKkgpxSyf5aEMH6rQPopKUYTPmMLmfeUclaHLb4Pen83Sb3menfZa6V1+cvqyARU0
eMm19PJtmm8lucs3VWWVG8XwRoBHbrXTJc26thEUjbB1o8l+bIuP25dKczP48O3Fzdur0XootvvE
pOAl/HCbcGf4CB5EBiudjBmAkyvFoQ/MX6OdgmArj3LrwZyQfDDdcqtuauYg64rZR+rgL6QmqxGU
8LoPJIikLl9zEe0DHwO7XgeDLkvdCcTEq1Jawd7jg8AGtwwkHZBy26pneURrrlYkjeAC7CRb2se9
+sa6i8EG9MIm1+Rb0sRHzKilS9Hk0GPbzj4mLQQ4TXsNqy5k+WezTgbtmbS+/TwmhnIaiGiz31Gz
mahlqyQdajhTK7nHSRd1YsK3A24ATt5Gq3rkG8li+Cq3d8WvnMdJhG+AxGAOhQ7v0dMuehXKOwlj
lFUWvI3j+EJEaBPUSr7LzNo+twluMGwEcLgkQ4cCvKkVZ0TLvoCw6HGhq9tdbvn4uKqqe2vTX1zG
PyG3oq3Qfe7Wlq4Ruc0k5ZIwV02MXr5rMVfuimQ8GwjOej4gkUTCcjFS4eQN0aFSuvJUNm65xT6y
21SW5V1iuxw3cq1+8Xr8A0BMNVtvhKIhj/ndAP5xL1T9VQqD4pCg1nhBJhFcCd+UbVxZ9SXPMnZJ
1A7+1uiuvWJoLwAJDk2JIGNdRuu0zPdO0jvHVBuKTcy8gaWV7q803LTWZdscjGJCBHqNstU7M9oB
EP6BVNP3yUz0oBMlX3O32jVwuGaNOhs7ePQbs5KA60V1fVZI0UkAroWWBCv2RuNrr5mwbeQfRaQO
8Or08twBNDhK04aHVt3FjFqZptVMUehGDXGQ2EeYJY2QjAi6Wn5Vk++tKd3iGJ4v4ijrOLyDXv4z
2lpxIv4m8yWMSjTX5NOQFcqTDsNDp9sT7jXLLgJ/YxVrLfWDS5MW3snrmWEkCu/v4OPLEzc5cnvd
1HvzhC0rq0WTwgpeMeplghmxh2oWZbn3zeGHrcv2pbejes1WYO2zFTqDHfBWI7ZkWkev9XGE8CDT
KCmmZVk57ZR8gQiQrrsw+FUlOS7ZgX7gW95GIFaQtyp33NA/ZYxFTM82PNEHTDnqwnhkY0RdhaDL
Nm5YPTt2BcfMrnB/k7Xs6JeMg6Gkr8eurdZ5w55AmT6iaSpf2iBQLvWUWDqGlRYkzDhd+arnbvUG
pJ6vqKxQJKth7DWqrRdF9hpQ1i7IvF8SkQeUGAIUhdjK+NkaXf5WI2vOR/vQpNjYWTacJtUjBiL3
0FMdpsdXrwLIM95ZkdRr4p5Frt+wNU9WuAG8xqHs8/OWMUGoNwPk4ofeYYO9VJuBqLD3hLAKn8+6
AKHkyg04fD289CAvV9hmMatgUdhEMhwevWbzeoy9nelM6rNF+8uz3QSBMg14o63GgBj0FOChu/dH
rBpVCPOrRoHKVP/uIA0GwH63lQOcrzQtdp2tlZ7W8hqh6WwrZw0I5UbCgEWRJeQj0YvxPJfAQm4/
D8Xw1PtmdWGrMVmPzYAoWlI/wF5+Yqe5WhnoyR+dQQUFqrrG0TLtk+S2zkmKXPtkTDidImy+V7Zz
yQOGWb2SGMbiojiMKCxhofreAUTdF03zjveBBifY9LZSHg3XDq+ii8XmcTYRiL1YfY4t+wz+YWCW
3bvcwe69Z9XO7oYHfCkMt6rWuKsqg0SRhAUbFbWnE3XLjUNhF9nKiMx6D3Q9AxTnGIBu+BjsIDOf
rJSglJqhuYV07HNuNDa7PJmyicJwnw+1vm/LwvkaOy9wmRq5dn+OZrmB88631JkgMtLPQGvXqZF4
J7X38Ecs5GrDSt05tADP9gY4UHAnhKQkl8VbA+HeMjI2PWR9w5zx6vRG9xh3aBRZ5BCTiba17r2k
iWSel6ToMmvOmsz8j2YJRQybr5vhMnd0OgMco50A9CwcZ+d6rrP2HdTXFIa+NUvmlSp7vIqurp3H
MiRsyuzjV5yq29SLhpM8It+EUNRdCb3fxuQQBVXngm6x6IyszvgQT8kknqOnvXKR9bK+d2093Opw
GrnJOblX38uAqW5Rxvvcs2R/HVs8RjBhR6lm/dG0MTMPI3iLYhWdQz17NLTe3PVpwPp7Slz7OjoN
PLRaCbdVc4+tKjr5LA9OsWsFGy2DAAAbOzgbpn5XPQ32htPTo7B77EBcsb8XbjupvI8YVLKxx+Ks
mQTOlOQgMGDmFJGGKgwsUTcmrysQmP9NpIZ4UYu2aeZgl6H5SGq5OUiNPnFqtlnwa7CQPZ8CAdKo
blUXW1cMt+BIYAbqwLH2WtBYg9cNrDhdzmVr5IKg9JGOmp0rfXiU/bGH2uGamx5VmvUwZZEpGNat
zsPSYxugmeXH8EoapCdHBXSRo2dnEBmHboCRAlzp1ujNXarxf0r1MNqomGiOa4GZ8ycCvwH+bGt1
QwqnYLRvfawoTAWb5MEhNHcKq+JtBG70itcGaMPsu98F8auc4hLj1L/szKVzi10Ca9oqKEeVlU5M
h7IcW7mKZOATBsDKkTauaI0GOPZquUglwJ4uSIGhTPWTuAyulS9B6aXHJMwZsvvG2mDYDTyEkAIg
uGxcZyimBVZm8l6Ya50h79opUHpLgAL4r3W7qOL3kBxxryEbrIdo9N98pOAQH90NWMttLKuH4D7h
jQBobyKFp4v+byyt47b8w7qmPtddsi/7ks8kqMDIwtJajiAJ1fA4y/Jo+d+yNNe+ICGPImf/pEae
cYg76WlkE2Cit8r7Qp+MB8J3udEOodP7ROs3Tjg6Rz8wbiGhtHWsIqtUyynCfxqIcfNs6+pwUeLw
pZdZpfqFh4yiD2V4MmkqXHRtoorfAwr0NitAeEnZ7EwC3mC5cnMWjoiHP01nKc/Adm2ksaWBhYDO
OK1MuPo0bqtNFpvOIywA60EeXkYQfI8aYAQz9apdEUZfciYGyFcGQCtzgqkiO8ZqwpwvTwBoStI+
amyf+ZMWA38xNqnXaOsiz9oD7IjspdHL6tDDFlmLrBpZFXjj0sAvVKquTJf5f+rG3Ki592swpWGf
hfF4RvjjsR0Be+u2GT14SLk8eJVSEhlGCtNqrXhrlGaxz6GBax7sDClCYi7hz5uYGnaHVLDlE2TM
vJU19smWVfSDxj4Ho/gmSR4aH7DY99R8wbSsPiYTZiafcHU+CIujbj0EE2601Ab5CDDCn5CkIhnU
4E2SNHcb/rdIlIvmyfTalafc4746NXS6VZLFpALoWakgp5Wy8DbubsAR8mD4L2EFUsB97isv3nnQ
ec1ag1vU9c8IlaNuiOfdrKshMEICN5ToLBjs0ELJexLcEBWNG0OS7H8MduWdwGUZ45bJKn+JOBRv
tFHAJTuIw2hkBwkWFv9eV2agfe1aRUEol/bDBClkLpucsha4tVfh9eCuIkmZ9hEo9cBibYmqfLOk
dBPJHg65v/S2A8U83bhquqI4WvCJphLJ41ZAFUVhPyZDchAtA6vmziCL6P09v54uIlopvjysTCuJ
N+KvjNCaJgCL8Nnk6rf3KnkvFEYsZw3JvTuC4fzZTM+v1wPrkKJGLWLAIonE/ReHIUtkQloY34ls
khR7P5dU/GemvykF9+nhnXEQPyn+DJyX/aDoECdpi62T57/EeXHvwTGfHuP8hEWhwEulLlEXYyKN
LmV9rjZ7pFbwZAL0MWN/RW+AdkuEuh/ifiur5XeBBxZJB4y6KeHXsZ+K5EhSdCZmRIUVM8bb1VYE
vWecly977y3Mxa1T+TxREwnRXR1Vz+LZm5H90LHvsxtLjWHd6AL09pi6E97KTrHF8q/20WxbHhrY
YRUIdeVtxOMST0Mc5Xh8RitxKHqB4asuceVm5WRtesLX0QF9Jg6nBCICfUPaF3i9M7Z00QgQAZgz
VsMYgX44FGdbOFKARLa19DQfjnELGsoMDuL3+qpij7rahHX0ZezVk7hz812CWrrKjHjYiHst7kpU
Z6z/awXxlQkDIJ6JOEMcibK5O4i8SLQYx5Cq8YFoIvrYNU/iwc9dU9yapTeImpKdz1UBhn0jboX4
I9W25P7UXqau2UFnlmsUP+rJNgS5y/n+6qnVjgCvtF3CbIBe96wUaQ3T1t+lI0TnWh2e1GnoEJ/t
JDSt/eiNIIGx41vJ0DlRwq3QEzKiNPt/fvjD3yAOsb2C7K766txyfnqoyeBQ2mrqRgwB4vveIDd+
MAFk9U8xXN755s5wig9vzQdQxec7qBHGywJYk2O10/xUGbeh7b9LTSJvlzvMIHhSLRtK9zK4yO1j
gonlTvwtrVs8xOYo79BobMd1lfiXulMlYB7TODS91uJMcfSvZU6TjwgH+NFG9IQ2jHdMYVi6TB1B
7ZF20uFYL91namAWIw10dd0hwXYQPbhvjO4wpAbLkmKbWh3GR/YErvzX3zWz+Oj6YIWdVAOuMAFS
lr43hldbnQCMWmaWk7wNw9s0LIueJLJLWcbuzzQiGepobV2r6MCsxI+WJzFGivYiWd7WD110PhT1
Y+F0B6fS16InzKdgK7CX3uqKAIEYC1mwV3sUuo/LG770ZVEmst7UC+W23VWA9Pa+FexEnS46u2ix
nP+5C4q8eGriaD5H5OfDT/Ui+6ls7rZ5YZp/hx5s5Qjwx/rRgyu3ioHHZDEgt9YE4Tx9OFQHoqmn
slAd1B0+FMTpmReIJ96ZKsag1kM61neLuQHrw4vKjsUoZ3hsR/cUUEpXNmdjwqqOfX5PO7vZ6frI
VKJS5Y3sZezdtAjMrAjw7gTvYEgnu0h97MqNF+QPFubFy4MXvyqy8+u05EXh0k0+nZJ1cX1osR8U
nVEk5TRciyM1gr6kh3CexN0XF8nAMw5gVuh2rQutfi3eEljtlIrDD6WdrX1NDUSUxLplwDV4C6nu
mym4FD43rAml+Mg+ONSQcMI39JH6GrTA3ZEx2Yp7LBLx2MNpeoJQLmvkIf6RDurJCbVkJ4/9OdJz
BMqc5iAGGYVRu4azm6Oeu/Ezb/4CaPUvSPnJUVxQPHlxxEhfT2wYM+h+jZ3ziFmcPWOW3ch8dvE8
26WiRyyDgazI1pHzlr9PrXtl0w4Q75e7mCcWI2k0fWYSOzE2rgFdSJBK4AV8BZesMRN3kB8VTYit
QTnR0EXpFWM765iJyRZ43WI/2NZxAJhDPHcPPRKN4sBcJziGzbOreRUVKF5GzE1V5kEYLvWt1CJt
J64v/i7XDPpjrT6MWlrvZF27i6e6PFpxlDbNz1AbglWfZSj9QyH/u0BbBg5JfPtFfp7YsTzNcaRh
+QDGf6skZgo7v067K4Ls+gFoWnESrJ0uaIoTfeFP7ifJ/HzFk1jGmOXB8IH+HUPP1Aen3BgQpJHF
sDQcTjJeApsRfINC4DbnloknI7q1J7P3aAAPdjN8Q/47mIsGy4i+PMm5Q0/j/XITllpxJJr8/y/F
XK2HvXRdhnrxx4jsPBdf8uJoLhwDbD+Y0CLMICa6UmMeZDwWRRPxs/OUSxzisMmrNh8S1/4Lq58/
lOLv/DDLmM/NU3sNLOBCQBB7DD70Yv5KcISta/GajBlyMGtv0N/RWmE/2W+jQ1b5vrwVzedDd/qC
BoBBGi+e53Gip4oZ3ZIsZcOYEHJQUIpUgIlNkzDx7yzJjJIU+Q9z2fmvz8ceJs61z9B1azmugKfv
TKJU4xq93owg1A9b/CF6eVJtVT6KaZmY1IkjkcyXnqaFIksgCM1rDwLI0lg0WbLiaEmWx7iULb/x
6dwgfW0Q6mAMY8wUA2cDECA9iLx487jjEcv4qX7+48dcyVaB1MkfppHiEc49b/zuQbQ/iu4aoKQL
aHp6Bn7TILkheso/H4qz56EKUE51sPN485kK4sEUWZZwnzghguAhapeKZQ0oKkSytBPZzv3ZKWV6
nP/6qSfPZI/lnZnnM3NnFqWOmjbET/773omjuZU4/JwXJ81X/dDq8w98PktSCGzU5osyIjUrxpVl
9iDO/aeypYmonefZ4nBJxPNYsuJInPevV/2wnBGtRcNPP/VPZZ+u+umXvGnAx2iubHwYfdMrjocz
sYpinNeq4oUXCVspkDOhEbF4n7bZlmQpGxM8QaHf0aaoNQ7nRmK4FRdfmn6oEYeu7oEQIgQ/92jx
soj3ZHlZlpfqX8uW08R7J9r9U9n/9VLumE7k/iwE7ddvbBzamNZOc2Hx4VqSeSW75D/sVfxT809l
83piuuz8C+I6n9rMv9BFzkWRuj9y4/hrMTSINag4Wr7RYgxZsuJomZAtjT+VfcqKdm6LYED7UymR
RIgyEyIfLyexd6a3ogvPh6JU5Ee2sllWJ0WyU53seRneAVNBG1/y0jjRyEVejPzMhTx2lIzEsOet
I9cz6nEthgd2/5FkrVAG/ktXmwcNU2YPQYwuWT5CwkT8bfNPw+3SFSyx6F/aLN1gKfvUXURW1PZe
FbNlYcP06uRR3zSWGo9rsf6NABiwXRT1L17dBbv5jRc3ZUnmYXXJi9v1r1lRsby6IuuxkfJ3+Bb5
T1cQZWMSgZ1QIl6jZbCfJ9ZzvXg+y5kVXiUs3pKjwcaINu2QfFg5Ls3EuSIRE4MlK44+tROD6FL2
4R8XNZ9O6ZxC2o7aFVTgYwmVAtcA0YKdck0ByTF9uHIc8epnMXS5SZQkB3Fn8qhNk8MoW6sqsYyD
eNmXJzq/+x82Mz9MFZam4kg83iBr2dGbG82bXKmF6IkWBsikqGhld6OTE45BzUUZbuIVnfcpRQ/o
RzWsvooX+e+uVil7W6yzCZ1UBAfTNDlGSATDEoe0JpKyIlq5WvKu4Unon/nGKp90h63RwICMAXnZ
+TBUxdvrqnsWnG2DAEAgo10j7qp4LmUClUktspc8hGci+OTq9IDHGtGdet7P/HT7xU398Ijmpet8
18WaRRzOr3lAcHJ09GEr7rL42SURf8CSFTf2U9m8qhM1n8mcS0tRvfxLqu+raxNrvRU2hljFean7
1mRhv9cQAtyqMGbJQj1DgDQ74jNJraESO9MsZHqmWscB5qlGEd5NpfccKMlema4hR2Vyzb2yXolW
Y5P0B2nM9Y3cJoD0ui5bVQGvukicxNbXpgPAUwFTdIkjeycHvpFukQzCcJmV/ZZdSVDDg3WsVK96
gJNFrBnRWIjniYV7UShfYrd/mRDtTx4ysE/wb8oNqnE9qhxkRVmC4FESEZ4oe1QgQrOIn0LHQllQ
b65DiBaCBWxhpxLb3zuGOz7GRfUTvuOh1ZX8rU91XLVi9z3NmZKX+MCfXE8GKZ5UL60zGt8dduuJ
7LoeAQelRh2n61ZeVZZfyhFML0vy/FWVY3ONog7wqgDZLjmbbAF0tpLH1CjQb5LlTYFEMMpQOThu
jBiLWz/VsJWEmUCHo4AfKfsqM/PbOETFTRyJJMkyC92zNEVYmE14Iwu9TV4gP+QO3Ted4Nm+licp
v0QuNOxIUOLYTBvAK9tl5RZmIarXMoRPzcVIVEbBcFMnGZggp+5YD1eZfQKpQXjNYbO9RvVraIfg
sZsSiC7BoytH78hqSkdRlCeYdKO7iCpXhvCZZhCtsbzHCjXsR5lI6GMsKcp66HuPFQQVoekArYpN
7mWKpSgesquh65qbEjXOwzglZQJsz6Rvwa6mxVLhq0m8VnILV7SO6Iw+YDbX9yq6MO7vIQrG25wD
zYHyr0WfW84vAsN5QGUmWBd+vUL3VNtaiqFvhqFK0XgDTJ9pin4yLaDOwFqVjWqqUb3CCh4ZDBzA
c8fPLwVUu0s1JUuW/rmPMvZQO6SNTLhpuXpKRz3W1oquKSeRZIP3n8KsLaT14MByd/yYzWZEDV5a
F8Cobfbtt6hLv2qE0sGFQ/fn3dLhM4NMBK2QFajEtONvwp1f/DRSvw1VBFoBQZwXr0+AXaOD9TAq
xJKNITLOhZ22J7UN60Mch9mNR6BA+a/lp6qX6FxJrF9lrX0pUQ262kH00JlFBfVVKp/ClsCRhdjj
VmRFBaHQV+TX023Zr1qMO1bD1DxUYkz5QrBc03lEsCmyJGi3jBmbDycb6bsVj/pZXKqsdOVmOf4B
chhOnQmyaDs+OMVm+QtqL/rj+2M0X7fUxvqhauptKiNrs3axWG695BmjwpFN+6xirWzqZ4gW1RPc
8/bG1vFR5DDarZ8wrYMMlfSINU0tRJml5Z9PiuwX2UaPC9dAgNrQftixmA4lGHQX9NPaS9mxrZzH
qJ2ICgsliyMymBFoNm6Fqkv1HrFNZS2y4vYksTx9qiwwYdP9MfseoEsxTfTCvdn/mf+dOErdvZmV
cM6m+4fqNIi8ZHDwp6fP9J2Ocoo4FEnhjTDcl7zobX2NhOSHQlEtahrIHZvuAeAMCDyvW4HrwlIh
LxiU1PJrWXr+oTU7D413v3jP852oDzu/3MUqqk3FKFlsWEs2buHsBx4rL/AuzZR0EbontubuP1S0
bYydzJvnmuEWCkN4zvsED8MpEUeiTGeVjWWDiaJaqAQVfoP/0lCcMrdezm56zAH/L6fEdge+Qlb2
ny9TNxkit/f+lsvsBq4//XWitfiRIcvV6hLXE4+CsKNu1DBgUaS8BlOSIjBxFdnBdVEsDNwO8roc
srk+VecyyuWrpZE4wkHvzIevIY7MyaHNroqfFw6eGIMknaw3Ayg+ylKi9tOpIit+uEZ19GAhBD6f
Kn7twxmJqm+bHIDG54rprxryELLjfczMrzH2pCCXRjs+10MRn+0+AHCioLzZJMQZZaIV2yjzlWc5
97uLrZY/Ul+Rnzszk59Vv7w1DLA3YtMwXRAd5OvXauh/WWWtnk2gJW92wqUI5uTXGDWDt6CQvsBH
9h5EpZ57VzcLzUdRB1J4G0Ooe0qnln35FnWK/qK4QfaqREfRhG9O8ixXFfTLm1/Gw6X1lPjaTwni
fmq30qOSQ7MaV4zZoPGmrGgD0ZRAjmv/lqMO91KbvUuYS/Fb4pToaCtavRZZra26g4Zr6ibXDRTx
V6bRtE/YWCFdZPTqNoBQ+Va12CLI8PX2E7/yDShYvjETVz/0WGY+5mb/AoSm+Wbk30e7sr8Ykl2f
kjxAOslUm2/VCJBCtoz0EREdtHT99o9nmfU3IFvqZgxxETcr90UBfIaGbd2B9+Qo9OvtiDUsfOH/
FEGL/Fv5qUw1LFCxyXjJO6fc4teWozBnZS+JZJinKm4GNLfb7EWFMf2E9ftKVErA2F5AYHyByStf
RZHpVsQX7C7fi2yPmsRRcYZoLbJlaOuPI1E6kRNXbDr5KqP1psKIPnvDCC4hM3ztXKIVAy26dFFh
M9Mrm+5hswGLh6wn0rLbwu2sk6hpa9fZ6kpn0O9wOxldRh4EY4K3Vi7aNRyf4CSyViCbwBSC9iyy
JkZE+ECq7kVkR2n4bvPNv4nc0CaPjNfpoxaC73F77+AHnXSPk1q+Bi40Yt/FrqpLi0eAPltkJ9p7
7tSvUVjLZ8AK3V1Va16VEFX5IrIvooEoRxdxl0tlchNFItFROQpMCAxlo2K4muEem5jeXTQPoaM9
pvq9qrKd3dgFhoXlFhnz/GwOVnYOGshyk1hwfpZkkqopbGRm5WETOi2i42ZQPfiKhRX4YLygEBZ/
k43C2aKbmR9EFo4OkHo1e8v1HklKrQVLMDVT2sFdoekHqibtcVeWa4DiRfwNFHWyh45v7VRiH99M
QzuntmQ8635iXfPIAGAxNasH+fcAWvLIp025Mq1TcCPiyJ6SUYndNTt4Ffjd/5QtTcSRIdW/i1ZV
9v90vloDgGnM8KHsx+rWSwVw6cxG+g5Ul86X6Hcqu69635lvldWjD5Sq2SXxNRNl4yIGEdeNX9rC
voumvRZfykBzvpZVKm/sMjSuce5gwFKWqKWgC/sKHemnhPjVNszWNrChi5zzUtl9+L1RAIgZml09
OHrjnSTTivZB7MvPqKqUK3F5a/wq5071syFuBIxID9FhHLQDe7Y5qru5cXdMNMd53S2ELZV0FSVl
hjIuGlWXnDH1Yub+pnXV8FQiTv63Ym4jqvOlFB4J4Gdk/Dfy6MnhRtT74B4v4mqhZVNoFtAJC0s/
zllRrTpK1O94tYO5paeod0OPjL1sdnC3l0sYln42gZefLN+QtrGSqdhSddbBAO97xOumuiiabu3M
KBkeB3xcNm0tV6+8jTLQH9t6Z+58R5tH+lM5L3YXMSXtM2N3fzbrTP8JJxGxSJ1xnt7HS5tEFiQV
b9yWRVHeQrUuD7pWdKfArg3cfd0cW4LGQh8LsCoDH8xMNUcWy23db6HXv0aBLv2WQFrOP5SkClJx
mfFriLvvviRZXxWzSlA7VsZn30QbnCmK9wCF2t4nk6i4LLnxuY1DY892QPxgQwUC41wZ7J8xkJnu
6H9jAH6HfCj9Uj18kEEnMcNmEh55tv47QRlZbdoXD2uOqn5qGzDL6BRXL07NmrBpC+UB3EYDPAeH
JXhX1obNNdc9qKqGB1VvTZIGcoxbnNIkZ3FkWSUhQCQQrk2ErAv+NU+K1Tkvaex8VYZQuuqt43AP
kO8t/bg8iWyjoTyXWmFzVMMWYSqFedmxyYG6ZZXtvHoQ0ldF58vXtsjd16Acv6mGp95EbpwQ4JZq
PIimjmKdA8VwH0XOb719Hefxk56p7qs7EkvMjOo51yzr1d33bmJ9C/lU7utervdW3Xnvmbovu9J8
z0FkYZlTlIfO67Kv2NytWyOwn1hHXjB5yG6lKyGe70HeaFpfWc1lU0WQEXHGWXdisvR7xI4GXiKE
17RA+y3sDg3E1HzLa16XBpVWapvCbIxdh6XgrZkSOsawqfBG3oisqCBgm92qEbctLKvPgJ34Za8p
QDdgOLpi7y67aVNiIsV7tiXtmlrF+MQuwNcmD4b3IZiAHjV8DnSgkNyL1a/h2A3vfRkY634qD6by
/93eRnJpae/aLtcBnrauPBvBt/9cfyn/t+v/7/bid9Wig7nt6Fs9NcJ1x4L9nndDeVctXd2bUxly
GeVdVKQsfucy0QShyOqeT2WfzuXLiZyV5OxDlW+iSIyJbekUlbyjZyR/y2Tso51U3y3NRGUfOs6q
LOEbePmDlNQGhEk4X71Sdt7W4l3ftOjYbJJeyR5E0us8r6x9U1dKVWxVP5IvXgERj0FKZFBoly/1
lIisqUmQ7ud8UmxalmtoPf6nVpQvWXGGKEPb7pwGANqWovlKSz5m0Bt7+yHndn1vsf9Akcz5FsFn
olPl6dFx4ZKqvfU0mK3zXUOAjt1Cp3swbBvD0Qi9lSyWA6KvsIkhHh+rXNppqjN+QZGh2zdcVQie
vkHLOorf8BPgfG1RG1ecsJ2b2ygEuqZrY17xoHLXXsGNGLgOaNpOrer+pJY+mt2T4Y5w1JnNdQw/
g5zL4ktUiKRFq3trA7KCid5aRz3Wc8R1aveeWJF0RyC62agHBxuxaBzRdNHQjkGE3NJXTEHgxYR9
uZeKpN2z+EMWX/tT6PU7EiPdlyDECT5q6vYhqFrlIId1cnT7WL/5noonhpSPb7Ef/wF0mPzhZB87
+JOk66hjYf17x09mr/WNdyuyqrpnU6LJTA/9DLnEqYGmTlSkCsiGUec3JYYXj2SyvO2crLmJ9qIZ
Bk9bTCMHDNAQp4kmT3Yg83jJttHdQ6wDX7UqfkR0CIMIA2M0rZH7HT5o5c3wmmhfQK25RgmkCq3X
x4tlgyyGHW+eraQLjhlSxmdHD4wj2x7ZyRnG7pQUfX+U5CA/J1qGsY/bBpeocpF46iz7EuUDXq8l
myRBE7m7sK5lHBjkcmc7WQ/RFdFlBKDaR+IT+TYOrebuovaEbjDYQUYc0EBF2z6PDVY/mDv3L4GB
PHKjr9rGZ1PKy+TXihj02u9l7a23bbS80T39gvdMuyqCob+6+FAhQZ3Gm2LwA5Sw0I/j2wThw43H
H//D2Hks1wotW/aLiMAsXBfY3kg68uoQMkd47/n6GqBbV6devEZ1CNx2bEyuzJxjJo218fEje6F6
3cC1iRat/Rzd00v6HRny/CEl2geJX+TlekCiPLDUbdbycPYHseuXd7Bi/DvoAyuxeBgZUBkTkE5a
TD4K+hLVTrzb9BowBMyGE2zU8bbGSH2h8c9A1+qLrU8dKGSuAEZG5T5rFEAywPvGawythaB83OdC
ih58yTavpoKadjWCD0WP5E73h32fDtOLMBg7KUrwYBVcKcqUF2AD5PElogFwE5RDv19fpcbJodYG
5ZibyuCRSyyOKIJihqpLZ7BuY8jht87PKjEBRFx3Wef+WWksW9aV/3PL7+5jtvIJ+YDf91nXVZWF
Do0CnpvhGHjVyxYrx1bqnjoMLI+jL2fgKzgkGbxt8pYDSo9lEaKdvZnaAp/LZVEVE6IloReHddFP
a8VBnRg7mDwgkjNMBgXLRM1D/J5KMZWn0U4qHCyYWye/+6xz6zqcxtm7UWlRGnK6sf4/XjcDjCoR
qP8/770u/vPRJj4CByIh5591vy9ZP3+MyvmYpS/NFIYP3HN9p4hN/aD6aCv6XLuXbdPfaUMouXPO
32zaRXxrVMV+XVpfJDT7vu0y+6Lr0h500Xy1uwZJYZu3z/1oVo42mMF7G0gPCIrsL6Eo29zidgAH
3A2UXI3YAShvl8XfJDNuoIPEH1VUxzx2mvZlsbt3E70rL+S5TzIQ9wtCgeqSK1W4BWc6O4mQq8vv
hnUrAdZ/9hNY8hSt6crdEy0yODcv77C+ZN3xd7E3RtMxh5qa5X8/5H+8tTQm6IVU/ymlRxVg5vIh
v2+wLqaDvKf4FR89a5DMczcGGBBhHYrji9SHSEhU81ZAcrxNjeXuqxR0GIjQ+lmH0hdLpdTam6QK
LqaMcUksg/r/WVzW4dQ9XKJlsq6jBVPZ4ItGFWTZ+rth3W9dV9VythUDrgDrYmto+SYCC+N18UR6
v6o/IoQLdiHXr0owIX/ry+nJLBm011Pj3+dz3nu0ivV3ahdDwzTH7MbSgKrEQNwuk94P+4KuWgiO
ET372FYd9NSGCbLcxQdTjq55KlfbjLHurQxrl4wB2etUryUS60X2yLcLXXLe1nNiQEDRZyHe8BR9
8ZvU+Cx1/yiTyAwg4aBrSuqEUPqxKFsDfB9JBgoa3fc42Wc/z4tPrYnfJUGWmrslDfR0Del6jxuW
ALWgg/TM5mx49OuhgWnOAGLdOppheQozpIDr1hwLz7Pfz42zbo3TMMPzEqbcunVqjfRaS+ItWd6J
ikd+k9bV/botFhY5J0BLxOTRTdnK0jXGSYj5QJ+jm3VunchZ8DqrcnX4XbXO4YYaejE+Pj+v+t0q
m5m5iylEOes6swnBTVoNulPgoO7vfr+fIw/ZpRGFcfRnlX3nGFcqlEj3Y2KXlIh8iidKqpxsq1NO
MjoqNOuRsktnUDHrhnUyWlCDXGnZp5akqdr+vkbxpc9yLiHb/fdt/tlFN2M0ZOub/75bj02H25tT
6f2877rZT2M+4p89Z0OSXOywhKcZNkKw5e2loUYiiIL1nxeuG34+cv2CYSb7W1uIp5912voNfj98
shNOQd/s5EMTtt7/+pt+9/7P+ypfWQC34ec7LEdhnfvnyy5f7uc7rVt+PrQrs5sYsCtS8Z3eWvKp
WHZbd/BFTZpnnV23rJNpPfzrrLA60A3Dh01F6CJ1w5ZoAzu1sbk0SVS5NQYWQYTULGjyd71oJhh6
9DT28sEI/Xln2t1f2nInLwWsKEefvZpgHSkM/Chs+GD20B3CtP2qM9/eEjOdLBCmUaVGnmJMC8rW
/jQkLLLjzpFqbuSAZgU4fMsmx9jgbmXVyRPjzD0ivEfR9LbTc9nB9Zgear+iubh7VIKRN0PmBxE7
ufZyczZj9JcVXU8kdDYp2a1CqO9hMZwlqp5TgSXiBIKhXAp+hUTRIUHvu0dHzDDVTk6RpNzVbSLd
yjFD3hI/o9vKPwliEezlllXD2COTSpPLzzoFExdnLobs8PuqgEyel9Ugl/BNlW7XDWjQ3tsZxVXV
9kg55/umum9SMdwOBEKtWcNCzxmSDzMtI8DLYr5I8CiVmKzgkIPtQdWZkB3a0RmRmgqbfkM9vfbK
iAPYMplS/64e0PFnxckMBp2ufyYF2WIXjdm4VQtYY+u6HALDbsZljYTp/13XzQQSIE3VXYWLXmHp
/k22TMBR2KVZ3bYGuKa0hYszEsPczsskSrVyb03m5KyL3EG02xgaBYKh5mfV7/rGEM+R3mrHdZUl
VSpcsnHGLrQpNuu6daKpvkqZCGbjuss/GyDmaVPz88Hral0tqO9ORX5YP3hd54eDY9it5rVTTcV6
+ZLrxiiR85NuACBcVumk1a+mKXlDEMZ3RbkpEATftooS3VEz/x6jyj8MinYBRJ6eR8yqbteJNcP6
B2ulb3/XpVOfY+IGmT+RpVhC0uhreF53x0RP9FuS/frPa7vI2MyFj/tR2Da4aFkM2vwUj6FZL63d
zzIOSdW2LlLh0ufL9rDU1dMSPMeNdTPbRAf9XFErqjpxa9uJdKNHp2BZ0KL4P5NRr187spbHSaTL
sBC9D+5/NGb87jcmUI7SmVvv+kamXBh4V0S3GN5117KYvJ8zai6jgF7j1oGK3NwUdRbcCZJkd2pc
3Jd+MJ7W3dYJIZnqYAtU7tfFdV8FyrqnV3SOr69a16GoSJEkJBfGcKNry4F9m+aafQuXez5qWvcW
+DWUkGW9amY9TlKx48cWyv91NwiYByr34WXdg8jvVo4U7RTNnH/FFLV7KbCNW8Si5i0OYtVGCS28
DMbZvF03KC1wT7mkOLMurhsApohrlRIw4rwhQY4NW0rJmub2EfffpNfPv/uG5E4xM2vMXapW8daa
6JgAZxnelaghPOxZko1mQkZzzbbyt5qtQQ6H33IH6jm6E22DNlRLyB+M5EMtLcVUaPEyWSfELjNu
Wbh5qvNItFEG2OFJmIX4C6nPBzz8n7llEb7ec97i5Ye3hk3/3WKt4mMOfVznsGvOqF8f20Ul1C0t
jOvcOhnWRsllwqCWxsl1JejabmerVLzHGOBLMT2EP41XS5+3TNhdv8jqTJqlZRS7CB9+J8TISB3W
5WxVPfQiexaL8KhblDT18hXwJkJ5ZKz6I70C7AYNkqQA3N3jOlGrdpwxOKoX/sZ/Z9XU/owSFQZG
k4N9XDf3/YxCdJ2Nwc6A/E9iyhyA8ynaQdn7OWLWhAVJAmcktgxKiOtR/NkM7OW0ZGV2sE+wO0Bh
hnxBbKRJk5DYdX+nTnz50CLSotqN2H95unIf4Ot4LLr+xeSwniLswLatIt7CSdibcemqTXibwj5x
x8k26+/9Pdrr3PoPUMMKNyLgWEm4pJ3kTvXqJBD7FqO2o6EV5cFgkJBUce1IcrcbhPGY8qt1fUSh
j6hD5h/mFFBqYnILIP0s6V5cI2JeRGn50nFtLn/WOpcBbdhUYEF47vbKsYFsEVQGhS6thMSXpOP5
nwODRJnjZtgNCEVTcSUp88n3k3CrQv1TZKG00fRzMdTjsQmN4WeiiWg8+upy5LLpLVPU6ojktzra
eQV0fJ3NLbtXNuvsar26zq2TxPQrup1saBhL73yx2LGUWoVAh6Djfz2xStvMD1EGCGDRiC4/c52s
P/h3scs0yDIKvpn+omGalx7F9XAUq+Z0nW1nEl55Zk7e7z+znqe/i+ucrQzYWyHg5eZdwAlkoi1t
f78TvRPhrhP6KVl679fzYJ1Ey+JAiWM7R815XVX6OuYOgUU0stoa9KujgSH1/L99UfxJlabGfVTL
0YAtqrGfWbNTh0MC5AuRPMd04UNUAhuDdbIuxhEUYiWSvmtCyuGEMWTrzI3Z44oixePJtApPw6ar
LcbJCTKsdUP8qT3ZqhjFqLK/I/fzZafjg1IuYF3iEXxjCwznkNJPlM43atajG00uWVGFDowyCqVz
GZ4NemEugd+51NsbZ5iya6bwiMjtSvdsKKsnuWpdbhklJXQyi2XVHcANLEPbWb5Dfa/u5wEHIcPC
k9Z8bus23wqKMHSxdz1eLE2wjVqMKEXuSH1GfYQ2QY8HLjeN+EaoiuFOyiRtfKnFFqZXt7D/wdPN
j5pID3lZkr/DkihqxGs1VHgWTukW/FK00RH6FW13DoNadng4okwOi8JrEGSE3RnwK/0kMSVdSab0
GsQkVdBSuUDZou1QLR7RrUYXLikKitPuXKoD/sZW45UgKhqLXGM/fjcmB8bqbaxSeP3c2+dgSmI3
wmDLz2MZrikWpZFCurqXAd9qMXR8TDOr/jv2UWTLdFK546xbOx/WjVS2+1YNOQhw6CJhcKRFiFa8
GQR9McOTbS2pS4wgiceaL5NH93JvURTYMaZxyJOdJk0IgSX6/btB2hFRzC71xzeC53BjTej3S8lI
YBPRpmPNxJ4CbY4FHo32TX54kNvTPrHuRhBIeyqe8plmWtwzLBwY5Jw/ukSli2a+CwAGW4El47XV
CZhTqJ5C6bv18Zapx8tyBqmx0V7ScP6rs9HNGx6UFYNsyfSvhdp9Vhl0JJVL1FWGHrOmaaDeGJo4
5six8EiInoukwQHXQCeGgttLSSdoAlH4nMipa7QLUgTWsjOq7bPP88KD8urgy4w/aEYJx+KzjMqO
YELMvUtXzgTRS790lbTNgsa/myCuz5X1Uaa46gVy8D710ra1GAgOSu8tAWBvaOGJXrmtbodfEhxW
pxjxJlbG+cWuSFiQgFSkvyYWiXCNtOigKWTy7Fi+g7hgudqUen7YP0yKtcUIl/aRkFYsSchUWxkh
SclnUinddq7GzpvCtNxK1lMo5bmjx5m/qdOc/Eyfb3VDKs5zyBsOLZnBSFFugjFuQVNOh05+Z+Qf
uvZk9puuvm8SrFpr/LrI528Mu3xV2h48C4AkS8P0uO2f6MjVgB3FoYuLZ+YQDSruDH/VsTFMddpp
zJzYDPe6kGSnB9llxOIJkFglaJIE85USH1Wyl8e4r1gQQ2Wl2ytaoLNteg7s/t0PqhqoU/EVzy+z
mgBfS8NPmnMzr1EfsVB87OmXpOoCLXU42SBTl9pGO3aWR65tnDqTlBlNwIavfpO+AWFivMaDfi1G
ivapfRYqu2XKcNFkon/u6fGmx3W4LZuzP3cYyObTDnteA3fZPNxPHzhnk69+SPLuTekwlJfb6VbE
RP7dvOB6CxKBWKNT6BPcoXMgkx09w4ANA84Jty46gGDxe89BcuoSU2BJkw7lSJAVCqVy2x3HXvZS
k4Q/lgInrdzWme7f4W3YbijtxO5YmY/GmHla3nEjkMDQpukLHvepp9gUvJu6jZymyZ7pF0Xk2DKG
HpMIvyS6N40aI+HFJ5bO6HHTSOkTMP870GmW0zz3BgS6KkrQ3Q8HK1K/Cin5yiL1s6k0zAJryPwy
Yygy3Lt86KatlVEsiBR62a2UPqJwCl4UsqBjBuxvmIp7Oa6u1ZKoyqelEPtXa0ysFwa+cEirbNML
B+5dvRklY5E7lzd9GDtRYZAtWRp1q2A8FAoPhYweIQN4H6wX7ppG4MbKoc6iG5NGDKdMi2uWFN+Z
Zh6qynhvIgZeo7gNrTTzhJzuaVQhH+S3+LUMPrp6azi2uJkFoKq9ig70TafFEHmGPvEMCTd6VWon
R9Lz0fM16dOCbBT6PY3okbYRmEqprWnsprF+wOaNMnQmdmQBdvpMJjPMH/NR3gpcvbdWaNA/TM9K
pHOaScWLLRfxsXeD0FoYYn96LYQ2nj5Nc5t68Gcewnr+LEbjWS2mu95w1cyotkYwXmbQnIkBea7B
f1IxjEsBxtoqGjiDhUpFTTSHxPdp0zZ2QyR5VoTX/esUlW92kD4YZXceDXoa5eEpbNN9Qw9OMnJO
xG2zBckGmqY/h4ADaWgDjFanupeUjMCl2tNqrk+o8nq6r5piIIk7wYyDDw00AO+KQH+b2vENb+rM
MVPpsbEA2bSR+tpkyecATk+rxlf0ZX9p26UvVtvNfXToRPYwISN3U7n4U3bAyyM4TH1CRzXH415g
IrYrKAPQ86eRO2rmHQVIYGrNIei6OzyN8BC0yI8Prfm3EQ1oCp6weGxj9Z4LkL8AlB1JDFheyjnY
pvSstvldAprHUeZB3wjb3o2GfXjNGgB90IYOxai38PYTmuUn2iNCfDRxYz9hilFc0Q3TwmeCTVe5
IkufzA5Z4Vb/lLP2nMjDS8eXYuj3HNGEAekzfbJr6cSd757mstLpOpNDH1wVnOkLXd218bAfC3/b
7Jsh3zYcFm4SjPypHY4Otb2I+H8ABWyW14gs1b7FT01uMBYb7XNSwPrstIR6Sr4dIq7ewfL/pikW
ygn9aflYPxtde1bt9razUhc/h7uyDd70jHEjEjKsG4b01URTD5+06F1KM7g8CKw/Z84NKgJg43PC
hloZiGjGjaXJNBh3O8E442AzWi6yK9ajNXFAJJOr4nLpno2WpPKcWqMDh+cmjcfGqUyIgLKg4UjL
gofCSP+W7Vg7WZsOXmV3OEYiOqxD+dDL9h9TI4icQsjZedCftIYou+z8t67lups7dWsA8zab/qKR
vYOckngg7gwppRpa+aBE6Z0CufsMg5BGp4AUmkbusO41DrLJYcTyZOaGrmRep5o2gn/Lcvp4yLzs
vslgRPWJJG9VDWZDU0d/MIBvfdj2POCIJO/sL3nsurMCiIzRmL63/PZBEhPYTbt7Ey2k8UmK6Hvp
3urG3gY9SNEmwqPYTmwvJUVQU+BIaYz3clni4iEIq0TsVgEZgU6WMzLWyT6be+uAyeSzGQHv4Qne
9eWX0hIbTwOXZwFfJ47OQipwmBtgKMacLlX0R+H246FOoqsJ/545qs5BVHxjMho6QukoK2mPfmNh
VJJ/KJDrrLlGJaHgCOZHFv6c+aULqpNBsBi0+bW3KRriLwLq6oKA6IlY+8miaOHqweIVoY6fk84I
ILH68WrZPGqMyUusbnEY5GluYCAVN3BUq+dErbg6BteoZ/lG77ORYDxNHGERgxkpfRtB9N2Tz25P
erEQsvQR3ts4POrFsFFUfSSwwjQjMmE7GN2tNIzlIZKSWy0gIMeTNlf1fKeRmaqqeSCgDfsdIm2t
MTKPhNCjEQYf8K1gpyb07IVKxRXASSN9k/R7j4rk4BvaiDNwS7XympVgzEDcCyel23Y/60HtNRAx
7SF241m/1J1Nb2r3V5eOWC2fI4xZc5LQAB/pvUvKDVLG27gXYivn1SuQhWOXzxCfiwXR/FYJjKtH
W0GsX4SPpTCJhOiBskgSOJUcEHcWEZhJWtBza0fTko41pDm4sYG4x5hQhejvcQcCsh8mPNsNdSu0
6UGVjXMVcwWGHOFEYCpBVfKvbvq9l7YQh7NNqBi7yBjf5vFI58xjSkeqgy9ItckUjhNW4leUGLSN
zIzXDbRK7bSk4PVnCTLf0tvmQg95UZuTpGwNDI8cW5fuRSG2PYDb5SZVOHBQkUJNNFDvFroc7h8J
NzZJO4EOfO1D7UM1pGnrqz2wZCSkEA0ZnqYpeDsiQt3m7C8ktAMEJtgmhuhXiPHbKISRlGjfmtHm
jjGS7tehJnHfJIWogxdU5bvIklWocqaX4HLqSDZniamr7yRc/uKhXJ76hKq1SuF+wqooUZU/APsy
j1YZBJSa4slJoS8v2ETkiD1VpbBvJTuhw6VVxnFvKr1FHBCXLqi5BnpK+xIrFTjq9iRFnG1FLZwm
LR/jNEeOZBwBY3pzQfw8tDauviQpHCMNdwOO41A756tBC3spvibF/iyzOfZoZCs5Tbs7Mx9ezWb4
hCS6n6fJNVTlrRgjHVryAKIX8YU/1jp8kiF3qYPIpbjvE/OuayxkGXF26a2OAkolU8i2X2O9xdE+
0x789k8nZFDdMERxEMNxRzZ9bwzzS6qLs1AMLt2gxc+JOkYtmzclo46+yAcvjORbDEce1R5XTLvL
t0E4/Ql9vacX0LyjoIKBS+zDbJ5fLPuPZUg0iagLiy9rR7dtYwJsAkzwdYEXq4U3QbHF5tzp6456
Q7iTyvySp49g82yKnf6ec9Kty1DbjLHCSKxX2FWN8o2kGpprHZsAYCdJP3oX8Aa3O3pOcnMzVPKL
lKaUWjp1548w90YfM7wUDFpldm7Qt59hReu9rh2IL5o8JcAYTEcnqmT0NdzIyYFIWoc6nOJSFdmu
UvQGH4MfQmpLrk9vbl5pimtZ8ddkhi8hdcpp6jJX6mEDxrY6HczpuRBRuvHVXSooSOfoUNGgBhsD
H5hCdC9JHiwZakb+fsy/Zhu1ywOBWkmtkGnFr07axYhIJyN5HEee3jqu3ttyIOTojZYyYUN5OMQk
2jZtGMpfpY9HRhKW1zYItxpGIlt7Gk9lon6kEoLdMIb8vvCGqvaTjqRHCuLFVqJHxam44je2ZDI2
tLmUhqG55tPWhgI8TaTb6eeqPD8JoLMVyAIrlAgpVa24QfuX+uRCouir8NOzbEpAzeMSZyFfp/QU
NfsQwIZD05Lp1IX6NWhgp9JHxTDzXVAob6Yi7c15JH9i082jlV9FAeoUXvcXvJl3IuphW6nhdQY5
DNk3SVzcYKEQzDd1iIXr7cjTlEsRwWH+TksMrd/9N/6WV9/GYjniHqVgdJ715pOtjKepBkYCZw4v
ea2+6WvxnvNngUS5ixJb3UmL5XJYTudUl6G+R3m3jSLGaTKxf1kOT1yjtIHQVL/cDo1NHUw7XkcV
vAsA34YHbIUeE0WVPBywdk8ISX1nqHy6h77s8bmytGdy2w9m1hFt0piqz3ScYV2NdOKUJjbDVG5R
vkbAy7VJky253qqmveZVNtS3SqGXKqNngoTtn4KD5+SDdielCSlDob301C2VYOg93H8WnoodnENd
PASzsVdSAnQRYMrH3YkIANIeY1hLhd1adRqNxpCESVjd2mFwV/7lxutT+RlQVo5hf5cKRmpGjZ4m
HrBFEfJLWGPUMKkFflDDAwDSdEsP121s9mfKCgj9pPQq0qD1GASeh4XcOmn3ynuQW+9m1zw1Midm
oj/hfXGvGrknAnwKsQCGAo6R7HRsaq4WZF10iO8bTX7pWv1DMnvyynS6NRredbFMMibm+W/OkYZi
oj9U3TWp4IBzA6ANboE3K6/+Mni1pOA8QyoEqX1OVGMmcdd8ltW4rUzpKcWS2DFDbXCHgsBb1ulm
8DlbiGK6vLCRigvZ0UV6LPz2IxdIKMJuBkpJ+1Pd3ZupOGmZ0biq1BFT5bTfywCqx1iSPLH483a2
skEKjhV9XHyGWbgHXHGso3ArJ/pXaNXkqWqqgDipYqUY7dSpvCYGhqJ1lR7KHsvUTi43dIW/J0pD
u6iKQ7cebeKEwnPc0v/m54CD9Q1f4dSFN2aU0yQ8nHNJge9kKKGD6NEftD9+i4TC97/nXHpQsRIa
jSJ8kJI3mIm5PquuFMh0Yw3qdYI95mmt8ml27UG1o/tioLKOAvCr9ZeDHaZvk9I/Jzm6atwWoF8V
/OZouE7JcCli2vP84J0Q4h1j1dAxi36rl9NbVy66PJkHuZTZdATOBexxlW47YvMlUznuqOKFnjaR
mpUjFQN4lWxC+GbrOFIkTX7OUuyUCv1PZg2CCrr0OgfDWa5ASNv5ReUWLkxr1xaF5WYDkLu83URD
9BKltXC/K7381LX0wy9Lei3V4i6D1tiaGTcXo8ZtSW/B453mfNj4+MfT5YRWWylP6IzuVamnOR3l
LyqL/TSAJQzxBo1jmaRel/ecjfScz0LzZGqqMLgCtCD54MpuO48xTolRsp0D84SC8t0Q1Vs6zzc9
nC/KasaFK+TZSKC1SZ1n5wU9mFawU+vYNYeOhmMJt6h4viJeOkKtnXeVrm108AY8fxT8KFPXUrm6
+lnu93g6QNGnDXy0OiDr/KhSs/+MJskbk3yKoxHRcRbnFy196kTiYaB6W4ftS9hTAl9OwXnCYorG
EnkbGJwo6Ceuc+rvyIi/+GZ7JXN74wPKZ5SADi2tlA0uRKdUZPdtqL5moyEY6IWEteipLBvKk2h5
MObR/doqEMgkZUgel3tGY/eYar+UbfzJ6PcBFWh7AJuPp/Lse+heXvTyXJf+K+EB/RghIYpPov4s
UcipFcxWuklPNlam7ukyIq0XTxohQxXgDymdC7OUrow1n8eM3O7cmVv8snOv0I2BMf1ob7MZFM0s
0mSf15e8kCgQ8AYbK5E+Gfc6E1oIEfnWfpwldJMZyEpMsoLRCo59NDBohJxAbV9yy1jHtnjSd1OT
KUcppYJVoUSgEmEyULNCGXmGspsmuzogj4ucesKDaVS07I80NUDjzaTZrYs/68DQx1yXTep7JhIO
QPylyrOqxWzczAq8DBb3p/HFEhEwbgwsDHOc3MqeDoWJJB2R05tBHlkR9J+aWift+T3bWSFQ7YRP
pg+IPUObpzmtm11PhF4PPMP6mgRk1N7jL/zetemi7OLpM0vDQSi9vTP9bxPPTndKlXf6yHjWNLS7
xbII8DlOX6UOoGqhEdobg/LXzy0uGiLszPc/tFh0LikiywMbIGwNiLOc85sMbktWdYyGJWQLpVNo
0sPnm5+hrX72De3bEzdhv/MPkJgBpJOxam312U6AfuvbcpIu1fJx0VKB0QzapwbI97b1BD8P7GGO
s8Scu/0Un2fZ+JOVN2UseidOh/s8oPqcWtahLgUpTfMmUVGTm9ZXPepA/IPqdtLTu3gpHdhSRtpw
rE9CDga3qTWuCBsXeFRlR/wxcq8KqpEafusRXA9c1toh7wWGOjqjt70WhALYBJ0dsgGRQDFLmKiJ
ZkJoDOpNrJc3ddy/jNlitDjG/c7Xsu8hmptLC2kjIL0t64yUtcDmATtp1Ac0bWOH8ks0mRc7+FYb
jZpsjR+axYCzjKyc22N8nw1PvhZBF7IYo4WBFjhIrJ2xheUwFqNr2TFjZ1MfHGqquziSlefE5m4N
O5bRLSmWMcMfSolOoiP7YvTiyhj7wZCz5yaz0o1Ui4hGi+AFxggSdkvdoWaSXRo9uA0uTYcmtkNk
DklSde6S9tz0KmJ1lf9YXaqts4QxpJ4kO4xMeZV60qiFbWXLeJ9R8mcDqUq/p7gCQgWJOxX3oR0Z
w0n4Lll5armJYSgomvoHJQUIKGsgX/qipK2KhJVefiVxBfslH/bpRJ5ZSXX7oIpDm7WdMwUUppqZ
5JNpJu8dST6eNoXk5DQ9NGkRHoK4XwJo9VVH4uKQrQzAnYz1rZxlFFZU/aNYSk/+W0WGxVUSidi1
PTfkLGmTrY8B0sCOYOTONzgr84JkZyejO+mvPfo6lx6VcmPnOpT0ibKHsTjWdBUZv2juBuplnDCQ
EZJdHUKpILxzxjrp7io8070Ge6MFyH8iL38J9MpNO/I2I0QNZSCtSSxVHuK+gvjBEyGshO9WXSRf
2kHeZsSUzmSinI5mHMuFfGOXQtsJuau2ECIPcxWbjpHkm1DFsGUOeDgEgWhOA/n2xKLBPU7GJyOn
yVRuH6ma8f/nM60/ZGT9qImPaUFanXErnNrYwHql38JigCJR5dG5NamfVjVJ+1IbJUSx8CBTO9vM
rcbDeGheQPRscn2JPwukcXN/0BPupGlUPOXGrO1NtaCbWRTTUTRLTaimnQb7DXr4zKQmrk3xE0e7
sREhp4U0CATYDYlALjSGWYb+lKV15ppK7rsgV3J6OVG9lrGLZVsOAGq5JG/SkY9IJi5hLa11Vwix
+ClUZ13Ez63BsfWV1tjHUUIDE5c9Mp+n2uAXVzofiZ6ITExgcFujJGNY/bNu6zQWJ9kZ1Od4Coo7
mRQKZ1Tu+PwrmzBpwH03NcM9Plsppy1GIz1VZ6Isk1rPxrDKwo2Dfi8YuGMvnGGx2ol8R7FYgxGz
tftLEWLeglb2XTZE+ydT/U0fT8/agOqyN/vHxkfrSRtQvcsxouEW3d6M0cxO0rfAJYi0TvBRakbn
mVZ3DKihkji0VcAowUTa3Ci/4DdziKb4tpc7CfNpCwVMb2G7kSNMqEr6aVUydCpmIx0Omzlnsu6D
W+NCQvVfXsTUcrsZc/UAqKSYCSt0zjlRKl9joL/L6nc/zl+gZzC3ABSuV7dzY8iQcXzy0P478C1e
LVRjK6coKCgZQq9pEJmQ95CG/jpQYzZw8YnDftOE0qtdC2vTKTWGa1FSXKj8mZt0tnDHE9R0KHu5
skKkwzgHcS8RK+PaHWAf4cLESDwe24dY86ej4cvUNhj6iJyWHDMoxq0EC54+5PtWSuVtbd3CuCAw
lKenflT2cyOTFR7rx7anImIMrasGeeOOg60QKKYz3z64hE37mhqUyLRvtY9uLUb7DIJ5Kvb9SKsR
w4FupAAd2hIx+75GN34T4EciFZhZY+7kDY30VRf96/9h7LyW41aydP0qHft60ANvJqb7orxhGXpJ
NwhKpOBdwuPpz4ektqit7tMxEQwE0iDLEJXIXOs3RoCvV+qfkhZspdm+9i4B/TImBA+68qEhKIDf
m4fub24T/DAeO5/tYYx6wxqCzosys9dCZzwODtYFWRzfKmaJer41cstNZbEogKKstI49nzNr4tdl
/qYa/demU1mx2P1OY+7ZzqLbfZF+BbuBeyXqp+R72RnrjrjjE8XcVWFM+MVKtyESuIANV4kS7zIV
Q2fhG9eq9uJDUXNvG9Uq4EtejKUHPJAkuFZ51jps+v5cumsD9OzKHUzcNtqXcSwuPGFjVsHGwiyh
z4kiBwdSbsZ4Juw27DswbQMgP5WvMSQrtgrxva56/jKsCL2GhRVxRuAkDYr2ktswc5VvxNr7L0qw
I/uqIu1knruaNNs05N8cZ9ZmMdkaiRpgXcd/RVOnbeBN9SWaDxbRtwwk7UFW2WmFlRGRhzKx+bT1
bEHjD7sM+COYXJ25FGN1V/FQ8RfduCor5mG/1B7iNoq5D9TnGnmJlabrzjIwdq5tWytz8p6DKDRh
uRHTLuqsXwufjUzWw4OIF2Ioqn011A+dU05bPTaidSfS8wBkjNwx2TlDpNWWHw/Gxm6boCM8kKsl
E8cSjjkWlj4yFUSH14ao23NXundpzheaT+kiKzVxbrymxMN74/LQd0s0WRrSG6iOXYQ/EuQnzNiE
w9e+1VARd0jLx632ZNggC8v6S1mh5AKji6VQtvaEc8nIiK3KyayXLFrXPtTBjhQrmjmz0Ub/Fotx
5dtdg33hIRHtsEH4G+Sif/am4BTY7FXYlm0SvQyXvZIQj9H6g4b/AIuc4Y0pF/Eox71qhrit2oQw
jB08pSP5T5PnUoCCtFDG7wP+wbFvaOfIMrpVk2fBRklxRqg097tjgdHMmqeh6fyFiQzy0hnVpVOP
zM/G9GoO7k4Y2GTH3x2bG3TK0m/VALdWdRrWfgomRvkYHHujfBQJYIqGm0uvH+BxHD0Bwifww7Uf
CVQ8Wn3heOa3mXHCQhx1ktrTjaWvOzc6yOuU/Mu6C+y9B+TnAFHxUZttxoNSIdte8AU45mudQraE
R1QQfN0MvouoTZw+eDZ5at3BowgtkINdjJfOIHtgmf7n8AoChVll6ffTutWB7nfiNLZJugWWsR87
/4JdCNQXYhGJNgDVcRgzGMfnLLfexDScTLO9sEpFtjg8Jj49uDsVAEH1JjFb7u55dUYe5WLHocly
ts6InBi7ymr22oAPejbcK+OknVqwQDo44E0R7TLBErfxjDc9MdpFbtfPStFMxLkSHgZ8bzrMzArQ
k3DDY0MujZjbi242zY2GWWwcuuNGaRpvVU/F0jND7pboNkWZYRkw1xdii6zSHswkj/JE1eH3l19S
GzsxfzBwnFbeAqt9SczkayPCibtf3/YV/xczwrwQv/WNPdVfAoMgZBzPdPqYDJqBx5NeuMHSRKKM
CAMZW4uvuRPdBuATM+whbuJH/v93zldRCm8VEC8gTEvQv/bUhdKzrbKCt6Ee7mrdeSvT5tkd63uy
EP5SjxV08h2MszwUpSqf7YCpzegd8qgKrsG2CSQbywN30WZTxZZfJevs+MYRobSvmt+7yyoHJzZn
s/IGej47tXSF7c6+G2zEHw6jMW4dfkF5UGwzJm7fVj4ZbfQdcbOcyHM1bAsVWBv091C85U79jM8U
0ei8uFTmRvN5cjKno67s7TKzQ/04/6onLtj0Yd26EZA61SzxZYB3Ws72M8oIwM7XXh39jYSmuw4n
7zQASVvlGtIIQK+jSgXT64WHwZq0RRyFp7JQcK00shsbtlqSV9m2GS11DWzOYnXRL9vc3mr9EKA2
VlZYsFR3OgOjsMbPPzEPgk1pAKMTd8cQ4rVXNczw27GM38KimkWnmr2RK3xuXDlNmygOy1s2YbMH
2tg/aVPoHYlsLIca73HXirT14OQPYSmuRosRBDLVvI1o1WdgXV2i5fC9rZOdsBWqSJcvo1HFuMpI
btDUuwX+jejfUJKxGkhiDJg7gZzaVo1Srvvy0kyqdsyzbtPnSrCqEhZlZb0rco11KzHhKI/47w35
2g2nU5QxAflhla/VsjkELsbtgYrtAogjzVPqtZcq0JW7T+kg1qKrWQI0wVXRWPT3efEakNCrYswo
vUCJVsqov9hNdTHVZpd56bhuNNa7aZPYxIMMyEIpiix+f20C42tpHgODWROfQId02HcPjENhWtDc
O+8Nj5QXgl9m5T6RQdkO2MDBaTkabErDgGXEEOgXCCuXsFcvUd+C9tD2ZZBmG43wgJ3Z10H3ZigP
y9GywkhxBOtaCv25HqIHEJYsR9GhspoOokZun/PJuPeN+M5kTtm4TrtNxLT1Su3g8ySHLLpsCxJk
WFOu45hoJI6dcSQWejUYK2CUlNyAxU4JLqbOiJrD5Y6KcDt22sZpGlYlBBs9PAsWpZLemIN49ePu
NanJVcTTQqvu0qpt+dFA+fOLT3pov0aD9dZ2BXr9+spQ03KL+D35shFhhYpdux1+JSRLwr7MBcEz
5WIU00NoOU+xM+xU3dhXIUtVpdFvkN+B7mGC0Wl5IFq12y5uvmumsq7UkgcG0hCdZ26siies2n8V
ObKByVfTMPFhS/YEdW9th0hc2hTPk++txDiZ27DRHj18WKvK+xy2MyI+Cm+UHiAFQDtcILLhxsrw
PS10AtyZ+6ii4tb6xQXBow7kVXdfdcRimgAybOHYJ4hjGNr55V0GkWHhTeNN3nqraLJwUaILGZMb
A50U0qzuxnLFnWFlL6LGq0xRHbT2AaSp3YNnEl42PGgFlnvfNxoLNmvFlEsGGo0EYLjmY4JBJ3QT
5MUsQ7zkartSQKlWuIYOkX6xNQfPUHQDY2Lubenv5kceeYHnKU+shRnmcNOh+viVdVsZ9dkSg7sk
18i2G9O6hVIZ17S163UOpqd3QT4OzVFvyQYHpFOE8g0lB6weia0ueoGCJLhU3eFf25MvT1ONfamz
JwTP3BhpJc+1adtq7VOmEgJDFWlmpG8ViN21Z7MoYaHYw1aZ04DoSUXITqjBSHCA1a9ff6lcbdMK
86Z1HPRQSpwhE+ZsBC2cgoBm25z60mxOWhG1JwIQE2m9XtkBH+kXtVIO+6w2y7vYVJI7ttXzuawo
aviP6BTx2LR9tCD9MNCWwlLr7Y9mOipDt8bWsLrIKuAA5CEs8/PHIHEfxMzj7rC2prq8Iw5T3QEX
uy9VxDtklYG967ny1N17h7lXioHphncbrj4GIpAOS7/Xlb3sB9h6uB0q7OvnUeUBbskuhFBJ2pp3
Jutqu26WIOwsZFz+rEsjd6kh6nORPdDuGkG7xAS0raS/mEP348De7tY18/7wW73J2gApnZ6E1p/9
tcpGxcK8IU+qnz+qU6zVzgEIIzmorE+LEeup0LqyF9mUeuVfYzw9Hyof4FRR9s1BFm2vSGYPuGkd
DXH74IkgPeoVscQ86FueHI17iwfCMoV+0yxzZzj1KpOvvHQUXr0MAOvtZTFOvXgLscFcvQ8c+P0N
XoUEzeaXFSmqc4n23lW+lOuVz2RdzJN8pT7CsnHy3YCABN37tsp2bKeVpSxGME9Pvac/ZpXC+1DV
i1Fp9b0cR+NKQhmiupEDWTmgvir3/I1sbWJrOYLphVWTFrfyYKWV2CSCnxZSWWG4bO0CrYs+q5ey
GURzccsLRjuBBzOz+Nwni6YQ1BVJrY9xknoc2A/kW4IU+qZpjOhCiD3cFP2QXknBz8iBsrxFos5Z
FUHU3SVIaq5qVBXuR1HZSx/2zQNrL7EMejt9aoi+8buz+udwQs/OSS3nUz5Y+SJV2uKLKco3TGWh
S4r82e3i7NtQ5tAGY+M1nwCyp27xvRlYUWTkVMhwFMtOLZk4JvXqD6xoFuKGaBWQ3AwVGtOOgR9g
Tcxyp6P3VGxDciFvJCKORjNVr6lwbh0Q/l+jPv7s5qF4UdkTsHqrvc86udtFEqfjJioDrFE8rbrF
TB5dzdRhCpoNl2VdkJRQKieFxU9XVbeyQQs0h0nCL9eyKBtERHAoDlKF5Q5Dvfcrg2FtAzFbyWIz
D1A4urvuBhdFvZ+vgddzAXyaPJrVV0W4nISjbhRDQ4V47iPH98gJbofK6t7fqmzIa7/d5jU5LdlF
jj8oKjj/LiTfX1Tg2WCk76YuwS6SFOgFt6Bs11ZWjCVoGZ74mSnrRhnie0QMoqXQrOZLlipn3Sr7
gBzx7eT64fcqs14AeHvPva27WCA30GZ7JyWq4lVHJS+Mo6P37obNa8fvP9PJixvdp97vPlkFUi6h
tYY9wD9oSqbb3Cntz4OtF8sg6Kc7T4uKjWdnyO1kdXcA3e9ucW32L9ia1iujStQnEIUxgknhtVKT
u3zS9bNRZggtGHZPaoJcYJuE1Zkbh0RRUCTnhK3T1kBr4ZQkZrptK1RS0pwEV5b04ymxjGZr5KAK
cpPkf2tq2UlrR32Lsk1w0jzd3vJDcW6SBCJAwYTLr+yQAzrZllD7d4YVh7esRljSaY79LUgP6ErY
rw378EXdBOOd7BpZk0JU5s+uQ1f/1tWA5nyn4vG97RqL2bdN7kFPxTd4n217H21T1JYJZ8g6Ap7b
rir7cN1jF7oqhUrWz+9vM73GWTn2p7UeTf2tPGAv6ywN5CQ2sqjN/bQOJm5glNa2ZGrDuDsmlo2q
T7DXo2p4vy6MCSq7ui8OJMFfJ9z8EKoi0g/W/9qUHrI38JTYDbq7AhcVMJY9ZGB4CbcGqsIrQDvD
Wtb1hevfsroHo4/iJjkh+sk6pzdW/Yg8kyz1oZ+dkSjbyZIcCH6at4txzwPOzBjyYJmWj3Ezv6GP
OvCcglSure/bn/3If6x0pO0usqr03BxJN7ErBBbqQ5o2K1XvQVcQQGk2Smzyv8MOMlzDRoSPqUwJ
sSy9vjg8FgACzJXEJpPle7muBAJ8xHHfe8oiwvmEmubDxxCyobCC5mKTUkdz2kUGpq8vmj+qOxm4
z5WUN8GN+f+pDCxb3SkaIX55oewoD7IBHirp4PniaSqBjyeevQ/mDWgVCuPcEf+5BFkFrAXVwC9E
DWuSPFZx1UuEKqwJPk7RknA0nPwt1wvvNgog3ngV8XRZnznePXIf6r03L3erClqMErb0z4tjUaIK
ZY24TftjXq1lfRuyI+rb8pksjoM40YC9akzqMrOwnNXCXjnWDnfTQp42I86l+dAhZW4pR1kl4oRW
WX4/lbUf7Z0HcS3NlO+/1cvib3WW7mr7rErWvUsMFd+r8Rjq44+Dqta3UctnnUzw4lnoWJ+0GPKB
WiblF5J2r5ZZ2i+Kkz81mtbsTdswt64Wh2svM1D9QAP+ySw00mcwPHLdZT4NNHSZRBo943iJqTET
JqgMZV0b49FFZcsfY2MFKpz5Lx/OY1Vlb2OJqGdb658Cq1ZBkBYuO/ZeOfTPO13rkBVVSd0v1N4I
dn6Ws7VuoHa5evZSetpn/MmVOwSzi2OuIzMYOROAhKHdVFmZPncqSbRRSbWNAoXri+0vGSBbt8+d
CMqDVol0o0IQ2xdtkD2547gnGJm/aL1RwHry/WMWdvGdbwbf5ctNust/sBqKi1Nk3dkPyDIM8wXz
+wBBSU4rBhuY24G5RU7ya4wk6UkejHxoT5XZAq+1XCQOFHbpFQDJk6FH5rCQfeByzqfAtOHAmccf
xZ9DyO5ZWT5nWVrsPoZODWDBptI167aCGjAM0x7dFu8sS3kCAc3pkL2XxViAYgGeuu/d+uyQEGz2
NREQ0GFqtCwqRTyPHXnVODerz85E3joa0vqlSLNnYB79NyyaTy3r0be6s6Fk5QEO9sW0KFxoAguF
jfwcjvYC+C3ZAELGDcyZbp/BE2/gKc/icoVToTCna+Uiwlp6K4sfDUmqZPggg7PsCHdfoielw0bc
QJD6xrXDytvUJRDffrDrfWi0B1mSB9nFmvvJYjWzi8w+IF7WOLfRoCr73IXXlcFSZ5feIaKgQ75a
RXOz7CMUX12mKTFRYVn04bH6jS29cni/RNfSpdAD6/Lemf/TWcNZwhKWcwthiEF+vsb79b2fCe4s
XqMGUnAcyqbfLBtw2HdBkuV3/rzliFQBVudnnVu3zSohBAZ0B0k4mCv6Vaiue1PpsbiBy/LMnth6
UKFVoTdmX8vaQVI2Bk/ucCPeyEYLVfsVOJByp5bgBJvOKLe5A941bYzgMfILZ112iCPo8QCPCnon
5jkdVLchsx+mFJSNVwTK24b8mv+WdyxJDdFYDxljrQHIJjeDZYSrMk4hEIEUuCeauR4Y62pYhnU/
CZ/AqaOzw4Rkx94cUXfDbOKFbHUMMp1j4/g3pOcRGI2i9FzWtjg7INZIoYvoa+VkB5HH1pMwSgdO
RYAcyJRFz6VCAGHu4Pz1SnKpNUF1N/wKXuT9SpsZa1mOtX4lt0TE3anShz6FoYSAZ3Qb+z66UVpT
kCJJnW0/2vox5hkBHCZryWjHxQ3zW7MdM9U5m3w/aydJjNsixf4uUhXnYZgli9DjXVSV6W7r1p/G
RTZ7MLTOqJ1IdaYELlHdmqtyEPyncj6892uEWeBtofy4QrY044hDcm/6WBBCbifHvQaR2N7ZRhve
lzaaFRFCb2tZlAc6mI7d3rGyn1lACA99dJB1dNBMwoFEQPq977UmzrRdcLTzVJz6sM/WSZY2T3oU
f5P/as34Hll9+BpzrxJMHzG6mK9xkSo6mvM1qUNMQcRm/TQZc/qg99/M/P2a3Eu1he5mP66pbHAp
SZofoVR5R60ZvSMpT/JbvU5CoorzYJPwbBC4YdOUy6bfT1kEGyuljTbpUGUtJgUmPD5cdRc1nx6V
Z3zUxwARhoWluhzzueLj0KQRBsCgXh8miLTrdsBxvY4G46bI9WQdWbHyDEn+0nMXvlpRdzXr3niG
t5CTFq//pauftRe5dDXD4Vp60Y+uv41qTioe60WVEEZ80UVuPKq+KB+C7pdC1L1ona2/t2jeLy2/
X1N6Zb+thQ8IZao6nMVrdeAZC+OfhKhqruVpoiEIEM2H0otRmHQvKrpdR5HM+zV5mqNBq+Cp+tda
WUYZXhwmg5C1NyqH3AqOUEbMbUqq+EBWXjnIeojvBE9lpZYNLrrIc2+Sfl6+kL1aW2utnexQy1p5
Kg+Va5Erc9p4UaKc8aO/bBm14EvrifA4Ms9fA34au3QgMKdlVX71cy2/yjNWoU8NydTDR/3gB9rO
NUjcy0v/2he06Y++Ddq9CzQOWmSH3eAkDxZCn9xHmbl2qgztkqaF+y1PP/rUI+mO3/vIZlu1EGvp
MJaJgBkGDwri78c8b1Ti0/OproD4kmfyUAc8u4AnhYuPuk53x+r0UU7sKdnEGTpm8mIojig1/TYO
4UqSNHVtM1255Mh+GYOFk7PMx0EFX1PC1UKur/OiK0IG+TVQw/xapaMDR9w3Vt6oZ7827JoOAb+P
2tIwnBWZVmMlL5QHpJXza70Tc09ZUffgw2yWHFt4GhlOM88T6cYTZgjVQhahMhXb2kBpSRZ1E8qo
AlfzRhYjO1rxgNQfSk/Xr0lmPsjqPkK7tTHxkIvHfHyuNVK9bCGcvWxVLPWCk+Z0i1G2eV/n0/vQ
Xmq2xz5uS/SUuIiMx7hGV4j96Py2tBQ1wcJSjHOPr9Kz7uNM8q/v1pzfLcuwcEMmaXj+eLdyyIR3
m9UINFew9LdSCT3jcbFpigBc9CyW/q6OPuupfxSrOoSJ5gGhka2yYRpSZnZZTtX8c6ql+U6Wxqw6
MlVC8Um1tRez1oUWGEVXtN2GVU08ez3UzgiUKcyWPkIF54KlENZJvkX6QSCfJXu/X+gYIdjpyp19
PaKrpdTRFbxZwNaiv03wv7hBQP7YKoP7rOq8/OgNsI4871p1yWM9V+cePBuRkE5v2sR9HhojXhKI
j25ka2PHeGKMyVOggZ5uTCx2hl5xnwWksU0u4mEjr9L1nnBkG8dnT0m9pym+kS/pKp16g9IrGcD5
pfw4JpErcmUri2Myfp7wnUXDqi4f6sBfy5f0GnJj2oTzddul+pMJayyJ3FOTGmQ8VBVyMUZWJ5yy
nVNfWeReYs32wYWa9+OYmsgN/WweFDAMH5dM0zQyiSKxb/FoNSxYJ2F3H4Rtd4/REqHDFHCoH1BE
8gYDmX58+eihtf5jHxvpSfbH9aTeGh1ES1kU84BzFnceS17Ti8xaoinibT3D2jbtKC5DDt+eBQBQ
e6Hwa1URyWwNO3gNb9uwK17xcMrACQaz14AJ23ZqXIj+ffxo2fVXz1Dy18TXgb/Y1SdDt6p1gzLh
DdFI+1ROWoUHkud8iZVqJbtWLnk+vVfduynFG25UI54klujvptLrFvL1bEiKaWdXL34JVFGpBhZj
SmIda0iV6yKy3WeAAyfZtYn1z52rwkHUbY03RURHfobC76ulwz7qz8+QsId6/wxFxppKfgYBa+gx
yquvwHe7jV8l5iZVk2kHOCBb6Qh7PMpiJ5J8pYeq/mg29Y/WyQuMX4pqolc7kkbZBrYzeRJDiZ9U
fNJX6qiKM2D4fl9pSb1DNhkdUSVKVw66eZ/GsXsGAm1+d+tjnSrTW1MxTSBCHkMo5+rJ88W5Jp5Z
tAgu9Eb+0mdVuEUvK0P+Lu3LGyJzWEbNZ78VW0SesRk2myX7AHpXVT/CjsAG2m8y+5xqxtoflOiG
tJG7TIm7rmV95epggSA65zeGVayLpscyImi5wvAijF+8wX0foN8bjomrljbb6zmOemOaYEHnUhUH
oHgKMb43diLU1kJ0KBLMDbKLbPU6vTiSQEBFPyZBhRLYJhWBdTKJb57s+SCLYdrbxwlzSVmS9bKH
lpE/IunjoEydx1Df52v7Ao+j0Mo2Ia43SynADtP1sUTo/z4KAEzWGjgLKYTuTPWj7bnJPen08L2+
TJ1lq+n1F9Q2YJt3r6iN8wwD/nIblKa/C5AO2rphmt8nPUmORlG7V6NXlwhAty8qqk0rZBy1M9Kp
OKC1abQZKqV+Eqr2GIikR1IHo6wx956tGA+VWHOSm7asejxAjBHV/jG4sseAjJ0Ht9DK+xtDb+xb
az6YOrhFq7gd48ieFcXaExDMI/w/sJbCTMRen1hWfPRv6zraqA1bNlknL+tCUPhj1GZbWZQNaiTe
kK23Dh/dHJBUTl1kF8ib9m1a+fXF7ZTlRweUZViaxeO3j2Fqw6m2zQSpT14kG9o2GlZJGvpQLhhI
1mlNPmB2HWV7WewK397kUQkaQsUbxwusZ5ct3bH3AAHIYj2O4RqlGnUni05SPDaku66Qqfx7GOqb
ummt53IMILB5d9oQmydSF0jwB+p3YFjqNhYlWxpZJw9RlNc3cK6gLdNXnQpj40+i3Ddd/hksMNRz
z9dXmurGd/2YW1dT/9oSW4A4g13FHhkzKK9zYyGK5E41I3Wlkh1ay7r3Br/8bIy6dpQlpBStq5d/
ld1lTWRp6p5F66/jxGmhgopolLVwug4iaVN/DuBQvY/B5gK4djV9hvziLoVHZjom9a/NE1CE3uv9
R8n330tyrhpQufho6/5S+nmdnOR+9pTXkXPq7/WeXPU8Af7s+f56c9ssuPNvrvOGAPRj0O+DfkxO
MBuTk5X4d202djvkWJLTR708e6+rBhJmPcgGun9U54KZfiHL9dR9SwOA+fgznPzMKk7yTB7qakRT
RU9bDMT+bPA1NRp+KZtOtCvUIDvEPT6U78N8jNDVyrjW4lm7bx5fHuRYLAq6xR9/++9//u+34X+C
t+JapGNQ5H+DrXgt0NOq//GHrf3xt/K9ev/6jz8c0I2e7ZmubqgqJFJLs2n/9nIX5QG9tf/K1Sb0
46H0vqmxbtlfBn+ArzBvvbqVqBr10QLX/ThCQONcbtaIi3nDRbcTmOJALz7785I5nJfR2byghmb2
4BH6OyRyrZ3rXccDBnit7CIPbla5y1yA960WStR7LFQwCUg3QZyYZzFZxvshm7SzydR6IDfMd41a
knkGlV9uFS1oFx/9ZAM5Nww0iwjJ5DIiKGrluyp3+5OVZ8NJnhk/z+YeKKfkLOPAnYZsTU6+ru2b
qC1uywgorW+Ov5S8XN1boTdu/vM3b3m/f/OOadi26XqW4Tq64bp//eYjawTHF0TOq8DG9WTrWXHu
WzU9424xn8PerslvzDXV2hpxJgO2MSAdMh9+VMfCQzawqv2TQnJzlZmqheDNUN96kSOQUKBu8G0L
OKnahbD6/iyXrfhWpaLFfSZ8qoDrXyKy4U+q/pQmTftoQJq6S8Byy1q3beKT5kMxlMVUI6kyGAri
+fM1FtyDdZDWAvJ+az2BtUiXk5OnR9maF8kv4w/lL+MrhrrvWwHR0tdwPfX9BrGOujsRff7PX7Rn
/MsXbWsq97ljuhqUL9P86xfdurnLgjXI34iI9OjF8P3JbzjIPL5UCykLiH2o5cnv+KO5L5BFrfP8
8N4vrFuYwuiIHkJzEjeEdeDDJtxwmT22mGbOlZ0744flqe+b86mj/+hVWvZbV7HuqoLS26NZZaw7
t5lemmYx1sTDJwxiNmqmt/s2M90Hy9eusj1jl0PEXC9hcvr2WSBvvKw7d3rx6+RhIMb8wBzw24Ap
8IM71TMAGi6HFN3SyRquneOEN21fnmQJkcDx+qO+u+LzjAJfV+b+ojNQfgTmYqx886MLlzZm/n6p
rphiNbE+2RUxKI8Q6RAk7KPhTvWrh3HQNAzeOmJJbjN/lkD55DjrsbXUzyrq/zvAQvZ70R6jcw6H
9d5wMQmKCivDMJWr/92o8+XCQAtB3hr//Zfpr5bT4beiHEUUhM1vxX8+FBl//ztf87PPX6/45yn6
JooakMB/7LV9K84v2Vv9e6e/jMyr/3h3q5fm5S+Fdd5EzXjbvonx7q1u0+bPaXzu+X9t/NubHOVh
LN/+8ccL+lmEWTFnjb41f/xomqd9wsc2v4KfD4r5FX40zx/hH388RQIBxujl31z09lI3//hDcay/
66bNOLoFDYx0mP7H3/o32eQaf7d5rsy/OMtyLc9gZstRQAt5Ye/vYAhNjYcNc5+uqUyKNWSducn+
O6MZrurYjqvrum3/8ecX8OM59v6f+/fPNV2+yi9PNt4Vr49/E2PyNlTV/e1n73Z2Abo60HagNm5t
8BNorOTx2rmxmqhmLkWmCX2KrVNVqLk7x2YWQOmwb8ugd88h6uYwxn2LK/Bo7HXnjMQssP0BZgTP
oENRimTXJfraU50Oz0NEqkS0HhG9mDQedlYLi9cj12Pw82vxtkvtDmP54c6J0G9r3UOl1vc8ZLFN
7BY1EHUQ+qdUs1s8X87J92kSz6U/QLctVXR5NTRzg+FLX1+jJ2HVCLv1uAx2ysLRyy9xHXwdIh6T
7CCXQWnfRTq5n5o8PnI7607Zj9+jWqyIgftgamdtWofl9M5xvSX6g86hV3ELgEWC6k9uX4rc0Q81
CIsdQMxVYvnIExLNZWnHHhu7AZCkDmDgoJxGgmXTCu2/706G2EzGxZVAYYNvul+NEJXiIWU6SeI7
oeIA8WpY3sO8Q44j7xGuK/oIs415WmNozr/vLvI7scGNClrofMjIGioxTH5rIJielcGafCPPq0YB
+hdOiBeCulGhYoWzCKZvomR1sE0nXAmRm59ipQ82OBmy/vfxMI14/7phIM3AbQ/8ufoEQLE158C7
U38fPAdv48g+phUfO2tbBU3jnkCUGV31FpCm5ZOx7iyFhRE+YpvcC3bGGESXTG1eyx7t+nCIJ4RP
fO9pNEeNXTJo2BE3ZRDQBBUyDa64H6+TKUA0jvXRzo1vjdlcBgH7TeWG5qUbhY8mXlovURFoNol3
lcrIrYJGzmRM5qrMH8uRb8oLhhr8jsZbMYNjB/5Qg/0L9GIgXy0Gheu6dFt4KzMEFMzN/6X1W7RC
2ekdslp/sqI8RIenqg/RILz9YO8iaE9LN1WDVQbhHPXwNwuTtj7Utn1QvE6u8hUJt2LT6wlOoP7o
LoS5jtOyIJW4ZDNibEkT3gitFwddy8nWhO7B1fHFmGprlfGxFl2e3BWaZmySAJEUBe0gQLXuUu3N
Yj+MMA2EWS/IIWvLws7uyyme3X3Grzh69euYPN7Ba7Eds7tk68w/NWsw+xWbc5hxPyVuRYYc5aRA
YNFz7GyUYNQxI9IKbJuT5tDMBxONDIJD1g7aU34YkM4T3mdTxb9CsIwlgWxmzbfEdbfk7CpEq5AC
r03XmfXwa/RvVAAxVvo9i+L2/ZaNahSXiiLiiy5eUyd7FrOrAmitABe2NZAqLG4KhxWOby1sxakP
8uAr6T4ap36Lwwa+8KFTHVBYnoxwOWR+sXIU21rGmP3BtXCHHSL2K7g9qBxn1SnOxGzVuYtR8V8S
v6/XcWdPIK6QavXBKOGEg4pREf0/vs5jOW5g27JfhAjYBDAtoLwji0YUJwhSBt4jE+br34Lu5L7u
jp4wQhJFlWAyT56z99pxf67RJ3RSgPDKxM0TmdgNuXNrW0fbC5/WVZM9uW2H58tJ+mCEiDEgmzox
wB9P0PS35BouxwHl0xCvEZqCmQ5xWUFD1sBGNTTq57HUt8WIHr0nAtyVWheInkaLsjt5ypRn7Tql
w9OChY5BB9W8TA7/+ZypQ8MjoQar5RJUOlQ8q8b93E7aNhmTL48aa9fzTQa1yKkr8/kwpm2w/NZp
8ZzM9Uu0AHAdH/k4DMEodWtjIL1sF1JKXO/WxC6XVlRBXmflcSKOvJ/cGdQJLORWM4oQlAdkN9mc
/LGL966GSUdb21eY1+RsPMX02NEfpwLbff+NezbdgWYnfE+aZEcgwHOwSYSay10CZOmesANgFzGz
+YGp/CLkgtYOs+V+ONax6Dine9aNuSAqY3c5G9lW8PDuvKlzT0sTv3bJVO0LH8dxNI4E2eZemI0z
+AC0WSLpuRlO/tuciZsTxISi4pvr89AX5CkJnVZSvrpumtPU2dc+Rhc/x9UI+T9/qUA2wvfP6Wd3
3W0ywCF2wAmZI3bvM3F0d5K+f/77FfSXbOdaKU3g4cdYmcbVNHr7tjhpF7SFRtAj4d4HLAtxUEUx
Vz0SwN18XQvN3LAvRmv+GVRyQiXVPZMYO9p2GvwrWs2kviVd3mzK0gLTOnY9zQLf+sGl3XjwAkiI
bKYLyKdgMvOBpmlqMXQ1OdXh9cIeZXFaFsAeMOuM2HJi3w+92QQnAR0Nr8/AU8d8KyRwa8RzCcCo
h7oSkPLsgssV/c7vUVVgGoqf4uSbNAnnXLcrkqZrjG0yyaduWTyW/DblsUP3j6C8uNYTDlnY/YE9
5eMhN7yj45CbbcIFWwlUl872vT2c1TqspvxHP9i06iMcQhou6Us9ZLSJlz4PPdAMJAZo9ha1IDbQ
GNSi2WfvYkYNl1kggUcnkiDBizYsMTBDVUt+CGiKl1jSyGnSaNjmzSgO08wheqhxlU3KH16cObRX
pRYSy3uCbeyI+V4AyDEVGd2LEUQGfPqy+F1Z7CKDzz0lxPc8prY8GqX/mo6GfkBqabBOyPq8eMY6
iyRv16ji4qrzs8J/f8AlrLZuI/csSuPKi3lKUpQBC436ymJuVPfxQ2pr+Fg2zDfhV9W1wUOKsTF7
FFJPdwwwX2NoCJpmvUdDHn32DtaeVOXNtTOQlGaoEi2iA1xbnbxpkSEoweHkuenw1c37QkfDlCx9
ubVAYOzJCeK4UxZyP82Y9fUuOw/Kho+oGjE9Rqs/uq72RBPFf7ZHD+ybartzf/atGNPIanSYXAvj
zcxdXUguPZqGfwAz8lp7ssR3lEseq+JLk/7D0kR5z4FsSUfBPfRcnBDNBVyPhUE4Mk8Sebc7KNoF
HZaNOrbvC9C1HTwdOVnx0bNVjD2Hb1oEdVkTjT9JJ4mfaC7SSSa+mNCaNSQhrMClv3CLTksiLlSn
AxiQBhO5oX2otMSR61flGwlL1yLL9nGOjCUa8yRgF1ogPtAWJgoqMUdoSlGC7qs06rPZ2y+ODqYt
LTuNbLs5uWqCpdX7nKs4fqKI0IMcP99hZcBnGcbhJo9r3DCufFMrGUl2WX0y+lS+SS93WDNh5izL
qvvjbZu9un0rjY8Fu/UhHrk9NfFPSediY3AwqHkrrtJ0bVDXMB/gGS0vQ5oaF7ip+X7Qa/NHau49
SwoSB8ByGOghL82QnjXfZPOVQ3lhynWNKoRDTW82gYL7tMMfyL4PkREWZ9LsGzu1LqNKnEM0+Rd9
IkDXWvuALc9X4PvOvE1E/MX83bunBKcjPCdukhAsxhHWiIu+TusjfBrveVLd3c9g4BJN8rok5rRt
XUtecxchInPjTivOTTZnO7PJ3DeYH58sfRurSYe3dBp2a2jrKvfTnqjCsI1MMfPcJC0uzMZ/ZVlN
Q1rDb7Vk0vnAhZLHn5ACFCYpIgBhvaCU7+whNNgh77O0Hv6Mw5QFH+RP3aPBJZ1056TNsKduJriy
h8wyL7F9ileOrGYP3cFArB4uORQFE+nLS42ZJMzRaz9DUvsx9Pj+9dht3nQTd1Kp7OS3o4DL4/h9
6xZXMHsOtMnt3io4WTjhJ1b1dml+9llTbSpDi88wg82gcoUJiaP+dstOnWL016SDVc6u6ts34C0e
gbjf2djdnRo1GKyBGyRCEUZzg+k4hSAkyclj94CGNg0cdDIh35My148RiQGh4zT1IV/0vWC1Y5mC
GBXpPS44+acvhR7MI3KeNmE7xwEFbljwdHBdNS1hfFpSJEfo7TA0XOwYPwulh9opTVhHpyTwE7Zy
aGYJOAp/YdJYEvfoS9f7SMronBbCeWayBf/G62De9t4m88tin7vtdKt9stCEhUyhFR54V/ha4EvN
u5Wofpv6IyAmQrmJhTY+oE9s8JY/4omW5KKq6sDkDgIqmtCjYXDdMxR8DQQMcmIq8B5VH9N+ASWu
NzAyCjIr9k4x/J2sOnnJcyzvUFB+VJ0aw9KiOIR0DiiMnvWyWFePoIJd2do8xo6/AXUWPSkCk2Ti
OLw52t+qsbKj0I6yqUGYSH9blXl3wOm+MDcdEIwN5B/R/LYJPGoOTdRrV1ObLxnbZ89ij4MPlHDm
gWqCf1QwuSGHtueKprrQrlRfd2yOnIzM3N50YJLZJNoTfov0WDnOdzIuTDoyiHO6T+KDjEmZSRV0
XE2W9XUqBBJZvCp+kx8of73tpBoAtiK+NG3jhYNJwHljgtHtYv/QL/xkt7X+Oohg9q2pd6FvV9md
5YZ6ozH6B5NzhCwgMIISteeWVRK3SZRFp8pym9CNSwU2jNmkiOLbVHryFv2kBQHpBs3voaSJsfkX
HVaVQECGGYFjrw2HaarcTaxS5IAC57VNwsXFLK6Lg4qTnQnmmAQOEyXux2wl+7Jzi7cq0u+aDeyk
TErY1q3k/gD9XDJ4Dty1DD5DODiTCusRWTOjhnzjdrp5qtr6rMWKV31kyx/L/MLIJDnLfOEiR+5G
yxjnaTgE6jU1sMLMbDXDn0Xa7ZlsMj59Jb46dJCryrwNXVrWJ22ZcKB5o3808FESrFJtul5IdJUg
9BMMyWAsYqo+yEVGjWdBy+IRVx+piiWywizPrMMcOVboNWo6IA6D+zeXTynQj20Da3FnCG84NUA1
0J7VZ7TaUH2Iy4gcA69hm48XN8KiBVptdBf/2S8yeVV1/qqVD2eV4gkyK5HvGk+6Fi8n5hgPravB
KftxLzYAu66A3C9lRqGX2IQmJMK/Jw402AqWb9mm+3mw7bPm/tbrYT6bSCk3bkYId1m0J71+GWVv
nXLFH0VmvJWiiI8l/OajZ44cu030HLEmdnNvRa82rsvE9evttDSfGEJ4gownIiWTn4qAii5vd1Ni
3noVQdWpu+oGJyQLLL0rd74DbgbKsQaz0sDNM5XTYYDQExSxfJ4IIQ04UeoHolIwogP9S4TbBU0H
Y7aCSaNqbzjj0AqN2qBA9PrX2Z9hqQwY/UXh9yEteXNrQhjcVnnZ7AYLhDoW+Gxwsk+2anNbkgxw
EnIk+yMGgNbjHuMUeDRs8QbRCJvsXOO2NasSAqtmnsQbCrZpqqlc2gJkgG/Vm7x3ReDnybuAEXGJ
C94nk+u9YwvYNN+wyTHvLTReF6V+G5MiSEkyycudg4VWZDun9p9W9/84BT5H2GG/QIR2R5ICdlBc
xJXDMAZrgUoYIKX5btnHxPD9N9OvvvIRdNriLxSvRgNuBv3sItrrACOQkzbeZmmQ4IqduYEO2ONT
MT9sxBtH0q0pBZPnajlAoadCNPXiIxlurYl6KWLUDbgIHfjc2uWjtDz4CfF81NzsopR8J5GjQMrp
sx0kNdgObThr2ggjsWPAgDzEe64BgSPGPiKaH37xJVyaPMiRc78kKOzdQu20ERcCyleeeDWCliV1
faJcuqdpTwaUmtMdqZ8g8fo9PqD2Mo+0DSPR/RRIwzdYPOLtin+OoU0/Ki19mRSlJ3jRaC8/Zrjs
HN/lbuyMJuT3si2Ntj7Q0C/r2g5ywQg1zqE/ODSsbgPAWlLe8XmogQxeA+h8ucwAfUcv5DaVgNVo
+CnjixTOevtkutMPNULGcqearVDiVZGLHnDLkUKMnv3E0u88FSWSU6NgoxSyeY762gPYDS/R1Dwq
MgdTWtekP81EHTlQFZ/lHCOehdwq0za5lr6VUqn3sFanNg6WNrG4tnRi+kniP0FfirlOi/CgRb/J
IGIO1IkysLuZTqpWZkeVDc8V5KGnXiOvjMy+Mpws2h6638vDkvGfFim2tsmZe8oa4g07Hrm27jYM
d9CZNH/KmFO/EbehYfcK6rufMHSX4x7dw8Dub4Fb81Pniqut2boz0YMDpsBiwRzexti1oJ7NbOjS
YVX2KhiJ65gNGuslJTLgnJGz1VuyfHVIXrF0ke6ktF/S0as37WCeu1SieXVe6xY4IS6OnOvfJg8E
QckjEdVnS1zDs1PygHLqE3GzK8ZpCMjXYW/sjbuvhS7y+ywnNKcFLx/jn1JzfDX7CI09NuOBGRb0
TCBAWs5LKnyIpR0+g1rjCaub9FtTq2Ku/WFI+9bK+WtKzc8ulvsuckC3ddW9G8k1aBZWLH/AcKis
tzUVDiaXvDtm83OK7AO29X0BQ2NhH6TOIUCowp/gIMmmlfENA4+9861z/KfGS16FOVqbTbR2n2PR
/7XRJW7qOtl6JNNusN7qm2o279jugGM7eznKM23rDscXwRmMlUPe4zem5eCa27eksOOwTrU34JXE
g7cyoXVLJvCSJLxyEnUCmDflXCGWEhOAx5geAKGFyDRRCWflj9GksI6b+odDb0Sj3nDGco9h+UK2
gIdugr+FG/2nmT4lCZVCU3zwTH7aJWAaVVnxrhH9zyGxIaoa0bsfZb/yKbf3mCjPpFSP8I9dxpDT
xrTJeOihFi/mbG/MzHg4M41TehRgdKYR6QjBUOvDaye0V7SHa+Ddd0bLPdN8e49nqIuolho6BLYM
u9LcE2ONNwVBl133R7Mgt5OGNodMzN+hzYUMDQ28Rq+1QU3Psu64fXqV/ZT0B8lOEBElphUg7AWV
US5/C42U9hjX5cQ+aUxbr7kIb2tAcwbd0MiD268CoLz9Zpz3TSYTbWPaB3nDUotq/tCVmnM2jG1v
xCJ0h94PoApxtGz/iDT6XASZF92EXqgubjLz3G08wYgYt1DCTq7fHgziw0wotoG9oBGKTZB5c6UH
peE+1dD3eNSAqKlhPHijg6Wi7j8jIplcA3wVqjMsXH6PjHniCJgfbP/UjirfYkWgV0bbyM9qE5zk
uWuaX7FLIbcQl9GRbwP88uyPy7eOlB2M5ODv9EyenTH9ju2xP0IoCejfPWX6bBzRdQKeg7NkS9Yo
z7Uugj8CEQlEm/ivABfnHyAC430BQFIa8a/RtNUHlUrGElNdnRSDQzS+u9Tcga3FCQ1vKrva4tJ2
DT6+sZHtZx7pOPE1N78PMy2HVlu8ncf/beNDQBscOt4oC3myFfAhaF/HaSFq0snAHYwxaeq6bd5g
g+bYMjvsuPKdEBgAM0e3leWnjkQvxKGmZaY8yYUnrli7C45lbUYtS0N9KGcWKmjlS9VB4AYyv3GU
fEv8aYLL0j/5DHk3qVlcBkvzTmZBRFWtqMzwAePqs6321aGknQyNnaPiNItH5slWBOHkPdRGoPkM
4e32B0ey7mcmGs6tk9IOEd7bEK0sqLOIODYsBCQyqEketBxCFYLYq0fqnl81z1R3RiCftJVXYWpj
uzdcujC9vmJKfA8mVtKSKszBc1LVDcv/QyCg3aFTDCBvmmHV288Ck3DNzFZfOk7bPjl0cUEMXjJ6
QPE0OuxtrWEfuBk9C68JyUzK+r6MxWPRh2abjaDAs1vZlYSgmZYdJgK0ENlR97iFt9Sr5TMy9W9p
knfQQYEKOMd8s9wYQ1TvNb2A99B/x6NR7FRyTZVcN3U171yk90HfkzdWEB1ELLfV4TBO3H3P84fP
tbhUelEdK+oDD7sXTqofCT7ZsECcrOSSHa2R4OABkD7wZLUxu+hvlC5/59y2nx2dcY6fTc+55CSZ
5mwKa9fKFhB2XFCsvD2kCWEUfnXbT5Q6JVbo+CNxYrruRNpjtzVmr932JvAX5IbnMtWeqrw/DjAO
T4VuDKG9SrOi1rr5ZvPNE4FQZ6MAbREGvJQriDm/Vj4VBYOlGFzH8DYqiOezXIaLVTTHEQLTSMgY
EK6W9Nu6Q+UxPIhQhRneMpQrB0KUHIsKXRRfVZGTByz197nGvjwtrRHKFAaA6mZxcZshXAb3jSQ4
ZJtRDQaAALtDl0ID1bM9ex1ZHJr/7dfl+FHon3WiFKzEpD/MLdT1dtaA8C0Km+3UR4f2KMXIMWfc
mbn7w2rLV5ee8zbyUamPRG5MCyPOKN0vpfk51pETNEvyZijiATNDyw+d6/aA3M340+i8LZFX5d0t
4wNjSQS/vRfOXXKo0g9FWXnNCMaaNXqwiygQxdI0i2gjLKV+bAwqPL/BohTht2ktpoTk5/AvmA+N
NZLzIey3KGI/alCSROI0J63BTHfqds1EL8HmX2rkLALou38qx5a7WvweGzweZWMD3sghGhkTpX9b
3mXLFSNAyopN5nckyJTMkg4S1kvgTBL3yjLxMRqN6Y18DKYOmztDGatcZrju+LsUSXfSSn1+Fpj4
VM+6hdJtZ3cA+R2xEsu0EV2w4QbefNYTUz7jK6VVBZQt4/u6/AgmfDnYlXekpU7c12juY2ZvwRiX
89Hpm12TqfJkjPKH32Xexjbf+x5cwzC5r2qp38xBvojM3abAkOJcHOKS/OlY6flTo0hkySgLT47u
v8SN0s+eTV8uEermrGBJS2h3Zl+iuZbdUF/UwCaru+nRTYB3zyZHafQI1UelsTBBOLDz3nuayvaJ
UrsNx8Q6An03blqu5/u0Ya8q03dM++alpGvSOZH+xDtMAdyyb7HRBEBKqC5qgizFtB7oZ2CeHSEf
sFzDEWtt6DQ3D4XguHDqZmOdgbcABnxWlk5daLcfkjgOUNwgUz9hg6b7Si/nQJfFC1kvXLdUR4sw
NVtNKQ8GOTt5TYvCEIyxl20+ohVoZ5/Tz1LiwIR0HaEVe+6MdAdgKw59RaaMXaq9p3F7+oOI/Nfc
nuR1zWcrO6nvxiii71A0J/DPawYZe0IGiat3GfvD2SgaxiNtYr/FfhqwqbFm5NY5cym99PmyEAeK
+axmmupO2GKAMpA17u4TZz10+DlQuV3Jsv48DOvaTnLcnmCX6+KbXWjMK6iBKQDjA2p4Hsxk+M4a
wwjdpNrV06ivUB2M40Y/3kb/WzUkR2TL/Ap4l6LYGskC41Bp5+afYqaMzRfGk4km3p3sr8ysPyMi
q8YV2LoKoti8uILy2NDU81KQrwtSyhaEwrMbu0ciYkhgoEPrt+/018rTYA3vbmMoeGTOHdJPzKyl
tO5+CRpujH7n7krlrxzt2GouPLARUjDRb9vWeRgG62gPOM1bvMcUdURLQTG/EEZwNMVoczJW9D67
+tciM44OSx4flOsZQUW2VzNa3A3KXfBwyTaV05cyRGiohiQZ92tyJf324otUH9JjWh+S9QK6ttan
kKQQ/A7pAq5TErRnWSS61Fp2UyXRiWa/MG24e3r0zBXcYbt+Ah3Q7lU+HBTwhG5coNLFRgWW1MvD
Yh4IlF4nVw7UHOU3SDhzk3HYeDQW6wZx093Dhf2j5T/ahs3ZBbbZCeu25FO6lUsdovlg5mI90/v9
IESwj1wOl7219SZS4XyybQ7KeUJll3xMSzduhSKXbCg6BtWc6vdepROA6OB9SZtbBgdWq0lW0+eR
CMAM3K0ltX1CfIVePfznBVzXGwMv4ki85ioG5+YwQsSsrqD5cqB1ouiRl65Hs7PerqM9tNstTZ+8
3fP4XEXb3ZnWkkkyJA8jxdGG2n1jWBM4bcc9DUCWKWEz8BZ+cZRp/yPyvC1zjhE7PjdooSZh0urv
SVxaNknFfD5ZsGtHC1BULA/o+zYEV8Yc/CexyUpW17rot9AKvS09IPgIwqM71o0HbVwous32rurk
g5EfvtT0s859MtQr915EoKwM86Lp1kO2OUWmXVydGBmDYdILQjb36k+/yjJOseaa6DKiAqY1J0Ch
K/TzhGkRRMT7VrEdaShyB6v5yJPZOa/aJmrXgrKoH9W2VlBatbnbSZ6IfacD3rJa2YSJOxr7yUPT
KRIBat4dFZRPsSH7k9wXjRYDp738EiXzR+8NV9TmxRl76WmK10COQZzi1DhkBscue5qQoBT12RDE
/sm0GzeGYd9kiW9GMH8KpgzIeFL1nzLh8JT45aYrGK5E4jhF6JKAMO86T7JrTj4Ehepr/dN0hEbZ
ufdW888cvLa09gjUfcfHFq5xW42gI0FaoG0jzknG52no0a5CYE6013pQ46VozFf90OcknyXd1bAY
VfS5Xx1ltvqmxcNPy+k1KtDIJzkMTKwau7ZNdrFXKjDYhKsRZ05/QMV0ZgdDIy6ND+jOzXWRDALW
Eth0/83y0pCjOQxOAe+9jL9aDteBNQPLxBVXSMfbDZN6mVa9cuzbJLDoBdw4XYDk7GEbGXnmbxs8
JkGfxyS/lf162zCtGqQtbmmqLE95LK/uSFM0SpM0RCzpIPvY0hNvwzqqrlHSJ8yLUC+nlF0lxhDy
sYNKIZAa8/quu6TGTRzvx7ggED2azjn3JHC8cefFdLCtavwaZ8bOULa4RN5UH5UHHBwEYm55W8si
ONfWWjOwjOrQFznvWXfQvNwNQck02/hnlE8/ZFSQIw+2jJpo8MlpOxUJnBdBxnPlXRMsdJyukmi/
vrUEcwxIgia9guUX3QdCyfSe2+CkxAqsh4a5pZlNXFWt4CPMuhLHbptDir0JojI7HbSf131NRo7x
KJqKLUyV7mzq8V1mdHbBV/6x5yXb2fr0OyHRWXFUszJsakXMGdlqlHwW2qFBJAVzhkybzCgOGUMY
VXeSxJsKvCkw91yzxq0rdFRHMxGoysVU4exTKq4wwdDLdzcKILGRBosz3BEzpkczSim+PVJ3untl
0RfjzX8xrbV1k1QHa8BTaHn7vmCooKaE98RsbNidRbbNwBWj49NyVDzLSxb17V60b3IBOr7GULPz
ZjR6+6vez29+6bxlJu1C4Cd7BAWhcmkaFYr0wN798mszOajvYRYfM9MHHFvId8bUeBQlMH5npi/i
p+I78QqQH2kLpb5u/yImmrR1eFtBUywcSvaW0wisjjfwO1ORXQFLQbVjVhf3+kH6y7HAYl8xXqbS
qhaCaLJp3mpsEieSzPBgDhMY4hh4cUXuIMiPTWQV1Ueew/Csst+VA3WA5IWzJZg6+RSBE9tVTx90
y5n4WFMuvmP97btZfTqJQ3ZKriOzPFKLQeTKFUkGTn0F2nSx6cnTYX6p/PrZkoAFzaE+RR3/ARtg
U4ARhcOnP5FQ6JIuUUseJ8ou0HVzU39hKGw3dWduHVavo5b6+Fv/Yhu2z/qvivNpqEvNOToNwk1R
mgkE6UKyCKDlyk1CxhOnuyT41xfD+IsZPl0Hn6+GHtE+EO6HtOU+LYXxZGjSeKI7Z2xUTGPYYizM
aG8BbkbRQH+dcNqRtO1JOR96CmCW8a0ec+RO4Erao/OzNNLxXpjPk39Lh8r8wT7B/zsTEyAkQFrO
IumpeOY2dlFT5Sl5h/bQrvbTfV5zX5ucXqzRS05LPgsZurNlU2TW+6A+I0aG50XvCsJm5TNPUQkz
KsViFV0KraM4dddmLYOmvnlK1SK2XjcoIjgRg+Zd+oOgLEMbyjcgGPeBPvEOFuOuYpvZAlZChCrI
25lJLIBy/4Iy6mmO5jbwC0IiyuIxC++q2urnAGQjECjUc8dEsZLDQxUtJbEpGEfNKGKHpoBiYCFE
bxBclZGbh273q8/WnIg5oAw/OT35tyDM6KQu2rOackrIxmfYneTAe62dM5RjYIsiBVu2ngzsvthX
uU+BVU7bPmoJ8S7CAj4rZ70RCEa0XAk4MA66XSS8eS0Pts66NzuH2S2XY5lEFKtgzBg8s6YqBIfB
4Nbfig3/tHiQVjWi+2RGe9c2qx856yK97eiOGqXejHoyH+ga9F15IMezOghkladc0M/A8Edhnx0N
PGyJP9x16Behtay49NZhtBaVO5RX34B12n1ugg3uSsW6zOW2OtpNJgd1LBcQtptEJAiIM/fmU0Bh
aQVGh54qnL2GBkvCKzj7MAWzhrQY3wljJVgJHO3aAxTCbAyvdmdOCO2ThencMqGlfThyVufO7YYj
RCBo9Yr6vlyIELa4xxYp7bHv2Qd8sejPQpWpmogdZYROtZBDlzm3ZFCIGOmjsaVygKuQ5fHYbYqJ
x5Ls1i0jIE5jcIDPC3OzecoeTVVy7uqjN7P/MjqCQ/7pgcnq/pcaR0BpygQ0sSlW5saJyM1t0U6s
mr8qTY+pXcitnhl/lrnMt7G1SpWzqDzN9KnaWYxHguqdY9klkN4ZECLgzgrIxt1r4ZvFrtAMM+h0
npd/AzWFgDCeovykt7gGiexlBxkAbRRtcnR8gJZ2Q6wJpNhAa2nOTcm7nb64hrEwkY8eliza3T+J
Z9U2QRH15sHxJvjDtklPfhVbshPAzkNChuHzJCyT3O+VW8EbdqX1THNlaF57FdcnNQ/GIdF75BPj
3RVGv48iGuCbnqSPU0f+EFHr8fHfx4mES0+SX5I89zJ2OpqwObbDEqLv5j/qb0JtmlOqhgfN7pa8
A1GfNJPUWl1FeqjUMi4BxjamqUwy8lBz5LOMmnlPpI81Zyg7Wq8OdODCm77krgpi3gJh+LTEfQRo
cUVIn6eBIEYQsKv19Ffj1Ydx5OUQGjTfIgHP7c99u/X936pX7W5WSMYNcRghRB+h8gVLzoPYY0CS
7MPgqFdRab3qbgFqfdU4ZLYRZtpio2ysyNAe4bbgi0eJwZjGfV106aE6RM0ZGF1s712nPsikLLf9
on0adCAYr1TPgxE5WKuIguS1vaJDzxiLmp/V4usn5kV8acf6mLYMiJO6J46OGsY3F2ODJ4bCi0Aj
YT5yneiCzAZvx+DwP1+I/Dnxwk37xSO1DnfQh6iQvBr6TQz5eZzpa8t4gi5q7KBXMqtDcxLzW1sE
j3cY6G+L+2V5sULVgWS48O09bEDBwuUcc8P8G2vKZ5sliyn3IyOwi4zbjF2cHlhrb2ESAsHnfL4h
0GHYIh8kWxU46nYwxnfLNKx9yyLnu6o6ZvTdT1EeeSdMHDiViTj2gNQH9KRWLW0yi+/CNFcJY9UG
CQkabP9iCsyh+eKI+8ObjCmYS/fKBphubF3OJ5ALy8mrM3vXDu0D6fS4TUv34XMccDiREO+zL2NC
MIqKribgAQhwfYvcibePNCHjBbDo+wI1ltg97UP0k8nZN0JvXHz9Uw67VB//0TrPNFH3duY/c3Cg
eJq/nHw1BwxLvsZm3sm9iE+LvqtkfEOtvUYqDm0AafAex2sgTVRNAYNm+1RVQeRz35Cd7nSHN0Gy
RTPeMkLNp5XZ4P7fdVbx8u+tMiK6IaOZ9NtGT86aDb+Gn43rn8fyn+r535elq5nsR6SEYYMYtGe3
xWdCR1zHLdKWO6Am74XhE4E30Z90SW9g64l3s5NEvIEo8CKp78eeFDEZobubddJk+Gty/bRdreNG
X58UqEPZ2SbSKNQzeuOTGNfdYf6ZGFZ/0tqYH+FgeWlwExD0wRYzRi2IXY4rbR19VJZ2jSCcHizW
JKHKR4E/YWfES8+anIAbh3n6B/4e+1yXUWMgcEY1Wu6UoKmWmdphaNenO7NPecxH1le5/ZDE9sGc
OewLhj+jXdAwi6N9u9goL63ySIJkSGNuCvQI+oQfDaF/SJkPI9WdftMgZ98Hm0W2g87N4N2LLZYE
zRyZZGo0q9PYJpF1XeTM/AUy85Y4yaInC8xwJIG2RLnRE3uonIGqDwMN+cfOReyDd7bndbNrtFdA
sIzgv+xQ/w/f7Gpv+l/uIl+3HA/rjUVXzsD38n+4N2N/BPAZTx0K9ezPQv5CmDleTsQBw6SZkM1N
pnh+od/ZJ4QnJi0Upmaz+PJp4+3//5+Fv/R/fRjbMjzHtC2Xo4jprB/2v0y8JPXMAiB0fdB15NOu
YwM6nEskR7l+NZv2hRMJqQ4dUZeor2gFJVAUB6sKe8Nb0C3X8Xtdv+S8WhcyCqvLqoSm1fxoEqKY
BZ2ySvVhZs8J3Scyq8fEq0LXTDSo4hbUc8JGmdZZp6EohxBjQX+JbBcRJWbdwEiHLhi8bD55FYXT
mJf71LDzxzCYRGUvtwaY8F8m99+60r2DYTYJulykRmw5kheeeaxeEuQ0/A97Z7IdN5Jl2y9CLIOh
MwwL8L5hK1EUJ1giJaLve3x9bXhkZkRkvpdZNa+JL6dEUU53wOzavefso/Xm19kCajOHJJbF4lGr
Ylb3cbCOWFaLvVVS25sW9Q8xIMCkzEZ5Y6LvuBy17yUaXqM+lmsXZawh0U4MC/OI6GJVifjb4lJa
2lmxRTqCQyUKj4mthmNvdsdAVPa9GVevshnzSxhp5Tk2ONjMQfGkVY060YbAVtAM+h0BMCEg1Zhl
0praLbEc7JiLMu5hYCZeMQUXlwCIF5ooWcjMnFO3sVNWcjc6Dl2YlqkEkltjn2UBgrYyUUdhAQrk
mnT3kqV0S+On2yN+0HelJl4zayFB0FJPZp0t15Jm9KarIDLUcTXgBU9aYvsgBExm854GBWmZqH3x
SBAyrMtMu9A5/MlWoePS5mWmCU3EEXbF2QyMPanh08UpWATBlgK1hhbp56Z1L8AIv09RCtT1kV2i
+IHQICZkODowtbR+uIgeN0pWL3EwpReNKSWqNpPrPkgvOGLZ6GktlrmUX6SGzylbku/YTg5Olakt
qrYOhaC5fMuB2/txlX0alYStnnMx4UeZ0U+nzYvrdG96phOPM9AKG+dMXE27yY9mkD/061eJDYXG
u/1FwQUFKhJbOdlaJEeqmpAcB60aHUGm/WRWYMgLHTltbv/y9m+w0NMxmovo928UjuZs7GGeD0TW
kODOpX0yO/Lpe7xs3tJISlIrJk4LGd0xstzpiUyh5mDqyNymlpaPgsaDfqBgEB0RneOXobOgmc2e
y7msr6VLnI1IE2JDKnqpC5UUKhAyK7gni+d2PKMdAgSZO+Ghsg2fkfx8cd3R9TIb8VjU2UcbGudO
as2vWoskO3vLDlDSxcDtVXiShPEn6k1U1eSd1Vz6fR+g+4UbuwvLADsUb+x9NxL54Y6puoqmSKjE
TbDeNAuf0J+XXk5m4DEwWwbeAa69oZC+XiXVfWp91uEwflUoaSy9C7ct3KgtykzrHCcCLjvGl1R1
ZJpkKHwdO6EXODvvKiybg5KDeQEb9Ay7p7pOg80cU58AZhvjrqsabIv9QiuvbLIN71mzC8yFUS6N
HA1NBVaiBUSM7THqKE9RYdwlthhPRllus7Tsz4nR3HpMHWdEqCVhSapSN43j2XERlTKcJrXTqeI9
xN93WryNj9gv24u5PKhMxRsrpC3z7xdn3fmXtdmxbAhEECZNgS32nzaKtNFlYLeiPKAo8Cl9G9/U
i+QkZJ5crJEASrAHvwARNjhmMiQDCng1o/9041oivhCjfq/XHJSKAhMJs5ZPuon/4SXK1Qn7BwPC
MvGoWja8YVy8pjLkP+9lqrFp8qGBOkx6YmzbEKPGqBjgofWSZ5G1XPE56cUBS7mZEtjUZZLq1DK0
hyEZN7p4zApa7xHtQ39YVLcfmsm52ojV4lIRKDIaOo1u5lX0DCuvpaCn1VnK/7AL6n/lKay/hRKG
coGGmXjbXeufSBaVhpRezFOJbKyor2ZoPWDA82wOHxtLt4prm5+qcriErIH0sOp9PBUmE00Eeaw+
I/r26qvZxDE59T8YJ6Gag+6KXjfHE/bvLwnzr0CC31+pKQXRb7pjuP/yfmND1IIyaFDCJ2RKyJrk
3hXCepBq3BRhjUOmHT+msHmsO9W8dvbHNDOKd2wgC12BsUMF+dk2CPEi6gqgeO4CaXTOOYi7i0LE
vW0IUGFgCf3ViqX0JgDoG7uoLGpVPGQWA1Cvyh1jP4yNBMeU7yVnim/EV/4alnttVtNjVYGknTLz
EMaujVsWqb/oaO+kDsIIOvvkny+HRjDJu701/2fI/w+GfN21ALP8//34/9WkP4r2R/tnP/7v/+Zv
dnzl/mabluk40jW5rJRDifg3O75r/sYB2rVtaWKEV5bL7f93O779G8pubnoO6OxZGOX/sOMbv5GR
yHcr/pgIEqn+V3Z8Xf4VNGPpOj9OGARfQv+yqMTWRehPNWrNadqsSLU8EqGpfCPn4BnmLa4D6yUz
GeX3Mg63o21+GAsFvG9TeB9pD353plps+6GND7Tjn5Wdf29pJSIQUw06oRoHqBZ+pU6/ohmJocP3
01YasX3CmLOBaIn5np1J5sMmCVyT6bLzLZyTae9qCcnU9MzCVJ0IRKKfSm2wiRSMPvI3aebp1JtS
GmBQA4Nmqv6uJj9IRHsRBQlx0aot7Bzml7mORaYunc90MOznlnQxZGUbSUrMfWYFh6ztgg3gLbpv
LqLCZBLWnirI42OZGOfZAqkqOtYCWXImuHXzt2NTRV+rarHPqmak0Ncjcp3FvMtVuRBUkuibFMfE
pn2M7LG7aIoYI4FyhXcjdQ/w8uY4TYhASuKHxSK/DQ+GX0rSmqzy3tUVaMakT+AW5DoxaGCTzDyY
/LBf1SfOrwDo8L5uiNQD64NjuijO43KmdWz5UYnaDwBZ4N3pLFAAwKGpgtiLmvZKJwc5bWLsnWR+
GXP5jEbM2OCS+OaSNLudYBTu5pwQc1jBzW4ZP4Nsuu+a4CED2r6hny/25hBpHmYlzLcQ+NI+Ns82
M1QLAfo9UXqtv6B2Ghmc0PnRvwVlGoP0E41PG2MXhIgFbbveBdaA4kYrd6Y7iH05WldLX2Uu4T5x
1WkojXpXRRmpVxmBlkYzhXs9VbknMP5gBYxmP4RSUFmFhaS9afYxM/PQrpLDMhZvJVERiNKPNMXf
mFjil8g5wASaA2CyE4SMu018nN32Tob1yYVl5Nt2lG0WgTiYlB8m61/bZO8U6DfD4iMh276PJg5C
aHDnhFTVHOC3Nb1FqoSrbbMF52bs5UK/H/sQG3bFqd5Wr6KxepB0aCc7V/+p1fFXt0XyVJEio8qT
k+X8Xrrzg1SH76ZCc2b3fLq1Vf5w1py8cIQaGCgsCLGmOYc8lNe8nFOfZnRwFskmrYJ0KynmfAdQ
pTfV5ndRxb8W2cAeLOOBDqi5GzUCq8hSzbJqkywMBpJZS3i54Y9BhnSqgge8JsS/5PNrYsiDzO39
LLsNEw8K3DZ0n5wc+pb2y1oiQclsfaA2Q4xbkG9TtD+DiHzMNJuR4rjysR3VM8dbY/vCkahiyEDs
DA6zyEOq50+9/dCkBj0jX2/JS9acmgzVNDkzz+98IykJg4s+UmYgHgUa6wfBsLU03szESrZDMFKR
u/ZOpwxEpQq+3iJhru7o1RdPpT0Oe3sZ7P3Qxy9RnzBqJyFm4oaOZPZSCcKVAPNFkOHCOKTZ0KFo
IFKCMkg8lWN61WP1lHDHdTjD2YXvgsZJIJQNhV+QT4Knl0k8Hvo9wYgbTWnHIXMeTc3dmsSNz3Wf
HJAR9d7E8EguDRoYkX/IYaS3kOcQ+Tq1nbP4S6gRChzK8Rqin/XyglSrvKZXqQ9pTz7c+KkZSMK0
rP5uoW7wqasNrUlOSjPf2iyK7symOQbfa6TNkTdF9slMet/oYF8y60xpEVifAZBTT2YTfconVXFW
SINaezbliWjpn8RYqh1qCpNeX8at0+UccUxks9QwviuGYx5kJ1k0nO3c8DVVRgFgoOIyp1pGl0pQ
BAkU38difpomRB7clCMxcoWXjIFxTZRW8NtgHTe4QI1huoaygzoKV9qXSxkcnKjUkfggYrcHPWEt
i1G/xWBSZo25i8WUQXPezfjaWM1PeMch+RaM7Jyq2JQtUXVNJHXKKW9yl2yX98m9kdZYxFN6hnaI
MCEPEg1MKhmrrXCPSdGcIm4VxupURpA2iLmmwLVZfQ5pBlE++1lOIOhR2XhlSG5wjBZ8yYTYoLQh
uTFzBr8ir15j2HPux/CJcSV65hS7XRJI8t43Q6VdQZvjxYfz7scTutdKt09Oji9itplcTYxD53K6
ADGg1g7ldhHkIKqsAeloJNoeMjrGOJMsx4rYUD0qabePUbjr6vwlAOPGZjb5XdTGWyMYDcaONs2O
JUF2Tk9+5vCxk7nUGK5n8jAVJVssBffW7Yr7AUtZHDvq4o7d3VSXNcDd6VXrM3Gc+ldEm62fKcHo
p8CcTLCsX0WR8i09tZGz3jcEi59ZDFiUybEnMBVGQ9A0fmuz4rmMYad0n8yNS6rtRKSjYb0oGlI1
LfBtPTQafbUcnbwFATQJyEaNZ2V7aX+X2ZJcmwy9+mhrmSfD9EcVj1+TslleFnVosetveiMmsiil
GTMeCiySVNi8Px0Mb64ZXJE9MRBTfY9egkRLl85jWyOW5eyC5zTs7fjEQfbQ4JE4pFVMp29kyqO7
L8g9vsYM7UILd7jt7oWJQBsf3YWsCF5qH/LJLhh5pGHBvWPZJcUz2w9Mq+xBIkPFnLEd65dasb0g
3gtwbfCN1aI5/pDmTBkwDKbzM/q5e7vjNdJewcqlYu0Qk0ozaF2DzqnzMvq+j3Nuv4U1+djNNB6X
WHfPVjgy/SQasCHDArVa6pUi2+tVH12DxL7Ec054PXIqzNkHiF9EXsb1jznf5Ik8F4GDBLgyP12D
tp8+70CXt18j5psVlnGRTVjqR7dE0uuKTa9F93IZsqt+bouQm8+ajCvKvwPjcPuoqJpUyRsa9+5B
LMEvt/uWJ5aJuoNATzGmh6gjEXfK8iMxe8FWwzNr3fdA2Iinrd9sAYcFjM9eH4FlIoEZNwn2CK/L
Jz79FCcHFxzKOoborvlO8ggyN9G/DnipIRNXe7vP7M3y6ojubS7N/CIC9VBSvZ2zfG534wQ+x0rd
NzCL1a5G6Midm35JNITxzrpr92FQHxXIxFPCG+gAc9syg2Asm7evC476fWRWVwdgJ9/5pU6Hld32
S9YpETkzKXdDewzG7Aen5ZKjHTtpQS4y6xGLVRu3ycERC8wA91FKdyLyl0owNudvc2ysM/cO/8xS
Z4SWtxpOmmmi0MEPEnbyiEWdy6PXCWWJEPZJBNu+W0/HZcRGmHQRotsSkpCzkE2yLNRMLmsXVWDv
Deo4GXzqKaE7G92A9Dzk8M6HuL9U0IHp2ZMH3kQp5JzARejhun6OYMbTAWYj6QaOVdJUXtQd+9K0
dUrosKGD8A+N/ESecfBNovtY+i8DtAo/aEdBDsI2YBa9G4qkZIQmXy2H+X5hWxxgWzRBa82Vklo6
j4q3OiEeaApOrQbKBFG/bmX9IVf2pTKc5DjabIGzqHV/iagsmogoTt3sqZcMTBF9aqIR2GpBdO+O
Q8gONvOSagHLuTp0QfMEXgTR04I6KsHjUvMhNG13RFb5jQCR+agnZE4nBdYCYRBTqZNJR1yuw4DQ
HQ5ZZ+2R8NLA58PEA2q7W7xK2dFGzpUurxm1y35IEsTBUzNcncV5g8H/3ge41Aj0fI+XfiuHAAni
6i+bUsaUSQZHsEcnMXPkwNk3fOot+gyS5MstNDPm2qNjb806Wss2k3KTUjMwp+9DOQJq/8QI92MG
FUBqwzWX8MbjjGzMqDdea1Uc+rQzN2aCczdj+ESe9Y4SEdxY6fodNuImqXa4GJyjhNjEYagXqKOX
J0zwSIDyJqE7ViKrmL6kQwU7skLkYnUEQ8CXIoGorV0m40MGAyx9akuWd0tLnhdnsDZJhy7d7SjB
c5n8iEkhLChW1t0Qswsy/MzFXGbXwi+Ozk/lhFtL9OhitIL7BBGgGgUC6uFc5j/J6dU8wAWOZyt1
5uQqvszjETCCRw58s4vL9oNa6Y1Kr0Ayy6HH7Lf0hDZWKpxtM/ftFs0d89lQ9xDGE7Rrl8wwNRLR
pF1vBxuBI5d1gITCExxbNk48X/B0HhO9t69Epdr+OAYfiz2Wu5k9p6cTvi0IH8D+QZye0jagMOEW
7dJocDD+GFALI8gLdFPvTUw+uAcB4iLD9NJSO6fcgEdAEvdRTzpEmHTfFJR68E7JW94SqpBo1dVY
iK3K1ywQmKQDsKHxTH6B+9gjoYF70B8np+PyUON30eOvNxo6L5XxCVrueahZSm3A+hHOMvoytp+U
Lp1Qcc/0XcB835tBeynsimNMg6BvlPZxmGGKxMGR2VC8V7XxAjKi8up+LPd2lkHuGr8unMI8Zzjb
8n5g5uGjdj4ZxWT7YSOA3HXLJrS0D6Pci45StmgHkwZwXuHmasOdGaA/Xv2xsQYnArM4vQDYciU7
nGVQk3DYQZLuYPxDt3cyCROMNt0cnVQGWKSt64EJDJeY1GFzRhRifgr0QiFR8eoiNTitMu9mO/1U
yrmLWodwmsjdl5gJV3XL99iU31BidWDltSdRlBz7q0NmuqafhF/BkrKPxgE+W47suBcPsn4yK07z
7oK0DEKeDW5g9qSofugpui80sO7ObqmykqVgAtabfobHnRn6xY1d0uB684vmRrTTmnk3RyD9xZck
MTDEkp5e9025i/ToLPo4RZOw9L6r6hfCkPHWzHiVwth611rra4X0ZtPKV9ciRzpKGvY9yigDFU2E
cRknCwKzqpx3ZFlvhsw+pYhFN307Gx5zxp2R6iOSxO9dqwV+GQsi0ca3MY4IWWMpiAul9kkkn9U0
+Zkwqy8mWi8h421s29h3xYPAKLcZSJ/YECgBaiTdMrKO/DL5IKzqW6Jq60Iz+brQF/TYLyf909Wa
t7APTlBVd4RD1HtF58WTLVbBHDZJoPcXurOzr2EotaPRZA9JEexKwjeXkB2FGKtj2OJRehu7GeTC
CEpuGZM7R4ykwn/KEdxTOYLgEz2DQAvLrDWOK9gW8YxtFkShjsNqI9oV9qRv85DpQks+kU0uYKCN
mP2n5oROqkHKSK5Gz2gjJjHTTLRtrknuUKWeIKwEh76FLdRxqlQ1dtVxxgg6I1wtsw7YKXG7UU+P
qsW34CjxRY61c1QGEyqHARzcmTxhcSkD/ZrmnTx0VDx2AqB0GFHSNkgdYGZUd8Fal4QB5yZUkFfd
0sx9p2bQ85N4qQakagZ3mt29oB9fdoYtP0bIYZ6dcC2b9WVUVA5920WQ5wnuleE1r/Ivg2CJitFR
i4HJXJgnz1NUj14R0ZZZvWjPpFKdOIvN166mNdQhd+VyEpKcy/g1laJ90hHEkFg2/lgsBAfIwRzD
eEVY7V87SFPEuX5ZDKyNsmUBi83K71YRUtvzWf/+9PZ1kv9Me8TCGgFhB1yQBHx3bDvrg26rvc09
R/oGX2WrUqDWi26vEE5I0a3SEXgwUeHiUFy0HbqH+yFGq+wRKdXmpn4MVkifNasYseT6FGjGHtwH
VZces5Kl/eF2mFQwuXZZOBEabLfDYzTiBarHz8JoU1AEdrMNZfTQOvIFiiOzWTUgxeV4pw+rKYkV
+WPUHmxsLe8jLrc6c22IBFaBv8u1MesAg8oxcZNMHSAp6icWJmatwPKaD9vB76MtNCysnhVNt9CE
L8V2pf8zX03v19sVIkiKgPAZ7bOJsHN8MALnqo2o7TnP9ps4rI4rDN/v9ZgjnTgYbTc/BVo5UZxs
B5FBhrLqD5YitBGGfTVVfgLw/8Y8447EsXHDFJhBX3gnnXMTm19HQwH8w8RA2hCW8opLu1L5NkK2
5AvxFuss7Xk/CK4QfPqIg54ytKObzqm+sz1Ade9OdZK02I2WZa9WwkxVUNFp2KShprnAEdRd2tnf
3Uq+4kF8qiviICkQP3oCDcnXPMdlLhBb6v0+qUPUYYSRcNGzrCxVkHuUely04oEwo6s+k9vqlA6j
Pm4hWegYtmvC9WZhHCxyDFZ2fUJCraWh6emIMeyc4TUHkohcKvTGPE9P49gjREahUgMbLCI/dawo
8xTe/H2YpWfaCXcm9q551hAZDWZ1gjLeeYgOe2xjsAXlPx4Yo1QnY/2W258hxoHIYEyFr27iGSgl
W6m0jyrPIGws4X3LpbS/fRXUiKRz9R5jsPXrNoMmkaHZvN0cdgwh0xRKssigSyeeHA1bikTiJFb5
XQGyU8sYTBkT6SQZKr1xgUbkUUNWpyGDrdqaNivV+rK0CV5kTPYrvRIdbd76Z90wk3vvIMTYx6Gx
D4f0rTSXxyah5FeWwve1PuRgvnhT/vG1zgclmDgdby/x9jAXE+/b7/ezPJi0048lJ6POSNxdHW4a
nOanxCXRGM2+7eyIq7uGrUwWsiRp5nDarI+d+na7GQ14sWgYmX+vv/vtR8Kr+vtPX/9vA1o2viyV
9+ea/yTTCiZP629sOX2xrpC8D7evi8htdo6cV5LMO4kcZ6wjgz8CwN5bfbMH4Brn7LXTiLTGpJzi
PIYfgFfEYQySpemuuve0I1QPrPftld5WkduXZWMsvlrPTc26qt1eOjqv15rdii2mb0+uhHRjD+aB
eUt3KIJyqxyW36jHIxNgiuzawES+lxCcjWcUmxnTueKE8KzYka39xKSiQLFpHiKmjYgpOtaE3HWr
QwQkVlgI4Od80vYG0zy4eIk4izgwz3qDaQRB6Ai8DFarCFEidI1DXC65vCkbPXqp2/+zhA1nmQzi
X79yTZEotCdLM+BEIDC1NROIFs3FuTqsFcZt/U0jCTi2aO9wBqwfIUQCs3apRok4xtnJw+3Z7eF2
xYlY+1wE3F2UEFxmEoteoER2+P1Wud0v64O0ZxbMynH8GebUqb9JzpJ1sXf5x56CCLUBp7+qN43A
L0AYeQlWxJOKt2ZaHqsZt+VUWVA9egm50LpTdAp2Yu6H0+3BgMKC7oNb3lkFlkZVK655Y3L8xG3o
GwVtSL+b1aZbTnFLqc7hqvR7sIHplMRntKTVRkdnhBeHC/L2UK3X8+1ZFGvNoWPwqjUrEtm6iVdr
tLDh+rCsl8ZHb/fssnpfGqewmoxTb38VBbGzt89BrlDR3z8RujlKah/aYHEUtAllHN35wlFvubRk
83hWmDT7UCxfJ2k5GyvO72cN6oZYH+o42vWanAkui14Q/BjXSc1/+zvEz3vUn+oI0cW6ZIEcvIXE
cFVxYMrpSMB+oNPFKHt/+4ZinNqztDvv9nd6Pl5aO/gcTUJqjFrbm80473FQdJ4cQ7h+IaKlvcGN
5jUoru8G0zgMUIlgcWU7fWhKFqjAiq61RQ/CmrDJjgTaXaYS71g2PNNboIPbUCTJ9UWLhhlXpQFO
ySk0rtHEsVQb+FIzl3eXZIY6MfpL55jnoS3gv+XX3kUcz9KPhWn+LHs9utiypYdEww01M3DTuEkO
ClHgLuk4PY8jZGWPS1y/smTK6wBlCakEAwUTaFeU1gsB5FrqyyHbdRyxPEdp3+sQtXiPflYr87MK
CkgufRNg7pqsR5gzCdyQ/K2a6fZYUIb6ehm3VsXFoI/qAz/pA/ZPug7tkOz7mhpbXGJVLdvIji+6
Jatz70a8mYjQNyiyE44nUchcEwi9L6SRn/94cCZCAAy16NAfEXQ49i5S7iONWwGheK6zc67PPkTc
jhokHBC+stWprtxg+pUn1YJ2uj1Df7lFoG4fBBblM9Ky7PcHR9HkdC2Ks975Nc1OvCFrCGwdklUA
k/Kkox083Z7V65e3Z3/8RdRW8kSgIyowJqZgSPgWEZlUfxVT/z++7/ZTbt9s6vFLS399VwvQqIMp
7ZMsk7bwbk9dR9cOM871TCNjsBH+7U//eACg6vz+j4rGpjVpQSXUB4MSbXJORdcJ5E/rTkKfHGGV
UKdJ4KKHOHwgjnqTURHOLRfnWIvQG5runeaKyQ/QUzTGe3cMIogu3DFuZWzZCvhcWB5DQzsJNs5j
xapKqEt3yjUzoyk/2r4TpuNZn3HIJyNpcjnFpB6MR1OyrnXwl/Ch9i55rPqHFQlu7/Zb3GW/6K6A
q+5eDXBAEAW7XV+2X+KUM26q3G9juiqdDaAV3FW0W/u7Ioh+ZqQ1ASTNIt8YK0ZvzVa2OdhVepgn
I83e9PGKWow+Bp20wW7URpPZxyTqemvwlmVN++E6zLxVt3Un40vivpq4ZPBvmInfmfNXtmykVm6H
tHCk01U2z45i8AX/mc5Jxzk7dzBkmfs6ir9EAucGzQwLWh9ovpKwYkjAgQH6oDB6NllWPOxXXttC
IOos2m1F8qDa6BSAt2HCFn0Z8rc4H8Bli3tj1iCIi/y+lNCbqjz4GnTrzV5u8dFsWQero15MdIdq
ioUl8snKRvXtFFjoaWvrDX6mIEBAL7PuvLZl16rfMKpPADYMv5yDXScPxmxaG+mwlS5Z987OgIFR
3mfadGKO/zCV035Motd6ZsbmZl86BqdcWIyzQM2NxZfGCaI1PwZmVckVwEq5d11EZBwdat8IkvuF
HzbQXSwmmCNlB8+tKukY4wJqtqI1zw6LYmh5KG8Lb6nmuzyVDPa/tF3cbAZDPmCl6riDiQXmgIug
B5OsWMS1DoLvHXa6JK63ZY31RU28P/GP1bfi5NGuLOq7rGSaQxC0rE4BcxIA3Y91sOl6gmK7oMDd
5Hp67ByjCb+EU9zVQcJIYYh/INzAIbrtK2NgR3vExgzJDBmhW2LwrHQDmkHjazOWqwhRfb+hG7Hp
1bDXafmVieaZbrW1THmhEVhyVBXXMRiAOFF+GmLLFOJC+9yU0132qcnhEOPHIU7xY6rQT8LxTEcQ
ezJ8aWz9WbcvgWP9JDEebRiNMMmBdKS5xgD5WE9ucp41e9pYNlw0oDgESK0Pt2e3hx6aBQnrrKV5
lLxVi75ybSguU3OJdogQvkkwy16y6nMnN4qYrEceRtkRJmJYc48jmldt8tjXB1dRvU0zuCJRcNvb
jTuuxRlft+0qvCypukcJ6z2d+slP6DD2o1mvyFrqxTA1vkfUHribZ8lRiDnces6kV8GHiYOiOTXr
g4xG2lLVnHB3ts02Dp27HmbPzaPUhwTF6oiJGQoVioYCZeHtwXGcxzZfcFeQKZ15N/E77CCiz9rp
3V7gDWbYJf2bXH8YqoMKnHkfVcEqJ4AoRdbx37T8033S5tmJjitJ7OvDdKvQcrTBIC1oMOU1klsZ
F36SrGJ0MJBebepshwX38C0FV7MFHzwDOg+VAxAgADAsweCAcFuiIUXIjRMbey4OxpHkGx5yjjwn
8Was9Xa3aM+q4DcptHXLu31TkzMwiHBgRTLhrV6h9hzWMBTcnk5JFRynZqunGYGVKvwmx45fJ48b
DArWesaafq8eGQaZeOc4FzlGf55Cij3Z57Ti1wrVaOeaXaPkPPPH14VuHcUYdnu3G5n2/vHf32ID
GOwx6WZtEVwAeWoq365Bs7magGey/tnt2e0B98Wl5NanPgIxT6niHCYnwv2yfDfMtuPkWrzgaovP
7AU6LTiaTLecjKI0Aq/o+1fRxrSEId8fGspfuxf9iVYgymDHgAIQWwyBbJ3daH0IF27YUJv2N7PD
7cGKnK0KtORAjhy/IeDyYpNR8tAJSCTWGwIBCIqPd2hkv2YayyLO3AmfvVM2m6oRrNM9aXi3cAJK
XY4bYPe3bcuKylMK8GwN2Rg79/n/xHr/k/Qc0mtQdP4bsV724/1H/pfsnN//yd+1euZvClekoIQh
M+EvWj2lfjMdXRqOrqSt8/in6BzrN4FOFy2eMEzbdlyExu3fonPEb7ixDEjXto3PA1fK/0arp/+T
Us/kxyhjfRmUqBJJ7T8plhOdqIfWMDH75ODWpJoSjAzumag2BsbhTs8rTLE4jTAU0kecMgcj/ECf
80/v2cO/JtP9P1+Gs4oPeTV0ShAg/kUwuOirC3wBP1ZXJQC7TKozAZPvTit+gv8l4CORXtxW2haJ
ClWKYBmG6G0c/sPL+BdvDdJo4kkMUxqug8aSj/7PukVl6knrDkZwEI1ZbYKMmmbWNXmk224MznEc
y9fUDh7s2H0ld0vzorJj/80lkZkk97bGMNyNxLlu/8PLwmLEf/wX1baFeNjWLbHqNzH+rB/jnwSV
U9pate7Qx3aGGUyQ6Et8cfW9Xkbqkjs4FKYJY/8te7xZJFn186RvpgQFjle3NJYHApK26DTtfdCH
p6Eq3Ys+Zc3FcThAB+rSSiislps/jKU0L/M/HrLKaThijOmmmtW8LcbSgicTTfdLHc+nWAPUWufV
GVDO2jvVymuIIAeGuPil1QqN0aMVPtVWyDRkGvezjQRHW0btCK3m0w3QWJpGK3zqnG3btQenzq6B
DmLFFpyKhibtriJvfw7AQqxlrDhv9sVVJMuzKptgp80fQYjyq03K3dQxsT8FA85DDJoloJHhHKZH
XWHbG1A/gAbc1Vp95yQ/3Tl9oPyPzlmK28aloeAZZIKfCzl+CSCBwHTr7W3rnoWW+4kkhpZJCsIx
N+k9yzkoW40X2nvJkcE0hhG2vnRW5k46MDqyI82mA07Nzk/zz7kGYYHnlmZY5P7q1g+kiPDYxN9y
Jib7qevzDSVkywgAayciALpe5slVBml7ndqPg46xbo5/Fbm2hhvY29ytP5EUPpQuQa2oaxIT19k0
1I/JM9zN99HJEdoMRbMOBjcNy8l9ipRgQSnDdzHdCK3Zt7A1+06DND439y3x7J7d42/XkMoYDcVt
0Bwc9Auke1rPOgNqIJrAXHvAFOGAv7MCIG7lmEGkjkkD7dpWm8LsVE31u62LXeA86EzFsb5ouwrm
FuO94Js7oc6tdAwD9O4eu6m7c9Lsl24ikO1yI8Hhvjh+a7DJiXGINoXzXa/w0aL9cGHs3SfiPRwq
gI7WxlGoXwHMcwNMYm+k468J/INFRjOnF1ffFzn1WFIBRHYU9RH+zyvm4Bb+SW88mDlqzKyJuCpm
OCoAV2H62B9zqCM0S4iWKefxE6ERGVI6DLCsRxes27Twca3nez0LCQWgBGQyWFnXImgu2G2DTVy3
iHzA8xzczDiVuIU2kW32J83iwSRZjSJmfSqS8c8PeRdZG4zklM7/zd55bEeOY2n4idiH3iwnvFPI
ZiozNzxp6b3n088HRFZRpa6amd7PBgJA0ISCQQL3/kZsIPr/bYrSeYsgHXkVuOLA0qxdHZQsX0VX
H9S84GVbFm2Xf9AEjX0ZImuJGCz3WDbIvqUpa7U1zvtYsUReLD9h3Mk6DJzMa+CHNhql9HViRitr
pj47W3NKX/Uw1+Ztq1RMdSOzaM7LQG1gnleIGKbcLIvC00KSSGI4twwYJf6l9TpXUKqSO946b6Uc
FXngD+fBgMYjdkIPID/Jmixmu3NR/ZW7vrmSSVVxHCLN1jZECcwK6x05fLk2N0DFhomvuATZO8mL
l4d3ZK+sVvJyeYQwoQYbipSEipSn97MzTG4vhdsTWblvQ0IqVjf58QCBxCo1qM5wYt1dH/sPjQ8h
d1D97UTOth7r4RSO/UtkNj+y7r738dQGt48Tjn3KUfl5dKr5o2l0v+AsgeAoMuI6YNv8Mmy3GJxm
B2OGi8XvQj0qPNhXBNhdjLzrg68GT6ZiI2gShfGqd+KnmKlpbBv3fqJ6qCe2j3rgevs+776kqbeF
R2VAOqzRx/TSnBBlae8117yG+eRf8vyLprp3YwnCqI0FX1tJBoSAy5+IOaRQXOtDbgBz9/Ua3JIV
p6QXtWcvB09Q9OVVGf0Qe5P0aCLL8aIDE/CV5nvjTNuZ7Py2Zvm9xhk34fFcIfSNMClCUCyMQwA9
kUF0OvNiizTNBBx8wjJlmjEmR+HIbyN0Wge12Tahp26LNOtYySFgCyJw60SZzuMX+oql/az4/X6u
uns77IpNBAZ216LvFtgXO7JR3rZzQfcXi+dWvLSQp+psE0E1N9gRMUFmclWMKs4LCH0B7I2mDXIq
HyZIaisj12sMJ1zEnspzM4bWg0MScNAnf6OblrWLuh/wRH+a8/ytV+sPFsHlJ6V3qoOueAcPniqI
mKi8z1NMoQzi42QZ4+Js/mK+5618EDRFC5S0DyFTgyn72og4qlN3Gi4RUbG1ycat1BrEfYL/G0xp
Qtw8ACyUpFvQeT36BOh5gom1IfhUPfFiv9s06QPQTOiArBZWZRn+ior+hCjlGX7QD41g8o6MzLas
7qsx/BR5ukGYJQ6FHO0pc7AjHCLj1e6+5j0andBFWPOl1XjA4OhZ64x63wMnMLTIXuWa/U3PkBIe
4e4jFFpt0dxAzNpLWzSyUAcb71IE3NZmMV8B0MF2Rbba0pFlGUgBrVVWfp7KHaCT0WscA1AWqiuW
fgEJvmeKAYJQBfroxPe2Hk47NWC+aSKzfdCLnabr56rrx20whUR820R5KJjNHPvx50z6BchyMIOy
RbinHb5EBVB9M0C/IggfEfL8zk/82GMGjqFXtnVK6zKDdU+cnCgWGuFhUb/YFuaPT65poXfXPmV+
R3C71r/WrNSNMM+2CmrZq8gNPxkRaByVQAwYWPDv5X08p0gS9sXZQC0Z6jS6DVgf9wT2LjgRPqih
w29vfupt42nK+k/AnrEfAalxxpN5pyA/ttbtB2Z+x8QKAPPBbVMiMmp2MD7Vmpnt7ApGPf5xv1AQ
4d7Sz6je9LwtM8C0JXZZmfplrBo0bL3yu5kn+EU44EazDiRGFfEWS6LnwdOBr/e9sen2AvlqlPdj
3Ji8oWAkk9vdIl6mrMajmrUnPXMfXKd6YB0Lgl1B+ndKPo/+cKeazkd437D7M+5D5VS5oKvmYXoY
I1LBweQ++iS1La3HeQmAXhlBy6wDtKBdxXtyfJenSxiSxUf9aHQsXsI1EvBWoR9Kp3+N1d5aCw41
5E4wayFROUwbWqFBVRnRxbazE+oGOARGh3CcLnYLSNVS1EueIuM49925np90zH5I0iAtHPjllxKo
96oztY9xGxAQNo0X/NnciDhJ5Id3hNdfptj+6Y7q12lEDcz/oICNT8z6ajGlDePiOfCyeuXH0wWQ
8Y98yF6LElCPGh08kH1gjuwMJ0oj8NKrk6amEEofs2ta4ccZ5ROrKbFF9t02a6nNXMqetklRvlS8
ZBDU0T/JUX6Z1duyQ0p+4vV/VZjEgHzltml1F0UXX1N2cZLl1zknO6OjvYXXzHQldr9tdSXbprCe
V4mNyOVmRrwpqhHgLfQ52DiVh7lmRWoFBTWE29RfzqEvquliBJWzDaP8qTb9Y1Y2zp3R6s7doDHT
K2aIuk5XryBo63BGeKVBkB/vNOUlchw+obgSU23nrd34+EoBk1gn6LtuPSNZDfXco3SLZ5Qa/Qrw
grrHBIdiRIvb7PuvQ1gTOk0wKLSKqQQSOPp3nUMyrOf7nvlbFMih6W2GIbr+U/cGDK2V8YtSolsG
i5Ylko+1zegeM7V4aCLSYnmO2JGVbCp97q5uBmFIJaysKPZ94hjjaW6D+0E3DF56rXHVQCY5fpre
fVNjWCAwDI5qYR/1ou9Og1XfmYPWXINRfUSnWj06WZNdSkDToas07Os04Lz5Ekt4srsgBYGh6kVB
qkKbtm7V++vS6o9TjaZ6RqRIGe0z1i7esa3K7ppgxnMdEU3O/eSKUjVK61P1LSqCk2H67dlD0vrk
jfOT32HlAKLTJPRHzjZLfoU21+glewPZtK2bcWclwM6vgwX9BIQAk0brtcp57ltot2k6yjWt89m1
+FbSGvVZVhz9Va/VY4/IGu+l6YSww32aaP6RQDhcXyv3MXquLN79yrbSpmlD4LU6e1N4RFh+uJJB
GNCUHn4ObmPuSP0xN5g/pt5ETPEQD5gW2i0zFxOFCMQ//PbqGtE3LxiHA5Ca5EJ+d5OR9D/6+vzD
LcYHy/uGbiK3BYl9KZAkCqVwEPPpRbXpNPLecpMRdCRGK1Z0RAdLIcQka7g/EUBb2rLTLGscA2Q1
lNtZyL9Ner/vhDqA/OGMxF1XDDAm+G/bIv4oa5EIcv5jUw6pxR6ytuwrd1uasrYcyjUnnlUp0XN5
ZHkAnt+W0iK1LAKWighYytpS/GOfm5sdk8a/2a/iwQ8xJcHbG2HZ5VCOHgPNXdpZRfxcNm/HWk4V
oS/5eySiy5lPUg0KZqs68W38m+2BiX3eVh4lcW0gncvx5fG6rvuCZCKKiGRP1DUJkuaUVOjYilwJ
/HIw9EDHPqRIOq10kjShkqdMPI1U2CXu2yKAGac0HoYHU7PWWeId46DBDTRB9B4JW2iFXYqXYpA9
hHHwGI1OsKpn7uouxRDIBphfm0V2N3UOwiH4Au0q5CPv3Kypd0rYNCvZ7AMtvYsUgTEJEbAdygHb
ywbRE9UysUhkKQ3FU9+a6WAhTWpDnMpr7YgWgHFx8GIgL/TswBkKTQh+eNxeYnKslzKsw7UKFRFx
R1wrh6Y/urV6H5O8a5kWgc+duLwVqFsSIN7BaefiMvWnDyzE50ufK/NF1txaZ5JQeLxpxQZNFLnh
EoH342NTRb+HBbM2XwwbDdhEE/LuyECVXMlsfSZ6n2PHTMB4nlgTNAkaQ6Xhb7Cl17ZqC0IGRCJw
JD+4tKLQiF00MQy/uKpIggymvUmvpoKrGCsVpL8q46wH+J5BQ9fA0G1ZzvN6maEs8TQdL1aQvVRA
IHguM6IOlOGSKAg+T0gJbZsUTwHFKTOW6SkRhjH66KBKdoc+V8rcDQgMjmDfQ4D4wAUREfCa6oBz
8jmbVeus9O3Br1gZzqlIKXtxtrfH6KtfjYLsGn2qPTvaB/AqLyo8JdwdqcnCGFBZQmdhXutQGFax
Fe2I/Sgk8S/9nOigpsVQcMX5jsgMyAAXhYsKq+uzZWgH1PydDaID3z2W8xfHqutTHrRbRbQ6caew
viBOadrgIP7sCx1CK8hSNv2A1B2z3njOzIu8sWTN7bGuji20uzpNn5g4thesVewDqnuG4F8Z+ySO
kawx9XKDuG5iaRe0CY2L3G4PpXFx20MtOK6hzkeJhmEbqMWMmCUryqlozwoINCSCYFeN/Eguupop
F1lLA1h5kRHhn5iVd1F2cdASPkSdpVQbw1LyLcJ3r0jDnmp4uVu9Ij8BNjcBuJEmF8NpP9fG3jNH
bSd7A+QgEevNiPAUbnxx/hwph8vCcc+x3b0Qj06w3yUrb/SZt0HbCn0B8X8PMxMHHfE/bMVNLwut
iwp4jBrm003JQtCKz3M4/C6UKMDRVLZvVUWJJ7FqRwZMASsjBuKeF5+LuOv+MlBukkeT22XTUVEP
NBIDwxSxz7JhOavsW5peW2Hf1zHlXfqWk5YGChRT92rEgDtWdRglby69DGyWAMBZ31zfcsbl8ip5
5WlP5MwnFwAfhs80cMN5JvDYZdxy2uVS3l2tHPLuMuRgOQ490O9pV93VyCfuAzNVee8GrArK5Dnp
nIs7AKVEi79FTjvKHwoCzgejND4Vqalc41rP4QoQnmSWHq0T9PruvBAUB55pV7/wMHsYv6u1Auwb
UNFqhNK8ya0UlAqqc8JH+SGwZvvArD6EbHAfxK+No+5TYhZbvU6+w2M0t67teTykWOmaBWBrg1+n
CcNvVaJBINaW4Rf4NhEcXfAkDcyHYZxPZqSr+6zFWtqG+2l27mcfE3nA1XiMsa7ZE91gOWpAvaQp
XMJmPC0apoOWB9FV0R6CGcsmNP+/YKLgvvbh17INd2U9avcOVO0a8KNS9495z3MW/65uPbF4WiNS
iIZxnnwOYUyyKpqHC6JNABY743tnNt+TLjVxBUfFDs1VGNJjfG3N/nMDYS3D13WnoH8WJs051l5Z
p1nndEq3M9/Rlue5v/ULjZAqTMIzdELgHKH37FuqDn4f8LGC8EcRjqihT8GZeT9iM3a5m/H9wo7F
/GaVQsVSHY45P8EnvUhwM57CjIxjnew9tbA25dDcjzVdeYFECoT5tWY2OGp0NlirRv02VM2XVrW0
nTmxsJhNgxzlpzm2guesSfYIoNg7bpK7AWc2sCfxQ1/hqe3U473S+1fc1MBgaaV5Sg/zaCYswZRV
19o16KwWJQQU/slr5geMlIezhXrtEN0rrd3sY9U/FZ5pXwDLzRvMCkMC0F15bb/Evo0PNfDHl9aL
Ti3hy2PRx+aqy4H1EvyydiGZVESMCmS9OpZLRWZiN9DMO/Lu1pMWBzvoysAaC/tuUAbtzldxIS4z
44S4MRQpWHfnKhp+6nkw7SmMLfNstPvbodsSO4Mp6AGf9uHRrhq/g5NjBcqRCUkBFU6BLzZMWzUD
AR87irYLTVQTpHQtILRr54JptnGo3PQdyXSrK3XhXPzLhOh3r5rCO5E7ikibQZBv2KdT0O08TMF2
IUirbZcO31j1IS9h4yCBVNyxylxEI+32lpb7f4WW/0WhxbENEnD/nPRdF2lRf/1RvFVoue3zO+ur
qfq/IAIjUGQZNq6bLvm63wotmur9S0Xf0DH4YizDUznTb4UWU0OGhZwKe6oIHJGOXbK+9r88T9M9
10bWhYyx6v0nWV8u46/5RNV1oEzB60Sw3LBgZ7zLt6pZWKq+MitnEiKYUARddRoa7DZJ1f2u3fow
qklhuRIDwBBL1OWof9s2+vDE6mmCHCCOshxPNmXBo6s6QQuCjzV4D23SEYVthvQRZl27ywXANmEy
m6yapiFkjM/mWnaiPQSsWxTlJMDRt0F1Hifg0kW3HJWK/Zehbw63jFk2y9qoMO2uu+GzSG4Jwezf
B3h31gEqERifPzfL2rsxtytrFAfWBckuVN/+uK5ca17VuPcwNWiPpFL7feMjLoCvIygb007U9ZAI
zJHslQXCT39pJ3DpTnILAhrI31jBUe4tu9Jew4LnRdaXgbIpi2Xkbbg47ZsT/N3md31BXrg7BN9Q
ughWHXCi43IkWSOPfueoFTBXAbweCbbNa1mVBQkulNv+LHQsxYgKg526dXaGaq9mj9i4/Jct3+K7
L1U2c/n9o4Uwb8C2o0pil/a8rk3ID5O46RCaCAnmO3CjQ8GFkDdhkZUYqmsl9BkxUPbJ2m0/eUvr
QOp3Wqtd5X2KvQ87y82Zpp0rI0z2sgWA1AWvywvjzb6yqg/mg905w062lptfNm8HFRdIHBwztuuA
JpqYnRCik1VZRIOGCCWOWgLCQ/pIoHkEkCcRRS6TeqJmOi7BQcUo1pGQgHWKNKwPstqi+Vxge3aE
75VvWjeHOS9oG7LomrEDpAiWHN3Z6OCQyZf9ki4ha2ri84qr1b1kgSDC/gcVZGkbdWFsWbl91gWN
Qxa2oJvImuRzQDv63YTV8jpPSCbfCCkBHDcvNw+jJFIQGuAn5UYhInG1c5A0CUmkCCR/4k3ViB5H
C7guyq8ViZmUNF4oFL4zWXUlW6wa+6OVPdiBZ+0qS72THwekFaeQVdfqgOGlGerwBWaQGPU4enav
OMHaiYWHvTmRX1ou3wGxiqysSuBd3LaSRCD5LbIpC8l5kTUwkHcgZd2dpBS0yFuCY5tBqa8k8ydj
TbObp+ZR/hdiNMJvXB15NrVTmEuYEBy0ejxNHmLg0MqCFTMLJDcGclw31ksQCQKMBVdzUyZoFaWJ
7mAWhZ59GZXKaoobQP+369JmYHZhzB1a6J6zlhclvxOTvGsnRckF9UF+Yct3hb9gCXUm9Wce8kma
fSwBWyLrKJqpuOZJuLLXvmDsqjogM+THA3H3AQT96I0VaqLmTJgAAswsKDVym6yZmr7VzTQ9yGDQ
ElfyxpIpolIBNaxCdIg1o/vhSlifDJUZiYIgwhJYy+f4WXOT8kbuUnq85W9sKclnkSwWt8kibqbg
IvmHmmCsJG0w8o8RoEPJ7gpqFmK2SFNb6NOohH0wqqWQtaWJzileInP4S3Z1XfDZhQ21DYuOW0IS
cFxkl3ZGMN8tnJwQuYY9sbbDmLivpUk4ZPmw74NqIwTVlT5i2Ll8QvmxsRIBTCJjgmWr6SRhLjKM
uXxK2ZSfVwY9CaTvRrf29xHyZWvV7KO1/OTy4zoKDuekRkQpOwohAu0M+kGydjoRIev0GAGo5X6V
N0yRIKVMCClZGeh0v6WUeVg3ZaGhwRjkZy8L08yuFYGanU4KHTAlr/ilCOCrrB0LZIH8Vgq3GqAR
9A+x4DcNAghqite2bMZqQa5Lti0NtexiRuzdkxOCTsAAZKG6OOUpsMZ36B2gdtUb3qbUWyR0xT1v
k5wijZkU6zhDMRamy3iSfaz7vjhFi0hxx9JeFnaaQO4sVA1FBCbhxmy1hGB4O44C1itrDtLs5L+T
ejzWzrM2wIh2ctcmdDk3J0L/I7cDoh3wnyj6kTyUYEIRf9F4f2M1QBxX3OC3tlm1sKIQx4blrm1s
GaOWX7+MTstixrgBi0AEMkiLCsbWLBiAkqcouVitorLsLcC8t0XEG49/n7y5ZW1ptqC0t4XKEsUl
b+dMs3aSRRBor1YP+30WPDlVPDpl4UQ8T5c+2SxIMLG6EVvkGLl5aco+Iw7CvT7ZZ9kyeUMTWRSH
vlVl75vj3KouzBq75blHMkLZ1U11wdD8N4xbRxzsqDaPhY4jXtc5KFtoyGX1CrZSheWxhEY0baOX
3GepmEoCmGdipOHFuzJF560qt/NQucdgBwBBWpOsFmiWQXDxCENylbIqO2VRSgCMKBRmzbw0xO22
7COb/SN+LtHtIHKT7JUHAtPGMXGK6VdlA+Dg1o7EQZYjEaStVnpkYaHFBIWwvNhcyPmMrIZyeik6
Y1GTzUQiU5a2HLg0b5szOW+WI+VOqfzFLMeU45fmbfO7s8XLPoQ+in3blbcrkPu9ucrbwNsxnAoz
ksB3sdDAGuFUsKLnNT0wMZBtH69dqPAQ4mSfLDqxdWnOLq8iOVjWln1ls8NwHNXZlWyYAanTW1XF
tQgkvTiUYorXrazeepfjLKfijSh80eHhyK3yfHKXvxv85ojL5neXKHd+c3zxKWTfGPGkcKODLl4+
Eq8viwW+/65pTJm3BmZvAe0G3K8Lqm8lKItLYVrkg31r+iG7UJbg9e6Jqdky5F1TbvjHPhwPEhSa
EpWUJycy5Hzh3bFuZ/nb7R2iVuvKrtB4kFf85weV1y77GvmQktVljNxcG7GIqf/5UZcxlkaWoYfR
gX0imclqLf+DspD/vEFp+codDe8CJbGfyzIn1JKi6F3ISV7W93dhgFCDdE+xxKTNkVM+2V6KW2ed
a2BPKlzO3g8Cz1GcboeUB5FtufutU7ZVPK23Wk50ysVGg3zwsC4HVWEhW3tI4gOfUhWr3VY1iV+3
joOtaUFB3lYlBDPTUCw0B8RrbzTn4Vkbm40zVc2hNxFj7LRa5XnFb0l6q3RyLintW/QQV8K1WwtV
JE0luNR5oERByJxkLawy61Yzo94hKO8iWvgHN+NGlogRhVl7hl4jlhVE6lo5azrPfyxdeOOMESv+
EPwoiAHx/g5EITttpVHWvQ4+BPr+ky542qlKVhzraPekju207zvXOo2i6MyiPEbYvUl0IbZ7LU9b
AV4ksYdIirav1Vw9taIYHH8+NTWh9qCwvknqhHTUWArZZzND2BiaQUbNRZRamathWzSQ+/DDDNcY
+lhrrYo/zTWejpl8HbviTSwLBNn6Y1G8qjyCeUSIFC0m63xM8Y+RNVnIDSn2fyhd+PjBCQLMrdDT
EHIsho/y2SjxhBiXEn6QFJ9bVfYiD3udcCjZTUPYn0Bwe0yaIz5vUE+H94M18bSWu8ktsmaFpOH4
Mooa9YylENH2N025QfZFlQamwButTZ5X/cn3SBbaMeArz0C3S/YtG2RtFP8qb/SgQonZvPx+ZW0p
EAb7/Z3LPtlE7Ye7Y2nfanP3GM5ThwuJXC2IA8oN8oaR+wmWVGub2m4Wr1yJt5TwyqWpyFdmKBd7
jXjxVtAmfkMz5VAQKSZUnslbvxmUGhG2fO027FmqemhCNodR0MfBe/OPhy7I5EgrWfXaUQPVvA/X
mC0UMPbK7iILpHWF0KmLHtsI6DzQyLLLokOdiUmE6W56tQNkJp5rlRRdWJ5hmaaO+KWgztWh4HpK
0W6Ttk6SKKUJttTS7KROwdKWNTlGjpbN0odjL0OQ/x+s/V+CtchcEt3852Dtf9URHKq/MnTkLn/G
agnImhArLCwGYMGYiFX/EavVYO9oyCggZK27hGrxWvlDTduBoeOqtqu6sGf+ytDR/kXE11U9Qrya
5Wn/kZi2ZhvvY7UeKB0Dcz8CwgjdmSI0/Zb7kVUOIdHEHi6ugeFZJCUQRDGOyXzSIn0+6aAF17l4
kN0Yb2LhIWlvvqyJIprT17y1Way3wK6QneNxJR8essZTCJBTeHs4SeS3fDgtzyrZdwNLy06lSrq9
p4dHdYwBQRXTS1j0wbz25MIi14L6k6rjQhq2/i4Wcail0JqG2IxsZ/INDqz0VWLMl4fF7XcPc465
tVWBFghg4Wzkm1EWsG5Z3MvXI0urP6p66n2PEr3ZvjE/u5mcyZExovmsRZN42sQ9wDY0rIG3yP+Y
O6XVIcEUKpbgFdl32zxUGYKXENOhpfNcwB0cvRObCdvSZHbJRDRXwvhUBSjB8eTO58RSUVGkGgwz
wTxZlYXiaS1UxcoEWZN3qliPIcAlHoNLQSaHDx7Ix2IiVgSWeNrCxXKYJzBzC8Uk0OnjEoUI0G+s
8wMb01bZLQcso4Za/2gNhoLJRtfupqp6mgRJ1hDrLlnT/qxFYHxVhAr/splohY+SMLO3nTJqL75L
hCdpRfxGDpRtvZeIomXTcvQ3x8wNgQua2grbyinTNu/OXt42i7PLS5LHuJ1JVpfrlDtm5R5Inlhk
JQK24uJuI2qK2eonw0ozAzkKqrJTFtWcfoGn52+XLlnLxG6yZlWsTPMivo1Y+pcdsPfM8PfaZ4pG
rDt3+c83geC23uqyeykcca/ctsvOv22/OZSsRtUQ7xLLeFl2kbXbcd4f4s15/60aez+MDGe792d4
c6RUqLpove6s3+z9Zvv/cPFvdnhTXS76za5/u12OfH9p70dGNkrXZmrsHEJGa12stZbbW9b+se/2
u3i/OUqN/PCuUyn4McmfzuSkuGu+O0PZFLW6VWYRWzXrEbgSj7Rln2X0u8PKDfb8SPbDOsoInIyC
yZoM0y3Nd32F5IDL4M6/VeXQJai5HHeJ/Mnjvgn8ZfJwcqQl6dj/89nlwOU0lhm+KN2As5KIpOK8
bvefZLWPw17dorGq7dXB2cuYtswHTFLdSka7Zacs3FSHD3DbJEfJ3jYaLJZ2c0WcoMJdxmyVuD/L
TTPiVfOzrKqAyYr7N4fR7QAB8VJLNjfVq9uxFDQH4jPLJH+HP661mVLtDvVCfADt8VtUm5+ZsoKH
12qo8pm+HuvuW5Kip1G3iO726Y9pUNcZRBuEAxt0PktUUgY3OsPMKbfpKJTHY6xxToYT4FpB6DXn
vYNCuJahuwyM+s1V3j7GJPJRU1SHWxm8JPePVJR4zi8Bzb/ra0QY6M0QsYccdzvK3zRvYdJ3h/4/
HIYEdbdn2nuQR/bky1ae6VaVvfIwSD4SD5Qn+McrydToFMIf2r+9GgLIu1Kfnkr5JpOJHi8biSqK
pUErPsrS937MsnkZs/SVlQ36b2n/3WH1vmZZIfdeDvGfnUYedjnLchjZh+/D5yxhTUcKidCxeHUt
8UzZJ5u8wR+0WJ12coTs70Ox5HhTlZti+V6V+7w7omxm8g0pN99Gyp1mcVpZu21f2rdjhqaymRQL
aT6tJahbKFcL7MhZU7+EpMDP4ZxdikFFqRPvWETzkEtp1MFYGcxIAZE2m8JNVFQ4jW6dmoQR4rD8
lvQ2fo2krNa8n9utHTrjKkBge4+Zx6XxvOLQt9reK1UUqBP3i2Ei6lpG5DK/2IqLAHiZHZGBBrbk
I7tqOk9I70IcIeGC6FP1PZ6F7jkzDDyHr64dABCrfERaRhe3XJRS0qh6UR3F3IdF8ymNlO/I/kT7
SUO2qpitazCoLrxdzIqt18bLofhGgMesgXxYEoIDE6ph6kAEKcenrJ22mPF9T3BoYkpso8uotGvL
H3CLSXZZKaz9xhS7KMc8lEn14CvRrwT/6xUrDhXGnX1hiYDazODZqyZJvk6pKyRHk/wcMSPfAOY4
pbr6mhnJiEFpeVGnBkJy1YoE9nM/FPHRqnZeWBtrdPY9+L3KuDVbHBD6IXqytVnZ2Cgcrr72eQH7
oEMtfVJU8Fd4/l2iYf5UpNFXEMPGVkMvuHnugvKhMkkdVAf0GbNt6YjnnBXu59oALDf1BKojNdlY
eEph8oadjTNj/vEIaPJQ2SgT6XqNj2GLqxxin1+KAc6jiyIFj0Ufz5zQeNSNH2nvGYSOwv5DihmK
m4TTU9balzzCd8LycdgDoNdNj0EWnGKEs+Jy/FVmGtF1ETG2ShjD1lC25NsbOLaEold+HkbHdmJr
MtV34KpOQ8tDtVKNfGciqJh1mJ64GUJ98Fi+x1DeESvV3Qt2oxvPRrjQ8oroGDr65z6EelRnJEYB
T1W4Qm7KEhtFWJlmgOCfsQYcytyf8N6ui/hY9jwcx8H9jHRKfN935fzYfXKfhVvgHqFozGwb5acC
ubTKy10aqh8Lwg57ZBHREkIZqZmNBzQv10WOXBD6MshQobttjUKhqlv3ZYg7fV7na3gT1SoHLUeQ
rTlWMZSmCP/jTeXWzias+o2C3cLG9zFEsrLqYHjt5yDpfpUApzdG1XarLLnv1RaFvqmx7i3tjMZP
n3j+tTRaXIMCfz15JNrG8odiB/5u8PC2zoTKc6F267bTTl5T/sor88HqfG0HK3CPrlmNzp85R+Xe
Sx6qGIq8BeRgbTeIUSOumWHZVHq4YuCQ1hS8ou2UlY1pwzckK8aPZ9aeSrDsK1OzOY4fIXs0fG7n
8dEG0bdtInIvnQ7KQewxoT+zCdXpLi+ah9wPSlgpKaCF+dw6Dgri6it60pCLTLA/cfzYMdsnlZK6
Z8zeB/xrUNBWu+zB002UzSftrMcxubSKxZoZaN9HvD+2Ps6fayuYyocxt4/YxE6HOsW0oHSxvhjT
7rHkVwV2I+t52xchbhVR9gDfGhFnA7XobHI/zEPPO7xWIax1frtzjEDbV5b5ondjdani9rk2Qvcw
z6dsjsAYTnU5rbUCjb+OKTTWvs0d8mVZGFr70UgfCOsjhpaYEy7D1gewoPmunqdDP6CFSPAXMfZG
E8hLPHjRE5vj/qtZI+E2DgAAINzNKDyiJw03HrnheouD3L6zgnGnC0l5btQP5NmxbmwNzBUr3Cq9
6YvBZMQ2mpznaZmuFbfg6UbMfRXhvLINQFk3ZrXT3DPq69UR/bhVZ/WbyeKRYNXox4Zd+lpgIWEM
YKVLrmyDGM4d4obIwvZtBese/M+MhN9K1cZPbdtnayseDiVf7krvw59ogvzERuQu6ueDHY/Pfg5z
0C+tvdt6iH9Wzq7UgJa3Coa+Y9G+IB/GTeEXNQHzNNy3hvGMUpSJt6x3zCMXWLoyTg8DCkhCVmLf
Q7VfhWGa7NrMcjFKNdHrdspdi0bnrshmhGCJulfj1TfsT1CK8csWen4Zko5FMX/eTLn+VDnlR359
+PrUkAoGT0V3h1br+btiMFmPJkgpBXNwjvUKeYBGX6lT3q/HLPgQ8TPdd8ZXrYATN7QIiWkVTCsC
T8+j7yUbp8cCZWrhlsaot2uKfUkC7UXrCBi3Xn9RrS9e6uf7Ug8PXmsKZYIUbYE6ezZIU64A4AZr
JU9Qrse7w/Za6xkDsb530UK9t6tKOQ/8wPilweaIo2nlgu2oprJbNZl31qdeR5eCIHhgP/YzIhNR
yW9y8GG15BXSJaP14HbttRqTelM53HsDSs6ouSTHpH3FRwvBI6jJPo+7thUi3TFMNjQpvNbzdgWO
QCvLLqHfJvB/WyxPtsykj7VIWOhT85Cg7znFZvyYBBZmKrD75mkykQcO/Q0/PCRaHSBuAqxsRjHi
9/tibsl69UhykeHdT73/cbanYm2O3sdJV2fINbgQgDpZt5P/te6sc084doOTMPGtxP6Z1amycUas
rvilABZmJbAKSv05HyMN6m9Ub1MHXUyQcmblwxYaPW3XhlWyjbUIpXVb/1y5MKy9Ggc1pBQr9DBx
Ip5Qn2MJX3wmopYd554ZEX4wO2wEsEGddraWfYDji1oFngvIQDjgxFOkx735UrkgfBKreckRzF51
xoyqlhFih1oMgIWtZFVpkb9u3FzoGgRbI4/v6ye1RWoNWsDOiRFrKPhtOAky9TxIID/0XwkyY3OP
mkuE0ozhpFiHBxjJmIl6qmCVg5XWT7jNT4eoM5M9iPWPfhajExYrV6czv5n9iBD9HJxUNxR3BgKw
uooN22Rfi1pJ92Y0rwp7uvjiP11q/RV1KxZLJU++oQUs3Q7b3MVQ2XCjH6UWxWvSG4hOwQSH+WVC
pCpKdAkVT0F/s9x3cf7iEiDqeB6jdOXtwgZpwzzGPcy39G5rQnfsQtXeBkaJWKFaPDfMHKrKrjdt
2z54RlWvgt5An1Av7y1b/whF8Vz4+9Hu0HI1MHFy4rLZoHSdVclzl2gXBvG1GQDDtHQ9Z8El0vtv
JXgHsmjuLlehHyKsdKp7v7poevhkjki2TnG7QzTwRzJ+tGFYTvr4K8VqZl05ir7KA+3YCKECw0wc
/Kqybpshl7AefxkTDxC1wkhAd8wProeXsKGGV793Ee13cWepHNTF8zz2SAso0Ro/bf9YMYVW6+KC
qR9u56rZHIp+nToIkjqKcexCGGkdfEjOuJ67OgbJ99/sncdy49qWbX/lRfVxA940qkPvRFFeyg5C
aQTvPb6+xt489zBvxn2mXrsaQhAkCNGAwN5rzTkHadJmZaj7yhk3c0GMJOe4daZ5/p2dx3jRyd0m
dslMNISoLh9cmEabmCwNRj6kK4e2ffAr+1iVuzydor1nqMBvcZEP2rH15pzxfLVM43FR6omy9HAv
b5k+gND6NhABfd9o4tSZ5gk2qnFFaviPXMVGBKuUTxxLaOA+M2MrmdZti6bcTlicmLhkj6NJ7J2S
l3eBoT7qQ0aMp5o/WV33M2h6XPGluiid8D2N8ay5Y6ifFLNaq5He7cJsXM8VqcFFGANMcKxz0h+m
cVYW5C+911HoIbup7HWclCeugwy3EF6Gbhkvu4IuVsRAoTTDUmQHkXAJpkSzoAU2leD3qd/6dvqm
QAYMjK4FRlA8Zp4bbdM2A8xoBbtOBG6ruM04582EAkbxDG1bv4/t+oIpqt2EhrLvEie+K+P+bEU/
a1c/17A03ozcWabRgeRbg6BLat1z/GuakWK2fc3gyLNC1I4zxyi2JMUxqZik5oIhmkID0w8hKmoE
MxIoWNgRtvkIXvf4oOng7GCCneGLI3pqayrdUEkWMUTFBZEi61ZLqTQMxHp2anKM2i7YOvW8HoLp
zq9DdZMH6VvYzcE2r2daaMx/8OeVLy1BE7oJSa3iAPO0zlqlA+WOEZV2k4Sf3RQ9q0Fhk1E7fOkt
rjKv1/ZEtX/ZwQvleNw7zfQ1kI/6aoVVhy2+FAPL0VgPmjMv4qLp7uxVjF59F5j+UWmCU9n289rr
1GDrKneZN5AE3CR3VI42kWXgYh6bOxIIqiWhmfuAqvCOGv2nVWCqHNqZvjhImNCft47X/SrdkvBX
fx2q0Y9eT0A7mDZFGy8igwDbRJi2P0UM4QaOzdGdrAWwUaAZNheF0vF+2CAZsHyR2uDdWU5DFrLN
FTNt0VgHD26dvBbEeQ6a+2I2vUcK90TgqzM9kxXMt9q9aAECbs0n0sBRk3OvNifO0tESUuCBhv46
1YvXwtQ/w2I4YVZeTEWfLic3X5RJNJ8LBTRLgtNz1xMGt609vjJFe6hFSoUaW/6lJOXpUvlHU/HQ
D8i7BvSr9Zgmd9f7NCfA41kM2f72rED3Q/xXI/YjsSf5QD8bn+3sjKuq7VdGOD811VOTmsNl0IZt
69Q6CdmA/oY56ReDHce8kOBFKftAWfiMYuOqc9Z9D31qjI4YBJAkWem518bgoRWLKfUfiCx386w4
OsFA9olYUI6cl2iKGIkWzl/35fZUbbEo8ZP/+75uhlIEo0/fVq6ygAvt32di0XEwlmRK8KPQOeVD
Bx0zndApsaA0SxjmhINWrgLCMC5x7UQQMZvrXbf7G9t8ixj+HuRdrlLpl7Qc51U2gFWS98mFofv6
ntQrIPZik98egOBmMHy53YMHk7STqcj38h/LB/xwWDAaM1ZMTsuVvEs+GCVqTjrk9CTvssAvnB1H
WQ1BGD9QKyxwwF9aTYsehmr8GqPK3w+acadOcXoaR8u8yAUK3m5ZtLa1ud0HmDnf+o2RLhMC7hQg
cb5xMpTukFiJdYnEQm7cRTbtHOCdU9g29PxdUrz8FJbIbJUujluxXhdztalx6C1LuR6Wls7IaLzE
jXsPvXRe9ygq+O105sXzEuXeio6BWDGY3lwXTK0+ANvOh8lM2WMazDTWgX+vb9uNSe/tMG1X1x05
pCgcST24gC7pznAxVtcjiggy7Kukvnpp1twXjL4eTMUNHvS4eCr9YDzKzeTCrgqdYPC83MlVua3m
EgFoVYO6ls+S9+mTnq6UIrlLO2A3nhp4mJEN74JGdj4YRvct8GvvIu/XQZDeo/wlxMNVeR9iM7+b
8GPo4Z3cglngRUVGT9mG46+YonanBJ59IYzQuZR5WK210CUkdpydi3xAa+Nmr5Yi3EtsJx8IEtU8
E8EBizQRHAsvbDdNRkxbT1IeCT/W6bZtWFXEDSWNs031isi5iQS4GabZQ5lb7mo0p2RtOD7hvk5b
ITb2qL5BS4oeOrEw26bdU1PKF+E4qlde+f+oCP4vKgLdUEXj/X8vIzj/6j9//ouK4K+n/FNGgFZA
NQzbsTXTQTIgyNv/lBHo6t+6ARNjmOqSaG6iN8AFJpxh/0z2FKGfxHHyuEkCpqXZ/x2Pl2aZhIT+
HhqpEirqODZYQYPsSN2x/hAOhK05kgZYGujj4PaKQoAjSgKBR3EgYMa/jJSBsLOMkRpjgm4mWzwJ
rVNdDc4CCvCLX4iAKlF4sKlA5KIUARa3FKWJVhQp2pqqUKHXDYm146cW9pvQH5p1J4obeAJIRGiK
fa/Mu7TT8g3K1xeu29Pai33a7lp+wZpqbTUXFSjlk546ii4KKrMorYAvosqiIhQTZZea+gvamepU
U5FxZWlGFGmQzAXAJSncxHoPYEdRD1ppkRHVjc0rNYxnkCKvdaoWb4aHoTUfz57rN3sP+ebK6Bnw
c5blsm5W91QPKQCLUpJFTclRvGDt+7kPT9vRjohZD+Ams4tCLcoRRSmoIYBdbTBlapw+KAxIW1HC
yqllddS0YmpbHjWuQhS7CqpeEdWvWZTBBoLHgeAMB+Zm1GZEFW5U54dk+ABHTL6kKKeBJoCBQIXN
E6U2+Qw7aLmG2R56cDePVo7VeSvAlRj3RMGuHe10WYsinp9cLFHUa4usWeNpGqKtBstmU1D986kC
dlQDa1EW5LpRLoIo38xG7m8886etUARqRJJ9aNhH8A/+Ge+9TXa3KDoOovyYJ/doLTrIbBQmTW/4
cprhYxQlS4XaZRBTxPQAd0ZYC1axKHDWstQpip4zEBVLJE5YoiDqOIjvLSZF4UDYYkpyyLJQmVUz
lc4bDAmt2x/6LovhqQRkZ7ZqCHna6JCCa5eyBrdMZEO8dhnf2ekkQJsJviTsP5RMDv4liJXoLk36
eiU+m4Jp8bPgVaQarAncYJt06PkdgIPdBkWe4B3Q0/RSVurRt4r25Dy5ehIwOCWOz+6+LKaRdyju
vufMOphI5QDXYor9qRsOB79U3wKTUJLAHUw+Hv84qx6skwEZqBKQ60/Q1tmggg0tuz4aSMaKeTDe
ktLdIJLbRYS5HUcNNQTBuMcYhcUyJ6plpZk5OQZR8OLZA4KeyuCwbVXSaDP1rIdjsw0bPVv72tjf
1YKSDkhlG0aIO3slGVd2ZaQ71YBZSQly4Te1e+FVE1tKQlwwpNYaHhMVliR/o4nQnNyCYn9jPBtp
2JGilz+lQf6iqgrq2j61driSIB2Nx5GgimOtKeUedrCzGYj0we8+zK92FIH6C2rlUzGiO20A7Jmq
1OtLjXOI6/c7TcETjd/1XEfdsPXB3m7ciJx3JysgWroF/M+eMCYntrYYrmn4ZO4pNPVsJ05XeQWX
FLJXMCsfKu3cVnW7X1VHXr+j+qeZIucGXJG1CDVQEJiTELjqYbFSlbYgyMUFIeYXH7pVArSuwMIB
TQGn0ySQcNyWSMTJpuCojOk9NbxmZ+Nw2Ee4d+6MlAjELoftSIW2X1mt0q+tptFXYV+AN7FDfeXX
ubNW4J9SD7VQt/aAfeMM7rTj+69ta8bPHSWrggzcZa9HRIpmtnsoVDKCg2a+8D7byeCT0KeJCi3Z
HUWcncLUsq+LNI4Js/L3jWPyc+MrV6COLLShbe89Y/xF49R6Ak1tgvFt1wGNnWOHYd2ySDuoVPvb
pJTm1g2yI+d+ppemDxxA84BZCqnPTVzTySbkbV3euqp0pKzn+vhN5iMfv61et5R3OjJ9Xz702035
0MhAedOM2kXuUm4i75ertz12Bp4gI9Ff3M+bjgJ7PaILKc243rzJLuStf6e9SBwBsJIP/ykBuT3n
9i/kLuQDIp2NDEUk7lcZiLzz37+CqxhEbnD9d3Ivv928Pk3+l+tNAzICP/eUoH/EJn/uWq7Lffzb
93rdhXz89sLlc0ZcecvRqevlbb+37Zq6f5qsIN/89i7k037Tudz+9W3Xf27+57uTz/ntld7+4/WZ
v+1e7hSWMhbF2yssy15fWQ1VtVpX/kVwY9pVg9ZGCHJ+exFy/7cXWnrmvkwt0GDa+BFYPaAc8YTr
ViPVqcTv6ZsYycqmXAorW/etu7jINXj1gQkOLCL1cywfblqluEyb+XcJ1O2hlrbY1vYVIDJIvm73
y1tSDCglWbdHrxKmq/rpNzkTGDOCiTFNjlVSHZnJxCpS9KgXni95U6nQp1/Xp0jhqKcLsvrtTvLi
+n1SvF03kQ/I5/nhpG1GdSD7NfI4Dyg2Eu/MK7Q1YkdO/Tg+Utc7VsKlI23S8pZ0Jhud0SzNNiUg
FdwgUZ2R54/b20/0qsgr9bPe6jqfb3GsvZnLVcJ3xhg437uNt2ya/pfT/OJMblIInb6llIrgIgqo
xywWFEj+WtjC9v3vVm/byafxbZRAc3OqOU63G0fSxZvG2ZuwESN1/C55cXUNGmPhzeRImsbw4Wf2
E+wO0pip21Ln/Cf4Sxp35WpFqKJJ/PhuGrYGQ5yDxPSpHlAjz4kb0OTgRyVQTi4agZZzC/LEYLn2
AbC8gA8Gtbkn1OaSWCZXS9Kztr0AY452eJSLoQCwEUxczYteU4oFV2BBmbQxhIivVFoc5cKZCRIe
fKIYhTJo/HvRQWQrNWtYk4RfFAvPR/huj/alHproOIkWw6TQgRpLd2WnvrJLx4Sonjnfm6bnzOQr
A6rvRO4bE3y4MkZM30fXjIPjNMZBCRT4w0OsrkJp1qz1jBE0mii7r4jdtu/It6m4nPFVxeNjRqrX
PgRhr6+NxLQWtrAxDqHt71WCSYS30FNCDejU0TEHKmbIfGivcyaXHtOrz9O2VrVhFLsr1Y5e4SIV
LpacectB0uAgS/11y7Px2jMnuCPuu0c5yXfAkV21O0Ip0iUDgGkpP3+JiBtaV4Oh9SjFaKrwFV0t
r35q7DCCDFv5GqQx8gqMxE/C8ScWMFMZGjDMkxInCXezKhrNOywBpEoIgPhV3yO0SlICJBckzrp0
SDPzPCi5hibRRBUlOYNXeqlKL24Xhx69LqxE0pJ9c47/cd8E9GcVjsG8cMXZ0HMwdirBpmEUCBxR
eMGk8/O3ddsJozXzMxjMEqdyM39KwZ9cXIF8JaWObCabXB5T8u3JA+5PuqDr780QOKtUNf0hcrrd
R8VRX8NbfJdYRWm/Z/6InoNQUlz8Qu8t7xzrsl/0bUOTVxw98hCSt24L+RnIVa6VDFdjE+QAmk5D
LIK/gXy31SlVP4YgSJckN12uYkFpO77eNOgaLnrXMpeT8K/8YUH+Y7UQoZVG4G/bikAN6fC9LaQR
XK4GulttOSwO7mDg8E0G/VerTvU6N3xU3WIRwkVbjz7fFxUZf2ea+TZokGtECWBsod2TH50Uy8lb
8r7bapvmh0YnN9C3gDF0lr3piYsSub76ahqc+mh3NqH+JTzDeNBxLwWW1mwnrnnyDZFvztQJWRaS
LRq8jch+0wJKYboy6fyyiBLQFXMTm7CqVP0euBCIICh0hKOYUComvVsldJmPoxGfgih+HoaWbmNT
pmutpoMpXyyIDbobwu+fAy655jNcfwUgv/qc0ng6480aqiA4dki/apgPO3l0tAatAyCjzzJ54fpN
C/H/7WBwKiM+mPRr85xIgUBd0V6vj2b6OWqFcfDq3Do6YoF4G5g9NB5aBDW2BHFV84boQGM8Dzzv
YDO03kVquOnD7rUrPWUT1GmwqlKS0Ks+hOyla9Yp6tLxmpPWmnm3dZryoUrIQjBnR+F3nkI7tGhp
TlXXrWqigNFNYGPtnSJfN7Oe7OhA7LSy2RuxTtMuH7xlIi1ciAsOpi9SLOS6BvCcah6XWs8GlZ3n
CN9Mza1AgKOWl3wqqcVzdIOZaqe8GlC+ydw/p5nZr53Gu7hxzW+prp8He2sw7V1e924W3J0mvruS
/2eYC5Ri6inLnVXggA7PRghrtO1JoyRdtUGicTO4hlqhbCJ6OyW8mr8ss1cvaxyOy7ppn0ORcjjP
wQvIalwaxIofG/P7bCoTHrtAO2bkkUcMG8YcSGlU9S8WTEZYkoQnEraJuzqZm7V8YbkbN9su0U+F
V9zX1AXW6kx4vPIVNuwU8cQ7sHhSa4d27QeDvuldmywUKLGBOFPKRa4oxHQ06i+zIZTBJR54btQn
16+iXX2IhZEiFQt5S+YH+sJHAWnB3jv9PTnaMbEvYYfJniQxTOEtObZiA369+8T+dPq6Ix4St22v
+ivy7tyd6jdcX8R7C8seCQRKsEUlnB2NWPTC7dFTZFlRYPYW0/xWTPVrgBeVyfasLXHn8/HYyWsb
2ul6SvAPkts+3cUtbVEDkp7bcnWQn04mjd50QwhsJsITdiEuAmmnl7dcN0KmervTE757pZmOmaKG
W3m/Ls6y8tZtITezb8+V63Kv6FjCbUl2jdz4t+3kTVW3E9KA7a/rc+V9WTzsI1rny9z6kaj0vwvi
H1dD0QYkNKIfbSwII1ky33mzljwi1ZtJ/H2Ma5KCDT3XAfyJEpoybQzfaFByjgtr8r4HQ/Y6l2S+
zoJ+DFPbpqPRKxxylb0c7fIt6PJt5mprShbmug7RmtR5oC8qo/dXQT0ehyytf/gjUeND6X0rMtDc
xYRoy+9JPzGbbqBhTE1SUZPxMPSz8jjr4Q8t3o4Qj741hqvC7x78eycMargyCsg/ZBOfTh2dUGfa
Lzq1rx0lpg4GqtV/S5SjfHww0mENvCs99IDjnyqte7HHefw0wybEI+o75yoom3PedLksuXyGevGY
6z4xo2kRIF2LLNCHMOxFPeazIbRp7JLPxkvSTTfbJcG15M1DLzjLvfKpcagDdrzzomK4t6gLk2TB
v2uBmoaIEZ6GsgYKatLuyYToR8WKdSlUpACjN39U2uhs8tzqdlXjza9DSVqzeJNTOyjCVWScyqbS
Lsx++EEwXr+4Ng31ZkLO7qu1/+DMkXbsRqgu8tUCbVjNnp28Z0pNM3ZExqsRxfhu+RQcxavqpnBc
hbGtHwcg4Q8WAqDryzUD2jtRGxmXPpg0smmn4LrLCe1sP1r66wROl5C7Allx0w4fJJBdnxkSGQq8
wzAOjeWg8ejHb/JfqWlkLbLAH+/1KTPuZrtFRSRegxYWZzdVqxcqg8W+Getsg+Qq+LTwv4r3TuCi
iUypsff9oHaQOudHucOhtLJlb7ntOZxK1DCFC2RIfEeWm7/oakgq8Jika6gQyUGzYkwB4kG1OXqh
PnybbcQBiQ4bSkey8IKp6yT3OoeOtpSHWOfb/r087OQTzUr9QTVafzTVKToS7EfcqXj5mOOWpKwX
r1FhLzVINriyShMBa+E9QA7qCNo38h8IikBahvrbSKdww0Q5OIAWHh+CUYGLI7bognxv2Ur8rkRm
vDGnmmxsTkgPDVQMfoNZ8SMaza1vRdN7F+XeOjSqmaEa1VGtsHce6v/rfjLsvCMdvg9GW/o6DkgV
RnrSXKbWpbQp9mPBo4gHpf9ILSphMG0yxg95eKnrIFrKLTBooL3o/Y/Gc8o1Au/hyMRAu6dMDNZE
vNoaeEdTTO23YNL5un2dC72bVfeqH9bXfdgoC7LWcr+RbeTh4NXiU05i0zkNYQvL/9KBku/nufl0
G8tYxanZnrIpUs+Wj59X/peRcwDxnZ9pAX0zHxXj1NhheXaaGlW0eCtev0NHl57kBmrZYcFv6+iu
bR1PcIb961YOoKN4cr4Tzig0xk5DqlQ7cwhqMSX8Jv2R/vWCCg2stTkYd4Y5FHcp/2uV1IP2nbrm
9fVUiNE7RUEzpNT+Cf8yGhB4Mt8z5ShfjzZDNsq5tJ3LvlZPnR+qK39O9c8eFo94wURfQZlRK/Pc
alN5MhsosqCs1XPR8fX06DAp3dc/GZJTihxa9dEJwpJr29zssjnvH2cyCha9Zlc/SWlGSdOZn5WR
KShZ2EfF8XnMeY2kkUbKq9IGj9e9eeFT6RbWq6+kyppuVnKE9GueOZg8jnXX/3T5suSmiQHJJOui
6tEqzH5XJD7scESvj8hcuusmeTEuc4qzn6YzxIRYVfVZ18zhiG6OjNe+rN7UtLrIvfHree5ICH+l
tILWk5/EoZrd8H4gAZSRT958NwjrM8U7NpjUIuC3lQdtmvQdgydlO9tG/OQElKRzRvk/M45K1euV
b7Fi5qsASnETnDErmMc2cMd1lPHzMmcT2QMfj627r4STR69AIKvNGIzaAbZmfT+SaYFYqhQjoze5
5dz5hIz2mvYw+rS/h6lN1miAjmNXdU9AN6BiiB1OQbouTKS5ilCw9V1r3Q1qEJ7GDqpN56ONmjuh
+hDfXum9q31nvDih0m/m3CX4TVXVe80hYCKibPND6+/kB1Qxk1sE81w/9M0AODvsp22L+PIJ4S3h
UWJnPiZfl3bVN1/lXO0CT7hzdKU4+aaWkybatO9aph3lplTqPqMw5zqJUfAIEQHOlTIWJJN67oM9
ZxPFV8P80RFDonu18pF0JIYPbdGccksLz1acRCsGke33zH2AWGT9GJWUiyLalnsjU/VDWZnhxoeq
8FYP053cV9iqX0ocxM/0F5wtuXTjrpu5dDsBwmNetfWjjzyc/b727llzv57tcDyKYLR7cAQqVURe
j1zI1S7wlLOrcjBp4tQknyaeL7cwgsP/OOz/XxiYDhzK/1NrHItD/usHGdFd+y+JqPJpf7XHHe0f
Dg56nPK6YRsEomKl/6s97hj/cIiCV1XDQeDneLb3L91yy9IMwlVNINzSm/9Xt9xU/+G5Hl5Bw7q6
8/9bHEzX+cNlb7oOXXIomPAVHUtVRcv+d5e9RZaVZ0MLxDmg7rCtB5QDq5MZobwMycNaWm373ipf
SW08umpPGxwp8zpnbrBMYpupuFD7RUoD8cfN3xCo36ut++z2bkJYPg2ovvoau/TUu2aDDtSmu4qE
WI32qQoVySEidDl1Jlf2wGO198dFCr47n0QMqo3jJJ9fIg8W0aTNZy1UHpjxInczHLBRyYvj6Q/0
N8mPCQZOKEx+nYu6xsbUkpcFyg9dKWZyXqTwZw0D7G/tM9ZyYtWpEqrji+/S+qdL9eBNj33qPdeD
tVJmUNrE4IW1fbat+Hs3ePdcS+8GLmNji+9arc+JxpW5bJGwg0xUl1zB3uewfKbp9oj69qNJ6+1E
bEYDHRoviQPsLLx0TvLV17x42yrf0yL6KgJacWPBx4yU4cEuLRolGrlgfE5JwGtmovtuFmswQhsj
07e+3zAWyc+tB61bo81lcf724ve097eBBtWYSSn615zrQ7yua3cfgd2iD0q9xuApsW+VC5p16wD0
4MJJ0dnY0x3C2HFh23yrZrJzTXORhFm15KLbLFJqkaLLv1PFJUSHpBjaILRUd2+O9jffaX/4Nc/j
9EtZJGbMPWTHKM+sZejrkB3lkYKrbWHP3zRccxRmyk0SkgiejMHeruxI2EQemC3PfJ36TuyYhh3Z
/OLb9hvlp8k8aeJzKFMDne7ovsUo73HKjO6KlNOHJiDbhgzMZYaSmKz+RYKEaG8NTN/6EdMHBoqo
Gc5dzmzbQJDcVXXD/NTmi2fmT9Yf0GSnc1egxL8ayK/rNM53RRScI4dDh79ty2hr0TnCsFI4bzXd
+aOXBj/8FP1zW3vPMQWbVRSgA6bYDebJCZmYNWocL8MsnjdmC2lAc6aL0ms/9PqHlkTKo974Ky31
wkXQlSryxVXl2T7Gu4M5q8mmdhzoSszp3BojYsNrHSxn3/uQ0WkLyB+LD9N9qYZcHyrNXM7qV+n0
6kqbjAdA9REDJu+5GoM3Ui/OScT3q/EBqdZDH2Fw07XgoWrzaJNMfroys2YRVzlvs9wEMb6SyS/H
vZ7+GAXJp8wBPGEegdaBUP2RXL12SfDHGbkg6kjKc13q/fJJpYmyx1LHiJdPWyBQX7YP6X7WxQ+v
SvYpld5FZlnncUq+Ri+h8E+ACJ2p4s0adiGdMNxP/BLUN41OFsfoyBBCyVdmfTIHDhGnL6Cfki28
CPIalsEQvGtF467aAtwExW6Pek79PsQ2ULg92cmodlJ+Ygo/uiVd8KrMTr7B4RABv/IwafRlsgu0
+TAn3xPyOxM3W+oVnzWGgi9VC77MWluh3MUg9oyRcaMl2sUNUVy7Dj+auidlJ4SJlRTZvjJHcrAy
/9gaTrJOQx633fi7oQFJ4tzoLobKf8/rcNp1fIWO6TzrtaEsXbNb8wiyWdyZaAdHulQ251Nm5Mwo
Qgxz1pCuPad5dxL+r03ZEEDPiPRhOrmcPRPbiZdDeckpKCyzxtU2VTbQ+Umy74pot8dtBc+KE4vA
oy1xfKV6Y63LoFIXpG4vSjW0N3WqPXZEqixjSgC7rInRxIvS+QCJeOnp4jfblRUObuc8xpwsi7r+
1AvvS0esu1SadNWE1bjyKwSDSelvC1M5umAit21gXIQIsabDsjYq3pAXvjb429eJU9C8GQy8m3Eu
gEPNqmq6EK+NucFak3MxQNzCB7GwMvcu8I8qE+qFFxlPlEPXYwscwJ1NTHcJ49o4+TIoiSwh5RRU
QS2aEnyDvWmhCA3sbtHnubMIcbapnbUrXI1KobWo7tRMsL0gES6o8zSi8cDpLaMuxgBsHYRqvh38
1lwi7Fz3Wk69Fy8LYi7vQsr5xjTulYyvQvHzk176P4iiJUcJH35Yxj+7PH0yBr6txHof2iFbzOh8
NrhFvC1upe8lqlkK1tZzz8V3aRtU1hjLQp7VA4wXHC7iXBI0+sNUJ/Eq8NpHJw2f1Lr7yRjxpbZT
HS9qy8nCDi5O8lMe5aO3oyMSLuK6Jw56O5hwwrJmwvLvFPfQTTY41znd5mYNuAg8vLxgWSFfyazw
Qgul8Zd9g8jN94x+iTH0u9GDxJvaT6fLv0Jwh/HcfZCcWoEuSH+qCr/FzMDBFOjZNjN1ax3BRGL2
2S9duDCLVA2PVexVdCz9rTVa24qz/eR3eyXAt4Vb6TwP4NUIGvBjfLiq3+vLKvTXXWSh90Qz7c/q
L9VuX905iICMTQ+zwSB8zquPqMOtUAZcjBQNoJ0xakCebWG46kGCqmZ6Bo/E+8pdxhdx9qkOyRvm
poM20zalDiCYgaWq/iLPIV66/viNKThhNWYaLCmdmKbZY1k9WcNH2Bbpqq4BNvpaRfd8BNc02Jxs
vMRGOseznbbNN1qT71D6qivakkuFWLmlE2jtuis5+QyO8twgUF9A2TTQVOgPxO0sK4S6m1mcIOlm
hsQJcCVWDYruaX+sRsr2QTxT2uNNDB1qlzgc6LmaDk2Ns+HwvaYC0+mkBohBLof8eIxFwYgjFaOv
OMLApdCKjQR/J1Ce56l9Jx4pOYxFZy6B94DONB+o2K8ija4BEsB5ERp3Vks9NqHRslSs8kkZeC+h
d2c0hAQSN02TlDnnqRFJdUzhxdAlKvU7hwCjhaNr52lW3+WR4zHj5QioQRzCVcsVe+2MtH47LnEb
M6femsw0V2qluR96/y2Ks11qWlS/z0RIJRxIxLdZo9OuxtC/6PMQQmKFMRKqAIO0MlwXTLHrKP/l
DhoaAQuqR6X6n21nUWPsw3WIlXvhLDCSvWYFQ6VEYZhlJ4RS+/j9KdTbJVjrVjMf+ciJP7Ht9ogF
7a9FJThBNVUNarY17rJ6bY+9dzDoOrltqe0YgX+EFXPKJGhXTZPJwfFwqGt4X0ORvqUqBUGlEXt7
tELnM3AsBM1lqWcLIFXaAb2Tdriuqw1017yPEXoibT+ERXofxxjdOoNKv2iVlBMKCSkKKpxNCwZy
HXUa/gWRmG51ancoRTy6XJWLTjzgAzVtOloB3wcNrpDMaKZRjXpxGkhzifTwmGTuvWlPFpVHggk9
pIOLOtZseNQU9/Qa3Eu7sV2ykWfS48fGPGtZSKxJZCMtS/BemGYVa8s4QWmX6RiqzBYCpIxql9Hs
Y5a+WDW+60o+QDQWBOMIPLxWBe1hbrUAFBDBXb34PoOAX5I/7yOEg25XJ8cwP09Jq65zndq3DUXm
5NjtqexoZtSpj9ctw14DJAC/CUSbm3jBM401qOlxZysthfMcFMwve8z9J4zpDMC8/kdRwPmmw9uf
5oc0tM9lBZrRSIlr5L+82OG30g3sg+FjoSHreE9PJ11XNQeM26jjgUxESubyZuLoDHHs9EuukQuI
1aijAqSRzB2L1MRYNB7lLRg8Vu4ERwd77jEu0NqMuvMB0onCFwcrljf73VHtZlMITcIQJsYB2rvw
6f69ro8wwuw8/Jm1k34ggMpBhSFvmgm9XsySGHT4P0pd6gdN8e2MIAGPbkcTrRjmiMq4i9M0009k
kivHGmD3IbByMhZY09Eu1kyzoK6Mbl+uejdVjnLRiIevq0P5akS+v7FhKK6ZqESgY9oBN12rrfUB
yY7q2P0xU0ncDh0GAUkeDSfbD52FoVvCHB6cJavshhCTt3wTxz/hMMaiElgxuUlX0TBsyHEjxHEt
74EqYh3tnC6bU5f4ZBv1TjOsO3+I+18lL7Yc1fojqf185VqqfR58whx6r+uPQzXYd5OinGKR6jCb
w1PUNsoZx/QxH3TYtMaQHiun056VJvdWemEHW7lqzeHZoB6/dgbGZuWg6s9pFGunZhakyj7FEUz2
2Cb13GBFhX/4VmI4c0YneUgsPSEBePzIOofg+M6z1mnOAIGgeobneAiNjk87dOzn3+oLlwKeTZH/
rxxJdRHlbfOf/6GJ2fj17v3P//wPS8zWTdug8mhzsLhkl/7rbD31FH2mO9rtgPnlW91fi7lqlEz0
3nJKiKAKFtgRV1GPFteMuHr9//x/erh0y1xQLuof1QKPbvrktWW3a5zxxZqrc+0wmGQiaETJTwb7
etMQgWCHB1+b/4u9M9lyG8m27A8VcsEAMzQ1ZE8nvZN3kiZY6hx9b2i//m1QGStCLpVUMX+DZNLp
CicJgga7956zz/73z71Es/z01nEZOJYk99n33jw1m38DD2/RHbKJOnEpGNvOfxyzia6/nNazNA/M
MsL15Vn/1xfyB18I6Y04NP7ftpDNt+zT8Kn59s/G1/f/5q/GF64OiQNDkNDGQnZhSP7V+FL0xFwu
oI4vJL+gJfUXXdL/D+c2TTHflnTG7KVb9pdLxPuPlELw1XYYBtqUK//GJSLdNyYR6ZvKEcS9myxB
C+LyzemUJn2EX8GvD32KIZQl8WoWfb3z0CsPbJWv4lwBVJRsqm1Mrgh1jN7ZgmkuDgILxQY6JdHE
VDeYF/JwnRgtkRRIxXC7IqxISW1VoMBWO9MlHLZqdXjqi2hrIt2mWkP5NJSWPrV5A5cxOnctmgUj
/Og5dMy10s66dZzuFHsw4G2Dzb+oo0+m73j71mXlU1N+ZENG30OqU4qbNTIlEdteuMXJ943ydN5L
Rtc7j7dINjE52UX7Xo4kfFe8LcH+tMs+0i/zgI90+3FcwDwTXmM/cp8n2wy3aRQQY9sYWwRP6bZh
8LfFdUuSXcD8tVBkfyn1UCbZyQypqoxO6XUfRPPJmTDkznJfuTGhekIF24lhjZcDCO/MGQAtEwbZ
pndWGH50gkw8eDHd79Q7B0neQBghA9ecHruSNqBBFbTSEWIPm0HgWiYusD5cvas5ND9gsEFVyBZ2
ttTDMFgIk2SaPgSh+wHGTYOSvWHgPOg22jZSfJsLdyCNrLoRmQUEAb4uBN0W9ScuiqaNP3blFiwO
M8AU2UmZixFhlYbvNEAm0tUOyrLJxGXHOfSaDux47YpGxeLNudQljuCz35mWfs6tENzUyKqrwGng
T6cnGn5VRhqtiiCPViKy7pveYnrctWvMh/hiuogcSIzTu9soxW+dDsPGDNNX2AObzL2ae5M8QkGC
K37tVS6dR9w5ERgGp163zXTiCj3v/KT+CpFFrVQ9uZvUAValEvJgeSLHxicXu/pal1ycOsu6L4xw
hQL/HPTdtQjouUZj8dBTbq/jgJEd9OX1OFTJYpToV+wvj2ii7i0PMsSUn5X5ualyTCOUFyi+sGwz
nE8SPpR0Cj/SyTou8+XKgO1J78e279Mp/Vgrrg5uWT50KdHzXpE9pzSYaBLleqT1hzkooKe6yV3j
0Jl0IGJoJFVwi/SR7Gyi/1y2zWnAO+87OhNKW2sG1SvQSmKX9ySIGjUdSPzXBBEygQuNapuP0Pk7
Okc90h4UgXQAq348lMMgCZN3Dx2lOfjTYTwS271hhEuLgLnunnyVCtYSXvQK8UychI+OoHguNByY
yMxfE492GH4LGF7b0he3gTSudBgQ50cK5PXkPXRNO9w6TX7OTWfvztWDY0z6nRFkO58QvEI00bON
4mwc4leBlSLP6XwM6kAb2lt5Stc0mv1DMj1MlAOg9ygrZcpFPbp2M+hC6KHW5djEe51VtND9qly3
ecL2K3WhTAC3x9BGlxAwwMaBXd6mLDVp08fH6nNDgO+dusHsQhVgw8tg0dlVy9pmxOAH8Gslm0C8
TAPcOsbZ7/IYX68FWbqnpIZqZXkrfdUW9lqgud8ETlltpIHjbXDq+xo0/Nmex3hlsU9c1XoKGbkX
SAfxlOzzMixWghDVuUeySh7jgdp5Dayi3QUp23W307RKI/PW72d/B7pkqCGVBXH0UEb1TGOteMB7
jIZc569ZEoi9nhH2TxFmtfjKyCmxhoegTdAS086Bni0MbH7izq1FxiR6IH4Rdldy0gvBx7YjZ13B
Q/AC8wukjniTW+p5toqHOARwjXUdVhpihpMjC/eUjKABMHlvey8Pd2FFklRGUX2qrDnfDbwAGFXN
Ke6shr01eTLamL/2GJGiADnQND4nQnkrBucABJW3t0OtD1MX37tjO+59UWI0CjyuG27jnCyLdLOq
I7A+f26Whd9COkPACPHlZQb1PzdNfZjL+CRJvFmnQbJMZer0rLJsLVDnHjOv35fpoPadh7uv91hH
odTNS3O7wVyFBSq321fLpSleYUU6wYQ3TnHWqn3YW3dGodgp9zEdLKMA8JGB/oXWAcc34ekMWo6H
YphvNKMToj/La3uczBMCWLXhUGD/ZrMc1T5oj8J+8XFT7mlr+aepB8yBP/O6TEwiG4spgb5FmnKs
sSpcXgVyKnb1y009v0Zu4l5dfqDiGA+caN9fJUL+8ZR2OsZBxHeZyqefakVhdLlbx87RY2rul/NV
6NiPpYmclHzQw8Q2klgy635cIPOMnPpLxbVIwS/3iqXqQvFH+y1RJga1/jVXtIRLSMErK3mPCQxB
gpPtsxrVf8McfGVO8i4sJO5zf77OlrosJKDmKOgkURSO+8GYr+uRLuv/bkD/f4avQvBZ/W4HuiOL
Mv7Rmfzf/+a/O1DPxJgsPMpoJdRll/nf/afn/odRrKOWZEkSJe1lJvrXBpQoSpNKE18gl3OkyMxk
/7sBteR/FDNceOSmw0jO8dW/2YBa2KJ/KGd8gOfSlkIpvgS2uex0/zl3DQcMsF5VdgfsUXpT5w25
r0mZnNqqvtWsPZgcomgfg2M+c2kW686qF2NdukmqO1nNEYFO3Y2hU3ZCFcQKkrmL83J1rIH0rfyu
aI8a8USr0As3ZlHv/aj/UzXIsfjnW1DL0JiJNntxxsr4Ft6EadZ1OLNsj3pv8lFxWWayZOQE9QZs
fAvLQt9XW6vOd79C38z+ZSX6/clBxOMlh9VKMfzj8WvspBesQXrf1BE73XKPBpq27RTBKhHYGIPw
tnIqY5XWxRorSfe9Lvwy/t/wW3n350r88vx8bD7Od86xn+j0sxjTapJSo+Rs75BBpRsBgmTdFs4q
d4EsNumREN2NGWNJ9hS6w3+c6796/jfnz/fn591LTm+yTL0373/sdZdmioOvlI7WTALehQ17Q3tC
BWeSp8vlDhkrsK8vDc2d9QCfjB3k3qPhxsVgZVeN8YdD8utXxOK+fLmE/9Z2r+niBnal9d4oWeJF
MkbbQsj6/Ic3/kawwBtXBAIQbOFJx7KpI3/84NvQs9u+DihcZkGp5QEuB0+dPFfBsE4dDQAsLIKb
uaUzbfXi0BFxfOc2pDpnbm2d0dFE+2x0nFMSS+/ftSguL02wPlgUrpyScjlCXz69i4tw6eX8H1X3
lh0J3e3b+qsbMANwjOgLkA2Y8cFjLE1z7QRJ9Ycz4efDrizL8mmwEdkgfipkg4g+vmeX3Z7rrOJq
72frCj/29veH/VdH3ZKW73suiAd1CWv4x1szvdZKREr4QRsygYdzU4FaYQKR2aL+w3n0ptFzOYr/
fKo3H7AjTfI8VdbtvYkhaZeRqNUlXyuwWBCLkCZMzM3jaLr+/Ru03zQELk9LPLCjbPoSnMBvFuQp
SmmFD3yhLdfsVpGBac7PzZOO3XzHZgNfu38L6bm7rqrhUbsy2U71YjAHIlThxd+wZYATlRh7Y3Cs
Q5q5iLk7NP8O667XgTSYxvRcKyqyvvP77cLUbULQgEZgXQcTSoaiCV9bxBKHKb1rvHJah6kiO3yy
4rMHhUbfi874KGsVH/7wzpcD+o/O2vLObVO6iJSIArF+Om29NnQsTAYaKItOd2KM721d2ET28a6M
qL/XJiyqoTe2bu8/AlvCuimBVBa9C+xQ9fSsHzLEgyAtfYFiQqzQUA4bm4jOTRgziyawAVhmb+IJ
pJTPFDJmdz5U7Bvrmt7GbNlnZcnkemy/xDk7ULgC5iF4z7gLmlLSnQ0refn9Wxbi52sX75lr17JY
Kf735qua+JmTzirTe8ZHOeiOmTZy8m1Ep71qh6c5KVNa9uDuCLsbDwWkZryGr5Pf3pg63lXQFc5h
+bVI+X/T/GCRgblpKvEBlJcA31wy+yYv3ukUzQLtwGTL3Ee/Cw6++TkxvOgpHzXjHZfrpFF3KDNY
zUCLTov9BTWTzk+535LMaPA7meT3Y+/dA7B70t1ZpIh1iEoF5OReW9qkRoGRuEgFQ39tw/NYxQNJ
1l1/H1bDE5qVdGQ+V6JU3ZTyAQ7LExTahyZRQA7QQq6dokPECQCjZJucFoQGS1AFs1vZm9IauI7K
+BldiSeg2WnmmF74hIsHOVN/S48FKDXVvTcNX6bKqtYG8N6tCOucYwfeISX3+s4F+pwbh77qHqVJ
o2gw9G04xKe0lflurJ7qmIEKpKVlqpldSbPWq2SG2A2VBGNXb7wTJSzH0v8SNepL6TZ3Sj46JdKc
vFYfLeE8omR97+ZETJIOdcxpRyLssR2glfyRpsfEEHo97kwKZzAYtMdFjZWw0bdAmP9wVv28cHmK
XiflGpZTx3XfrCBQFlRH1IDed7i4qnzcez3kQRGPj8FIsw2VwTrIINn+/lz+5bMCwaHNqtzlQvDj
RcdvODv8OeWyaz639nDfldlrh3oNsOBTI9OX1Hfe//4Z304hWDCI5uFKIHzh+4603vRO29DvCyPr
2HvJXgMtzFnbkofG0O22+aTchYhnnuDSZKtKzXe/f/Kfv7hYHa1le+77C3fozRc3hN+bDH3J23XL
91hEdslkGUc5pwaUOMZm+uAaX42B2dnvn1fYP62SPLF0PPa5tm1zqH88zjm58ZSmHGfZuTcA+fqt
jUeajNdpPDII+5RTM6xVrzVTufmmZfFc0VH65PTPierEn17Nz1d9Xo1HA5tmuUBG+ubVICabhQOd
kvYtuyBzWTbCKt36IZlxuTfxzRxacdMyBGU6Ut6mQQD1F8NJHg2PpcMwVzHm//0Rsn710bAfprEh
lC1o7f94hOq6RDnVwx60EMKuMyT01RKIRvrqcxVOryi3wcXXIOcpzkOuexmE+PLd5GIhajPxIR1F
uDowZL6CMToRwSYkUg+akXyuG22GjyKxrnVsokJLRL8H0o71Pb+uF7WmDMYtBuzgD4f5sq358dLo
KR8BLhWh7VOrvdmLhNIwwJPZ7R6CsL8nYDzsboQbQAXqOy7KKJLWWAjqdW/LfJVgST/MAKdXmVq+
+IBEN63pfLJmti4OTfh1ioG1qvTG8VsfYJ+9cYcs25kKwVEaBlBSpfdowhhcOKTzhYe2avyzj0bi
oErecCiPoc1ldSRcOuQYlXGU/2H3JRnzvNkN8JZ9IWybWSPL2fL7f+z0AtH4gMGHFvh0u9ZRdIiw
NCLQnw5oDs+9rkkYiPDtDEa27gry1svoFRfFRkVs+PtOGge25+ibgtHZUADSerEXJlY/kSuSlO/z
sYaavhSzOAh3OvtseAO2sMy7ygqBQWBY9j+OvckrZF3WBdRt4RVx+vTKC2EJVwG+uAi709zmSyq4
ZIQCO3Bjme3DUDpff39OX3Z9P50A/zgab75ng84GScxXuw+JvabFPDVra4YbUBIKhqfDy7esC9V6
AP7giAVJbrVkbLrqqU/07e9fi/rVSs8G/AJLs4T7dunzpl4Ok+ravZ+7/X6Q3gTtNH3pAn/r1GI6
xwo/ZxV3SxplyIKQidt8LNNb16+OvsyguIvmHCweOlX5mlJ1Orn+omycDSxIyx4ngTzEKOUzCGPC
HurykxZdf/RD2l+gdj1oqvKRP/vYeF2ymTFOrEED0eBFZbXNvfg1K+DNB651q+k471QOlLxSYJN9
lDz2DGUDCTD7d/MYWSxRnu3lG2V6/m70O/S65ostg0/CLZ+cLuHaXvlbV9cvHbBHu47ic1yDvWjC
r56A+/yHY/vzSe+Y6KYB9yvHpKXx40nPxBF5RcJy6sn0EwG+JUJwEi4I1rD/UEj9YpF02HAzGpUu
f9VcPuR/fL3aLHXQsqIyqsLiNakgPbnVgaXzziOSG98Js6IcNa4s5OPv3+Ivtrz0wizPt2DwIR94
WzjXAaJjN1Asz4Xadn2CmMwb5THV7RfLRrE7e8HGtaAHOyDHgVuZMc5LKnkM34sBHGSV632Vqov3
czU6a4hYCakeu4C8gj8su7840QFEWw7WBDYXFLY/HiMdgrZFKdjuiyhcRgKnsk0+9WZ2Nxpqncfx
a+uWf2pmXTYtb77pdPwsH4sGrTmGzD8+KX6pdiRAo92LvrtBoMeIA+a6G29mxz2HXqDXltNWO8O3
D3QZ3lmBd7RaZNJkBAUru4Rvajd6E0W63zUBG805nh5jgXrG+NMW6Od6jQ9ScenEU+LKnywbcad7
hQGq3Q9eqTdm5QJmS90I1X0ar1WUvP7+xPnlGUuJ5BHpqMyfcIoOcT9hDlqQAdn1oK1rKXlWq3Bu
WJztVcb5u/ZnoPfGn07Ynytyz0Higwhz+UCkJ3/8RJJWhKWQVbvPZ/0yTPJeuFSHyI3SdTQ2t5Qr
jD+oP9MxItQkJIU3US2wMoM6PAjztZe3DuDyfmfiRplnBqO/PzDi56YIL9CleDT5Mnvq7aoxTB0S
ojblG2XIT6wqjEylJsauaq+pG79FMbvjXno7B3S7504PlQwZuc8IjhrYZ6xikNY5hL9/VfJXnxc7
ZD4pqltPvj2RddgHWLxNTChdmOzMnAERI54jrKcENAqb15aMg3USh+Yu7M2QgXN1rCyaiF3iEQ+S
7wtLxQ/2OH6Dgjs8dCK8j4K2vQmLk2/Y86n2opuZleZc+3W3cQJV7GM2mjcF1wU/gVbnMWyLfQSl
c8VlAnAGPhFzclDS+f1LW18XFRVCPNLhObZaf8pGhSUwAyZkJ+6zVYdf5zrepr2I9kMRjdeZ4LJm
NzNU9GoD7jz89ysyhirHYTF22UuDH/1hRY4ML55U4dT7PlRrGwDntpM48IaiI6CyU49x1N07RvOa
DH9sYv9ir4U3jHGY6QrTQ1vy41MjNqPdD0UAaXDmHhKzk4fYCAKEXXa69kpHHIemucLtOlxlAf1N
264VIfX2v6+pqKUUWpxlGvHTlaHCTqArT9Z7bOS3jcx7kl1McxsPRYmtRXwavQLVb1mcE2m1fzhd
f1VM8uR0cyliXHr5b77l1sz0GbFyvdcuUPMujPZAtT4nVRie87C2trHhL/kk8zHpw10V1dEfvsW/
WGV8k5afRFompPLffPzslAqYxareE4JIhpJ/tIN14rUtaUW5BR7lj++YUugXtSR7StP3Xd9FaPW2
lvRSWXbhDHEq63P/c2ldXB3auRtp2gAvaR5I6co2Yqz9RwOcLqdh8BUxeHRyx6Deh4Sv3CXGpyIx
Cdlb8suGOI7W6WCHd52lEW6TVR+WnbHWwJMQktjGEwDYdTU1Ch9Im54x+Lt4M4DDm0H1YEXZSzv1
E1jVJvmkR58BdovFKssHpghECvJtp+wlbOSp0NWwjas8POTWCNNTys/AQtQWnWXBN73DviGWPyRF
8Cl1jX3Sr4Vlmu/o5hiPMmAb6Q7qOfbT5Ej7K7gOYnI+Sjwkd8rsm/vZCrAWDfY9gw04Bzg9vA5Z
a++8ePZzN4vkW09fn1gCJEzxo0sFcV8OyljceTjy4MNAk4kC/13i+iSrhdMp6uK7GV3Rc1uImFhC
23+PXACth0vagLakvC387JmdTHcktn6+GS0TVQ24WK39jxRB6XUlxuTszTjXuEIWz+OUPJpNiLFv
QLAAamX6ELFvyycNKaNUGWuHlW70bMTEN2UDsbJd+QAj9osVVfMXMxX3OCY/6Dw2doUl4+vJ7eLr
btRfq6kdiCMaMtBYObhN8OpE5EiwazFJJdlKZ3OzidNmQkudjw4ODMSumd1ezVhNzozcXgiR7PZi
+enykBvNHootmRNQ4cY3XNnjG12W+mqiTXJ5SHiVutKetc8WHW+y3JSm7L/fuzwWIGho+ybYIy3e
JamtzrQenfPl3t83cF77bTXQk/NUle9wDnHZs8oY7e4UX4cSWijBDTXpLilUnNHEIuCDKkWT23wc
nZLqZQYwFYcDavbl3pzn2TYjQQ4cXjjfGmUz3wJJscqgvr08wuRvuo0zOFrenB7KxjnrIlB3f9/U
RQfDWFs3bt5GMBfTEU8pxTkAkJE9biWfxtSODtrN94Pu5pUeAon1gZLqCqnO88QnsItcN9xmiNge
pAdbeSrEixGVsIIiahmDbbJZVcY7rALGu7Gs77F1a7QOhXEnGnrHfqz3ASCGjQpV8BhGwFejdsGw
Lj/mbPGvJ0wBXTsem97ICYdy0+FuSXgZJvBMOom7u5aAJTM5WW0U3NeZTxgNzNYj3IBgLYCG7RLT
Se5l2Sf3NJgWEziKD+JuaL87fXSyzbg/Ef0J3Np2/ecMDP8esp671TBbnp2kNdaF1Nh5ZlSFED2e
JyloYYT9fF0YwfxspdB4UOLe52bTPOcADnlQAt46jh3OeVA/pDJV9VNImvaDowtgOKJ+qsFxbNoU
jU4128nWKRc1JCXxrdPG9u3lHlvXgVqDHKI2BtWs2SMlk92c3XomEahOP16U+q6nHXLFMofzG+uX
DsqbHmbWmvFas8eEv8l5L09Lj3JlpR6OLxX2u6SwxYOZL1yx/g4FWLv1Z9623wf+Ux8VDqZfj8jW
lCfuYWRtRjFU1wDE5tNYtbvWOgkwyyHT8+Be9z0s/VG+7ztM9nNRQNK37BtwagGSfSgb2I31dTsg
s3aq6Gvk4FeyiNujB2HWuzJU+bbHNUJFrXMCE7r7yRudD3lCxFeLkRBwotG+V+MzJu8c0b3c2pVB
47hIetSVtfehi65qrNkfmf+Ou7GZ9aE1wvS9chi0L487NrvcDA7juh9ZVm2vbJ8cBC1rogwxHYLL
q5o5eS6m+CMLSfYRhhv/PH1IrLK580TqPEfJzg7j/Hnshu6e1KPraHquZC0esYmUt4g2n8KuCZ5U
PKc3iTa+XH7KZBxfF21WrPKgRMVaGHwa9F7vuchgpXOCBywGwcOkYYOX0SxPGSPQTZVYzcEuOg3k
3M8PlSWmJz+AQhzHlc28rZyeMAbho3TNz+MwEoJYJu0DeB6SbGX8rmn79kEvNwLIGqZpz1qHYUoE
YQ+gqSn84WooLGZUy49Jp5OHuKg2zmB+9POmJ4tjdA+D479H5JdSrzl8Fy0SlgzpHkSYxp/bb3zQ
w6E3Bmhngwcz3HGpxwE4IpG6YSyXr4ox9fZerRlTDE29ZcFzzsrwqq3SEL/HOJxuQ6+ebi/3+oiN
TJkSzTcbyW4abeZ5I7LXMa+iWyd79iHIIV5UcEzs0DqZJMAhK6Nj49buvHEMx7oie2tY+bU/H/wp
d09kwW3SKrpxJ7c8hSSJnmSVm1vE9v5+mAgISlWxY0Tb3ltL0KU9SvdUW151yh3JWerO0e3lYldK
fhslMBJpus43lxvF3ECkvrk32yY8S7/eeqGwjjIIPs2xPjkRDPSk/lYa/RcnAPmT0WdbEHh+3x67
LGp2VNT+pnQBi0hkzsLE6aMKKGGEd15Z03xoKCNWSsZbo/f3tl19jdP0XZoGKFKzaRfO8TdjavZ4
PlbKWIDireRVsO/riSEtXcIHsTys+iA5Q0h70SiuA6v5mvRnyXWcAmY9avkBA9w705iyDe2ve7bz
m2JEkuKmFtf8XgHIYw9p5PJMJNyLNem7eVimytVt5obLVZfJUiBRkmDicdMXj6QcOasvlkVwKhmr
o3WFP49lzXhFJneDHPLrrEeUoXaJ6Q4bUeeS9Iavdj2aJEwxCkUMGZb91u1mENQAbimGkitRzs+E
nd0BW4N2nlXHtJmP9pTd98VKdpRM6DqPYyKLVTIKsP3zvo2NLTl3e4AAG5UxcnSnb1Sc9+Cth83k
NkQ4VpIOZD7ZHDa2rIq3VRXslQlN6nWPOad6StO6XzuJepdIeHhdKyFz9QG7AkW/Frj6po29L54g
5yyGDLOaM31f+ME7Z5rrDWGEgqg1diYGuao0GV3C0lq+nt5tlnTedp4HDXouP+oWUJvt9Mwmjdt4
HD/Fs7NT5Sw2ZjPxhmzxsajMG1olWEbJajGtjTtTe/rt/DUaYjSovXXEeUWAoWaoUhtQXZoGh9pk
1NjYyd1DEVKu68q+MxuMRK3KknUvknVmvSeU4GZqEf70ilM1zbNqa6UJgQJRfYMls9iZo2gQA/Zk
sxk9it/SulEGdQQZEfGu7S3EinAWkX9+MzTWqNKzX43CNteewk6Tzj45XfO92fpUyEKR0uI4WwlZ
Zp0WOjykAV5lGv8m/m1iIfrY6LaTy9DCma/dqO+uxijCn2rjORrKsyXiJz3PGrOYuqIT+FrQSg5J
/my7/JuXJK92W6akIBT1qmNnARKj2aU5n7Hs22entz/WokJgAMtMvZO3scEwOvSx6g9YEkbTb1ax
hcvcI4QsMhSepkSffG9Xpm21wcOfXfdBuJst5xMqjnAFEhTogENOUN31XHaFsxHJQgOc9NlOZLZJ
zPG9Eoaxd4fhtql6exMz+cTeN5y6kusS/MBjbsUgqQvoraE5H9u6+1JwAUyqKb4nP+i2X8IQujhy
N0VdoeQcphHyEvfaxUMb+t0RRug17Ry5H+awwuVll6fYpcylz6hEVZ0yTxpIQaKTX4AYqk232WKe
LzbkOeQrLyk2/YLS9LqwQWXQhv26VLTgLw92iV2fSPU820AOMah39UmQjwVWz6whJEGktqhvKiCE
lbXHZ3ntLk9Yy6n67uPDCqD4loLfGxsa46X0CGDltUf5WOxsN/nCaCA+JURnnRxqd6yRLXENSPxZ
rmB8YmtvT6pOJPK+RfbRjKQPxd5NmaYHi+yAbRvkn/uwKrZumEK17LvyRKZZdUpB6hMqgZ3ECIzu
FCl3giCn9hHDdtTtwzHHI8oQaPkHFIFgIx3kzU5rbDy/O0wVspFhIGzEdq32dLlhLrhzW3LLGkPh
9MxjYraURKKWAy7KIFut64XXHCvjpTEIZWyXny4PUYKf48JNtnMD4YNklNOcR8XJG+ePnmKzZHcI
y2hEVdvOcWq05LMuV8lylOu2LTeCNMATL68gDIPvPPSRY+Jx4V9grESVZKcLllUMpPOqSB/Sgiji
Pih3/BRcXW7K2dW4icVzkYU5y4kipGX5ZZL5LJWXu4NKtrTp3ENdTOFpSlPs6Ms9P5oPRuxQBSH9
b6UYDnFFxnFTS1hVTf0SVe24+/6jEfnZiVOqW0ub4F87osoj4RycREKOKzdkicensXyBdZh/f9jT
0lsVDpzpYa6yYqel3VJrBAgAu864aur0s6Aw3TLM8K7srs9Yx/sbO4XwEYFWq+O9h0GbGZoJitPj
ugY8ottk2jYOgk8cj0OcHgQV3NYakKbPRIDGnuldE0rFzVilq8Q3q11tVBZf8hTBRus2u5BQWk8E
J5p8i2cARn5THBOnNncqUBTXYO4mg0SVIYXEIZk9GDW1apaaX4YO6paAi05epf91svRu9KJxS7wo
Z5OGW+uLCKDqwvqFLwDl83IXdGLZni6gX+fyqB9Ck11d4N6XRy+waVWLZGsHtCqMSWxn04y+Q6jt
qBB8KUh2uDIdqBQITpa/f7m5/PnLPYLZYVv4qff9t9+f5/vt5T8tDVGs8w7C7fcHL/9RdXm5f/+5
CpfGBqk+roaFOX75D8fLi7/8m++vRE3Zi7JmMuKWl/T3P4yCyNmOo3wprT5mz738NjXUoVUjl+mw
ApKMsxx2N/ey5d7fP17uXR578++QcoDG7Iqny+OXmyGEu4929q8/RYSAgs4Y3V4eIhVi3jZ5+bnV
BaWyF+Bu8QEdX378+2ZOKKSJQePTvtxlTSeS2h/Vxsvsq1KwF4/qVq19SCSbpqzPvWlIAOiOs6lm
1e5SneT7MRekx4yutzKXWeCYTBIchn4dE4FFKBQKJKjzhQsRwngW533aREek9vMGnoZ9pyfR7oj+
Ha8dj0q8Ysid5zRnmtYXe1npbAUufm2lwzds9Cao4pzxqUfCIgCmjmlvbH72KF1uI1od1NkPufuB
HRvROizkmIhnF+sLiU4mlNaVk2bf2lHfNMq6R7CC7HOMs00QBS8lHXvCb2djB5b3o+/eKWESx1R/
DsYwuwrAH2/BGVD9B/qJoFCeGjdb0jsxthWS1ZvZ2Zu+eig04qJirg+UVnfzZO8IHIBEhPtpNdA8
sYU+Z4B31x7+pbWP2s92SGJIoVrZA0PguPQ3DXlU697F7pdn9ef4gXSj+1gG1qoiJ63wwzu7HO9I
hXvVUm3zHJMW189vfS+CfaQpPDxbb/pWXiXkKOLuYooworCgsKNZRI+FjljDDklTlEKDExA+z7ld
fRi7284s3gVpPeyb0ANlAarsDqjO575Iom3q1V+rsHs0dD1tO3Oo1nExnsIk+pQnOyNvXD7ZRZbY
gdJuomab16Cky8I/hQ3ahJi9kSgGXFvWN6cIxIF82wj51rsQkMGqioOzgT7lJKbj1JeokWzz7Psa
SKafYDbrynhj4gbfdHEsuDzfJNXXUoZAsyiBd0KFMDpUSdBtLJxVb/bu3g8bnDDYnBYT9Vq02DTa
JqWtJdIbw2jCQxvM39A4pjeuBK4sG++U97iSyPoe7m2EZ3FevRhZ1cLsX2KYk47djqyhV8bVQfXS
PBKEfaD19ExqeXJStD6wqQBXgkpFbqvM5K50k+DQWtUnqtt+wwyn3Ieu1d/Gzsrs2PIVBmP5qtPh
uiCcZNMz3kSQXjNRzF0KwpLanRZYvm3oDvCL+JGCZtrHjIlWsI/aU9Dfo2Py2ZmwN0BqcHIa56m3
IJuk02oy/oe9N9mNHFi7a1/F8JwG+2bgSfZ9KtVLE6KkktgGGWwjyKf3yvp/2Pde4MLw3JPEqTqn
6qgymRFfs/faJRIXc5UPwtjPCOqXma7cvfArecJqxU0kJHUwCT7/YMQzk0RUUekH/jlu+NnJViQi
tKee+VAXosxyRdgupZegTlfhu7ZkeQi/inpor028zWPyU2fPvgwJE4ZOG9muMOuLaaH+GD3yeLsU
mHY+jWLje120RfsardLC/VQlTJjOxQGfZtT7Awtc2orlbGVvjkZcmlVksuY1jVNaU6S2SQUHpSk3
BgmiTD8ycqnw6THGApdSy+HBs8t2nfKXAPrM98PQLVyTrKUhK8P1VIEaKUP7UtqshUkhpLTHPAzB
nYO5NP/cNWCS2Ifc4N2hr2OiX86/Fatko84+jJpcMKVdmPhY4Kjk/a3wkWthLNokXiT4GvHnI92T
s2Kl32kWb3TlNWtK7nqVZlFwThUIntLJGrKKkHN6LTtp5n4ndE7hSiLY5up0443b6mnXEsdO/HBW
rGJb/c2yerpxAiKEGTEzto0eDlmRN5tJESHczsLfG3RzFopvaAnpNSEd8miNFGCOab+68K02Al/L
HrOxRwlkRDsSxY/NkCsAQnn61GvnL+Evtbx0OXscY/Sc+yQ4f5hrKzqn0NTF7FGbtYKv9v1bpJxG
7RttXYOkpYmLRsGOMtj6zoQsk0L53NxfMNGmrncIqj449EHkbo2mPXWRLM7/8WJzNvZO9Bs3KQUW
S4i1GRG1Sb/JLHUbNOkJHvN08gjXDlgHBqwAGQ5iJPXIZj92COePNJQa5yH7CwjIIL+cKmO4zkl1
rybtrdcm+6hlsmJnME6lQb44qOt1FQQ7f6qMTZs1+z4eWlLN/7gW7BLpyIw1eWqvXrux8jfY6VgL
63g5pGG6Seo2QebKaW1MEG79SO1cc/gzVXO6D6Bt73uxNGJivbhX7DW/uw4lmHU5wG4CKp0tzaAv
jxkZTosqzTZ+lnTfSozftqnJxKbYqUyCnFpdWdSJ009tO/vJd7ZTMfnMQsOFbg15QuW8HalgHyzA
RDm9DAAxnkh7ANHFHfSe2QnBBln1Nvf5OY1ZagAYz7fscgweN4weYqhJCmHvjPKqnZ67mFMWpyfc
Lzf5YNjoLSlu0e7Y1cLQs802J2pBfm+j1r6HG97t4HwzI/5Oh+Px2vD2TemVMlVtJMbaBW6ofCkK
K9h0+Qsjb8xH0WaonGs0hxHK2qBkpJ6Vy0Cqi0rqjoohCtdK3HussJwOUWksA2PQD2l37DFf43wP
rwUVYFIa7a115HdWRDx07licddG9F02ebSeGL5t6GDceUzPA9iA4shphXDsRI9cU1jl16UJq+Euq
VndMLwyXkkN7RdbRvFHtiM9P2+uJSf3SQ/18hfi37pzxkYh49HN5k3LFUj2MMrPW0weWDvEI+54c
F7BZy6Aip6Fm5LWpXQRsELDB1w7zngy5v8pK5BLsATGNUcGCp3S+yjKyt65qOWOZde2sdibBOlBw
BLt2z1xm2nt34k3XBniSZbzHuDqjitJfhkcEXtPn0UlHUbIp0VSixrJZtumI3HR0fxdGAeapIF7V
Anf00Lj0sPFkX62o1iHW+zp/uIGKgX/IenWXeGANOG1NUGq+tkF2h+2DEz+OrSOeJEERJVEpD2gU
qie08cUmxNy8soYPCNDy2cvz4azT7IOvW/PcAyY6ojOpSOL5tcdcvGfD2BxNaUA4uf8SZZxY9b5d
HJyx1sRTM2NogmSjtLJ+jaw8hrJft5FejY0XvIsJ/yYiQKYkAb3qVOsrDv4WewMRjwajJC/O851t
N2oVELB3dXibF17uin1ZUUJO/EXbyChhhqefnh73ZR6ON+mnyYWd6aXXUjxn5bBjBGUhRyt/oSiM
UFjaZOMKbPv9FQdqdWrUFwOJ7lzk2LT6EmllWkUAfAAXeQPYujzTe9PqBr5dxCUkBnSZnGUW/t5k
KxD1sNui7JwakxCmUbEkoXmpkjjb/SNLxpQpHg/uwbS/s3AgKWjElVwm1trNYhrcuP+0nfri26K+
eBbjwhgP/N7r5j1cvI3OMCsV07wxZOo/jAQDupPj71na7sZePXqu11+mvMWWalvjhpDheyYFt2sM
YBDtXrqF1hKdyoYaVlXvLZGJVEgkwFdWtBPS/gp609lHuXPWzp3XQqi5r4Z2+y/UqWTftHA6UDhD
6J6ETn6w1jEQDQK1LvLZh26jtgSK+vs+JT0zKfvhTjQagJ+5XLjxVDJP0C4E7A0QV0gHrcqvI6eu
lVneLcugE5ixCBZC5u7GrpiIGKzAEJpMaz9zHaKYumE3g33aI+XZzwQvrcqwRFbFSaFaf+Mwqlp5
tSn3beFNCz+eXtPG8o6EAacLYd+JZVpEmypsy6XuMvlklWLd+YyUa9QtW+mT6cGiKsMcLji3GI8v
7KabVgGLN8vs9pxIGumHPzL4GNPH0E3JN6xXnRf9WG487keHyXDneIt+yij6yKXH+xxyvRDts0lC
rlFTuMbadqEqFORBiAHi4r3/PM53UEJ+DzLXXvZpM2Ldu2H0ST7DeCbp0Urz9CHRmEXKAX4ni3ZB
cUH8oSPp7uhoYdwh1nZ0U53UBC3JpvHLuwJBrtcSmZJtEWGiOPf1Pi5gfDZdMG1UFYEOLR7yvAku
LaETiE/0i0naV94ab5ZmKxO0t3wiYtlw9PdErQhynsaT4dopzON5XSDH2fLBxLvWfSPlJV4bWWx8
+upvHFT+m5V/y0nE68jT08kNx3DfEjhHgGjMpV6k57TCAWO51YsgxPEc94X1OKpnWdgYIJAlnNM8
LC6i5yRhlL8tEJzcRDowHioz/zyWFy+kl0tCVNN472EMi66/xVQwv1PZBhcDpqA1eohXfQfVaGiM
xOMwXhg9mEuBmHET3V86N+lBqoIPpGyMLpF5Y+0FON/cJW1d7Np5fpZpn59YUUyPrTsvjdmg1xhI
MGs8973p5vD274Wx3S4v7B9ZOyzvzJIMDvLZl9TumIGS6XmOc33mPhgf3dE8pHb6qRgTM7Ue2dBA
VIZ7HHVn6OkEnWqjXaEG4m11qlvtFPjrA/JBGzWwY59LZ1mXaJ9DqcI7e0AylYtb0HirwdtEaBfX
LgET68A3q80AZfbkpB3ZWOF8rBgUrzPbBClsMvM0jZF1jse6ufHSrTXF6lagG1EsKRsIuie8o/oQ
JYi3M6l+sgZsLlne7rqRlT54NKx1lsFuTxtstSIBipraycYC1KisY1Em8qnyMt6lpYNp6TSRxUTU
QbppSRxd2JlH/R4TB9aTj3vKwgoqqJNBe23uE9AJBKZ8Z/nOKeLCotV5LlZ+1k9Xh5SEJfuRfGOX
8QBiOifecWIZZHlfaFGNvZeS8q6t7PAvV/bfi9GSTSQ1b4ysM3ETU72GOWQ9j3zjD/nYDbgIzPEw
ZeFHFSc/BubNB8AkSCUruUdMVS+m2FGUjJVcz4UQRFERuFu3Nptj2H970SdkBokG7Nc8NDtPKvJD
fCZ306SZvab3HT/AQs8jYyfutr2iOmyy8H3uQAQMNbJ3RwHIDzLJUqR6xxjb80hE2To1rK/JNal/
p1IdenribW6FzSr3xc2eh/Yixkxf47g+ThOsEIJAvE3FKbStVAGc1IeDAxPobeqAETt9SeqxgYAv
DnNKoVxBzGQicfWSP5H92wQjXIZaoevzy4/awB+qXZ1/MFeXy5hHTLn+nsba5/TG8KdSp0Ey4LSb
VKhnYeXtGUDK7IlsO/i9vwg5R/dYYJgObIt+JCjKtp4rKLmrOLKdpQogTHp96G+yoh/2eQEruI/M
5gLQQgQ/4QA4LW1i2BHe9Oz6wt0PRH+EZodY4Y4NFhXMcdn39B0hOoEBwRtSmx5UH1EnrGvnv76L
CrdmOU73KGvuuKnZ1ka/ZD+B8B0zCNQXuYnzssWwECBZpysq+gJRDiI85loztMEKvqDTDtWqyKw/
TbzuLPIAcXrs3F5G21JCjYujeifdiXypGiKhRGdKUO+8GyspV1oieidDWYUJ20+59d3a/VXmHv8I
fGtzQai182BYFrnMjbGrzXJdlAyubM38x4+HcyuMDy30d2IzCxED7JpqnjQpQa61r43pOo/Eckij
aE9W3Ycr1FSChSZL1AbqTeXYGbls6f2rWy0LLdqNo9/z2qZMCQ5NLzjv3WbV+k3DVR8k0KtySByU
U9mk1rWq9K53cMj7sY3kkpEMtQT6OqngXLPNFXUeLoo8fW8Gg0ktM36aVPQ8cqKV0+GlbOfpIM1i
W8RTcEy8jWV1aMdB660CooP5XKN+Z0SZvejrytkSJQSmjzvqUHv9X+bh5jZ0mm6BUVqtFUu2sqj/
sCbzt1PiMNYysNZQBa0TO3UWmW8ehQfBVcPTe2wYLk2afe2Ae+FojD1ZWlX/2BQplIEi+Rcx5j71
1Z/AdkvIPOz7ejFZqyaV3m649/VkbRHVlzm7CXvv0shwLXiMwvHc5ozRGypHEbylRhQyXpTVtrkH
STRyJqUqJm6I0/DIh6XxNbT0JmbjXMfKOmC/I8DLNRW1LCLx9p5khBHKXZKY55yA7Mx7ocRDFPT1
qarg6bRd216CgJrT7/WJQ3he6LiIrmXGHCRjtpbljbfQXf9MBUVCZeUglklJYwvtfOXi5Wf5SfA4
3ODtbArkFHoRNnWwAlHcAmudny02ZfeJVHCw7FKs3KGe6Kl545ScaP8JtWfkaT03xdwfOOEO7uQX
mG7Un0HZ4D7z2lh2DuO9dO3GUbq2G8q3pLa+0rIv2XJUfzua9q2WBMUb9U9VdOkJiV1IMmT+V3n3
URcgrB2pPUsvVPXKxkW4ccP4y7ara0zgN3NbBtmTzZ6sSzH/DjzVkWH6e6tKvaUm/2Ip6rJbJr2E
VUMi0cLGWriE/ONyzoof9rw0WYLyJZ5z7u2RYVFo5AwWpD47RO20PmCdrHgL1H7q2+BQWL0FBjrn
0wkbtqJQ7tcY+Anbdf60QW5uSNSDaSX9HiE/qMtsHPZNlQ806Bwl1JG3Kv61gra+ma43oYYIwRvJ
PN/6Cd/MAD45M8eIhhqBaoRtJHHuF6uI9kWpPvqyzY5JP91kBTW6beSpxFmwzP2aDeFMPxx2yLAU
6aVJTT2QlQyDpsL9ji1GNG7R8ykDiaoDNS58T5PNOEbOwQuNL8LYX8x7tDsjR+6DcQqJJ+Kf5+rQ
xz8C1U1A3lwlrByv0ZTuIJWLu8GWcLMmdrYBy5Yi9UnNDeuFmqx6D2G8hPzsYVp3P8zJCOETA322
MpXtA/dSM2SBk1low7gllgdTwo54Amxi71TZvjlBrA4Y++qtnE1/WbN+0q7PQt9pJCoSybnv9tHx
3wvYq7+S2Rqzv6zZMLzI9uxkyMqW7iltnS9qSvO7bN2bR5gLsVVNuLHS7ByMKud+Ha01I6FxA1SN
7/Pg8gF3cUmv6e+Yt2RveVQDnB7IkrgnIMv7eqxPnnvkrBRMZX6wKwDuRVceEvh1+0p7N6cC4GM3
HFpz0bDeW3JlpMlI4GOvv3vKtaEN3+KypThXkIt14RZLEQE9B9X1kgfVTgwdkPSueJaMhLasy1B4
jE5zEUP7TFE17bUpkBJAPyMUg/FK7+zHqO0XGMFBnBW0aTKFJ50pl1wEBqZTiMG+iQmi6e30QA4S
mzsd0xs2HgbzrqAVmHFhWEl+aAAanIDbbu5C9nWlk/DWpTU4aC3NDanGnwHCNaCkCcZxjfcA69aw
JHlp19i1c9RTQh4WvVifM34rwCIwaFDWpnXoaebavEffcQ8GcisSdjFTYUBzo9E9+9E9szai1cFf
zmccP17KuPQ3eTTYa5e4y0UnbSY0aRWfCfvamdqNDiW19H4scZn7koS4wC4vKcj+nU6AGXv05Ub+
ONVBhd5mSi8RlsE0xz9hJ1a5FewpWUHpbj9Ll1bZINy6c5aeCSvPIU9q31e92pBiYa1CCNLYQUZG
mv57yXflQVhTS6lAShwKqquQxkVM7bgHF91doiQBfUDa71nxvUxBjB88AeYPODcgBLRwaXFJe3dY
dqWXnYpY8vGMvb1tq5LTqjLz5b+DPxzpJgMDSm7d2/aeu+OSTZSKZiMf6iS/OjZD39kdiWPKxyMf
ZsAj1HOQS2nuZDGcmco3y7Zp/afYZzmRtvZTXVGjxArx0UgOMeIB66vKZfWQBd16rBv3I2TQssQK
xI+Ev2NdNcJ5NcddP/70snefG8fsCdnsn6sO/RT9MDkhTlK+emX6U/v++FOT3OcTWriYW/SwBF3u
7WyeTqPhO/vO1sU5tN3tHGn5wTVYoUEkxKzw6/QwOMStRMMUXCBFJ5s4qcVSj8MqsZpyb7BKjzP7
ucuix1TMPEQm3flUO6AJRxyCKDmdS99yf8R5713He5pBCoigZpR3be4vkylK3LKtfnA1lHJTme7L
jGp8kapXfHLRvccFq6HKh0k6etdp+StI2FqGedD4NP0IitxJP6jISi4knArWDY9VTOfL6CY4esw5
VyFmBsb3IDJt4sLXRjIEK1prb990bYYJAG/bLKn7W7S0+R2b3jNypoCnqbOVgY83KT4tz7riTja2
2DbTjd0icuO4/wysGbC9Uff7rFZ3dnBbrMlVJeO0Srudi9fpqRDzLxmRyywcq2c3GpxdQx+9KPgu
z+ZoXpXm+MkD6J7mDJ0dvG59Fu1d2OKGA6vVOT6KVrJlmbMThsaCaLFT0rLcrgmjRUAS3foyqa/K
r9tDMfLU4RjqjqEfm+fRrbqL3ZV7s6mfHM9g/IwzZx+2LQVN7y3tgIrLihLnhfTWR4b9/WEMgYFj
EVhMdRI/oRF+dVUIhLBoimMDyfNmk9i8qEkwXgUOqMqJad45ymuGfzYGXZ3a4sSOlh5LjjsRWdNm
yHv7Vut/pmBv1Qylf9J+0l0GE+wzZ8aqG2p7Xd5vEaNkdOsnGco7tE2KBZZXzjVzwaF/TIzavEXp
ofO3mK3Kb3Kiq6Wvze6hGx/qvrwn3rkGjWdhvSNMxMBttQjMWTO80S+O6hxLN/xw8r5m+8OlaDH+
oToM2C7BXmVmOfypdI500ZfuQVjdJx2BebRb7oQoc9ZgJy+Bmupjj56cT4XDqSjH9EFpWHQhtZ5r
pUxI7i8hCyqQG8Mt5/5+wAZxsxwyJGGEHNychPM8t7LjOEXBsm/wG3WeAhqaKJ5aXpKeftuYldqV
w7Adx4II8MjLH2OEcb7ZrAPORRIaRhCsDDB2k58oRjLioAxsgTJyktc2Y+yaiC4+8alXOBgbBtBu
UX2W4BxZqgbZTVSDDWDWHV7ZbSPTuzHZ893iagsEd6I/yDCQr2K4d8/QBdpxZ2AbOruJ+RKz0Pyt
nYYrMPAe/IFJ39iZ/K1x6FzYCt0KRTEU9vG0nqBErepBXEDuZdRPtOjEiJhnk1n/IimGpx6BMu9r
lb2lDeOdJsQvpqZ24xJyQ0drLT2K0FGM8iyLEm4oqkz2UBGHcA7kshX+H+Du9Tb1xyfCI68t+PbX
oaj0NvY7mraY/5vWLW/eFIZH9vQ1m2CVMycp411VAv4Z3Wm8KdwlCt/Bu98y+CyK7GbhNmRRYvsL
vpO4POI97r+N39n+3wGfgh+vi5rZ1L+X3LOCi5u45hkaE/l7Bvug99JtCLkueeCtojLf+3YcEKml
4dFRyPuGLg22pTGKM6h/tNueN7ykPNwMe4tXxFSEu3r3lmpOgr0kpHgRqUh+TayIpswyT2kO+kAC
UD/YzjzQyJHf6AA7PzrC+Q6RCr2Qt2JTDXjNMgjCFk2F0o9Af+uj0cc/BLXqxywmtUhWCBWif/Oq
Co1pJVOH3Q3jK7/txCmcfoPA0HrlOCg7gcpYSwh3w7bp766DLHdAghNFktkjoabx6Lw0hE78xy99
yX0HLW4CzzsOO5NgiVVZabGf1IRZQCSf0+BkL6V8JBSwfh3tOHlUjkJzkee3SKXGFfDBVqbxM1Od
6dQ5UXoUVhTciipOX61/u4hBE11MIHGE7/M5LedTH3kB45Riei5qJm2YzI5tiQiDNschyBVLVBK1
zfscs8LCXCCJYUIf1rbMHCLUbIAFBlJbB1poDxF2dZeXz16rt51QIf6Ssrp4Ez7IymGTOyE1X4+A
BTdsd1FUel19T0v6ZdQQbhsQytvIVs6eipyvBMXGQgsW/PFkcMxQ6S7NXs+bgcjVBbX1dPYp+Jey
ViP1nWHtIsvtr+NMyyuLxH4l4eG1H8LhkR/sd2rbaDUjD1kPRap2FTK0RdsX8QnZd79mq8mCNW79
a4GiOCyW/TgQy5ZQ8Ary2/k4GRAmXceDNDgb0o7vV7HlPNDpug+0lQOWH49MZk+ve10Xa/dt8kTx
3CRG+0z9lixMo0y3nqQ+UhU9tpr7+eLBuGVWHrwNjjm8ILGlxQ3EdGO1Y13muF4NRZCfsXB4bCCn
z9bvrfO/F2O0WPbggWR+we+xJtu1TTRuw2w+8lmVB9R61mPsHTLSam+yi51jLDRnmkVb4wfO82w9
9UDy36zvshsuoY6S15SonStEkTftR3JVekGNvy1V13+4XhHOJxywcXQAeZOTVM3cYFORtsx+g8Da
gZTITUd22D+iwZHob25lp+uXoJfth4EA9zxCe6lz6byhk0oR2T31Ix1J7lvQRJ2xPadddQ3c0bjS
MCACSsHK1nPeHq3EOHSSTx5oyps/W8POHQMQisH4QWdh7TGOOUdGdslOa0tsIo1npi2JMovQgTI4
KVxf06qmwdpO4gaEqR3jNmtfU6biS5bdf0rXTl/m4cHvU8jLsafWczf8jLJ/nKQVrrRbk5AZeIex
djzgcclLEjXmcRA9MPHJmFfcE+FW2STk/DMo/1+k/v8GqW87/h0z9v/P1L/UbZ/+l9Wfou7//D+5
+v/5B/8Taxr5/w1gGSeXbSFF/Q9E6X+CTS3TBbrvg7O3Ibndqfb/E2zqRoBNTT/ivwYYgNkPq3FX
D3363/+r6/23yIG2yt4BtBE7gv+jREn87/9vRy3rq8BF8OvY/IQeyZb/X1u8y0gUR1lgnwC4lKY8
/HspmbvNDJbnLQQfe2v/Q+pLYt/GwqZs/V+/Nu6/Ce6HsaGBZasbk/owtdghlh5WaHEfkc6RUSzK
No7xvKJQ8VwUE9SKJbrTwIL32xYZpinujOGu0/z3olRoil3mjAxlpiUWs+qAoAyafwY26PDv154d
H1m0pdshEQn1FdPnpXisRsQeCBRfiU7+xHr9aCYEZVbjRUuS5Io6W5Nd4+3j8Qo9mfDlnM2+30hE
nfOzQHNP8KTYG8peRwVKGH8q5CZPQwudZIit2Q1vCnGxG6fDIphJEiwkvsho6ldENw5rHbu7Hszp
Cvsk9FeBUiytmu/7oH4BPuNBOv57ExaPXZPcJrN/Kz0m3rbXIFAoWYgRp7UMqFq3Rkbx4Hvxqak6
SUZP9OsTYdAKbiEvh8SThShUZH8mfHGFtvfs9p6xNmbvrRHTlQHsvVb99KRfMk4Xt0qi5sepu5vN
Rx835yYcPscIGwE0D7ViQstYI5+397+wx7KjvfTgZhDdNMtaTwjkbErfBZQRi9KMuVmAiHZBSo3L
4vqxNriq4xrEDkGQbu6c0r76lAnvqg5gOlB8sRa25mOatR8yDJ+RcT5ZDZ62DjtgitE3DEiYUjnw
Rv8cWSwpi9zGWXWzkYIZHfF9HGizlkd110ymSfO36RnXsdv7G7p4y8C/l8g3Sr/a90p9K9V9hw6u
ZDH0m6TYpnnFMYp6tMOhkLC/MuQGq6VeRchBi8DftybCz85KkUBX7E1rt/m1gQkvJnOet+kwMR28
RRByyt768Uo+rVI+i1GxJakma5Gm3q9I7hpPAKV9ggsk6PXCV5JYOf7RBgLZCOrU4m4bXvtt+gnt
b1oEOOg2rd07m6AG28OGUqnoS8IHX6EMvVbVuzKppSOZtVCpCBlD/fVkvRU2b1VkCXxorr8hxhwh
ZrS5P0/SrFlbhIz5IGSXZpcCPSofsnKP4PNKqBeeC/9gBP7VZvbA4tzD+JMZW1VPMeD56S903EuJ
aI0pTH4dIBpte1Z+y8HjT1rixhpwYNlcvLZW/OZU0aUffGOJfHadZMTJKcHsDlX7X5rtB2M4BD3y
bjQ/RIWG+Q5Rb7F0w7TmgbDuiVsvnqIIr7t2Vdzpw2OsFmlbPoUmQiAPozlwkiv8AaKWVN2sbCcj
ykMtm8ZnM9y5D1WAf5Ly/+KVzU4kxRteMXYMbIidjrJsoim0s3Mb9s+qUMWyRBroVjzJvt3PyLrK
Vwwm4aJjs8Nut6xz9igy37VofDFJ9ezJ6JDWcJvOxOWgdy18Y6G85IZG74irHIf60uNNNSuW42Fh
A26T0y//Bx8icx+MFBxi0WZfLhka5ijWcdcyHcq/+M/ZAp7aLjSMiPKDn3cvs7HYOMx5siZ5pMsa
hy2gvHlR3/89LIP5oGyadsct9NJ2RbMEBrGCDiKJLcqvnQUmMWl+sXrukuhSRe1z35qPEVS5JUle
qKBy54EsAjbwJULKjnCJ7FW544YwQbwe7PoU4NOFWWNjrqbHYNiW3BI8Xvnn6LA5pib/7e5MRuCO
cpEYmmbIfIIXwknmOQ3WEPVjehfcxEwDw2tXZj+xpWkrSvXYO23KD9k/W7UzLNwJh300M7NJO38d
zlwpRME9UVl9s7Z4NOX4qSU/JLGvF9cmUqI3IpgSahUG7kMaVahtFJabQfwxdPtiKec+pHipy+bQ
uVjmceI0FtLSsTQfYy6BYJyIa6ielWq2bpb/6qQiHIBRrI2+aUi4TfreJeoDvVYWIWHAGY60imxV
bGj1xQBRzz8QUSxCf4jfSzvES2PGFoN8x9yVwl+30D+beRl9+zlnxZA+5KH3PU+uXusUhymakXOE
jm7tVZx/M0mHtIHuhQTGY1JWuyJHoZGZP0FsH+4ghTWu22GdusEptkeqRnUMJou4RzE/ZPFw1Ga7
JvQQ9bQnl6YgLcAu/6RqY5rJoxmjrBR4v5y9LsSDi8WX98zgHpTeuh0iSATu0u6tbVlWt3IsfxLU
RLPfYQEd9Z+QsJFVqOuHsWGLcf926bnZYFPG2JJiSvHweRBdc4f2kVwZ4ZrBrukgKunuC8cuYgDW
3NWc46rABbSkXrmEVfw9VnO17Ky7wHn+6u3kVevsMQknzL/MV/qhcXaZX7KBC8z3Ku7Djeek/cII
Gbk3yIyDYNzbyFS1UTxMKeWEIm+X5F7E2vEq9dXW9OZHSwx3YcS4gzDAaFrz9xbu2awgHed9sVW5
v5PMxNGxvWndpsv70x7ZEmtkGDurJMfFqu0PqKbJMumcL+G0jJaSRZLloNreiefZBZP+Yd+xNkRw
LpXzIi18BZqdbKCHjzyI++0cqgMJdmQJ0E+Q0PnYkOxwPxr2fbSzujBdal3fnNp+RNV9hKiGykrA
pGiQbrY+4tE2Xtr8j8LqOWqiTSeLP65C8uln+auceRDNnABYXxw7wxxWgSc57+4ahjpgfV5hOmRO
y8jJ47kZUe+0Mfo5EurTRVg2754SbBQ9fl+aPLlVPMUnSgq0lya3G0+I47ZbtNy7+5gMtNdh9PmB
8Se8RFocWwU/Lo8+Mos0EtRkf8m62ZJti8FQGV8RaCWE6FcvT6O9KpxzT2bfomvKz155JirwfBt2
DjRCem7TLMyNSppy60aVjV3NXg0DITAyq559yVfcF80fx82fSRDPMZA2P5BMkDk2L05hRutcqnRR
MRSUPfUQOnG+Ds5LPfJ1RVvyGtQrT4YvGUQTrHPxW1H46dpL2w+iUK7MSiTW0fzRF/EPUxJk1RHl
U5DPq3Z68/vwEOPowLmScd4oFolCfzlSIlVOzIt0vpBeL1xVspyVOOU/xGUkFpxeny11W3IiCrd7
ZnmBo1WYb4aBwtAZeRJiM9mMHX/ErMM3dAc+xQ/SC2SkC07Mg+tqOMEDu0FGPvcJ4BNQj28vegDz
86m88C+rIL4+nToVXWijsc3PUyrIwKtfWO3qxZCaD12AEj9nyx06KUuS3mewq1DoFdpe6DC52ni1
3HI/mBn1UZF8lE7xlTfJH/bHl9TJH3s7v1jMldF0R8sKZDY5oou+E6t2Zj/U2VjB/VS/ThXxMGJu
nubQ+SQr9EhmEV7Ssny6D39ri39jp+P/wd6ZLLeuZFn2X2qONLQOYFATtiApkeqvpAlM3UXf9/j6
XA69CN16FRmZNS97z3hBkBIptO7n7L12sYaMksXDzVAEv2BeTtscN59VGVx3CQ/m8od00HxQ9FDF
2mPS9AOHmUf4VOPZ5+JV3vgMrPlTyBeeBEA2RBErNwwuhQWKcsyownhWmnzmmkZ+F6khmc1Ny5k+
pE1CDWjh1Hae7pwJKHGDwJCAIZwSq8giGYfzvBoAuTc2Zp9WBWZDT1J1g241hyjs7R5FV4BRreEC
N4Xpna/gVaTFwwdY6OPIPXoLzPBBOEhQlNyndzXl3M6a4leiFcFOVB943+9ihdSENA3fRmd4tsP+
c+raL32mEaAU7xhf8QapbKvQj+86BaFi2mXHmhJJj6zX0/zuDi3LfrKGK632T8RiUBUI6tcuaAil
tuod+kWgpWWD2hYszbMeZye/qn6HLbfYSUtfB534Ks3x2pEBPU2LWw25xdqpnY+wxSio5sO1piYX
FygXqgTx3qZi7ed2J2v73PDGNffxoiNLKhhqHBciOzhC0feTWnH77+7Nwnk3YuSQeursueCix1nB
uiRCSjUZ/3eNvYKU8cEF584I6Uz6t3hz1wnihbyNt34RJvRlYsgoSXWLahbmtVvgZ4PNacWPo5k/
ULfn9o+0lga1m834iGgCrUNV4XiJTYCZjJQ7BA2Q2A8RsdKwlfTLHNoXDLMXvaQxhGPn0FYjkyDw
cZGT7Xq9I1JzuNdriptKX3gdKnpHdT/MYLprjNSiP1zdTIP2pJbOi1/GV0osuL7QAlzR1CFIHYVm
Izh4hwz+tX7oCWf12kR8To12myjOvh47xgO0csKcK1TlIiymqUbUOabJiNgA1TYvtRGtk1Z7gvS3
FY61r3ySzfsh82I7o534EA/YgUUqR7VmtxpEzA0wGmAqwBdqEKxExtit8Zl5xsQ1Ci+Ws/Jf/EFr
Dx1tdC0I8234gApD2+Q2EONmcvyjyK6MgWo+2t1HghOeHPoCxWCfCcJcBaUsNKdfna7utaq/yvVf
pt5/RaH/GczDs2tb710ongKT8bbrHJl/35il/btKylvfAaCCKG4/hqW/bhghhW5hodD4iHUSdbTx
ijSUUeN+GfjF3ilwB6T+XjM6etYMFsidzQF1IPaLRI6wtygfmqo8tjHmnyRnUuuqVb2e7fQNyxrK
iHAkkmwMX8L6YiYYH4OS27yrhFf4ce70mbAt5BFf2JJ3XfAgdeO62H7QBM+OoxnZXu6bqzD2s+Py
QD4yZYZlMW59uqdCQ84nX86yah+WHOvjnE2Zl6OoCnz4F4u9dHGMusElRGxJp7qvtm5Zfi4/l5L7
Cq2FAqbb6v/43YX8eNoH8dYSdfD9ecu6sdSJeqBqSxu1K7+/kyOLHn2vgX8ZiePaqnr95st1y8PA
mdbVedNvMCtjGa0GQZ56ZdM7CJ1GKnuzY+BGlBRCNXjtMcdvXZhDODJhz+/apLlffLAiQYvd9TDg
v4sxQ5QcMO6sWlmgSe2pXaENJypZ+neXvxYpgr6yrAbCoGVlx1bWYpYlqo982LLoZmN2tEKAGwYH
LSav/OjCTgXOsizKh0KhbUeTp9IUQtTSIZnXy5+VNoo5b/9YXH7anigVc9Ya+fF7cU5lQIGIvOXz
xqZBdNzIYd2vGa7HsuW+t1KklCsAXhN8FDbIslWSVhIHW42qi1y3bP/lJ5alZd334bA8Xx6MFH0l
zRavMt1NO3R3y6aAiMWO/TE0LyuXh3ocmH26KWFdclMsX1Lva7YPMkaSAVrKHXRt3ltgKE6Tht/b
10TvO28V09hlrg8XAME7HrRDYIS7fC7mTatPd1xg86MpH7JY2Ps5mHdBULFbVeZAXkAtGMhrkhf/
1wf/8R2WRShj9IN11PzLV/zeexj4GUP3xG2N0k0dyipaVyuFJ2Axj3dpmkTfG3ek3JfIVPF/HNmO
bvsTug426N+3IJTfc4EtXpmb3bcfO3bCV6UDdfOzhTlFjqTD5NzjOKqWr1So/U1WD/1u+S49mLBU
zOquVK0e92LGiT7oCg4nNvDye5afXJb+y3VuV9Ly53azWY4EXCPUEgrsuPJ766OwPWnf/Tl85BtE
NfMGk2ExuHNvOYLHzhq8iYgG5MPY1ChL+Y480/7LzxVFevBDlLluTvTj8tnLRy7fdo7RYxQFQ0O8
pIfv68o/vezL0591hW3iJK72i5vdt6sBoFl6QzIR++Hn8Ps5W/84RL8XlzfNlEE9V9ZB5MZeVjVt
aO2VJ4gvu++9mlcBBFSUVD9n+PLnLT+yrFueBvIoVHssFvSm9iGtjuU1cznYl3f8/PzfD8Hl+bLX
lqXvn1mefy/+7fXl6d/WfR+2ZSXEX5eeJQ3CSiGqlzShU93ToAWv1Z4AieXv1F2rWwU6UtWJkAHc
S47VMBuSl1UCXsjHti/53N7acUK50rnSU4aBagFKLgHxZ3hD3Z2wFRMrOyIfzEAYkyCouXpLjYjA
S89Q1E1ZKZ2nTLj9l4fChc5Xa7VQgQax0sbcSoSCGuCJKrAh0eEhmDzH4ZWIileW9//rxdzxacU5
+n2SlvMhFQ8kioanQT74ERh2QLVyURcFIGe52OlYTSLUuQMWe1TNlgCkIV8IAm4UuPh3aLU7SCnc
lpYHV942fp7+rBuNkU28vPy9uLzkLIf9z/v/zes/vzka7cIzaz0er6yxnnc/P/7Hr/tetOXX+WPt
90f/seLnC/78ln+17ufTl1dHYb3mPvbDvdFYgGf+7R+ty4Pjb79+rnNUoVH7+P3rfjbO3973x1f9
+TXIdMfVoDOXWt69fHzMwaWl6kuYY5zG30Dd6o/FMepAGWWT63WAqdR/tl+0sS6Py8Oyblla+jLL
02ZMdp2vKnsVPz7jJ9mCqfTxrwdyK1kZJOhVmjEg3nO5jYTyHsuX4eL/8zzJSkIw8oBB6HLdz5dh
jHxwlwMgkJdPty5reqPa7dKZsRZqSCuHDSo3uK3VMKmpl1HEHFPToKtLnZaxg0NCz3H87ulUyxCi
hQbpkZG6Zb5MRyjHlQ61Vt6KAvmgdsjAolx4Ni3nY2riCVjRPS+Oy3M1z8vj8nRy69eM3sFWs4mB
1uVJuywxktgP4SxlGxHqeXUGtsTUBkdvTuByXPYBUKO5OTpq1RzLfy79bV1dqzaz0AHGU0UHq0UD
//2AV7Y+fq8DtLRPsmKtQjpb3tCb2KvDirGk3J8RZZ7jsqSxYb6XlnXRoHMMWBqYgynODw0iDZ5a
TnkcZ5fFZQ8vz0WtP/lFgZFL7tul2yYprHi+5G7+6b5NJfRKZtdUjOW4rpIPy9Kyp/+2zpDjR+Y+
H/Fye//uwH0vLzu6B2fotY67Xnbnsot/OnJiuRV9P5c3MTEz9MrbyluacZFaoJFYFqeMjgjX5LY4
JlH1RVAp5nS5R01oXn/u0WVlnBfUZhmrdiDLIKCEdbMXXOWVOKyOpty3CFPAVS3PgylG+Z+ljxYu
kmPat8VwKou4xab94oNhOCJL//PhX62jAgNkqNH2oQaNdVK6vx6gkYZUJQ0CQ/+5bqqC9hgHVJdd
1Tc3GFgQo0XvRkBCAzVIOLpN/2xpgF7of7CfgmUXLYsdlxBfD8Kd1jQc6z97YtkxP3snrDUmqfaE
01aeaz8Ptrw4/Txdzky3FcU2mZKvZTcsO+hf7apO7p+h0EsvoNy17JRSoOkvM7FfzrTvXbSceU7c
k0I3DbREQrs69rKiPsGvSmCEqetYj+ujHJ0f0B2CDKOVtoqS8gNAE8RtuZ0Cjc2eOqKHESOffy+6
gd2v1ZD587IJEbG3x+/tLZeWp5rZM3eMaIDJsyWKdWfbJM6v5QK5nDvuNGL2WBa/z6VCRAdRUD8r
HVrTInPwgLL317q8MuDQQndKihuzIj3xxnzY0r+k0Ly8OssrhY+dD3Zt+bQcS5VZVsdCPvw8XZaW
dZai0HhgALEcaaHcDNBCyu8Yi/8vrfhvpBWSIf1vpRX7L1AO0f+hqvjrZ37CYh1T1Sg2q+gqHNNA
H/GPuFjrP4Tqmki0EDXItE9e+kdcLIkAf6koDPU/CIUiMJbLqY3uQf9/Soe1l/BUBphBkR8+//f/
Yo5ru4L/LAoupklEncwe+CMnxNVR3zCuTD2sSF9FXNEA7lbqXP1maEb8us5h6yaPUVZdqbAFJwkZ
dCRuMJ21a2re1OaY+AZk+9GMB06YSkyho6uBNyhxuc58e+vXrr7SJNawGbRbp1POAK+lCwVxEWfE
73pSyw3BB18zdERVKO4pNvpol4YMQIvYhLoDTLExKWDTp6t3o0Qt1jAXDQlfTCWGcZBAxrkBzWjA
aMz05wFiY2tBGKP8CLmpsG5KBZAi+FJ0rEZzrZA8tKsl/JGf7CnpxUymyEUCk66s6Bp8YtYINvFs
AOP0QjWCupno57wwXzWJmRQSOEmDYTfF6puZhjd+CtujaRiUwaicJKwykdjKsnBQOjcwOoSNOTrf
kmBHhK5taZie8c7FYXjfY0quqDcSXlOAZY6cD9Ig0VYAzaRTDvlAgjRBGyBLiWFrSsimVT52Ero5
J6dCQjhNellZA8iFepCE9aLzxIJnrqkYDxu6OLcKUBATrmcM3zOyDIYAAe54FDLwPwcJAg0lEtSA
Dcr/OqTQRGAynCuwfdpM69a5UWGKOhIuigziKCRulMyMfltLBOmgAiOtwAx0dQgrXNBVIW9rDal8
XIGP+sRieq5hmuq9v2mVY6ECAIF4akE+dSnIkFT3K6ezHRRc5DvrI7EpwipteQFSs/Hn+saGperD
VC1hq0aUwjZC4lZB59dYJwQW4u52lkjWOHPuhtZ8UYgUN+tib5hXett9lrLo23bEF8VXIJihJ8J6
pXqAlxX6a4bx11TAwVbY2/yp3isAsVp4sY4dUo6DIKtDkgXLujcR3fcV5FKDWltRUGjKzXg1jtAu
YDEEp8GdtiSpUY2RsFoHam0v8bUCjq3FfMpUpw/D+po68IRjSJOIBIiVhngXeg9bPU1AbNoaEN3S
LA8TYNqVP6TXpVPgU+58bZfl+KUaC4WHU0x3cUjJLKIBcN2p8cFMpo5ozA1t78rjwpLdkmXTQncj
VXR8GHtcckqMGqnBjYj/xT9Yrv88t/BSnAnQ6AhDrYJ95MSKeXL08brvDbhrCqFJzEfJX4J5QsMB
8UoEQdUJdXzf5B6v2JkVKSn7puvcrdpx+E5+80D1PTyEYTVt8m54JSHeD/Jt0lbOOq4wsIWiuG4S
lc5M4B4wHT/Go6GtIltgBcJkNMzzVaxEV0XBsTvimCQmZ34Je9QQYV9f5a057Rp/XAtloCEOV79I
4EvBDWUqOHae74Oy9blK7Tq7ue2dSPW0T2UibaFNAmujUVFhxlDRxgpR7BAAdspb+UeX442TxwP4
9Z52ZFR5AbY/TxEO+XWhux80TdmoXUNbPRyCtZmgfEK8Oj/g8+IwCt8jOEoYxKv7cXKSCxFQOKrc
9FjT/0SM2le8BrQxxjaNx1hZIaOudsJ+TkgyPZMDsEmxo+NqsK5qK/igcAGdu9CfIL0IT6pJVmFX
IRcIYH9yVtCMMDFrO/Cfdhku6ikrIBb21UAtzyk2o16+pJ1t7UzF7E4pNuKaCt88fphzFj1YY7KZ
NSKVxNBnUClwGJijqLaE7UnanX01KASiCYy2mJFhXyvJSbFPfQVwP5vBMtT1ttIEHP7evY7bnvrU
qINKljZozDNrYAS4rhLxBKXS3jCi3vXSQt3oyW5sw/quCLRDAPNnq5Zpg7ocqRf3whMKuZRYz7C6
iFrzmiB/hBLi77Ap7A0xFieS0Q5mGL1yA0UWM/t3EfMc+jnjrYr/MJwNF7vQWF8NJo2deabSr8x5
9tTmuHTV8TqGu31BeBKuHdf/yChrb9U62cDFDHGBvCsxuKa+wbQmrNpaO5r2qDfxUwYBeNfk0QmJ
8rhtIignrjqk20wtLw6HgU7WHsEp1NBIhvesqGdi0ef6trEcd6dPHfDSAPKi77f46WjjReGL4uj6
zQSnM5xUEzkDGXVYerJ90Iwvod0VhP4FT/3UHgcK5augxlFbUptc0ymLqLYqd9bc0HAOVMA81R1E
427timZ4NvVmPoOLuOsLKz+OVLj2Wujj2beHcKM5EgDd0CUvFPXGARJ7AjMOxWyssn3pzpsinkPc
Q/34HJbaNTe0Bj08+qWpvGGWk26xiWqeUvnNSaDdbnT6TckMhwBPUXMJi4Pu5wlX0oTkQvj5aWy9
dXoXQY/FwGC09YuFBE6qvdWNMbH/GLVf0ScML0CmznpQztvWwtLVWMU79xrxa7bNx0l/SNt+PGFq
zbe57t73OfQr3al/JXP60RsIqUGl2RuOJW925p0AZAsqhUj6zNozE/5spMLOFOI5DnXav2V8HqCY
HrGOtnO/Dw2COyaT0PuAomNRTvOp7LbGoPQIMaUROHUvTlj2G8MdEVdoFUUfbsZp1iVnDF3XOHtd
VNWmzkgEPIc0iQFRUR5UTmjU0S1aCzvZmZWa74GAEJ7lTAYbFmQ5wG+prbPVbTCHAKsSAwViCabM
KnN3k6G1O8J2QrvI5DAG7zHWw14Uyh4hIPiTmXtgr6TRGSmKV/X1oZolk4LbCXofcRojn9HJy4IS
SIryRXXT7qzLB/qibw7GCw28HPEMSJFoo1qctGVG31OYqE30WtHWqt/AZQWptKuLjC3j6uN6LrN0
nyKwSpSeCwmlY+5LpEeMTifWpWsnWyMJa6ToYkt4A1dLFMJ7/obwV1A/deHvpn2dXKLuVLfB9WBX
D4Gtk53SntzQwLxbk45RFAwk9FALtnUyN6TIp61XiiC5mPSYhQ2lJA8YyI0GzXCGIqqKg6sn9CWb
RoUyVHFNfte8ru22PiWF/RYGeE+1UO5jCpOnClJ/nZ78AKyjqcOw0QMOTVstta0o0y+GQ+4RESRO
1MRBXVmzMeZY46Y5679qPe+3rWG1aIiUbte2nComeT11qyPAsw4AQY5qXvW/dTPfaLbXN3n4jIxO
2wuUdSsiqBhjMQNc+X4PWNfqxy3jSt+LTMbZuj+Uu04vkRTmzQeT68AzSqv0dDgsQFS8aLBhZlsD
Wp6zo4npBN3IuZWHDKYki7zmu6GCZFDNSb1RBAhBAT90CyfpSA4j96kuEkdXr7kx9+ldZ4gWxmHC
MRsE16PNUF8f/f2A3BbgOCE6EyrjVejYu3LK85s6jzeJ09xiNG5uMr0uLrK3hH/A8sDePKB8eEgg
0QGYLPHMa1W1NkN7pGSIGs9yY/SAaetS6qoNhCqi3QsBD5BmkM0hUL7TdUpOGCWwhEe8DbGlujVp
upe5rl9c8ZqFrb3xSz317KzKgeCMz/Rfr6ZMf7EkB68dwnwd9wkAVOB5jho41LK5SffdTO3az80t
LXakYWp21JzxUmREn/aT/Yrzba2VWbKf5/gStCk6UfAAVt0ZdEIOI0MXJYu3OYbSJO/fCIA+KCgg
1t3kX5M6/QV+yauqp0pz3+0aY3He7TtMuGiG3v2h+AoR0VrRi+t0lykiyLRnuvFUu8jyirc+sg4K
DuAxMA6R5V4zNr0oqnnwfUR9fnsZx8GrQ3UT2NBG2kS5NhhEdAbkVXwW9dTs8JLsUVCvKwWh9Vzv
WqXdt2J+ssaGNmasb1R6WcDiXKLOZw9N/53RwB9xbPvd6uaNE7RXY1Pe80agnn24K/Xy1snEA3fa
FnjmV8/AG+pp88tvDLQLYUtggX+SUFewVbZsOAAa7LTrclNa1ZN8k47hi5BXb5xQ0sfDXWX6V05m
RZvc1O6RVp8anRprpJEpE1XcaQ33lE5EKU3OkSP7d2e52yCIaKbDFpBWJVAb617tdmUararZ3Dl1
ed+izxnqWypXkB2zhza4sQApKJoMBQhOlWF+CfOmMZBWyQ+sjMbT0CtQgTmNvG71+LFBzD9VJgE+
fC4T6lWikZtnc49XJrCM5n09kazaa/luUEJ9S34KwqcBJbRt+Aj8/G02QFQFjydPEPzoaCtsFGBT
dLKj6FAUqFbCIF9PZeQRebRh6kGDdGwRHqMwn013b4GzmdH2Ir1qP0iZiRzHIs3afeohB7a59kK3
+BkVC+y/3ahVb7DBHpEpN8md7Wv6uUT6PVnjh+JOh9l5NW37lx+G+PCyh7yL7uBivDbmiAIUGEQ2
wzUo9+YYemVTvCPBuOl1HVcdAxZ4i44IibonIRDJ4QMkS2OvBPozVPhrMRlerHWHrL/PWonpLS8M
6LcObOPVYEzrUrMRhqYPVp964aWsubnOtH6UzJigAcs6Z35gRpauA4WCW1xADQcWy9kQtzvQUoqe
3aDf9VAVMDxUSyYPtlVR5ncv9OUZU9oUvFfM9E4mhbk1WAcUiSvlri/lCanfVJ1OVom6IuBo2xUJ
GTLztkQhSEXuDpccG6Md7zNnenDm7MpuoqNIul3c6jurs85D3krH3UUlOKXW7QwqgUK5uDpX6NIp
gqJdjIhDsa4oDfzq0VKRjLIKBwugmmkcsyZ66RL1FlUYClcwHILSqmXeCaV7bhLAfaBU+775Irvx
ZCr5tSuidTyPZ/7SK5O7NLYEIG/Z62QbZ2VyzpZZfSXjQ61lNxWwhqbRj8H82KrNXsp+GN+tTMcB
mAwqy9BuXBE8KnZziOyYtrh7LDqONNiDjN12cYZfQOWemmbZTT06XgBMIcgTZ+2b00sfxsslM4co
3KTNC3rMO9SSbyqx0D5qHqv7AGu5VYVxn0FWn4biXYX+RBF5U/doBPV9mKQXF/SQSnESV/a6zRBZ
mdFtkSdywogJs/lNbtWt6PxXFYW/M77abfUUcIGbE7EtWvFQp+KzRe7B8e889pn5qGrNp9sq70E7
HXOEkIWvbgrXvYrB4IkBUlG2V2NSfOXBAmXypYjBIDsM3kITkhvmgix8Jtkqb9BzGypxLr2J/ii4
NgsyHfpBWY8D6RSzxWk/ZQ1COQfN0fRbHzjl7Er9lY/UpxJLjoBl0Kz23LbOY5ZY20ZxzyODiby0
ngd04lzTEPD05y4xtmX60inxW84+8d3kvivCLUj8q8ksiPpw832n4CNQmaNb3T0XDDRLirZRyhHt
TX5UxHgjEohMWbhvjMpT2wldjbEzYiKlXP8+jsNDbGr7QJ+uO4tDG7ud1d2M2CnBnJf2vLJjpkQI
C7gsejaKHkK+qCEozUkxX+0zhcaLozMaoTgGHThC2DVFT1GFkrmUIvGkCz9rsGpVb14iSMFM201S
XkZrBbPmVKW9pzlQKs0uuau4uuKbwXXo6utJGT+zFFEvqXX7gNBWaE2A3EC8TTlEkSpRHmpum2i2
yuup1o+VauwKzX6aS47qqQQDFqm7mlDQQhPn1r0t4+o2sfCMNmX+goB+Z8c1k7b5ZkaQR7YWbBj1
bnApOhnVLhL1LxcdcmUQiGHFSEszkzi0tC6R5WP8V7CoB4pHRQ79JNr5juqEGlMiHMuh3UPxedUK
cYtabyZRMo/SS9ZmB6GgIGuHSy5NkhYlfnLAtYSp0VhtrOTRHIrHXJSnye6vOiPeTPgy4yZ/dqf5
Ic60e7OEhFpN1+WsZKsBouDKgCC7ymKmRIWF45ywPjnQq/wZpTNwEuG1XExE7G/of+8p5wCNxRth
X1VZ+xwaezTezMHMO8sYblCDPofZRYkQ/ZvccZn9qQQ4TAP+EMAnnfGskWOK8B5QUcLQQKASJ5si
rJ+BpD6UOFFMIOHxph/ta0qPZ1o7nPZF89QyPK+j5tURwTUDYEZamEsagot6cWuhvt7K35Wr01VI
lSKfBMLKSLnVxSazi08CCLexsRz4YGY9Bk7sFdzwg2V+qcxoA7/73ej2MUeMk8zFVncnNKbDbc9f
13Gj0PLTqPdbGpdfQSKa1aQT2WrNv+oqhxmGl272GeL0N0LYbDelBLlJKlccYicbxyu5v6queOlF
/4Sg4TVr0jOAzj2Y/31XADst7/QScT4YFp37cX2dT5+pGfxGt7lq1fTNt7UI4Ai8btfowNMzFTbn
OMLypg9yjIiV36AVyLsnZlHC7BjRG/4lUOz7fPBvNb09OjGy3nisZkZYxX1b3yP+tUgdWKUK6GQb
aoo+Nl5iIknXol1DJRu/GdQ8i3z5XU58NdleFYcA1U1MChRUJM6wu/a1AfFbPlgbJuj3sfnaWMOF
mSsDprRgxDbdpvPBdvN7UD9crvr5ue6RCNtFuYcugVQvv6iKeIFhkKzGtt9MRvaZNNNx7L4CMgm5
gD+lPblnRqroHLIpagu0jSPiKqYT5AEqMQ51n7pC58CMrpnV4xN0N6aAxG4CGGv74qZo+uuCY/mY
4qhokxFHf9Q7RxNghJJF6jVVZ0Z1xbQdKtn5prpdgLssYsZHuKB+p/jMJFXIa1xCbjvFV69mrp8C
tSWhRM0OVbp705ITRgGES10zA+CumMKTahz4K9dC9dRNecBVbTowA1g5m751bWbO6ElpTd6PhV5v
AePJRn7gdUI2QcPggRnB+xyaya5qYqRLPSXzANylXYc64XXoqPVwSiQz/CEW7o2v0foeTONGDOal
qVE8uYbyhEyOEMQgeJgVuDB+/uRbZE9bKBShV3bKJmwr04tLwh5TUlqQ9GiMm3OXIFeZrQLJTGjk
rSRDAxAiBbOPP51MSfIcclIYuW/Vpni2FIPhD1M9iL3hyq8DZWtWdxaeCQCDcbvRu76GowEnL1DT
dd0wn3J0+rlZiUqzd9x9VTVsoWjaUWZvzyu/tN2NG1YHEkqxGqQfNBne6uFsdmRxmfZjXXYRuUGO
l9vsQpiqqg6ECIQXM+S9EVniCiEtIyHZw8GfzXvBjlM0SAjmBfKBIeEtLLFUTll3sLDiMn4ryXQn
t3IdZ9XBSCsHjrG6JUBxuopJf2ZvdLSfG5xgfuy/WgPD0yCCaYQ3EiUhYp9u5FAyEug4hejhUfXo
1awxWOk97hGrSO7TLv2K+9krU7fZuYKvh1mfm5q4Cevxd+Y43O5+QVBiBlDM69R4RHj9VIQY3MgX
um/kkVzXtEVaR0ayarDi8dbqoIfb1RgIihs5/Ooa4F7CwVZDP1v53J6yLtwwUwX0K3FjwG2Nh1Er
nkJMg+YN6dAnu8wvZe5sE41D1uqJP2n84QUw3eds7oWTeSINCShSUB/OJhEKSJdxwqRzvOo0ly1o
Bdhvx/ypxJ63Uqzp0Okm6VHVO7e4a5XgqjXCd/Ie66FZBQ1YTA3kovGhYSkwb2anfM/0ZtM5SrWh
sMxhEcQwEps75tdYmVsoJLYsHeIaxo8AFkQzPiW2lu0jwxpJc4wYJBBcgOUrz+yNGip7MzCQ15Ly
xgmcufphpOkAO24/jPYDTJ8Xv8lWIR3vuUwOprAO4Oge/UhQj1NIjnahCHLEnAen01Y0DD2dZCZ/
GD+ZVtG66gg7SFDWFqAahhQvkZrkL5rbH5x52AyqdjfE0adKxx3v8T1Or3e9nq5jwkQ29L0/1NHy
Emd4MiImJba9pTr0iGvkC9HEh1L8MnozPPjceZtWNGuTM5mSNLmmFOx2HI0hwWn8sZC6mV1USXxE
h7eLfUOASlbe7UA9NnF5Z9X5miLIKuzHM02uX4Jq4WoW41cY1rcRVb/BuaOHsqlUf6cqNSKYub4P
xvRBz7qLhh9XjcPboktPVuuXV0OrHqgw98wSiWygXp0DTmjXpSKO0MhphYj6QHH6U7S+l4wBuBup
UQf64uLmKYR+XfXpW8D4fm361i1e0P3Yw65TB36ZdhgFWTYiebH89llVrUur1LjwsvQeQn0i4s8p
xy1HQSNn3Gi2lNNt64Q1+1pxxVY3lBVElWCFLfZca67LHzJ5sNLe4MGPKPFtIhSiblOqMVK83rlv
SHsGyfYGqkyK3WfGMaRF9/MoD85rLHTTGlbUyVU1IB9l+QVV8jjRU6xn/WwW4W3U2i9u7z768P5m
3DAr8m7I8RkYjNTNFgbnjaOY9Sqr26cAJb1GKGn1CP7tEtu9s3br0BMzSohuLL7SvDpoY34Dg3Eb
aS1dWRNTW4vHmKqiQZciiqj2EsLrq3Z/XB4IcBi+l5aninz6t3V/e/q3H1t+4vv3Rc0+mQxaT5lk
dor7KC400n7YhHVFavyi7F504Tm9AlrM812OKma1yKJ/BNLL0//punGRI/mURWwpgW+lQmoK8ecg
C0iJxEE74kh10vKwPHVtuz3Y82Otdn1LXBwKNFjq/AKCScnKDHEtE8Od/iVbX3TD5giYZLsslpmN
aHtZnFvt4pvOuPtDRLwoZxed8PdSQz6t8IH5pm67V8vq4Fgd8qnla34vJlKztzwvpWh/oGRhS9UX
Q7j6OEpRWic1asvDsm5ZWl6wnQBdzs/LjXyjnWIb5X4xrAnIK1Rqlqws8ydyn1s6mlF5pIOGPcMk
mtBUBxQGCVIs2qnVcVn6eVjWZQSSHdzu3Sn7G18ZPlM0jAdRE7riO8mVE1COs43ofaZ9cwZpOTEA
AHMTDbgETC8hLnWVUXxLVS5xTkOtSh++ktYZmKXyQFTVIW0KUgG1adq4Ljk7M5dJw4I4lo2EpSWJ
5h9wkF2QmU3H2pw8rVa5uE79OalHhGeWPWJFsl9GqwS/yE2Q2TL5gNYvtZ/SY88kAIJmcYZ2g5Co
6aftXEBKDARQvOS3iiLKGB3z6GJfgU4z3znxkBx1029PYREc1al6rxGqeX3uk8pCN70Z8jPmlu7c
mpXLFVWc6DJgfa/tbWH1B7vqfYj3Gh+DMJzTjZ1ZZOQ3BXQuGZPa3KocpTkXE5TtDISTmeoqOAr1
1hi05txb9bVWoBqZQfuXOlQ1xuGrR4hu6bUKgC7IW+Pc64ZxntqAs98Yj74iLrNR/razJNryI90Z
Qu8my83rOoqEDAm4idrROdia4V8lus8ICK6vMr5qUJzWTql/NXqbXecF43fCtK7x6bU2/8bO6FMt
mNiqiUv5N6y5UrvN2zDWYMeNIr8ozZxf5uh3Ie1b/8neee22rm1b9ot4wRxemZRlBcuy9SI4kmLO
6etvo/bBPaceqgr1XtiA4aW1ly0xTI45Ru+9ddVEpt3ss+7E2Gt0zgroPUpcsSG+Pk6zfWgY6V4U
XpkuDXjvg8oNi4SRCu22jHwCv5MgJbA/x5BLR3pHj3QVPLKTHJQGraxy3OpLyxT/FFoEEyM2Qj0s
xc7kKSCZsWjckQcTpWo6uURcUzLK9PslfNLYK8c9Gfs2fsdx+5jfCbMngekc5Y0kksJ2N8x28Qy7
ywG/O1aRVjyJrATMqPzO805c0qZ7pQDxxPkkMlFCacJAJWUmx/8VZlxZcakr3vO1f/76+TeEVIEZ
aHMOzGZ6YEBSiK3o06timT+tPm3ztKR2jfIzSCJaaNUeqN06Eu6XYQDrN3zqpfIrttHrmAa7mGAA
9tGbfpBeH02AI1qV3gisL23BKm6GjL1ZmujKltOpn7p2kyaKqwriVmuoFCUdkjwDmKVgkLOQrAvl
sa0z6ryoJLceIOhDgWBqkEj6EFEL5kZ3VXN52cVNDTRTLognxpMVkj2m36lTCSA7lUEyOPkjVJ3M
7JigSN2rxbNKGOYAlYB5Uj8eSqkuaGghDIQwMpB8YDbaW3/vd+YYf/SCSpnKxlPU64OUIp2R0Bku
GW1TlgyWd9dAwvRRTfiRUrxg024Yo0I87SywPATKnEGauUAaqPINQhlASeMftYrvvqQIM1Lx1hZk
pBqp5fXEPrmCtDFNIuPuk/KnsbcjU0BNfS0YTvcHK/845HT6iGQgu3El6Yc7gVyOpT1IFciHDR4n
0xnS7r3VFezeJ+yJaIGq4NAKcrKNLDQbCQwjWY7toiPC7fEYqCD3IjgRFkKyaSfSYspOuN4LJq9y
mDHbjfNlpU2fd8hebFyrkympXh+dNG3Piv9qNRjpCLK9jGTcCqOyLUuJVDpNP5pSuCoaUKfSAQLf
SJOcmUVuNrcMxUec66M/Ym6iFvjNitxaETwmHIQB3muBV4zdjLyRyNvSg2I5AT9zNfZ5aECil2kS
VVTtHIZkXAyavBUjKspaXrUMwoZMau26gdSaZ4UjYWrHT13bykPioszJFytAGYePfpcHG4Mqzn3U
IpSzNCYKcSDkVEnLX9AkXwaxV9gh6V2SV7qoIutMVOqwDDWZGO5MkzbYmLtQkq+tRsNFq9epYQSr
RzsoLkm3V0nYl9RnaEJ7X63Kn6SUWKa7dV6Ef5LEum+IBMFXycGiOOvkjp1xgFZMeEhk5ELyIXkD
SACZIRVP4LCe1nMpWSviZtQY2cnGA1xBRYheNdCJeIz1Z2Q2dOoJ4bPvGtsyiwl58GPWeraBSIRU
jc2PHehK/jLQTrDl0VwaOmBCdrvZqaqLC4qpr06NfqP2R1GhEnTyeHf1KViy7qqHlIMF1gUFq4xc
jx0/84DhAtJqdBNrNOidNY3/iVe5JQQm8Bsdf91YWuQDNcOLFA6tV+oMH8s7usA4VrSt9hkKCiEr
7Cg53S8FyXUfd036LcPpRX+kMgyLyvSioXYyJvR2FVqiN/Ui93ZDr1CXKZtpeoRjETDRbAVCJhFF
h0phIQOaPaz3mpSiiatLD8pjwtbTE2RSxQlylb3KGD1LqL/lDgq4kEyvwhRBjiEtGQDhXsubxyIQ
pXOoUTPLcEgctD2dY0BxCBs1se9J9ksmRG/X0ch2mJWNlq6+izQkOvl9K5oqCY4FyjcLr6lWVyqz
M7RfWmh6hoydGkTqQi+qI21Za6mY0suDoVSlhadk5qUqTCo8i0gNZtZLOkPmHmd5wBVdiKsoxFmG
MCxdWvBHPFMTcPIkxOfWQ79WlPYPG9lb2mcdP1tfa7q8be9j9Ja0L6Fa/wRD91qiPaBQgzDYi3fi
Q8RFG90PdFkgYwUl3WcidlltVDITSMe6B9JXJQyEMknzbqHUf3M6wDZFKYrmGfIK7FWcqa/dzH+N
AcECLeAjgIZVMxXrezPnsSe0J2Z+7GMmyZbZKuaTOVVDPOs402aF4Deroc+y5ikugzGyGXju+vFM
qY1DeLWhKZq7EYSt1MOyFWeqLXFWMa5MSLdxA/NWNGrig2cObjMTcY2ZjQu8jRIGlAot1wh4Lt2X
ZKHNPF1xJuuWIHYJRBXW6kzdrQk+dLsnijedqbxGw7uPZ3ZvPDN7+/w6zAzff16ZX55mwq8cvioz
8TcTYf+CLUk2elXyqMIVNvgtkOB//ojmZFGpEIRhqag+m2yGi3PxB2V4mHnDz+/mTLQlKZHeOAOK
H09A8fPbqaLhnM78YmUGGU8QjZ+vP79ATMr9CPAxf2qWIijkaKYj1zMdGUMLgDmAyfpMTh7pp3IL
ZitxpioXM1/5MZOWsyd0udHhL8sGJGZ5ZjIbM53ZANM8zrzmcCY3s7hvwpnlzAnaFjPiGcR6tiln
4nMI+vn5UjzToFGWELnUzIjovoYWXYKN1mv40SYgaYLf6s3zSzdTpocC3rQBeJqEYcE1qjm1YqZS
9zOfOqEN4iYzszroIGQCsQ444+gB4VqbM+Ea/kvvkmsK6HvmX6MtIfRqZmIDjviSAkiYGbjsFmx2
O/Ozi5mkrc5M7XimayN3FN12Jm6nM3tbE1HiPWYetzKTuWUQ3WxbMz9FRbrp2Z442cDgIqpMO5nZ
3vS3GU/NvG96C8WmEVsUHYWM1XzGghM4XW66Jyt8PsqEAQMMn0niOUjxZmaL45wHpacRyyzN5HHj
CSF/vmgAJueSoglOZAM7d6jl5swvNwCZxzPRXH3+wgcdN1jn+Uw97+aDEAwMDHBj7MqZjV4BSX++
94j20+b5XUPio9vOVPUavDoR+I9j1XGnSdU3SSPTymLmm8xM9hw4ezNT2kVw7aEKt72cCe7C1L40
KW/gQSitzAjehWawLbLaxL7YgQAGBV/OTHicSdDhA8q5EWA8B9onUz/ZMdYuXNP0cclsAkFDKWXS
TdKHwCWyoLa1HoBjwBweL+HDV4/q6d5T641WCehUvyld/RalCKEFsfbTAsllN7Pu5Zl6b0TR3/9P
mswaYEj/NzuEyu7q/5Q0ufr5DPP/jJiU/vkX/zJDSJJEjqTCf5LKmElXpf8xQ1DW/Bf7PUlTZUs3
DVwJ/7JC/BMwaREsiXOBR6Fk/Y81QpX+y7I0i+BJhUgXzRCV/xdvhCHJMt6H//BG8EwQgdnpumUq
EvmSpvi/eiPYopetZtz1vTRiMMPD7vThI6BfO81+2UfCvicJmRI9v+C97Hw9CBEGGNiJpEeNHGv+
9vklqpFF1REK4nZufzy/TEJYY7Hgy/OP+RD1ZB4loZ/08mOpzBa855eWyvkfb95/vAbYbgG6FMBm
wNji6T56zB7N53dyPfAibGICSgxCKJ42zCIyaKY9v72XcIj6zgAxll+nUq/sUKjQkc2PAkNDHp/j
aQDlTQFV7gerR/gaEt9nmjxTifHhx6hzq0W3gt5vzHQX1jNzbGCwYtETUJqWxTLTRSLBjVU9xl9W
prPjQiW3DhmzMdUMO8LxwLGUcn0QNF6qGlDjqmDw6A/K4jQGColvBu8piMxLO1org0jsB5KalSJP
jKJrVEbavw2Iz2/rpy3x6UVUpAHmklAtn+/zaWx7fkdmsrFCj1smZPI8v0gTSZxiTw5IV+fLRzUu
n961uKJfTHe2nKmL8wwzKaD2STrp4p/RI96EKM/EpjZWMvEbBTK+VRD0JJ0bw4pE7nOaPkpoUJgE
ZoMp62y2lnpFBZaBYe1pbPv3l6ez7d9/HGcTnJv10XEwpdZ/OkefX/5tJH0aEJ+vyaasL3GczvGK
/+m6e5rwnq8JE7lwQ6rS8u6wjj/fTxNF3RwyKQvL5AwNXbLRsBiMJYLIKY/KVqrRDNvlRdbORuwM
P8Agma+jnMsbRsU+EOJO8CUGcnbiY7F3BCctsBJ8NsA+hHNJGljbnvjOahcWDOC3DrGQ7Nb4ZcQX
jCt2X/t3fVMbm1jalVzy7/Gf5DKKuea78OFFMA1QCsYrQOw5m6waSufA9P0n13yTcfhs241biGZ2
gbYZf15nE7O4GbCSijZPQh6ScIpX05d4IXOQ+ZeKFunEoNEA/kquKU0OY4PBhVkso28LOVzlTvHW
UGEkoR9cq5mn/0YHeruo52Rk90gmQEA1dnbOzkrk6296y9h3PmyMXzR2wSqzLPehrpN+EaV8VmSW
xMzBhaHZia5hsEvDqYJ9QVbmT+qhUuheutfHUX8jU9EKvGbbnLEdcCTQM+PiaRdq6cCai+XdOGt5
7McmPxKPWJ94Hdy6bXif8Sqyiw14kYGph118MA9nQJzQtuho97pI7iPCFBiXOGwJVbgF9tAtxscB
rSaZkuMvoRx99Q2D0GDrR9MpXuWlM32TpxQ3jMrx+doN2CSsPJYjfhbI1JF8JF69J8abLGkiuwJ5
jZSmPSnDJjvIF+Wa0sHXWEMIMbFBx9dHBb1W4BTn+xoYS+WJmadQKBNAxb15KswlOkcGLXhQgVEy
D0/OOuAqu7lmX8Yle7O85CUCH9Z7Rruxqg+omsYSUY7AWYQKel/QeAGlYbIidd+G7OBSMxeP3Zyt
cBhLN21c9NTmq7IV3slZ48Nw2aqf6u/wykAIX84akgszKKeDuiCjh3aTn7z2A24HuOTfcw4dYLDI
TXeywkqxVN/wbtCVCuz2GOfnblu+DQf5xrivemckBB+Qi63bmgVtOJvNVYLkzGHrDtWZC0pLfJlB
LDZoY0OkGuCk4FZtvMdKRCf1imjkwZlwyAFkSktDRPKaoxq60x8oG4wJtuxjgDaceK3/Wd9sJDb1
r/oDnenz8WMdWXfG2tPPAZJXGztPOl3IzB06m5BcMd8UB1Lt6P9JV/pK5BGtafgxbcNIpL5ky/uq
exkzyl2n1xkH2eCFPtPcy5OlyfWQkijghT9l7fdIjt2fbodSoNuhbNKv6hYrIGO2bme5zJZSF0MV
eVlsed8fdzvywNwUDlJKnEgucKJdM7FXY81AXLQ0/7LJH99ESDL0Q5r3Wvlg7biPhADag/6jMnMz
ThpcMMLdaNis5M9xcvI17ScePYTNvg4kS0xe9YEkEN3iTxMsdPhRNvqDkxS6HPP6E9GOL33lvyTr
M2Y1gVWADOb3L5k0Re/jRdsGBO5zGywCT131NCpQSTva5fExlU7v5wtWy/7WRf60Kg5Rg6zUru4L
zmVYu/f7XhRXxet9Ld0XWbNMDsI3AmjOb49TN1lz72WvQ+jOkPGHw+8Ztu3bfVoh+BHnHqJrCb7J
58htsbKxJpNSqrUO9t+MBx3rjrROXtHpduiDBC/4pIkT4mGAUA+pnGlLhMvZ04/c3sd0F32BlrG+
g1NzX2skwLOAKL8mfhtZs0OUe8N73l2ichczQD4zNB4Enx8DkBGJ/ChsDeFWj+TuDMSAbatvYu3f
7zuLxtJ4iEeb6IHgrRcXaf6mkbZRVMt8Tjb283TRSG+AQ0XxWA8vhvhHvmyLwAk4JKstAbIqzjcv
TX7TaClio0DrdhzeC7yh6D/Znpyn8727yfXvLFHm7sUuJhu+wi1EMm1t2VFW2Hp64GeogWWLg4ee
k8XCCOclIwCVDMOcrZLFmXGT+y2ks4sJEn8iLrW/ZMV/6F38++DxwVj/xQW12Tr8DuhY2K9oLY5B
8h6rO0ydvN3GmXb9yrm/V2v8fQ8efRux9HE4QDAZgu9O39LcidNVRgOw9VE/yimZ1L6cw9U95BWN
UQ/nXtcveHvMkuvRBb8r5bsYLxIicxtdbePO2037QktjYBfOMuaq9dGIB6wpm/jDWitrIh8341Ld
Ky/Ty/1irrmiU1vaCO9G45UsMQQT2zhm33kLtIJBBQgPN5w5jfuiJjA78qT7EqtlJp9lpDzamjDj
+ynx+tfcR2fkI7VPIN/5oEMz9IHNPh6wS+1o8o8bptL+G1N7zqD2I4Xfaujf5eUwj4vtHDpc5ZgV
5Rc620C0p8dGPxFY+6g37MqJjKK/LmS4tygiUbs6dIBB1pWSRw9bLhd99DrlfqvtpG7Zqa6Z7HRo
bpkjF16QHDEOkWsYC3jG7OLEQnSZfxRNpBcyIk2qW9ta4UuGM3kRDmq5kKBl8OidA/NQHtrR7yM+
yhExfDampGwk/5lh0UbGQoKlrXVjfYHakXZtWSJk21jxmwHrQ0b6QSSm/fhWr8XO+iB4MTvyKvbP
+ybcDDiUqTQc81oWLm/pJLNntsftsDC/1Cs+lm1yGsnvm5fT5k8w3GqPlxED46Jp3W5BftVC8bJb
cxQW3XHyAhCd63ZVv/Qb5aNcHnVk9L/VbdgzQTJfCn7G5IUbdZnh83HD1o36XerG7yLSoNeKrA78
DBuOEY3YEYm0YD/O0GRqRIWUqxZ7hRValC5+Uw6MCypQEjKdDLenX7wQv6wP8doiau696oKLml6f
n2CmPo8baiXeBYg5IAwLsJjgBJM1226QhkfAzcfx2l+rC8efX/ZoNwUmYrva8+Cg2+7kq/q1f6UB
wxVbuNA4GlxCyZ4stDfpMv2GA3GCyzTbMYsmptXuC5dAZlH2gu/2UHyq/pzYODdmuYZcEUH+3TaY
6J/aVXAWXo0fLpxqIV3E5ooISXuTiMZG3tk4bCJ08WpOZ2iBsLa6z3kQ/oaPEFVB2Swr7DD4ivMF
wOByYyg+SvI49rFmbytSKkgzZYWnZ3SLjo2KTNOvWy9ZtqJPAr4Ynx6613YLHSN3ivmGtrSvfMId
AVApfXp1+ZL/8Jy2mKmkvvJGgGm4yH+YnS+afdtA2XPk+4VdVfnSXMSv1J2sdxPeox9nPpIvxoZ1
vUP2Dlsv7aluD92pOlXyTno43UnJF1a8ij+IUWRMCQ7xMMoOSJjyHH/z4UvF61/4BZjEiGy3Huvy
IJM2jSURwxX/3tjLIvFh65YsjBf04/yvOdMEaZmd1GZFSnuWIMFECWRHN2LU7/v45X7lHbUoZ6eH
kwUvXb7oMsLqfLZN1p9GeT67qpxChai0qB5no/ga0mX7U2Z+3r8njK8Vt8Xo7lNNSC/9imOeoszd
9oQcusxy5zEE5kq7UshwZ1uG72Jupio97vECWm8umevnFyPMrPXsGDDN6nZXkm7dhRZj4rb913fP
155fApW/tUSVCsNEA5c0iNYLDGhKc4/cCkkn9NaYfGuV7TLewILclvm7XiJ35vldCpaVWer8N4la
I5pKus1giQ+MR/P/OGhKky3/t/9aLbDpanpPHaktjQgbTiy8l1XQeXJGpQiGp3CFnCyVdv6Fssn2
mFb9PraQjkAFXGcdljaV7Jn6nhH1kpU89p/fKgX7fNjWvSMfdJbbxm3ya/Cb/z5kGsqOuGOLVrM8
OqQ+N9VCqyAkOsxeEXm1NXpnl8RRymZ2Kf0vPrkNkV/qqjPWZmFnX/CSzC07noio6j1hQjjSxA+N
J4WDDDnHUA6HobcJvNl1IuoCR4gQ2i34oaq+b3edbTjyWT8ru1GiEbcRSL2ePVV0f730N7uOB8Fr
qEWt1OZ3UH9eGQPet6ET7NoP+YMN0rTh0+8juoG24DRL3baOY+i2vvrR7sobu86g9+g6h8BoUQeZ
aKbtIrO7a4lx6gOdwkG66efmSxjd4JewUA60+pEvjN4nmp1zP5Z2onmMJ+Xf7ic6sEktkpP2RbLs
Efke0sE4PGl7epjDV+ZnKwoPKXGKbQMulyrJqf8EJL/vQGl/ybu5RdR9H8aRJjiHDmHkHszsvHm2
CbK8f9S/+a0MkC868F1xvUsbDh5WDvY7/LOA3geNWcuW36ozQQcM0EBV023UtijaeP4dscsycKYe
3iEsHKliQ5/TXTT2iCHYzpbasVkHux5J5H6UaBUR42cjR0RFK/70aAcjm7hK9YXw3WHDb2OSh/PZ
yj2wVvwjftR0Kt36/e4TdYrZEsGBTS5DnjjRaPd+sOWqLCIn+4pACvRedw05nKTtXwXve3AG1rHH
9v5qOMjIVvpqgjW2uyPf92r/sVYInmUSbbeL5kvmFPzwU0vFmUYnW+LirB3rCxmxcG5CL+XfL3nh
JJxKRjI7tWDCw/P9xP5Z2dBHkTYSC8sZ851qd1DWGPL2XmRyXskEMU4i2Q84HpBO/RTL5Frd2eFT
UxH3YDOvTXiQX3BQSa66DjaqFwDMdbHHQ7Y/IaMtHtDAacLYvKT3jrLAKMlia+3EFR71Ydleohdg
t8a1XDM2R777kt/CM4MAJXfHH8NRjvfOMyInuDR3rkyH82J53RdzRTISw+vYs7XUHx7ACDbf7KgE
qNKwVWwQlSkl9VleVcvhytkoF5ZfvACIMD9k1Y4vGE3THbuXdi4Cl4+bWvgWGwEACW3uC8pKOlGc
H4vUI26B017kLlhiuPcoBFFrzmaxJbhRvmlqsicJTD21tJ94cKYODTNBOs4zpfNsS/k0dmwHUvNv
UB1F2GloDdm7f1P8sT3VF8VqDu6CbDhPSckcd3tE/3QM6BEg930T//Cid1v2kWLg9LeJjPZPlD6o
IWDFZiAlcbWW8GG41tlz+u2n9pVi0MRlYU80KyPfkL17cJ59YldffBtW8OhpMw0UMcshJOHIxTaf
KfC0EU3ZyjX7mLPJp0XLVFR0sa4OXxLCHBIBn/2W2qlv81V0M3/pIpDccebCiGOCEBwaQJzw9khX
QHhn8619cZGEhFrYhPCWN2Vyta96PKboWCI/oSHxDpJKtMOPAg167OYJtdqmO9R7BPIGttFrIS8j
wC173hfNiZV+7HWXLld06G9Yumll6IFDH2vUrrgVBcPOSk/8TSqvvo1YeDlo/W7ODefxHTg4wMy/
mv5X4uNrSG+MERFSpguBtk/wWPc7i8204dZfd9PHLKPuFBIP3yaXwN0Xo7EjEh6v6c06jdo+jb2+
dSXJSZJjEr+CEMmuQe4w7O9Iwu939TC3WebBXbQf7jx7aQ4F27vgy2dRcxhynnIWPTYONB3oE5T0
ULfTFWblulvez6PbcDoR9h5pazlD43F2q5/4yE0SKGeYXWq7mxTmzn46LtJwbTFqIRnerS+kHByR
i6bLEkXzJT0imCh3Rf9G14sn0V0DgEGp4PHIqb4Mz9jTQWNYduXebUQbD82LfhgPuUViuw1TMdvW
FAu5ra/xRblcTfOPO+Lv4DySYzxe5pWCCIEzZ55bTrgyPzOPs96eFZYE/uKLp0aNrypiucGA37Ly
bvJLvOsPxk11W8shpUX8HdRlyy1HosVXq7mQNMUZwrkGbW3SCQWyY8BuwTt6ILmX25C1iz5iLvw+
jzcnRvVEgAuOaH64hGWHzQLWi7Zhn31fFC914WsAKVAPYYUz8Gqsw3xJ1l4lexKbT7V2yxHh3YIW
lvnLo9bsnce4EJJ3PdrwhGIV5cJCamJIbDVtKDAn+bfhNJ+53XTdSXuPlji9u0hwZdm/a67ce/xC
VcV1bls8X7lRZJvFnmzb1cTen0k1qe8o+T/D1C6YBLzXXIzv463fcaexYKN+jwg9wMYh7ZLoImob
nBLJqloxWh+Z6XI55St2qBwrAU+B7PeGNy25awV4ugsVd+a80Cvsb3nvHG/1XIMFLD093ybo9DfK
DZifkZGa4BEOWrZODKFw8M30peVq/Hl4bI9Ju/Vx/ccppolXffSMajmik5zj/hyRBJhVcZ4/MytL
6dHr5HK0ucRC/rDUvsg2ofnJCb93u5DQOONAGvDYcCmwq+SxTVQjwhhgCbmDajSRyfF25guFYB/L
b5Ij0UyENhHxveOxUZXeg33y3dEz39qz/Nq9p791rFrUUPImsQhldPpfqT5bpl937C734oWHIk3B
ll3ST36sg1W+iPyHduCkKFf1EhyDi/qjUf7vu02HBvaKyhpjrx0sLQI86P260nd0CDaERXf5Clc6
96jKA5aE6AV9EcQG4oXkVLg7E5fEtf+l9iIIpmE45DR0fU5q4FQv0tfYwRW2p6+BQ0E5d2xeNWxE
b0ilexch4f1Ys5DM7eiY3WK+igrX70/1RV+nn/FJ9PRbifsyRGRuV8+GftuvpCsRBH9WRYKzI/mh
w1gnWwnDd5Ev6wVCn0+WX3A06YWHJFZt8cyBvbfzvVv/Uot3BHCxiyMBrNgJnzzS4zX6/LW5K94l
3Kt/BGIBW53MS9P0kA5x8C/o2MScQ+e+ZhCf8ZI6N1ZFWpawW//SPXv+m2EwcaPak/E4FW7Zuv2l
94K3lDuAAq/nwUdQ0hJTSrrJIJH9hazAlo2dXMTR49EHpo+JWEpeD1v5j1WXkE1ivIF+brjKmnP2
o3rZ3c4qF/YopuLteGwIMPvFOcEKrhcOnA1cBBPDj/4X7dY6OpSnYMnV+s2bJNOnbrY0SwvM07Vd
ru8rldJtgVZXZtt+M9/KveoNGyjsPkCGegKrwuVJU6f947FMoDeWggull7aJ2ZSsk630ok0HIhb5
W9FRXIrzE2tUpSxlyU8YkBH2o81lxl3aBOY2JE3w4TeEeORbtnbdl/XFzYlZsbtyscg/ZAJz/GzM
72/3Ncpjrv7LcB0jlxvK5fD93JLXaVud6wuLYkT/hP7N64MywZNX6sf0ZV2nejFe4sBJbzyXNPWF
YJFw/OZBQ/kP1esGHzLUN+Y31YkQOhnhJ9EqPJEj8njVjgUNnXOMcxW1BpfbVn7F8JNcu2X7m7Dv
WScv8Y48n3etsqEuT3a6zTaqAZuO2QnRU3aDurxi3mLLq8KzdgHUUDtcDh4ZUBkVuOZFb7KPWdfO
tw9PWVp+drA2w3I49e/SwtziWS3YLKEwnisH8hao4uF8+5yNyr7LFFIe1UWIu+wL53d3Zo2s53XD
Tr6kCs812jZ8vWyf6DmbCHHZjbHyUU0WXlUSyGCrxJNttQV6LcYBr+LDZTMtNh5NfQWE+OSbdHhb
B9klZAjBIywnNVc5CJBz29rZxiR0CVCfAK4JwgdCORdchGMuW2M9KpeChTWmF0W3Yd1SIsvLRPIo
EMm++5bWBL3eeoC1vta78jvhWC4nnYq5xf/O5vCFXR+F6QlXk3RDX7PKL+z4NgwEQFTZxqVkJdol
e6z2JGfS55u4R0j+/BDptLLoB0uS3rh2hM/7sn8f/kQ+HriSXfkuNH773bzhniK9OzmWjdOCPiZ7
8s3ciF80rrTOU6/CuiK09DS89ZWnNT6ti/wnokLiXdHNJ3wELn2jkMvqY3KTHwwAaG5ywr2CrK4Q
bj2O4TmYrgAntm3IdgNhONy00BG39H3G8zhtFc9YmOfyPaCjxAiKYhzVXkozhjbJSY1vHZ/oserf
H/1ZI3ZpdNDihfTmt3TSv5e1QM+rOT2tu7ZDwAHzi/ZOBLc70iJnGVni3RJ+Gsf4U94YetwDLw0W
GiM2afk4KNNOStyay8IJWqc0L3W7KGoflWDINjjB1YKBjffDA9pFjrPEfiuS95ah/HToKH4XtuQE
75hjSM+a6EzL8/F/kAiD+v4kESl1p9KwuQvYw0+n8QUPLOR5bpiD+d1XS/5n9gUJcL7Ei3es2ijq
mWYEP6OPltBntngo9wgywbl4sl+sU24eSmUeJMFO8wo//2zftK9mG3V2Cv/xU6SVXM3Lb/yXj3b6
13yYw/ygYtanL+p1vSFyDnHon/JKLtJrve6djg3/eFP/BhJ8Hs70mGejoQOaQDN97rRuFUOoORCb
05bzjHO6ryvxME17fmLYrof3+2wSthlISpw2Ov/tQrivCd/H06epGAlshnREQiedI03EatmP+Zl1
kb6Q5mbmUrIWDC2JpiQMqkdTbC6m+h05WTkxdHMYEwF0bBdZsJDnOoKZKIpnUHjYjU8qRTneMGZ0
70q3ZmpKWhko+VpAEE80hWt+Uhzf9/poz8b6Vb+mIGBeyMbPhcImfMPOo7cmuKyWmXXUtMUjeYPR
cpYsfzQpYOzom0CW+ZHl4qv7bOieV3YiujHT4OSFAUcPKgriUrpk40JsD/fiPvIrNl+74IY6naA8
yLvIkZecPSrg+PiYs9vmdzCZdnrEYk7/k6iK1Odx5rW78CXSdjVuDVSr1KCEvDjBgiV7z8elMo7e
qZbTYpsRGDPlS2o069O4pIqTvcU/ge5xqafb2LE84DKvvO2RxehGmyk9Dttgz/i0eSVyycSEay26
V/bwDBStjwpfHw2T6FrGe27pPucTeMJv/21+8JCTNXd+IHUg6dfpDbs3j2+ecKnusrh2Zwyqv+mx
pMRZGd+5bpdeHPqjTCjOFlW2vtDecSYjPOQJy50U+8z6hxEjrddUbjb6XLTzWs3Jp+x9dUuwQ+hH
PpkJG6ChvnmAKg6euEtOdDf5lGTE7NLYFd9QpL4ILEcyk6mJ2qbsMf56kUDkC4Bjl9SEietasMML
pu5zbOK881ABmtkyvCWEXR6KS54vDWHJcIGJgxTRsyPNbSVFh7F/A6YC0Q61EEkQ5HVBj2y/Yvo8
C532jstYkGtd9erduCOe2BaWtI64FqjsiOW60JcdH+4s3T0bB6JDtBd5zeNRfSOTx6+v5CYUwjIn
ru4iI+iO6NtuHzSNY9pS5FRRi52Dt+kskWWu3B6m3/AGGUMwylqa9MkBNDdONIc75vOkCo4oSc8T
RupsrYQ3fa979TrmSEVO9f5AbBBdyvm9Pj6HxLk7gHDvynJE8DseGJgzMOrJ6zdcWpaUG0SVe+qW
4SmRRM7dY4z13jKmvEgHYZW+lK/JiYc64RxYi1wiQH8YGEXsR4lRWDFwIDRlGZ9F9SVa9y96Q1yW
k/zer+J1ZO9L4b0qP7JFtJbdyaOro3zS7G5u9P8LwC1YwRx5U90yj9zxVXN5nPk4qnuXPKYcyipc
YeKk5cbnDnfBy7DLFujymadE84QOjyMXDbVd8lq9cmsOr1xkLHhy6Wtn5d1k4X6ZkQorqyG8Ydvl
HyItjDedZkyz6IEnZn4yMJN1jAYyuF38Zsqmij2TnhCzMh7RHHvKnXRZj0ucJgkJULE/3j2N5QXg
QuznMfH2K6PYSVh+jFVboNX0WnUxDcwy8PN46d3XY65+G8U384dBXpitkwDojq9JMduaNp2wl3Y8
WKpxzeiLo2c853FQXIleiaGEs0v6qH4f5/RryJzsl4HwkR/PFTOfhDVx0QauOjZK13pT/VbkZ2Pp
xRCzjS6FapsnU5w/ndI9J0u0tkqbESA6W4JohFfODp+RAGAAiv1V3kD92+kvyIQccWOemB0OxPv8
oFYmzZV5t2MwKMT9Em30Tfc5fscS96Ad/THnWDX7arCbEtDoou/fgnYvKR5cR0J/smPwDk0Sct7R
2BkLtOFnkdpWZdC5mP6brvNabl3ZsuwPdUbAm1cS9JREyksvCJmzYRMeSABf3wM81XdXVFS/MOhE
0QCZy8w1Zh+YfUC4IenZdWSzq+k7eSOpCOWuYVKJjg7Nk01/hP7Lixvf3qmK1vG1esnlilGYA6uD
Bo8FVN/ZL5Gf7hnRgdKPVC+o8ZZ+ti7RP/rjRL/5x8vX3RpZxEv+j6B6W1KWCIw3/t+w5bOjEbpr
37S9+UJLUQTlk/hwHsePCMO0g2HvurXxw9R+8ss4+CuFO/tFRAcms3b0Fl/caceS0T41x5j52rfo
iUXB0Y4I0WxgZv2SpNx7d2pPnwHvAx+Ok74GlHLRd+onu3Q038Sl11Yc8dWL+WHR5EmeciuoXrxv
xi9tij+n/pnmyQxNFCQIVver6ZnX6K7NVfu2TtkDc2dGs0bsTYSHHmV8nT+bnRktrdaWQgN10Sea
zPYKu2HUb8a7Ecin+JPDLnrSKDavvQdaPtUUyPPXF2l1RoVhj98AMdg/rlp1LzVFoTWy5AfeY/Jk
seA9pS/zE9oAAE09K3gJX+zA5DSzlfW3z9/45z85X6h/zndYXrJwol2gN/okw4C2Mo1bdFOb/J/p
ydnG1/a0RMgjGy9CgBUSkhcKlqfuXj449yLgJ00/K06sU7JtHqurf7AvWVBfxp31De3WVCtkISdj
b188f9O9J2+cuvERlNk1v1cB3UWE0RpeyG8WZXnCzmugH4pdgonXViDpcPfo8CizUJh/NFk8quVD
9G/d53Dv8Glp3/4uJVsI2me6lHMQnzAgnvieSdfxinyx9vmjE23O9p8akT/l6z2zAUl94Hf+pRYT
Rxuob729Qt6B0I3DF+ENVQeaiO5xvprGwXkgxMzqZ/+onSTLJ1tPfea4rI75S5kE7pfzzX09SNB/
WCI4UPSPFDkNkf1bc2cEwPxhiaE5qo2L6jYpnZqJ+UX0dMxhr/iE1uJMwpm/puwMSIVDRHturug+
BS03MmpwOukX0XtlPmOGhGuUbuxg0/qYg/zUZ14Jsaxnrhe+xat6gh3A6ySAvFv6ndYJoz6goc/y
mWkJCi84k/Yr5lWEPGZP3Z04Zs/9ARUVBm50+ckaH41zPAXqQKResfTxFtkxSRDjvfdGCxtsRXGn
f1DX/WckqjpHr8V5kYhFAYyqcDr4D/VXfODUmqmnvqMJoW8DAg57nrNgu0c+t6n8hxBFLHq41+Yd
+BXTA2jYWbfH95ruLtWpY/SKokOcnStVgY4C/Cc73XOWHb0rwrIrMtdr91G/aUFDHJ1vqy9WbKAx
DMCYHD7mAzsIO41zRDVk1cjQKISvCTT1+i6C6XslynYvOk5rUNAJj5vr9Nw+2Rd1anZ5dkistUtk
+9rsWGAeemsrTv5zHh2cew0BCTsz5Y/5RzDXEiCKwUiYseuV2KJ5pMxC1Ivnq+ntpp0fsBK8N24w
vtLrbl7TVx96CKJeKv4r/wUUi0f4tYmC/vieh3dFHLjEtVSMuddnTGlFS3X6k/hr/z19JmHo+CGj
XU7StKkvzX1KzEFaU+OFtikNIuWN/O2+yFSTYZfe+5/hU0OozVx6c+hkgIEt5BHiyVCdiuo+1fbO
j/OTQY/nq+JLPLsuoKY9bfTknZyqf2c0cJw2Do0r7cEl2MW3/aKYMtqXT+m+uDc5Mfu1+yUu7HTS
fJDRB8aadHuoi5JPqT3Yo07t/eIxya/K3Icx2BjkSevhn5r+3xsxBOQQwoySMlZQU1t5iX7GbGMs
lr5rTh+OxtzbyHKvqg1uxGOGAd4b05jk6mxNNeU0HbXsnqOsKaku03eleEWvidFVBFF35anbrfNP
Xgv63sT9LC24yDlH90Pqm2qnvhPMVlqqAM7JdkCSLAm1WdBKWBbkGY40JoNyI9msGdMAO/Y07bt/
xh1TUZxBw9JbsJ9b/GXXjObF5ZmBGzimsQXfZA/EleksZFSsfAD1S0R8LknbWv+ZjjFzGutkXkJY
shvqltG6BTvGXoUz3jWlaK5ex+7BPXi0TYc9Y9tyPLNP05beRiw4wP+nxwgHj/FYI4Jwjka/JSLh
Dcv8XQ+RjFYrAYs8HQ5M9OlsKjQjiK2N5euvjU32AI5eitMwXrvyMckeDHknqz1QeR3rDHIg8SrU
QQ2XYoLQtJb0IEsaE8dxuDPz78k5Wh5isdfJo1xT7AlLiMuIhQgSLH5eiiGE7ITdxsZLtqyV/Bxz
ilbv7IPZRVQ3rQ0mh4bAcQJkd/m79ehfkCf1UP07bEeBIu6FWBEYFdVWL/FaPbQjxlFoOF5ZmBPn
MLw438Pl1tjvl27/3z7/7SYcTMQvElrp3wdiL1qqIw16OP6AqW04PLIJFb5q8eF23xQ61tbt3Auu
AP7B87SN7CmMpS1nQiUoyjlz2B2TSPWUUrjmVijq1aTbh7o5w9kgV7zddXvQgI4d4LCGzm95mj4X
PAytrv/3z/wGoEFd+ztG2ygZpEa70cbkV1eL2c/tvmZ5oM4gKt8uppbRg9u1vw/cnvfvn3hWvyAi
k6ELGBul93h72XyxQ7ldvT0VJCyJSWpkR5g6zUM0HMaKbNyaEKr0GDfyZnUnwcRUteU2jDq8XuXa
SLsO5p8zBU6xSV6yfrprouk6hm3HkB+/WilN+8EpkofF6tY3sXu1xJeBsfHWyi08EmhvJNl0SES6
aThf+/BhLEZzF5cgc6r8PRQgewDgj9scPV0WDeNu7tpoK9OSJI8Kgg+kz86RxU5mqgWu0ElpPJc0
uUcnmpvpvUiydzmUCjdW4lMmTtj6HPZNp09oXLX9uJcOne1EfZVaaZysEFkURKvJszb8Koe04Duy
tWHb6h4zxh2lUXWRnaGffJvuAxMTv55GL94ztxXT2xOQKq+ZPpkKaVf5TMDRg1OCUrgzRURglCe0
LBP0nTZqixaHgs3UI2tsFRth1lJsVtp4yMv4fUjxeUedugyShLQHer+qmKIEUZOkoDVz8gibcWAk
3zXCSx+QuZ0g8pqtFDHdMNxFDgQGDTmzwxg6uMbtPNMvr2KlrY3Z/U2l/QViKgvyBOfgErSD7aJM
GD20LxDbDilqCgy7STFMXQ90sWHBE1rFiK5QBRnrA4BgTud6NxW/3likOBrRe0secXHoWtRizUAa
kE5RMFqzCux6+fNl6DKJX5NmKB7DEiYRaPArqASom6Y9nV0srHeFxKBaa3N5bO3vcdrbhTjiLsEi
UUKO4yvftOAmV3qSz5tE9u+Y71aHSv7RUpQPzLyTNI25Ws2ZffTpBQwMPSQ6NYeGSeT7FJuSvlvW
mrz4SmqmLfT7tAKWoEoP0cLckZFn7idEiW5nhM63H893k5FTlPJ0lMcadM4EeW3GJ4osapsGrEiw
GEBM8zLcMzNM0MupdnDNflMO47jvphk1NxQoIekpmk75WnMkbnSlU4cEqGMYiCMzFrPUy/+AH21O
lTcxMk9NxEsmFuiC8yNUsYZOw6LJkxO7up8sgdUfS0a/KVPluyJnb8vg1q8MDtlusRapxXCevQn/
M5OzJCUasNIW9j17QUUFre5oEDWWIxggdVgMjPzLBkq/MZr03U0MArkQrbNbPWkZKcEgCurKA11V
jbphlLK1pab/1Fsgn80qs4OGpSytpA2KCSW/uoQcSEE4UIwA8x3UFZBTHezwtvijRNaf9YyV2zLM
wO9rIvJEJjsH9tmxJ6RJw2jchXOZrWtEt6VhoTME4T52ubbDDtZmQy2HvGSo1jk5fAFDTfUQQ62I
eWCq4BGU0r1nIPGfm/TcJwQqsiXqK6rsqqKvpB2PuoXuS0NkwBKLp5ztYYtIGyLJFLDNgRZpEr3H
JS3l0s31VWlku8ls+3UCFn1n9FaxbUHLUAOj+T8UFP+b2UpIgLO3Zp5frewyVrSmOnqIYzYhfu45
guNlChWnslVJ4zPxRSCzSbu6luweSoMUJht/NFf7GEd+69LGxURM2QZZ9ndbktsfwxgwhTGZD55F
yVFYr4Wjs1ffJEA4VrLqIbaVBRpcu3kcpbA+MsqNhkmv0qUWHMXDNrfEURFEGMAAVm7rdcdsSD6B
XKQbhuhOAKhdVJEzXeuBBukYMZYQohJJpvrq693KYwz1hI9ftMFBBA2VbsLyrstmW4jpwYBWjHff
MtkfkvY05oKNKxC/UzN0x9IlZEjmLY41jN+48UOhR8a9ZvTvjdG/lLCzyh5uZTdqpPEu9YkYX4J7
WZGA2jTtZ5shYC2j2E4256qq4nVZ3wwRPoowok9Ri+yIFpEJ5hPW7Gh3fZrk/jlkiSy9dy2jTBlK
EJUOEwp6OnV7hu83wslf/HEZV3D6z86Lw4PmEg4r5zt35D9T5/g7e1QDzA5q8PieOK4RZCHSEsOQ
ccD4mw6bGam5r5d4WFjkS72ipGVEDu67/TWp2hiqif9qlQs6MKdOwWmGUq4dEYp4cxBxlKP0W7cR
8z10nFWROofc2w4ResNCayFcJOpV6x8nEIZt+bi8xWPoxhxUsSN25hSuIGfaHCf5a+LjBRyDuDga
CT2aBm8H2jhoPIB+oy3sOBXzcuq2fk8wXdD4GOAmI4HW1sCEsMuOo3A7DPYDNAPEzbZVbnzMKno9
xoujzUETyGlf0OZRXrtzLWOGVzcjbJgVyBkJdCKROTVGd7K3MmsZEOFFRjKcPg10ydgy7g7s3lhS
T0uZGocPBBH8pr7WScYS0K6ISl85DcXlagY5JiZqX0ao0YTo7Ldco2ggvfPciRk6I+qJUrUdyiUG
8qshZZoabzY7yjcl4/kYTzDal0ZU+Ss77FdDCNoiJAuDA5DQQSOFQXiikCxEHlVDc2qyrdtcTb0S
m9jWaBICgF+nFlWP1iH3G9hhVy6Np9j1JyYQc3qYeMLTP2RWYhhWtdNWuwiCwcp17PtppGZcHv1p
McXr6e8nrgWOouS3aRiUyUTZMi1tp/uERrs+5tskRCAPFPNN96guC47vTUdBrUynhCRRvPh56wWh
J2lyQimtO0s+GUX6KmoosCMLctS3ijo8yYhWGEEfMfRStClzS2wmsnHf2sw2XqV1P5kYqsCQ24ue
AuakZUxsdYBlG5qulQdrz7PV+9R7P2Eun8BEzPeyH9qTiqDy0g8wnESdbCNCae6T1A+SKlTje2e/
kF92GC64eLr4ZXoZ8S04mnP/MnEEcrAS1hDdVardMdlK6ZVOYwrKbS2JvdBxzcze0H+SjvUOxWrn
C0RsqRuS+CbUsEwtz1Gj6b9mZr+WTa0HI2blo4KzhD1GMJC/BPaAeUClW7siQ7oQt4+z6x6gVgR6
gqjB0Oudh2XgWjJoH5gRE+mtgmTcdZs8GSliieK+Ar3iNDMDYzQPKmlsfaGLh573H3R21MDSgpwk
4o9p9OK9oxYa9MRM+9XCsieaqCZJw593tTtshgb9j9bS2ba0HKxwmx7CZIZWoS51jtF1Yca7OKF6
pceo+DF5Ywwp6RlWXFIg0eQbuKF6O7BNJ/59pPTp4PZUX5q0DLD88LdaRZM+j1PYJHcO/ghrJ6K9
ajsMMmr6H1t1P57W8bToggx6OhHf8YVVL6GcvUN99sfOepoNh7lbfVVJRtJmgpPd/BqnibVlAnze
+/qxSmjmWCFHrT7bZxXbNFNAJukuWiFIKFgmUKUfW6Mmz7lUkWTgdmKUtLUBA0DU9iqJacfsortS
d6PPLqHo/bS1o6/9CTWk6l9N00wPeS4vCBFGA+xXjaC+1vmpAYmZG000m4Jp34W75B4mtz5ZoxU9
VilGOUDr2wapomdaztaqu0/Xr9RZ+v5p8klXfLvaDeNnYd8ZFQQqRoU3wsWJqZgS8mj3Ldbtpy6H
bNzzXvmaUtSEMswIILPnKfK+cQWx9+Zk+tu26B6h70ZnabGUFfCk7EzAleMLtamT4iRxiO3qA+hg
SEzXvksjoa+hlfdJWNuIgEeMgzACw0YGunfHtwAJlaQkZ6TJfNIwlquS4SGqqO3puzrytK1XDmu/
I3Kqi/ms7PjXVRLXg+g7zKjshBleoQRj26KrJih4+r2M4VsJqOLmFrIEkuOKolpP1svi79dXzaej
0iVlu6sWZW9a9wffrcUaJDwkZ6Zl54EiRkTs2TIhUtsT9D7JsKKXQLlKW33j2/Wp1uSmbL0PjEAB
bedil+nUjqDOoxRqKb5Nk7g0jBY8azTNVNJ+yDFt17Gp0E2qzN3ZCPOzkzMYpNDGcHJM9o8uBhHn
FpJrE9o5LTIBtyTo02wsaJIEqUaTALQafjSMQbCfK/ik165mBloxUhbrU7RxbIZD1ZAgU5yidBsC
D0ZEnj1BN0sgdtGr5dfAZNDONkMOfEiXdIzIoqnnY7aUkHYc4PVcdLem3tVuM206CnQTIwRbypID
4XlB+RQLhw2bFpwBdeBM9h/b6tzk23jql4obWkFOHjROlYT2i2dfCaY/bGgrT3F3pabwIjDiwwFQ
7M2QH1DoDTWQsf/M+iLD5sfbEM2Lddtp53CiW6vZEhUk5cYJsbTtXB2yoaNuX5VGQyydXtOo39+8
Yd1Yz7cywjjL5mQ3oC2pN1sX1hqXKWS1/jIv274y3D2ejMW+48EqCh+K77yvc6tHEWvHi5PXdRh0
Mu+GYCY0U0qhtXdvOtReIxHdYSlFsKxzcBKXIshp7zjOZeBFPv1d/9tr+oZqVHrSxXCBbnnHB4e9
1pKwCdUywz7UwPBxKTKzbAdaWQY9vFFQ7KgEXXz8RtTjg9khLZn4frXldw/Rk5pghYzQz980B4hX
LCBndsucooR4mE9QmWQtdnln0+vT6LuMQKMAwRwsTNrWdtbkd+NS52vhojXxN0zjYzN12cn3Wo4O
z6Kt00RM+SBp9UgrosmkaT0zbatM9xCnj2WOjCGKux9MEv6YDcWBuiPp8emrjxa+US6z/YXi260o
zmyjHsEORl3RTpQkFzCSmOWexmbPLsAAdGOi00WP6NSOuotLjHx8Wy2lDGa8DURxiRH2G0yUEKzO
RnHoG/R1vTUXZNvWWpmoyeGDersejUuD8NEuQdg3Q/NnYum1/Xg6yx56aDo1DiJG1EfKt8PACkN1
32bxfhjmu1kzslPhofsb5+rk910bVE2IdjBMNnYaXrMG8TW2Sidzae/YsFBXlmxfndylBacFjnqb
I6i8AEFeB8tEzDW0gPBDlED8nvHeEjOqmJGWe2HLk1n0DEp1aKenieNaiq1pM9cwvZo5nFogNcC4
KpRVLdtBxFGv5lID+RaHAVnwG9KMSmuMn7l+io1E3yyrPiwjwhIi4+TegDLJ8ABuFwg7KgOFYTXV
+zaDY6OL8ElrmBCZ6QvzwXI9f8sdczssLmvMVggzOREWXqmYzIgt1K7QjD8slL/xXENRL8jusEbU
OQMkLHpLrJrOpL1m5Diae+XGSXwSWs9/hmLESehwoLo0CxU5/IPBYsNwlvszJwmaEITvPUS6reGo
DyaoOn7EpjnDdxI4JkGwqIpxK+qUPofo4uvkfHvRIyMOFTUpqG+9v3GV8al1NFPU0j2a3l1F5pI7
7SdGuBgAYrVovYcls6WMYB21Dp1H3sdfnUZRKIUZkJZpkBiKsApHlE1b1++cchSYQrB6pmZ9NGav
VrqJ8FRzCgOZu/ZtOuppbuhpdA6k0xIpQAuJ2od4lavsN4aEfJmR6hslrbJyyWNtUjidGK5S0Vkw
OOEpSiBjrp/DOfGe7IaGiKJ5NVH8isxEv3dLPSjhsgXtgFQzq8biaTa1b6/S429ym18bizSpO8+F
b1PVNNtf9rcP6VB7sbuIKOuhrPtmTznTHqNxG9XJh6VZ6LIOvWJDTSyGedueshpLw1micJkK5vbx
/UmAAe7siCDGhdXQmGrL1kVrwsIHXuUQofThOzTwxDVQipch0ckUNiFT1wMs41zf4qa2aFr0rzz0
X4o5ZX4lvy1WNJ/C8T4Z8w9Pb9Vuhq96rkeYYxh46oGDgzmCnPprUBYsJs7yEv7iZgKqd/J9zCxT
4pZybortoId3LHQpFp++tYqwm0MMpT9Xfk1uKEeB1JOhOLt/Z/NKrtnYgbz1/CcPZ4BNOIeo/uv2
xSuKwJmwShvLmrHU0nyyOta/QreaII/waBKa2KFRNSrGn0Ivl+xz1HhG1r5i1BqoI4OzlY11bMrC
2bsoD8zc7XehIAj1mOQ0w4JVSGrMIxAlaUnJnDyp3hCzongd9upWD0I+qtZZkfp7k9jiGJXWTyKF
/5Ck1WXWGOpUhjluQaaC1vKYeJEFgbzlbJzU3oZg5fBXpGfpF3B9vxXCE8nCvyYjrNH2gph1W7oO
4ZtZ4Nc7m4j0B/oZcfrVVKV78ShHkzVMK2dwX33Ed5JRP2ZerGljV+JPYfU75XgOmZt4cPvmN6Lw
tikbtBKqMuedjxIDinq0rkPC7qVqX2qy3EYuhFkVR+5ehQuvdwSn59IjtXGkZWiD4MAVKIpDgQZh
MlgxdOpX0dwYSFlH0Fh9/xFF4jUtXRsrUbLkuCrejWmWe8POTmHYautJMX5o9ovIsuvw9GWOXygW
0hKi2N5sL43wQDFEkjpHFNvb9rOHnNa0E92kWTHU4TTwCtq+ZbMS4O90Znm0Ym4DOyno7c+UI0Z2
uHWq+/k+NTR3Uxt8q2LUfpx+cSKT9ocPfD710uozdUZsiMS90Thn9tqL4pd9rUL7OGpmvo4h/B3T
lnNQLrT24n0kK96HDRwZgZqhOGPk8ROlSN+lYvHvGMtiI8FqyhnYn536J4/wjUh0D3lxuZB3/ver
8dRcVbcMVNm2PI6+XaYPt6dHtetNNKqXJGJQU0Dij6Xm7UnLxd+bsnZgItxu/3v19uf/6+N//3we
Gt7X39uuR4dR7XSh/vAvY2YkoGYvzvXH27XbxQ3K3SwA8L83b9du990e/fvk/3Hf/7h5e14IbaYa
fnTQhliaOZsb0TvMKj7NtHzEf6/e7r3dns2Rh4SE9mH42KAs7+R2wdHFxO3f22IO/99t3FmoHbZB
8u7KGeLqLNY+MDZjbVHKPGJ3PPMpRXewQrnKKwij4YhR4I1lKwdQdbEW28cZFnfge4Q0t5tdPf/X
A9nyFNeB7MpBtf/7B7en3W4KikI7R8Wn212JbVlHzKiZZOu1DJtaE27P7Xm3R24XpWxo3ZJ0PqaJ
yeA2DFJuLm/j9nBn2PahNH4my7ARDPsD060OWoEEitiJwAHK1kIrcmua+WHOXlxXdH+ttHvqUho0
QzM1a6fEPOx2YYwdgoi4bGb0jTMKEagzbtn9jgKtReHZVD9THYgkG7jV0DGL25Z2IZYdGbCxfbJQ
pdIFFFXcDvDl5u0+KRXS7d4FB9qAqy31gfGG2yNDVOjzJsTDMFdU5f/+XY7RLr977xxD4Gh4gy+v
cHvtKhILeUQMuLCCOf37//79L7eX/fc5t4fGjk6KrgqmQv/zprL/vLPbs28P/LfX/v8+/PcVKi9t
d37fHv4+97/9zxJHkyRrTrlOAAwzi+XPk4AUMKAM4sh/UhbCRUNnzs6dunNG6RmcFPSMwcMlR4qE
0uUX5ra4ZtchXYEyPkB6Lw7Y5DVn0Su6Shl9fFwkhnjYpF2OgyO6lboE5QViBTcw8TU02h/HiuVx
qGnENzmhfkPkQsZpk2VDKhCOQ02MnqURknn6hTlCgIFBNPjtLqT3IRxKAW3XUHjznwnAyvtMsaT5
tYZ0VsMntsvCoIqGmmElmvVD0SD89MhFrBGoQQvDo5D/DBHG102FBopYIOiz6dJTogsYl0dd5JTP
nUMDocYKF6UPWBeqZAFBN/3ujnlFvKKiQz3qT4ZbPBDetusx1xAiJOk+ZwveDxjaQEuFwaOTl2l4
bANzZJ6r7C+5XrKZJWF/P+o0lno6mLpJm65f1OA5vqpDOU4Bbh4jg2toie25wuKHAUnMquw7uB8T
QkmvEs2lpLcYpg9xOOdrOftIaPTu144yjB7T2g0MXz+VseqRn2Ijj/X5MfIYANFc/y1DVtnRB8Fe
C9Jr1KPowWAIC+uvHgOebVO035q7zfK8o9Fo09HPsguG02ii7QoNdcy8bnjDHCfhybI/Xdv8MrKe
4dmWYpo16XvbQTselwgDyochQ27o5vUbUwYSzzs4J00XRavao06qZ7hZpno7A+RgfRBWOR5ql9wh
ogeLw3tzcpW4p0/QDN1zrREX62SmXQHDBGD0mmbwvcr0szI9G/1Yn246r7wTHYZoyg4fhGF9F/VS
t+XtCA5hiiMGLolpDzKwYDAmC4s/bp6c8lAxOB7V4i4uqKGxncEUwqJ86+TGfQRlxNQGqLot5YAa
CQxcZGNdZPq71pn/OBm2ahHDFfzpHeUATph4vkjhPA1OM16oPRpgkDeZjQLMsV1/78KjqSmGHIWl
TUxNZdlB98iCCl+c3PApswb72uXGH9tgij/JX3AMQEHmFOh2rY+h1cCldPNbvBcRdm3abKR7K1t0
vU73QzNwSfyU2Hi4Wl26kiE+s883VcqqZkp9prlCzGoWtLSRwLaFqwW0sYxNmbk/0dDEryXlrTD0
qwCr7G2tALeF1HW3oQyPWpbgCCdfjIXIX/MNCd8UlDpL+0Uvu3MufTRwmKYGllSM1Vn2fjBjb99V
4V0bY3RiWQXrSCmPlATuNIawxnb4qPPmU6t4B7JCBCvDa1XqlzYeSf34vgexGWxCQbOffvXMEVgZ
MCdgtJTwRKyjpkGHleHcF6R2+B4niKrnQoOpA+p/DVV53cXhXTk71Ho5P6BHiB/SNRQV2qGAgryK
+pOFwk4x2NM2IJVYzremgsZXCRmhqZX1t3QoG7Q4XQSmA3zPQt+mU9pD/JK1W3e21JPsGlSGKUIZ
vlsEzF0s7onpAfjpiG6n4tS5SXRxe/bkiLaQZSXRdjT1Tw9HRNQwBfpLI3uZrKTftdliFxO79v0Q
hz8dJbQeu8h7zBrUaex5X3WfXpKuAh+I08OWrgln9zgMyGKmlT9QmYJj726A/27tGRR35XbquS8V
bUv1XLethrY0/scw8e6tKRZsOxvN76gbOjE8L0qXGI0LNtFodnx/3SyA9FZ28E5SYyOGB96iERgt
FnhNT+nDGtt6V8CopI2PEhb/x1MRqQ50HmpShBy7WQAnVilDFdCAZIbS2GlteTBMwEK2iB8giyo0
WgsJge7dNgSyfuhwaq9ndGE0q15wXmOoabiqtp3XhkftY6qwVQ21yDpinvSTQkpdQUT5HVOQhKrB
4bgatFeh1S3fOjx9YUPKrLvppNkeg229ux3SnhJ+aVLgMd0FA1owbFGPT2NnoAe3EqrFIpiNaj51
iGtyO5J3i8iMI9cth+ScVbPcNFKeqZNiRnwToCcQs1MIz1PtNru+Q/+vxjk7Tg0/tD+34MoT4DTV
EFJGGD/cDA1IPo4PGXX7o6porOAoAzQDaz1hAurXRjwRELzCy//IHZrpmpPe9bNAHz0xauEYjDBp
jbmObKTw0zCd+ybNj/V2UvKKbxVrauF/gQ2mmN8x4us0r5mnJWhmqieHplYxJ1BEHXZmKdxfZzlV
HYMWTibPjeIEomZHtDeP36FW3yttqoDm8OlTJt51jZFsTzKCXMfPOHPZOlJd/CfR5cgaIUIoj7wc
QG8HuB1tZsaglvtuD8z4zG5r13ou2y7Cx9x+T3LIhinWO8d+Idio5UJXGcMUUfESizg+xrLxj5M1
vscCUEVbmNNRJ9pDXsJFI+xoY0vkBCk6KFyXC/1Q+zguLdVDDAt3YzkUR80lL6jJI7221He4ynLX
cmH859rt5r9vcfmDNklozG1udwydQTg3Lu/cU/qzyHIgP67SAo/ZcnSRb3LsFr54sSN8nCk4TVl3
9AyPqzTSMZ9xCjPQfQGApPF3BUxE2XyYEdp/3UfneQvpbxeWx6FgLBe3m2DZqaCTsAVW1/THLPyM
rB7E9u1NmW2rsBec2mu8HOGZxX7Qpdm8chafQntJImoDdEm5XNyu/Y/78MJj33QYMGqMlOLkkjkJ
URHSRmaP+jLDeKLvSeiK5bf8e9EuMWqf2NFao+O8tmqanXs9h9R+Q6RGWUTOUmi7se1gJSwXqWsj
ZbrdThZvpbmmGuPn5t4RQ4au3h0qFC84Msnmceg8/eC4EIu85WLOEfKKrs7XCh8vSFXAYo99xdRZ
U9p3sVuyQDiGcZz60jzerjWaMI6VckqKGZRiIzvj40MLJxazSTm4dXsPt2sOqW7gWEi44uSMN7d+
7FpPP6JjH2InPNg1NBMjQ/QbYbJtUK60pkNsPtIWKY+F7tW7OPWAsrUfsyLOI9eTa9oGNT9hqQVh
JBjZcVvzWBm6eWxNiPc9e+iqc1AfuAZL5YJOhnXpu+D6F55YHkJTqBCUVnTrptbCJ2Mgl6GPeanC
MNnpWItS4ibl3eA1+kctecztol+u6SpETD+bFIb4MW4XLsaFGGlSELlx5ItBZ3xJsKFB9ap8hLhp
gsKZC+qrh7Kb9d1If/Q4Lxe37/9206SkmEuKOXzdEQC95TcgcvuvC3+EoeKhFVjPPlZtbk5CZMQm
olK1K3sULzUBr18BePp7AN5uTikz5eU0h0Hfek+mqT6qipm6YV60kumctttYG79NxuNZ992DGqvT
/5HW0MZWJ8Z7Axjh7B8o7gDfjNh5qVkDn8x2mFBkG5fpMO1z/o1JIFLKhBvk1fAcN/5z/S2eyxOt
KQ2RKkrtJRaEuZwSEK+ZaHLP8cv8AV7sd3ygYxG+xM8SrcfOnSCcruUfIIrLSTnuKHvSQayYS6IV
gMOuhUENgTvNcmqs2+69WIBjIEj+L2Xn1dw8mp7pv+Lq44UXObg8PiARmEmJpCjxBCVKFDIBEBm/
fi9oxjvT46q1t+prtSgmhDc84Q4ui/p4RE/62SH06jaih6pj2C7E13Fff+U8HIANYnjmYLhU0gP8
kJm+Eraidv3OV+n04oB/PWfiK2Q0moQZbHCAN/omuklkMdBTLd40AmeAbyys4U7VsUPk/Ow9GCGy
inHAF2AYxGoKhEZP0scLAlZOdMBkUp9BMwZocRKolAoutPN4EpoyN8NXcJA3oNMQLnDgx6JIkNJ6
/S7YznC4O+rf2k4+Cldl5R+pxxPrVdCxFLR3Z364IWZgWZE/4suw9797uOGXDg3s2gs2UrRUIfA3
845FWyeRdNUSw+c5cv3dBvHZsSDpnuXvjAMY8CPdCbpGm3Qd32BcFhiLOJLqYqyhoqOUgreA2IvA
QyPMsFE0QKBQUcMm5UAkxroBJN562YC28PpbUM6017tVu/UAVH4zwPM2SzbDhVouLOMopN4/yLUf
/qp1/i+PJjvk0aOu/vKHbKLnTlw4BPlj+f2XPwCeiJpIOKEZJtBUSdN0nv/6fI2AzvzlD+l/FWXf
xakiQdQUV4UAZMVJfoR1vkhuzSp4ReU0Bbfgiv4hMuwh8ygrGhtzO34xQohrweilk7bLoNvYAvqE
TfiTTTqpceCF5tJ/HNDs7Ao0VG1F8AQLg1qTuMGTgfy9o2gCMvBt/EHdz83c7AMVji0c0EXx1r7E
r9mpeKupOMxl+3mP8Vgy39NPFYKL1+7SFXs/OEyRAQuxfqF4Ax0Jz3hhMQNrgPsF+yxLwAzevgKx
afCwBFZtZsccmTeQpaMKO6p+M7bIMPdUszd661iNe3+23/op2yDHG/5ATIDQYPzAgMLYQ1+TpdkI
pn3EN8CQIoZyQItn3ZHGwqnkpkO1QauYZ5jV6DUIwPqBki0hzPob7YUhW9N+fAVsVl6AWJi73N1B
lICrS2045fqtgER9GBFB9iK9gdV3hRflDRVM13KC+3jDWM1RvOiUTjqN8ruJ0eemWYqL0FN38ELx
GC7m0KccqPf1CzKAAJ6zS46yCKwXkE0OcGfIkcxTAzbALXbm0fKhIdc6Y4YN+0kC4KSI8zvCZJHh
EB3Y9TyyF4hZIvZJBzuEQLhuJuLFGp4CcuqOhLMnQj5EOhtK5KiLT+oNDFtgfLvBJsqwhXKBIsOS
Uwxc5SB94y9fLvpPUnAOlQ3c01blx7C2PsgrPSI3l9h8IcAYsiehhd2HdgVJCELUWcWe6fw3I38S
9/8vA1+XRUnVDd2yZPXPAx8h+wpEl9ztZLPdwVnCPJo1huF1Nqx3eUKY4gBiP67QZkA2QTQ6w0iq
JsXvCav83xwMRgj/5WAkVQXxLKp4H/zzLNTiutefVtvtIplaIf9hMho+nIFLhEQbDBv2DxueHV7W
5FXBvqj3AQ1caJZn+CPR/vdw/vdX/28IC/5tWaj+4995/JUXU2Qf1v/08D9Oeca/f5/e839f8+d3
/Mc2+nrmVf5T/z9f5d3z3Wd2r/75RX/6ZL79b0dnf9aff3rg/DpVvDT35/B6r5q0/j0KzmN65f/0
yX+5/8/8LnAP+oc7N33D3945ncJf/gA+FD3yqPqz5cXvm/5meWEa/6pauqJgXyHqMrYW3b2q//IH
1nz/qom6pvNnU7fwW2Wd/U/HC3l6ir+rkm6oDADjj3+p8qYO//KHov+rpRuGyVt0+fcT/38cLzRT
+qfVnshcNhSLFd9SKXMRsv150Ed6pMapVIUIf52r3LKwAppEzyowMe+D+gQ6l6l4rUckkaSHKpQJ
vaI4I5qumkTfel/8jGUtTJjjEjAlXIMAieAusg5D1WYrGnwWKSUQSoFMCJTKxpQrtH6jBiW9AK/M
WHvD58eUvgKlM459qW2w4EawQTPG164agTBnLPBUIvyD1gyAMRBhzcq0dvUSLbDnc6CLPGLDoVSA
p9P3Li9KAi7im1be9GkiOo9n6kldfLEGdP8TM0DDNy0IYzW1dDDa/hQAo7NmRQAsCk3bVHH6Zg7B
uBaVJc5oGMbRCqxltBmBAL13+kpo2J2Hx+N5wPtrPmiKBUdtXGY+2w9dX6QFFFZvvERXXdpM6iWV
cqgfpo/YCoKNPnhObZiMxaCBJlb8vIg99CRcPqFMKKHoKQWdxkZTyOPRNRlxVDIBZu9+f9S6vARd
NDiJCIwDkSArlTt3aNgeEmpXyBfEWDfGbKsosULfjYRXFUzuTuP7qmcxeprUrYsnWiDRQP4njb6D
x3YO7h4/ALqjBboZDVgBVGAGjCwxuR/uz25YipbSOWlFKGCmuafn/V6dWsUp+vbAbPrDM22NWdwJ
877NaYK0Apl7DJs9AYdMVcBajdR3ooAyEeI+RVGdsm4SiOwR+3nQaIxI/91Qh1yodDnOAdaeVEZ+
PhSEkWjtZjk1FFXT8a7MAMHWo8kdJDrW4uwShcHeTMPWzjE46gXjXUQXCRt29UXokIkg4J4Kdr5y
0GUW74dhXn0t7BDQFhDmSQvk6Y3IKXNCzwyOy0qxOqR09CKFDipU2yQHegNWyX5A9qn7CN3Apkaj
qNfTv/7g1LQhTI9tlFJYISGuMJMtgmIfyI8PerCYWWAcqsmYRggmfd3OLxZZaUYLM6IxqmApB2mz
YXluCQSMCkiwhupOBUsI5y9IoaL0auhPSB9jvTdRQcSFPdrij+dWgSJBpaCvUAsUxowh2NGqWwpJ
gjCMkpu3hPCKbtYmK/QK5WrqfQC2AvZxWynlJSSG+K6b4fbhSzc1zEH8+YTkAiyeffmE01qCH6Kw
N9ijiNJETX1z3ui4VIo9YFHdWj3whqKLHDt9Q92oraUvM8OCTKDrLCYaJcs+XQiWBeBOaNjJLbjl
I0IROJpV81zNpXnnpy0kGlTRo3ZMnLGmoqfGTzcZdG1jSkkNbzBEcRc5hCHABDgEP2W1qw7rhnGU
v7RncmK9FNDURE58fIoUrwrzEuPLy+30k3momkszDpFoKkdCHumBVhPR91DkB7FDVOuhIIufR8gm
JxQz8ilTHgzDA2RKz9ApAeRKUYaYfASCLuO+J8I+1Ol9F0N3bvMHxdEnFGCh4hT1CK10jBd0WUHi
UepuspK/yRSygJHVC3JzQJUq/FNd6CdCZ1ntyK93ChIr+JeGoIxVDR2pLgHvS5cpm4fm7Rl+GKre
u3c9Q6O8k78fIIHo0M3UQ10/9mlfYKdXle+DOeK6YLZQfMckd0GqFDM/D/tZWz1In+gmaA9K+eIj
/SmD7khhrwQVYWclyXhJ+mr6PZLFTU/xiaSlUcJbCgSNi5fcnmm5DApgCHLd/dB9iGwc6r/qFBFU
4F3A3549ZS/CISzuyMbKyRo0eniNZQD7yFC4y8lU41ACduIfsyD9wfGUd6kDtQwJCcgxfx4e4+gJ
XXlIrVNokqmF2nixVAHIcOoD35cXJeNtqJqdXlTnKC2vjz46VKkPFl0XAoowtC2LEesA32yuGejG
VYGKhanJA+UHYHwtRQzHlBG5MOh49dhcquEo2o92VSNkm5FZNc/i+3EPu+CQhmm/kgdxp9caE7lX
1nFmbmXMfcIMLLAKWjIONRkx+xYKYgHLzhApluumcpH99JqmfoSfzvBdROKy6IaPoaC+XbbKe5AU
CEiX0aUXpV0YNponvRdilyDwH+CQo0LLziJw+GVkIAOnV5cI2WW/8TsyTbgApQgyUanG4/hof0Dc
4hcczxXff9EkEViuDOxL/snHECvNzsJgpY7zvVUFBp4UI4WVEH1L813G7XeTG/SsmOuW24eISYEl
3YvWzqwhfusyGGEBU5C2eH4DYcQIM46fDl65LICNE8kAH9vI/IyiaNtKFMclH4w7a8tZeFZHuWNn
9eP6rmrPtfmMaXcZgttbwT7QVn45Wes9WLljaH/rUBgX3eOJXIJs+gjaiWtwajzH/CiSDOGogYOM
fqJK+1SbqV4RqecSK2UsBions1p5WWU0sqz3WFRfh6BUcXlGprMdcEoXoiNLj1nx6ZVeIojPvgEG
e/2wxvNg5IgBwByvBn1vdeanJrRvughXTVHvJjuQK6forlIbpPcDanKANq4IdpEMT1uQpWWKLT3+
qtKVMCJfNvHFiMgm8WgInEdpJPC45Y/Mb4sdh4eak4IDuMHGAUhgYyjwKwGkgC2Z1vCuGc4qE8OG
HID78TdTdVwKYcderCKtwy0eMplQpjQ869nhRoE6B9HSmv42mX/7uHdKurRKktsmaoF16uJ75WuY
HYHgDAr1q+xf/FLR7VGHf9tkJAQRUVRQaeG6MSj2jbqxKZoxmGmY94T7YVRJLQIRmSaFpSuW7k3G
VlpA20JDVZFCp4hoH6uNMQ/L7CZb6b7WlC1gyJtca9egeutb0LSR5D1QAgbZj261efKTBc3wcwsJ
z2kmtVfdIOFH0Fys3YT4Y0yyrfEE0NA9P8cB9mvZH6xUfZXKYEsN8lsu9WWFeKpcU9TEr6LRios0
kODqDDGxBDBRCgtGo1uIY+jBCGk9Oi0PSPDm7dH81CGKbHlFXpR1T6TL0vyr91dD8gUaygsTcPpS
YLxXD/p6gfYN2QqJQt+4Ryjida2Ab02L/GBM/SfVrA/qyz7tU64Y7aTiWWiLThMCutiPw5DWxlzw
jWv0KNYPhV4jAcI2KDQ6NIllzrlKOVVSeR9Ce64I/Riwc7m9jcgE09R7MZ7BLWjrsx4LK3OKK8VS
WaFIqUCrkBjWEb4EZUhmjXIL5wSWDtLKGMsqppDCMmcFzwXkpITQjbJ3oUjQWGtAKEKKNBd5O9hS
ibYlJKa+G9e0to804JEGDsRzLU29jYylpc/EUzM8l6WpL5NuEo3oL2OGkhnBqb8wYeciZybTkKQe
N+oacre15VH9R5fN6jDyTCzuKpkAwjg68a0pAhhAldMPpUv6FIBxt6gWWioaCq1Xq/LVSuptHAg3
IzRfNZzYwBEitd5NxdkRKMckZF9AFKpyczEmRznBGETRtZP0xK25w/nFbzFtrWLJq1NuPw3qxUNF
5j1hoVMj9MEiEIU6FCtUz+IOMSgKHXEVeAyZCB+IaZMRY8z4BB2QftkhRfH7q2Y2GKjASwD9w9Nm
IJR/e+b3cVSWoW020KZ+X/374/cJmWuPluf0aX//8fvM3x8aMtYq0hAt/unv//D1vy/+PbB/ek2S
xGtFbh4ebb5acn5fxw4La+L3V9Z9uKV//6pSkxam0oUE6zgD5c0xN1AY/v3g3x+SJaI1NJ3h33/Q
UvvHhw2kl1UJ+9f3B8pf5mf2+x2/r1L//NK//k1dicSppMmU7iuVLkUz/RizBpZdNIm8+CKFnd8/
/r7m94f2pLtCfQNrYv2UhyMaz39+/98ftgkF0aYGaFSmxBEISP7nF0m5nnglV+gXhPeLrwtLuhHS
1Dv4/ZvR9sm8S8FaJ33kuxU9p786RvyaRYRZT3fn99dGCA4P5Eiyxiu7cCNsK3XHbjVqW/KJOD5D
ftCRgpj5Djv1CgGK/qN7UY4UovbYoSMctyZyoc1+zrwHFreX8UJEigB9/gWeDI7RnEh6FZ0k1Lmh
1ZkbOJUxHQeyoDmCQPd4b+3QAhwRue4L4yU9mQelH2df1CkxEngOGyix2ZzOujhr0YLq3ObO/CVX
Qd9ORqnkCvYMxzgdbYBF9Nmx8GSOmHk6NhQrhGH4tf56YNODoMoA4dDO2yvqkhRCQ7YWW7lVWx8d
qnnlKReWEtgHLk5YQIJm/ltxStZwD7HYQmoR/hw1fvz+YEuypW1TD3KTdAJoF9KAgVGjOjqlM9wq
DunePCBcGJWzxKsbV4Q5E5DMhvtslb8GtZu/Tnp0iO8Aed084D/AQF/K8jtqwj04E3NA1X3LT8mY
mUiN3eFPjzo9CT6m7ZfkPfoq8jKP4n4lLCjbk7LCpUSN65msWEcx4QPVomBdkBPWNXgbsKvP1RNG
3eqpf43Fs/B5AKBV+/a40FD7X6fH7MoCnR6imbTI5ynOf+ULRoczEMTwt02bLtJMJsid0cn4tNx3
w9oj1YP8h49qIvqVkGUaG83DWsS3A3k+GaQZEnlzUkwbZkr8iXrIAlPrd3VfOF8kpsHG2tadPbw/
oKFeaeVvEDPVXi6Inu4RKd5QPO2pAAP6URWb9HCW+vMDuoXPhWkfIC7x55kKvZVzxG5jrh78b3OJ
sr8N7Bc5R3OJmq+nH6KtvtS/Hzf+j4PT/XmB+XuLztAV/W+hceuLChE6nvmHwKHhMyP84gIoC9TJ
s2sINXaFJ5Vu38XD44KExYFdMcd8Yik4cMdJRu3o6n98WWfzYB5AkE0gS6dXl36wsuASyshBHigi
4UpmuODD05lHG4VieeDkZ6w0rrUwd8XEVuxrvtsHr+8aoGIaf/O1gfbHHje9FCcobaEjsk7J2p9R
kTXRrpr3c/qvHhJtMOnPVNN3d+X1NWqXwvxeI3d6K1DEy+14H6GiNUdgvTmfYhtZc2k9YiI5m2KR
lz70UggLdsZcesyp5lQdUpgJSp+lcMdoYj9g1FjADphhK3LuAOKt8TYoPWzteq5Uvk3tHicwF3Xd
mmLSFXTSf/6VgoYbrBDcaNGReLzi+SACWlBiG3WkWbAaEbk/87nxvvTKO1wfxjJmKUDJHp3dz4u3
akOGIkPo9qizUOvBqJHB9rWNN72LO7sLoSTCruW5B2uqsIQMe3Pbo3iOzdcCANo8dO8q1hRo2SEr
HKEC7fx1pNyTuWfNU3LUmTHYz8tX4j0X9CVO1HzYvzETwCYnm2eo6tkDShFbYQffR5jRzqNqN01n
biajbA2ZPMBSA/vA+1Li6e5M95Ke12NfPLZ+sDSocayCbC2utC9aVj0eI+ML5D5/0SA3rC/6chnt
wkOA/qsxz7f9LLhSJKE3caFxMKNDdo2cZAWGMFqR5+QvBExcudwDaNhmLy5YJOMGSDZxxO24DMO1
m+PGhTzd7poXB/ml+XkgoTDsn4KLc2S5QAdcB/dicdVya15+VrvolfYrNEZ05Z5X+TuhcyS9EelS
yipbJ/KoT462VKDBioYuBjnjBj1RS/1sv7XJ8GhbQmrDOml2haCOavNPJO5jZXajp6jTu0R1Wivd
5IwtzAXNcpSPbWHiVz2WEFapRNWzcI/wNDYDhZ3dc+8pzImtICfcH9pyRNmVRrk5ixxEa7cMltzj
qjjBCsDkcA7fm5fOa409V2dcI1g7TybPBdM2xhm5kfxA58sF+cjnM9LhcKntR76VuEUohr4nrf1A
QBGyzixbMQvhIyBpNW6YI5EjPl6VBapzZ8kGK6Gamxrc1GtMvQZBePD+0MXB4HvoJ/Tc+u4OF2iG
/D02HcqNzZItsJz3a5hYLA4QuvMrQhTodQQO16D0ghcMjVK3vw1EquD2cMth+4PePt17SjX5Z7Ya
MW1Bqkb8VpApYaBsQ7ddqNPYK2hgNW+YlfjTbY8I8WL5lcJlerpil4ko08uvs+3+lUMU72jyzrrp
pLcsPb2/jMIF820Z0z1b4m0Z2KgRL9C3/f0v6PCOpamzDhy3Ovfi5LQE9dpJduA+5/7L44B+9hln
01BdAPvjSuAy0OVzVDN63Uu/RPS8zfuo7jWCXfwAOAKwtwD2CMARvYX2Ccc4mceCh7Zvd87u7Aws
IxckGiaFHHhDNCH3jHO2N39VzkQHDPCCYRV/mz86It8AkJ/sUS5DqGKulB4blMtOygn2M6w48DqC
QYrG1U2+g1diOU+tLwNBR3nuU5+jLRofoWuP2j5aLVU2IhdwLA5WK36u9NLDO3WGnAcYHPSIsacV
sS17GZfRXWtQPasKWvy7ArQZ2LTwZIEgYAzskhOJ962+iGcm6j208SMIVsq6vGKSNGfxZM0AxQ+r
82asO9Rtg5kbrJvPyYaVafAefPpXYQ1LeB24CGdyBeetyxa7yqsDivpU5dOD/Bmsaaj2VECwtXZ+
FyabxcnuDRdGWfp2QCsEQs4Mgi3Nsh03pzqjnMMlRP5zuolo+nO+sY01KHPJa6ka4VNhTmB7h9Vx
4oLMaoAMn8CjR9Y6nPpcfJtiiP5zwCtrkIpzkgZhUt8nHBrzK4gLAp4Jd5Ethuygtuka7wdbwGoh
tXV/g1azjBEdLjnN0TC9ojvCO0FzFiCEuAy4tXq81NR1TFv3FXWo+d0z9bmwWNuiRzcYNULLQsIa
v00HPWRElLjlCsiBWXN97kM3tg7FwnA836WaZfsukMQ5o/xVsSMwKU730uMOsA/KGyZw2VcpnJ5p
MO+/FbJJWbG2AnAvcQXMUMCHzwgOUlOAasocmERjjt8CYznD6QFiNmAQcBiL2vhMwT0S7+HoJ0FI
Gk9qkTriEiQ22xVlqt44UuLU/A29YxXdCU94fMmn5zBHtByonQy80pzwv/7WX1gt3ixUEoA3rVh2
pAW2CPuY1vtCubG2sZ8QSEuI8rO0Mf0b7lz2Au3yabmEK+UZmm/ZUxhbEqgy8fasPCEsqlVzR2j8
DNkcJnTBwoGuN4YlNIFYPF4r1dZeS3h5rNsa0vpEkM7XuG592jGTdVSV2JLmtZOjiTNia8zUZrvC
04SIu8YlEim8+fM4FovCVe/qXSgWCO7eO08xCSM+ij3z3LgkTr0UMeJbUjGRkfjheMYZ1ZVZ9ioh
jgNMtHYoEj/Ra5O85EkFetZTgg6g1rFWzPEhjljFmPFo84FTAZlEvCOjhEEvgkoQzfrHUma2yv2q
V/eUVMYULLErvPrxLsBqcJtcjXcfs01117cul6/9hir41+vB2gcIrEkclWP22BOKfMnVTvcCiQee
ZjiuELpQfhS7ZalCN+DCzcEFJYLD9G+SN+SKY5f5PKAQwbmUs5PaLbRgo4FmmOvbYSU6bYPjyyZP
Dv0aShimqNitlKsshYxzF9RNHDnZw75G4lyQHJGwCNcoBCpm+LWwP7+D62p2z8NwRqqqk10xf23x
/UJbMbEpqojnKlqgQNBwBDpB2lLRt0p1HIQ3v/8wo3mO4jExAwqw11qcERFeairMhODQIKu5DF4J
aoLlGlhnlg4BxuAFzZ4AdVyDXmHMa3sKjQYuC5MJGn4uNh4+5dafrh5DKT+nRyE50dRZDSXiOUts
ptgJukPqYuyTY5tAEgYmu7ClRVssntmLHq56tAv9Uxojo0AKN3/YPU03NPxZzfAXn/xq8tuEORZT
+AFuqhwaaU84Mxn+FSsWO4z97lgJw47HETgeXMvwStVNUIlJ81OIOEoouAVuT/5cLByVS7OnSRsg
KWSwts0xa1BQcEiQEl4Y2boMkMe1++aHPAHFBPNILQSSOaVGYAX06BDD7TSK3/YjtsUCrVHXtxyM
gtFT6uH4GjZa+vtp+OFhg/TLw/JoxySZrX0V4Wu8fBgLydUBq8SbAeF8gjD2Ec2m0zO8BJjqhhvK
0Thzo5+RQCuHmoh2wWuWoCJBQiIg7yG2c2JE/sUpRExibW7AeCMaxOpLxxuGfblMDpjlYPOEmnwL
sTtZY/9jqJ+mcXiCUhdXbNmSjA7Crbuq1LZuBewzcpk7u5Ksze8ycoI45zUL8YAfBs2vDWJcrF4B
t2pF5Rt/dLQRoGnEbqe4bNO0jlFWUaPFQLwsnDW3zlw83nVU8y5PycnCbx/w1p0tCfxevoz6EwfN
mgPGWylWAbUQtiICJta6MX3pEaY9sT2wP83qPfMGa0xa2O4e2yvi15J6uEvcUR8RDWdFx4J+F3wm
n/XmWizz2bX4VrCZ+wIxpsOpnNffhcoKjike1nKfEQvTsOUmXAxiGoboG2WBavY8kMsuom32EqO9
SY2dyizp3adwxKq9P+pcpE/Fbve97sRfhF2Y4bGNGZtTgd68DVGlPJvL5629sJY+bLy5GHsSg7h/
ehUO4g7dJLrIRKn8fOyzbbLihGb1UVtMxQM0G91p46XqfosFl+WGTC/Bg+ZRLLrX/rt5zglpIrnF
X3gB716jGMGoLp2suvaMygKtRdeSqXuYTg/rg5FZTReUqgSPQMupy8jcJPRzDygYd9tpI+mPzC2+
iczdK88sY/lL4zHh0A7YI/tgsmZtHkcmLzMydemVUy9gTe9Zg2Yy4VO3wKmaJvhS2iDQxigb7qD3
v2FSgP3B0sy34YJi7eRSi/oRz9IL051vyUgaDjUMrG+QSdk9eslejHXuGQ7hnb79PZ6g3cdfojNu
sEib0maC/AKzw73f7B/xx2isKvy9OnJv+Id4cpjxLqeEQFg8NUybs0JAZV3id3Jyw8WIT1vIdwpM
wi1x/OzLKOzmRXaIdFggH9gY29yHR39gaNV7MlXpQnipz+sPRNRgvCnuXlxyxw3vuadW8uumNkbu
5G5HRMvFgR4dzaUvCkdRVRGLUqymo5/6JC5wt013YroBSbrqHxU+eDT4WP8AeG4JmjTrdDdQhHXk
c9+5JO2tglSWjbCLJ9lgUfMlaYaYYBu/f+r7KPtB4ObCl9edazGi2Y7LCRYS186ENQ0c8SS4Ofg0
tmoNW5MAA9TXDndPF7+IZzgjmlWVA0KI4odO7UM/IG1W3RlAS9/jHGRUHeYsWbjwjMvWTj6fm6c8
K04Ikwhfkx26Ms8ALrQONIcDXsmDOvepvJR2sMER7FJ+oQCy6U7h2r88zx0bJkkn2mkQos1Z+DJH
6+n4NC4gplEL/uxXiC5QTpxlrp0PNqI3aJNjXWez2ZewEz79H4zdrA38MKlAoXaWRMcOLrFuMxNz
/RRZtoGKcbsp2vfuk/2Mr7lmnkYsVH9cip8Mqz6NehM5myr8FBVN1XlyTY+nHCuUTfVCNNJccY1r
8rksrydRZixa8wWIC8qMNXEs1YHqPlSzELzaDObaiBTiXVl71iux+TpzyDDpi9oNNUx5snJ1uZFi
sgt2Q7fEVmiQ18Ai43EDVER2SSbYnh9HYoHsKg/eyaAbxkjFCmJK6AjCpnUal2bqIFOx4x6jYe1i
mrMdEo+/ivJaYAz1S4GGRrUVR2rNTrypkorBnRnnwnc69YB8UHGh5lsgnMLCQxxqVuvszaz3/fOV
u74VaQA366TlVPfWk0ggveVsBCU1uDgowA2vM2MjDu9U6B46XIqN/4BYdOMfFRkLCM70v53ir5GM
ha5/toyXvlrrUxyqRwcEehaYn50g+prhd5rZrbDmOxoq/p7/89gz6r+ojViq1y/wYDExYfFtFrQN
Of5UH0ExYOEjhszCCp0TF7VXw1/D81PIrqD7f1CnI4RHJflCxEu2RMGyWGFeB6aeds+sPPs15fN5
fakv/G+quC20i/VaPl7Rq17Dtdc/GmFB4rVj3OO5kngt3BOnvrQsP2PhEIaxauzJNMzHp9ghH4YH
4YMTsPt0y4rK11C+JmtjMoes6oS/KOUvYndSk4O3ih+DU99ILoE4AuFp9tjhTQVdeY0zI3ZgJJ8X
Ycc2lNssqjqIExo/BFHYDgWLjKqNJ2MQgxJq6/aL6YJcOaKqYyGlEQbzc8qi2RFBhyGiBOvzdwXM
tiy3R3L14ohy76/J5Y2r1V6ItVjWQAsjkDeNPhY94lL/ozmHX6QuxMXUclkgIdoUrrGQ4zWJxfqO
/J7/EalHQsyYoh89oYr+443VrX/PJK/lNToqUmsg/dh1w8s7UtRgak0OOumyCrYozTTdQmKXvkhw
6m4STWxkSCnN+JKbeEtS+1kfgRXxRBVXURFUMVnYOjGsWXyCyxclWHbvKxwndlzkqMR7xglUyBBO
s+3OqjOsUOMgrnaZZMqtPoIl21DwKKnWEICaH0T3yKnyK9V/UiFCComaFTECVnzJW0CuCKrDIRiR
lIUU75vJTg618B/sC4moEn1OyR22Weeg3FN6hCUgIxBea6kq3TvtAikWpFWwipfvwpGaKEuGl4Qr
SkocFjcI65fuHlDO+ZlUS0tg07mLTxNhFT53XFGAKQkpUrIiSfI/hm6rXB77xGFv++CyifHFJ84i
/zap0CSoVGBefetxyY0QLF6yNExyS+f+xiexrKAgRl2KHb5r9inoqZNOUjs3kQTJN8pNldcyCxwG
vqBi+2kEJm/YUpLY+Ns42Ruax4elFSKyO5krQ25xVBbtMXujk4zaL17PbyjGX3l9EWxQbKlvqHFY
R/SrmMR02R1wdlsGOJUmk80nL6goOlwQ1i4MQyn2kKhP6QjYjc6xzBnSnziQismb9rzglkqrjWYo
+Wty4rUUdkqCC6TjNRQZPe5Gq9FccnpKQqTVWE8aBxQ1+IX3deiI2v0CBgiZRMdlenp8lPVYYo6Y
axe6M/h8Wx+58FODjkGNkwpTtKLW3uvXh+XqwaJQl0TOlbLOtIvA0s8xC7h5Pr0hWKRPrxeHafBE
U+bBkk1qPXlY2h2j8kHv1+E+YJRV78eWtM0JBRSbbLb29EhgguyG8otB5+g5Vj6ZXxSJ8Uw9nbtb
UiAtp2vD+dbKmS9kJeN6FCwp/YlnMyxGNPshO1QT+Z2UKz+L/VyVTjGGXSpqOAmWtPM8/C76by5q
033wdr5nSlcQg5ghxUWcpay5rJwR5wWJG2vUAWEpZcEhSfTraYHx9Ai8ZurnGO2BvZArzvVSoTdb
bgzrDcg++RUKgraBClVDsYe8uOAuUqK8Mjr5TATL2PegM+XiO2edUmwskzfK/jzg8KmsYwrno3zt
pjJ1a1ZKdj5Sagl9SLqZGgZyVDUn1jF9ORjX2QtUfyJHbir7PFcVDQGBggaocmY8HW+gLWjMwkBA
oEN2GFvweC0fJXpUDqdbxKrAUPI1VrgXoTpC+fHKq4VHh4vXmAs+oc0XovCjUrbfmkh1UkNrXeok
lCob05kGreno0jtjhYeUXLHnmqKE32/mG2DdcwjYelLTUGecGWOS9KRQJndU1moOlHMdQAShhZ/g
E7/k8vP1bPwPfPhWXFbeT2d8uqFYk+IFy1iOJllcTodBrzgcFZOIZ3gJt6Pz+pDW8HTanC1O0Rwa
AoZcOi4Bx4hOAuc/IuEWTH7bvInjZRBMNwkppQaLu5AWEjeQHBTTyal9Iw7Vxl+RbCDNymLEaTIc
zMYett2VL26PdAkEMiaX7+V0+DdWRz5Qp8yj7bg91IUTsmZVxQJ5z6zQ1CVTPlPWtbZs6ApoqALT
BBZt8G/cRD5smhjRnIlaatjc0aw7GWuV/Md0ubFMEL6DF3LbOUNOcxIBslvdK18CGS8BqkPOiA0a
MMmpfwAMlOjXRngTz2nJWmTFfPTdnq6uZUsnPV1TPBESiglHxjxf7oN6FoByOoNxiOs5DnMIFXE+
HUOJeHBhjBtuA6+FTzqNRYAplJ+RKiE5BfpKxZ1wh7EKrPPc3bUnIlCT4zBHweu4DZKJAgoEcBRk
Z8/JX9y1lDNvCMVNZ23o1zE+uJU97IzMKyWPb6LnHqYE3CvcivmczLHW3TT7DNI+jorDHjc0NpgW
STGvmzWDrD40rzRIgycGjzbS6PUJ4iRVj6JGnpSwBZSOR4sNLWuceB+2En5CJubomMda6BA59o0L
OUW05kUmQWJZvo6WzXJiNS9t/REDE6vgsMITVrdA2kTZRaWpkrcosoajC+k1F5e0xrGBAzGWSE6g
uaJ24R5zmK1/Yu4Z1ZGHnO6E4MLfJ1oQl/vS/2HvPLbjVrZs+0W4DzYi0GV6Qy9SlDoYEiXBuwAQ
MF9fE3lO1bm3Wu/1XycHKctEAhGx1157rqM0d9raOob7ljbXemGZCMai4+4onnA4LqSJr5f/jnj3
agfXmntStW/+dPrrCmPYtvojnkquD1B6auFcb0bgU+/TCa8b72wmLhQ1GOq1DxXxwANXrV2njX4i
Fk5BAd5CnKjzo+NuuQvxFACMdq0dF4zMdtIB+ei4UCtjmPGfZV9g+OTCsgLxvQ52ayFV7Rp+7gyb
OGStM9cUIiCP8l8PZAd98G6PJveL98fnym0Z0bfzV31yLC7hz/Y54j1ROHEzpmcuLGUePxLvfzUE
ScxFm0TsIsT8u7hea1P8kSkMsPJtWS789+tNYJAyN4CJFGxqBqqig4/KSVV2R+fCJdcpZCwZSe1u
MPPdGLabA6vnBoJzCT1yfEnFBw9jeEk+camWL+v9CnWUIlWdQL9n1fcVPsqWl1Nm3PlUbfX4JQ8Z
+r/aE/BT66uNx/P22Cl/L8x6pWG8sJKh8jGIrg8cLbwOK9y24R6rwNEewAWQ0rJecAEjYtMQQv+e
UDuwlmPvosOIe2o781DMF+M9Y+lvv6Cz4eQIFQhLkhMqFKJnWUQHHoP1+fFJD8VfuG2w3z0xKV0P
V36Bj7ptLxr2oNmGNM7xsDxE71xR273H2ZWh3LtbnoCaNYQg1u4oAuYfjlr9XO9r75nPEqHVpiFK
27Nl+AuhHkiTRSJRvxu6PYZLlFxWoAqZFDtXGa7XbZ7VmXXYdUNWf0p80Jr4+2F1hEQAbktzDPxD
2W/zeMfyXPtnbkPeBWBKCmiLgzoPqN4RT0O0NCfS7BQmD32MAXwf2zw8uz47MErBk4YjU2Wnevxh
feJYYRnzf7dgUSHCvpT1ruOacrwJPyBlN90WD+J6JwHgIw15HW/a2Pfw7Dsuz3Lx4gc6e3F7Mcll
ruAzf8BYWbteSAnJLiESmCdUn1mrXCSnft1oeBaJWfF/ICOEtGkOTXvkxuSj4JbF8Y8kVaWkZ/IE
Bmh9HLIkkFr4EW9sRrDOuNtp4o3qwm+xtK9nDrJanq2ffK8SEMyw0r4I3kIDVWjDTl7Z7PZnK38p
6JnN67vgT9YkD/Kt2DZEIWCMhFiF2VoSQw9pZbM+9xbez28oIvz3stvy5PEv03Fi3y7YTje1y91I
039eF5B1zy5Q0k6sJBiUFwLMiDNHDAqeeSwxp0fde8tCT5SXObv8Uwzfp9CHPrnh6YFE3jOPbk9e
GOMKyw5A6cQbwuzAUwH2bWm3An54f2a25G4xfGB4YIaLFxzj8WjNexvpPN42DCbSiIHTYi7AnRFy
uNxW9Rxx4mJhuS1GPKzNU/GNe4ZHip+MlWiBp8pPcFvOWYxYOfiIYiaLixMfGitPiWlFgIihvYRR
a9v9wBDCAsV+ZwUn/jjoPepmzssAhPCslZvaeWQZG9J7rfAZczYHCrrh2MB/xv/K3odYxrdcQw5n
PC32RI36RAcnCJHt1yYDHyt/q4wZzMEzfh86bHaM5GQToEj/HTIP/cz1vMc/xREkP7CEFAtU+RWa
kOWow4a7Px6hyZ14ZtDTCu/HC54AWjKcxHj38pNF/gltlGKdenXdvnGeIH/iLIIHutoM+g7X3wmn
BWIym7NGYQL+vJAAbzlqryZAh5sOGg1UexaPICTyLW6ZU/fafuJirt9buqJbZAKR8c+zwLbt0p0H
3bq4hDNOSGJ8WFTBEGXVy3MA+yX2MlJdcpycBMKkh0b4xApM3hnAk3cO19QLO8NEVfnliYG171nP
GEXZz+45BzAOaiM/2WNCo9tiqCUVmuBqnYNlJ+fgHA9RDNbZJQitGj17Y8CbcLMjnGnhjHBGSH9K
hbV3Fj4R6FZvoxiLTRx1ksGKacXL+R5ggy+tryikVhCDWqELcgl+6TL+MUZsMo3H7pws5WGQu4xz
TRwr2ASYpu/GPgReJJ3XSRGlShbS3389EmLeR7l6vP2Szr2SQ479evunSwIzjhPKTbWOBVXu1J/L
DpDb2KZcssFcUxcTZf4/L268YMS8fd8nEjOo24DZaXlwtd+05zhP/vvF6w5BULOVjHPLccN++ecP
ZCL7VLMYyPuqaAKtL9rMzBT/8/3tKwNCE/pHeZpXRkV6Y1TcvizsGkMjnOAMqs1ysVqcnVauZxJx
Js30k+QZSfH7b/uI7KfbT6ssHKG6zXui+tYvb7/4119c/zbOTn7nn19s8uhkNDVYD/V2o0nrgfbA
D3F7AdAMrvD249y+vP1i0LRfQ5tO4uQxrRSXNqgyn50O+PvfL+P67f/6tdvv3n7NJVXay0R68CT4
dRJS9pWJW6wuLUHowN9kElusAO27tt0OlF8igYkwXhB349Y2QbBxBS7z8DpkShAPLetDB1KSKEl7
wSwWqFXezlAGqukPkCRN5Rf9BL1RcCJoz3UU9ruxDWiMLHjaMiS0TAIzaEwVP1ZrPKPnL5R+6yBd
0qF5gq7jSN4x2bQGM4H7grA7rNyb8anp2ZCNHRCYXjR4mmdKooLw03WaUPk57FpCJsJJ/Sy7Vx0g
CAbaqb7YtEJgxoNFLUn4Vm1GOlhDIwSRxNfieXadJ3he9cHzMb62Y3TXTxxPZjyHh0BDz4BxISgJ
0Ofqee8lYH1Tny2tNsNLh6+yQbVSOSl/TTmcIM3bqePRhNPtNpoGuoaKWgsC/bErRnSoxt+FDPft
yokrHc+MecMV1QCItlpe8xho/Jy3v6bBYoMG1Q8CfCTLnWZ6ZuV069mEmD2UG7oKCRFwVIVkS9DH
JjodKA8X1ajtaNBHQ5tkqxFHSOlQYUD0fq/t/oSfPhXg3+uM+rmWMj05Cx6kGpVZIRCKEWYeKSzf
Tc1F0+3oo7y+eyG1QzVx2rSBezGsuDUlE23Td+YDgXtIg+Pfu0u85KOdAUkkQxLDVq39Q1FDbkAB
Cpw8OE4e0XVNweExqWjADIhVIqIftaDt2CnpsYPIYkaahuq+bN1XQhq2glGIk0JCxOrFBK3EeRTC
5QDzp40lD3YyfqsHfmLLyjEFWuo69FPwYLN3yYFw8YksPT/F7Nkk+TfZcxq1g59hFgbXeGCDKwMG
TZs0/uoIKkN8zISouqS9JmYig7CqLqFnGJQgzMvIoN4Wznq8d+poF49Vcc842FiPBkqD8e4rt3le
xgGHFI1eRlCWiyODj9b1sBIY69AMKRyckVQlRcZjHD+P1WPnifBrukqIwS6EXHcpJ4Diad2TZByA
pGvqS2DpeymD8ZgTnSDiwNmPY4tXhYd301ryeXBS9r2U3OsiVul6E1HnpNKg5shfVbOMcP2Zbct8
/1cLct6KQYP1gvOIZaqKpCqJmYGgJchN9iWRJN5BftpmC5kmtSRx28mGb2Sa0AVa+nyfOey/s/9L
xnI8jprBPsY+HjyTu2cPMmlcF5z+5+hH4BGIaOUjgeoxLOovZSv3xnfCq27aK/M0/YW5FVB7zh9v
7higaRDO2ALoNWBIIg8oCJzsYGUG2D+TR6XTnu3lpRcMz3bQ2c4V5gjG/E7KSFxs7kyR1GRrXI/o
zkxIkS8aBb9gA5eHshaHyCnYCXT3Nurq+ygKRtoG57B4xcN6pzOpG9q7wCpcQszmnypvCF5Kk51K
GHkbGVFpne4wcf72w6PlOccxBQhmC0ZtqhCvh15G+DnsI2Fv0u0SMexNBCzct6DFBiJbJmDbQJ6s
gfNW4MJQd2N5LknAYconmrf5kJAUHncnx7aW0+hV87OfJMesCS7cIuXPInLvFflQbl9Pb4QiHOTA
mJsY6ayNHbJhor/53XT0VW9dlhSbBthEBsCmBSiE6t5mu5hOnu1dWz4aJEfc33FCnvPg/Q5G6hsm
rkB9hJyKHGd+mOjvjgDeYHUFy2Pge1916HQoH0t60iC6kRYRokD0UxMyhCUaqF2WNtOpdkibqRO6
yBBkoHNva48xHbsVrzPzr+c59sdDGgHond2qOi8cZERRrxlf3vPQZl8iJ2z3LMb5yc3eRFzbD33U
XMN48S4u/SyRp+6XfjY0dbBidRoACEFq0xz+Ak0EzWxM/8wJCW2ul7zV25iR01OtvlvpYq5hU99H
7VwcYECkTA/YP8CoUc1H9LNUo692Q+ZI7iTkchnqPDoZc+HcO9bCsqnMuLdymeycsnnnLt00rdXA
Jewpzw3kLysMil3aWXQB4+DVJwGlWAKxY6T0dzZF16xzPey0ZbFZGo6d9ZjCRaTaLXLaLq1PG0jl
jrgMkfnSkxF5ipnQofGwSiTMDsc6S+/TvN37svzTSYf5AIeYH+A2cTSOawBIDjzH/dqX8bhL/GA6
jKYBDi7NqQ1mtlrfFftgpDySxFGWdvHuGA+PRjc/WzKmKeaRMlySeRfWdcXgI3l77gQKsGVpGXzj
7kfbHa5kiDzBn/s21f2jLjs0gnzyQM6ZK4Ti+NCniUGDHomjnrvHTG64ePXBckvCgfpYbqUIiH3M
ZywuFpFXkRud3MkUlBaWPvcBA0mdQFRoe7f4wvjP4zhPV3BgD1YmoOsvJVMQHOjbBjBVwLAkwVko
KJlV/aoIkCyyYMf53f8R2cw+c7O/VL6DVC7VKeWEfiRvY81PHK5wv18cxpDjSpPlZ6sKA/eWTKfs
2JjuLVzxrAY6KPmYFFtLrD7ThdNmrQasMgKdSrvxSdhImnklgxP5fXO4zyeKQ8dgNekTnKZ1jzan
Wp4Z2xkOvqxxmWfmnqnHKa/+MLgPVVgEP5rlo9VGbeIUjH5leP+CiZdlCdP7OXlUQYm3YfgG5Q4z
60w14F7mJbv0rZ6uGhg4vuFfcSA4mMe6f0+sl5HUyG0edi28RPMrBe76GtJZsut0ACeg1H0cm8+4
k9HBOnlBcyTSAC5XPyEDLPWpLTnS5055STTBSEHefTq9OWiX40arEMG1Wj5ITFxDNaj75pnH+Lvs
up0fL/0ucAztZidiC1ryB2e6n700uQ4NLVSVefvRCWkQSoocynDoiRS8K2gWEh7MoUR+02l4Gt3h
GxvOiwAGTGgJRAlCe3lOd3DOgmtD3uTkLD3T5qvGZNevU5jWpwwf3FxMvEmXAd8Agd4LfdqDncf8
s4Du2l4DUhAfAau294AJkPXBkYcoBCoxxMpMzaPnAM7KQ1qvE4M4eQL2ZcyWiLUp/6nqKLvqaMAd
lOUHIQIk1ymA8DDa5BTLbeJuqZGCizMBhJWz8xUS6OMyjOLeKfQ7Y+vskwr3ZsZAuuuy5Ewz4t5c
hU+54KMEFIGryfVA+ST0Oe2x2QrnGcWsL0pIMz35PItd3Vd+l6GA92h1ogl2RdydM2Pa9w7b4r6h
vw7d4UUIjXzhN3xkBQc6Y9Olbx2CiBZN0mFagBrPBsphAI3kHwUngJ3uyQ9D6L0gIAcAPevhG+VM
duYLpWlz6BjDxg7Mt6UqyNrKg+8zJB8yj/VlZMgY0dL5rv32sVyZmcOy9Jv14RH5DAYz5uIGwl89
uRxJrXJfiWneAy0MmMfmGGGxMhWENIw1OkiU+d9rzr47r7R/lxqm5GSPYDXBdl5SeNIhD2njxixj
Hjf4GpJTjINzikxJbGUNcF6wTFYjkxaeYlY26r6QOqbuSQwldtmtj3W6jiFg+KycwLlM0fJg28Y5
usAhjtTT3rispwKs63lMqIm/YGfEEEZBfXZynT8PaZgdkoHmOoEL+ljXEsiYmL2rHeUA+IxANUsj
4tmnkxgZP1JyoOiDhnAuCpOwX+VoUkAUfWfxOJ4clFfMjH7P8buCYLtZcjDfWe18xB+FZAQ/41C/
FXLJrx3MXIbgKvY8144eZpmv8wK0T6KgeLNtdBHhO85ToxiG9TnaECxP4tHUKSblPVgQvoz32ACz
QxMtxEz29YU5xt/tLNNzuNQpygnRBKI5LRaM57Ivxv1SO+dI49wOZVedNTJaFfNmbRU/9h4f7hoQ
1NoLhWEA9mtUNjayGW+GlRGoWlfdh2WBwPNcE3JmyfRJz9jRqSKQnFJc//3SnxfmX7r+wXJNfK/s
7NH1R+sL5a7H3vm56K7d+N3FiBTFRtFrHKyXupLQzSgU5EBX047YvoueLnolHyiGtlXufY55IvA1
k3uY+WVF2wE8e9l/mGh6R3YIKJ8Uq1zQHWupWwYowuYaDd5IQ6I45RT3Z9lo1pY2OXd0+i1tR4e8
zQ0zkXycjDQfrKWs7ojvW6tQ21CWexgnY3qGA0fnqsAZ6nhMnzhjeZJl7z35ozkZ5BFDCtp9MltY
28kGeeD+ZDnNvAUsMbFWnNM4bgvrl8tkwUU56ceUsq3aCU8jdwsPNEfYNYqs2mun3nfYXjuHZXQW
BGY2sa/4A/pb7Y0e2E/93R4DsGBpyiPaNHRylg8ntd+SjFbhYmjLqxD8r1vQ6o9mkgytqv2epEC3
vSmmSYnXvGuw/yct3Y8kMZRdZf4wpd6rJUdzsMNZ0vcgJernGGO/npMGq4YFjLv3yN/QyXOxzO/L
MjNCFiIAD3X5UHXd25JUR6uI49ci+NoZ8zllISbahFKyQeYAS0qimIt263b2uZtKpkNwkID/x6+g
zkbl94m+eo79XS8gGUovvEhoA6S3CYX31rx0YWmec3v87Y2MkShC8wAqhMFdJ/P8lZy7DzG+N3Ud
/Fr81yrNn8tJg6WtFtpA2bQ2nekEdSFya+7fT2xIMG37P6YNzbEP6eXBrTHs9Et4gKAEmszB0Qi/
5Ye10FlwQHMbsqq3Fh6+nZN/ZcEy+yEjPBWZKLs0Jv1M6+JXI+MWVbd90k40XCu8lIZdVS7qV9jZ
DilSPv3Ifnn/MShnerAHixQJLhLcivrQehE+gB0sfPfJ0eYo85KaZuz3FSv4ZnCmqzEkwrmxx4E/
uV9K6HKhkbQumuU4QdfYTPPM2MEAOCIVp9JdNZd1MHHUiBhz3yCIDy3IuYXDlNs8MuNL64KcI7yz
/kcVhr+90qr32dD9rASfuJtGzWFexKNXOCjSmdx3FqciSW3XKEZpfItpwKFqGdHHMD75kEBC5rb4
1Hl8/GTbTRKvRx4gFZjEZcFmVMDK5+jBhM2vlDZl35d/gggY5CCYQSVa0GKliUL7h1ViJ3JiCJBz
QR85pRln+cApO/2zcpiCIphg7tr6pP2a5dWnlItM8nXouo/JLMtjETyFJZPG0OiLA8yPCu8iUCXL
4sTcoaWH/BtW0T33uSbpc+yGu/8Pevu/A72FCvTZ//l3lNx/gt7oSP0n5O32F/6GvIX2v5xASsdX
vif/jfEm/iWoWRzhSieUrlgpfv/NePNWxhucXt9ToeDvQRv8m/Hm2/9CaQgRH4VSPmds8f/CeHNk
uIIL/x1sGALh8QFVeZAEXUnq5X8y3uay700lUwVPOP860TPqdRLQmrY2QxsynxZl78qd06uyumuX
Lh3e+oAnf3Z/0PVhgnatRVF17uOM6rRR35O1WvXI8crTt5QzyNAUf+a1qp3X8lZ+79dq16fsHdb6
V66VMAANOjDKuzS2vqYG0M4wvkXazk9lhUN2GIsvrm17z7NsrlY3wYobCTiJUwBMlTUeRBWF53xU
r36DlKV7yXggPtVYq2usJSHQ1PPBWtl7g9XQLfJ7Rqa8nVXTDmwctMIqp79VFOJrEmY2OHlmxgpv
zRWIl4dAOttM4D6MGt97bivxWwrEvi4xv9OgL+BLBdc07KeTjzgBzybey4IHzwOXz9CiZ118fz4O
Y/9tTD38kJwXzQgzKBjp81bO9JbjfWw8/971h/KnF4oVWHCM62V+nqLKPjkDyRdeQU5cmeNtr92M
8EN1pq6x97FBgUEOhvuGJlNYkJec5hF+dgW2b9OGU7o1Clf2HKQX3UjKc9osdxAelwsdjaNfnGZE
oOmmBgXHcFWHKHl24aoXKYQjsSpIBE3a5MKxFLGFP/irzgTibDMhPPkIUDM5z7sh8g9dkZQHB5Gq
XdWqbtWtolXBGm9a1qpqzau+xRBQv+pdw6p8OcvLsCphHRNMq/zkBCo7FKm80JFzXeSLcMJuI3sc
XI3v//G86uJFY3+pLH3NJotg7VHtxXveM4OyhNN9AeUNzTj56Y+t2WrXPvurjoeY8eAHNQf4IJ2O
af3b4sfbDLGdU/WW1sGmRK1WZTBdNUKDWOhUUQBwAFUGwfTUSZxDmaerDUyIfrsEzNyl+K2NQY6s
OU9JHxXDjqNfDqr20cshcOarcpmvGma/qpkNsmaw6ptmVTqDVfNUwnyv7GQ6Fn5/n8cL+GZYy149
9rDrmcEiZ+2yuGLH2IyqCSCr50dUtfhZZEfP4PxJNA0VbjAsNsywNeojsLzlMmuFExlZAh/Es141
XLOquZnzx9cYexNriFbul73RVoTyX9EckxRDtNqqC0/ctEWyvJR+w0hfqGn99ulXjtcwrnJBuKcs
xdWuP62pw4Noym/x3AM2VAxDuxo0CP15NyTfwXYjyvsm28ZpC0gM4pWnSiTi3hk3VmA9jqvmXSJ+
q4INNrFPpbK3g+F0U/io5A5DFUqIEWee2IvGx/Y9YzPmpIm+HlOl5PmwgREfHIO+3U+yYFs3qPID
04zpWMTEquUffeETmmaYf0PLn7+nRYqVr8pBW6kXPbJwOfOMaaW170hsA4CzDuxE3DV4Q0gcTo9j
hqaUlJgbXJeRxrp7Bmn4x49wCqLzxqmBXTStcU/2byWQU4DtwENoaDOQCzll5Sc/N1yIXJ6amnqi
omMGrYE6WdYkHgMIrtGGmGztEkSnbxPz9XnUWbuupNFhFtx4dvJWsmiTLttjOChqVM01iFTD69u8
6Bo72RJhQwrEhLz0EjNyDpIyPblN8eh3I2e4QHyaJFk2Be2UXSRa3O2rBD/nA6CsHptuX9COFRkI
hpVmXOQMi414hHpSq8tAbUax+kn8RxFiZciQFDempmE+RDkVBFihEErcpi8/mmXNLhdBS+wjaUc2
p03AetfOBVdQ1AuH9JngHhrxUx4xExjH+9Kf1XYW+ruYuH/8iXfZ9rKh0S2/lr9phJA7VZH7rqGu
5PbKsa/na5hS7Axp9VlPuMwimT9wDJpxmvUW+mJEgizYkeQGNxrjO18TNlGVLn5/N2ASxfq9hOiH
6ZSgbZE8uPXG35z4EI6nkJZZ6sXv7Ll7NNWnRYcA7Xpnna2br1lGpExRlT+pcd4sO7o4Y4f3jJEk
EbuGprv52k7DzsJopp0M0od21oE295IUXfzKyf6lNVWwXyYMMJ4fEAY8tB6UNQO7hOnYmVYRBmZO
nLKz3UfcjuZ99lR0HrIeZdiV03acmSvrGpRA0kHLB1syYu25qCh+h2Uklkzi1f7yFOW6Z1CivZIP
we0T2ChUmZyf0MNqbnaklZQBjR4y4l0Uy/CsfIa20Ab6u6nhQA28S29ki8GAKo8UYZcBBMZaEd5O
1gy+0Q4VoxodBoYqwZMWdll/Nki+wgQLmb1Ni4GxxKxUDxfC5NkT1ITl2Sre1KyAIZqWan9mzifu
YGQb9ECyBM12sJEphYtM2S9cN73ATg5MXTxwAGbxjfr9KPR9OjTXUsT+hThTvYnd7iroiG6DiYw+
CD4HEXsPSxOOZ5dKljQeMmdTgJZuejQRg+nCAo80hSDP2NlbCP7VwW9oenNqsfbKAaqRjYIdeVV/
6uQ5tSV6uF8Rdo7TSvblMUTvwcYPMlFpCeFqgABRWLjZyLnEzdT0J6IgtkXKkB/yLTeCYiAocdX9
0PjuUb9aacMohuc1d3Maf4lkgs8E0eggosZsxmQ1wA6GLRewdyCca7DGTyVZFtyjhTEp2Ozbxpqu
9PVQjQye0xwopxg1yTiEDj12KceAEJKCBUUhLqxXBfn0BOUG15IlGDQhOuM6YEaf2zjeBsVso5q0
kgWIBIwkI8OETM1seO3xkMi4cY/xIp1lYwpypOMYx2LUCHxGSb/8ZVgYtPrl9jNDi+7pZl74x6Xg
d3MLYWDYSHuqAE2Z10lGC/gy5oNbmm/cZcxsNq5g8B+VclNym51F433PYOkx32bwIGLu0SxiR7u3
j4E9zOfby1IMDsbb8AeBdB1uTPP5b+GCdrl+2mSTgfkixKIMluEYBRaWRpzXfhIXDH6EsGmGvMLV
hyjbdwqEAC0Ljya8ZB/IAziZVo5uEVvzzun7nz1ncKbXagr29YecqhGjuivIDIuwKk5DkEC0zW3g
A2+6JIQ3pvaH3fkW5WtTcSAwVgWqOTthd81qwNy37+JGXd3FWMwXciPOKLrn21fumq9x++qflxJ3
oNek4XFwRqBk60v3P1/NrmedVmquidJLotZElPDFo29wIXsrPwH7hUurHBKEc3w1mWBgIbCROTi/
7h2/ebr9uKPEppeQbHIzudy8M7cXb+wzAAurY+P2IuJEQm4WX6c1kMNfGVumiYvqGK2P/ZRqHK/U
MuytBGFnqwOkW3P+/Fu05e3Lzufy5nTuaHZwv9nOV8c4LZFuhNUY4jvmze3LImBcul1wOXLk+zvd
UgUDQ15/veZrmovj10+LsAuE+OnbzdnE/Vn/5XG6fXt7ASuLQ2ZNifHtEvwqQdHLMoLNWWNZPOM3
52B9uX2r5/y33XTt7p9fyhuN2BkCfoNY1/x1GYLbZbldq84NrgEywt79UmmiK5OACNtooZQHuopn
N3WTy+2lW7/q1J92zeJIRmb/chvYTh5To9SES50nZgHheYvjzQz1z0u4GqRsLCmkAC5vpdVY5yZJ
rDOpyNxzKc9na+ExIAaWwCBe6BtrlOruNwHio71ZxhaYYSePN7tOtLp3bi83H89fX5FNC7pqcf3d
ZPXfbs6k24t0VpqcYv6YgyNr39C1rOrhQgeAdyrS4YGA+ZgkvIWeAsliL6Ec5/3tN836sHvtRP+w
nRgcuBmfhoKpJBs88/a2Toh1idCrD+r2FeDGBnDA+r3p4/dUjfH+9qHcPovbB2VW95Wo5CthM0D4
ogy/VCsY2YcV+5fj63/dv904UlN18Ar/+Q2JD5xj88kd2mpBT+JGnlg1ijt/bnHHciBQtwvCPv73
pbpdpXBqDHnD2ZCcKCf+ugS3d3l7vz59mfM/75xlmwlbnZxKJN3GaPoMtverhsFLtErlH2XvPDtU
xNKnSxm4ejWmhQxaLv63bhX+XCN2fQ9MYa7frIpg40zRzXCXhWls1f9GZlOKodupGOcPjSIP3TcO
kelgQOXwArZr0vz9Py9TCOdbkrTTBYiNPo4BsYT5nWYkRDKG6abBi0lUgo32vrXaBzeOnrSgdrMS
NnqfOA8SR4HIipPf+S91X78CGWDHpBfv4yyWOYd3p8z3S1jdT+Y+q6pPRzrvdswMckGa1GYc06+l
/Z4loOUK1XzEhhBiGcGM8XgEIMU+EGlWHGt/erb1Jqhbpuun8pqiMt6VNh4TYTy0LypPzen9jtPO
fpBQ5uwlyPdxMazhyBx9pPmSNW5zoYN433ujOsZF8tY6syRmEm826YEb+KcSOwL7a4xXaFCyOjie
u4FziZ6mvmT0bJhtSC/qp4VOsJtL4C2DGl+CAdPRrMwZP+V9oT8nF/v0SwP1fx8lFpieMr8mwfST
ggT8lUUy3rDOO/tAcGOfal2pFiUCgpeIaGPE2uIT00zYB49V8TSr/BdYYqZYZ4RqSCw/uoHDijXj
LbWH/KqCFXWP6yXImhelT8QRHghRxiiuoI+QaP6USwT9ZPKgI5XFmnh/PxBWzqnP3NvTeyQZPupj
CBwcMnqteSQATd51eptwZt7KhvBkmjgOEY24NzlXKRIQl74uYYz1fv6jC8yXTqjvhouwJMz7DSN+
3lAEr7rIz6q0XyDtt6gL3q7Ry2fuUlObDHRJNnbPPgPhmcBBTifPhbGavg+Tt52M+zZHUU3YPHOW
ZfBba4/4KA81200wmXfDEz6SXVLvF3+69LSseOD/dOtgWtiHyRZzW+5OwbXNil0XMBQ2JNBOgSNj
LYdv1djdS9ngOJ0Z8KTzgPT3c3HzlyxcJeRc3BczfDmVV1cZTUeMKee+nC85ZN3cMLth/OmzGuAw
l/pt0fI1d8JvoRgIy+I5WuolONkevWOMPU9FA8vRLkjnxAvNmfSgxfBR1+ULP+WdY0KSbpxMYd6m
8PILqFZeRVMAji5KCc61erVCpsvW4mOIx6ep8Dk4QitjQAuijweaep8ycur5Zt4EfgB8oQyf0qn7
WOboLEkBx7bdfWgCFxk4z5kKEfD4lAKWonGK91NuLm7apgdaBN+w+obbyKnZCoB4j79l3cl9pJj2
SFrzA0sEi5817AI3xEKxsByIAZKPLJi/6ZQiQGmb5JBQk5izskWYqKicL52qGMxoiZhKMuCFrqaH
qaGLcdVazsnAhkszXpCt5y3o7uNMw/au8/uJtCi7PSi8zUNW/SnaIN0Y0Xwon5mNxoSEjzu/+zns
tkmN944jFm27CIhXERIS1MCCi027RYGHigOhLU8wtZUGZJ45ePmERlTC4LAJaoZKa+FLa62r7cbX
xGYwOKa1+tQQhLsJtXfoAvkSJpAEa+OarfSYAyxoG2Wz+MPJIt55A/G6PKPSjR32Cbwy6TN18XJ1
/PRah4ABLDH88QbmTkIwK/yTP6ZA2wdg899wBddw6H2Iyq7DPC98PJUwrOD98gstSa9dJmz6IyAi
Muyxaaeeug8a+sURaBR/EYyOZe0ddj5cVDYweRlVb3Qen7oKNbbMoRnbvQ/52C3e2TU6bimEwLm6
dvFIqYYRlhn0Fxi8P4XtVfekVONqkJZ46EHZ2OE6uGxhK01Lwol7czS5iU9lgizQM6oSRepPlhXT
jjIk2NAVYVxP0sYsYZclQfPRoVhfWda26cSnGcT6D7LHvNerfd7PyVGKoteWNehche2fpBg3vQcf
syz17wQVBQ/qH5XN9dYiAsimHx/7xTOGGzAIRkCJKm0m5YDVtLSbfAQEFrJ9yTlQpP1/sXcmzW0j
Wxb+Kx29RwXGBLDoDWdSs2zJljYI2ZYxJeYpgV/fX8L1SlX1Xnd097odYQQJURJFgsDNe8/5ztdh
DN65pIMeUqjFQs+FPAmpIvuRe2LeTwgWrsXEtTGjJhtcMru6oKN7dcg61MySSxofpE7sDWzttY/T
PK+WdhOORnwpMKwE4b01DunOMzjLUNVCVTcnm9MgIs1mAUg8tB54/4A4VQEwok0f29wrbkWJ6FcU
ItoOwwRyiwui9O8lC2swCmAODHcCokIsynAD8R4PlfvaKr+kzhxIkSs8KG7vaFLAQljhIawKcMZW
72Fhw9jc42uy6Z9vGeNcmip5qcwGGkC/Cxtvm4woLZ0F6VPkoeyJi3TRE1AgIimOONe5Q6qJ9bzx
+YNtmJymJQ+jLR67rPYZeefZqfFOjtNM14bAGBR6NwarMEIDCzwK7ucyZ5JWZjnA2IoTWjyM99Ho
bAHioxWMkO4VoPfj0b1xOKqRuB6XbIIk6Ezwpmd7OOAQL2S7U51E+4Ba3xDYrSzZ6Hls/IXokqLv
3Csa3qhwho3rWY8xhz7ybdRwB8+fvueOjnC46Ug+34xMEnaSFM3tOBCJmIbDlhErHTi4YSXxa2lk
pPfzeERaY15ok8FVNUMkvUQ7gz0TDylTRxJzgQO5X3L62xsEnNVl3fgj1ou8jE5WWX92ObFNu8mf
gVr3Nh0vmkP1gD+NXjBp5220n9Oci3/8s1BRfRVNrnn0Ixg1HRwsToZQDBx5w2VumydDeMsAFz+M
Kj9l47e0v4rsxtv3lEQbvwbOEDnOU4sAwK8BmPd+/hYS/gLPNm1PsxxfFgvTe4JPPJavZo5KIZfB
Q5SR1DxSt7TpgyN5Pp0//VAJ0vMYkVkRuOTjoaeI3DfPm+tLX9aChfJ5MVlepb18H1z/sWpIzOs7
0BFO9q223W8LHQ88lSgTlMtSU7vpgsC4gfmf7fsqgtg4YCfnPeE0nJcFDQKqd2MQvJ0JEQNAH6bZ
Cja0TB+dpsm2Lbw4r2CWb4XnSFQTs/qsgfKhW0lT8dxadrUf/K6mmemchVNojPpAFiQyrkS4d76l
KT9BRloeoTW7Lq3qux7mlKnB8KwGoKmNsDZUmzfXiQjxaxUgHPwEQpr3RkJJuTPN700NuTfkfSzq
xD4MwkKAZYZvU13uM6TYjfbKucuWjzjKCN0wH6z52icPdqFpEbbV5wKJIeuredgmltNd+lki1q/j
ur+s980m7mk1sep6ltr40a59hDUkZr3/sUnrhNOFx5neKP2Lmq36mFhoyisa/7tZ/wTD5Bek65ot
4HhL0uwCqb9H5F2SATerAwUPv0Hv+tiMKBhBHqI4qbRTIiMgqDuNLlYJM7vJluIloJWxR5M+/Cnv
suxL9DRlsBBJnuJT+BV7uSZeDkwdLpPe8ASuFyvGSauTME3xAk9+PqeFmC5EgUwaRE/fefZIKIir
9kJgycDAjcnIetcXOt++qoVuljWkh9DkSMymgI5HORPjjzkz7oJyWy5E4+n2iKc3dG7+vJG9iezY
XghO1gt7V6/kVeQ84jahUkvlZ2+y24OnoumybtAAqsuiEZr4hE6RXjhnOJBobbFZb33sq8zpnhk+
YzPfoimvV+BxNI8XNJMhIUv6/sfOsk12lSctQBXTcCFJat/moj4ZHoujRdUJV3eCnXatB5ytavv+
InWnqCkDexMRQEWrLQP2PzDdQv5ZAz7w0XJrq9V6y9V311v6EY0d9Ccn9N1d17sthJf7wPEzmK6D
hhtgULmYNoHomWjd7RoGu8bC1li8LmPWgNRl8jnqmNcon1z8IRMpjD7eqXVfFnPmXG9ZCkayOeDH
7Mrh3cJ2sy9JobkEBI5fXHj857z5tt5Zd7t92Z9z3rHehAy5bto/bv3tLgVvhx4bfs36/IwKfxiO
TqvjDza1T2zdrLvnvo/OCgBXt0CjYJmQH2uZ3Vpuwl2pn+z6jEl2pnMHsH9b6+fozot1EXqz3l03
oukBiraPec2VuEBSd8Fbs/7+Pz0J/SIJIi2LzRqou35l5kBIiYaB1Zej4w0+u017F45zvR2SOmbN
takaE7oZi5XFh/cPolPg89MBXb5gxoGkJYgB6dXu7VKEFjU9LW1jpJtNgvi1ZQPBUUH2liv5jRoI
n988bWYb0aZVAU71yqeq5yjJZ5TKlQUYKTcJAZoHEtZzXi5V4pKIZu0kZHg4pl2xt2hUHJzZvepZ
0fQKTC9kI7FrYRz8ROPIevO4RNh77DbGgEpOagzjObWeKmt8NyR/gSD/CL8q2BfCjACo041tR/8S
9wJq2Wh+MgxSnhoBKOn/RSP/I9GIIFr+vxONXL2V3dtfswF/fcs/ZCPub14QYoQxA891Q9sK//3f
fo8HtEz7N9NzbTQgZPS5rodo4x/SEfM3U/8jQSZEKOw5PIffpSM6HpDcQCugeSICC2Hl/0o6Ypr/
LB3B9OgHjiU8J7CF0JmZfwqDZTyDSzRW4sqKorOTSQAQ7mBe+/3ECZkTUmym4ljO9dGahwY+uu6K
4+2oSBDX5/3BDxKLkrXSonl5Xvfl+jHrrVFfQj7uosrYjmhvT+sXy+g1jdz6vOZErzHd6601Hrod
BocUs1/p3evuj6+tD0XkR8/j47v6quME5ORXrW/LBTR2MxGXRZRvI/eFkb6MRQXhN9yMUWOcFxZU
l9xkVODoiIqgS/hZg04PL+0xhdFaYV0WTX1qQ1OScmx+LmMFtto1dlNiJFfSTtVeCPFz7Ifm6Ftj
4l5jRDgFQ+vulsIzicdg00XaJBjILyxzyJ51FJ9Sk9f7XMe79XVkWXgw+sA4Wqr9/erJ72Pg8Ne7
iuHK0rEy6BZ158s423gJ+DC5DDdrmWIRBlIL/EDrVXTdSCLHqKwLFhIuBo/IJ34u9EJIFtha142x
aOfnepPhDKxC/uYKvTQBLDi/Pp7G+lwW/YTWW+uG59EfOnN6WNOymz9y3Ndb674eqL9irHcqswbh
IGOnNWI7o4spKpLHgq3A4QbojrGxE2hr9XoVXTcmM2KrysaTYpq16Yua3IJeGodlTLTaXgEW9tLL
Yh5Sq1UsLGk702WYp2S8EEXewl+trd2AkQquZErP0RvzY8AIZ60AUnxmzEyqk7qLjTHE+EygkWOB
OCAD0Ee6gaLC7EYgaCaBHg2+gAKPPsJLdCi1DvxoQoAfenw0WYgS6sbCRRhcrxn1UTWWl3VjD4V5
MgNAEXpXWlXBIRiSm4w+Mv1LPT5ZN1H6j1vVjDnTko/MH774M3M5wacqXRL6s40lAoC4ZyrBQ5BE
6an0OTLDbADTgC86E3L+VYZONWLNvHJBVeuCNAl0wpcd/gwbMquzlAlasegL769H10UMI2J9pNu9
q+4lUpu0M53TmLlkNJrDg0uj62D5vrnHUvLd6BzimmSL3sHyB2CjFGaNdncPxTLv6hoVSlFnwO6j
FoC6HvKIOeCz1OiV2voyeLkFEaiuH//2t5d6hhmzADj2UUtcyMRapNfDJwZq5WW9tX42vWKi9b3e
ZDBIBVR6pwEIth4JuKnxox2bBCIac2W0nHZPKT4R37dpkjBEGa9YVc1muV9Q2MN7BReSjMh4xJAw
HB3qz0JB4V1Gn9SWdnySBt7xfAiRYJbNEUX3qa3UQdkR+NZ+Mi+TnpIIeexMgqxsPV7CPlZTCo4a
4RxX9jaYO6gqHjSFSetqgxKedjRH7R7BNzSKLGl3zYh/0me01eqZoOsiLJYlZwokNkAtCmXRxY7f
ij8WD3arSZ2KSKmZA7Qaw2Uve7xAYxqc8jFlqeWh3TDGDioWbG9LDyQdvVmL+PXWui+YrHGfY0Zf
P/2B9oE3q0OclT3aKQEFL6lHmijoGzkmKF4bRPd7YpVHhudE3Px6SrlUp2bsd+s5aN3lhw7qdQPV
xSjfLL3WWBccTBnGCxQ5NwNrUNZddfJhKnlLydu5Hgu/brp6nj2AVAz1SNHKq9ewTJ197kREQhM3
O8c2PWak8qAFJnfXewuK7TyEyxmPt0nNGcLWo2Z8yjv6cfehBZ9qfSldBNMzbLkpJeNr9uInYT8s
hbFPK6YaPQ3HnSlbOjV/nHrRVl0pV2S/zstBwso6YnK/8du0PJlWbRzzeHrAtw2aPIegV9c3aWV1
GHYHrLtRCtnN98kobCtscwsZinSMCDnJ2mtGMWgdo3Rg0chSb73lZAQg+fCCiiEk7UVnMH3kOK13
I3v4gddo2CeI3bez/lWY3Djt+c77nENqq1IMSFNi5lf1oaLfcfFiLrwq0zXjenPd+Hrnr1skbCEn
4rTZxhXQUdZ85EikTPFcCt2YXvYZ32JxtZiyuJqtobjCTERIgFHR8u9xHuGVBaQ/c5pRzZCdIxBd
IToDuemjJNPxUgvt7gv2lvAScxSBySseyw51dA+kuQmCB0bxp3aRNlZYFl1O1kGOZXIS2vpasO5D
MQObRoLBJeNNXWhbzkfL9AjtNdXFa8YQjAaf+GMU1oxiJv+cCnkzKlOdpkktl8EYN9NMF3aMXPBf
HVaByPFictusc0BqO4V2fGx41BWTp/EqbEKY9HsMWDvcWBGYrsqA5aLfqaI1f3+n1rsJhRCwAsWi
dlv0NM66eHhUcFcz4d726RifhsZNmNMjTLjQB5cNn4N1gzs1Ozh1+byGZaV6frmGXa2bUo/kAxJT
zx5QRj/SoVq/voBuHb9hX8j3Vk13hQ9m27ZSzl89LBmbDLyutR6zarIxTY1vNhOyFm35ppbjlzSu
3uaO4s2ZWiBDxgDGbTaZ+zKGnP1PRR1aR3oZ5q6b/QuK+n2kpmfpJRaxg0O2zacvcy67vTesWsAR
szoCOASduAA5vySOcWq95gvWo895pHKwNt1y1KpTTxLtTj984sNIqyG96bEKHe0EFyeDgqOsodZ4
afhcWOl1Py3zSThYW2fnJ+qM22pmTDNEkBlHgvyQXi7PbRj3jOPGg7Mgz/Lb5lmMMI9S+ezjG7xl
clY4GgGbSqRHWeKQS+Dfdrl5babVeCCt6dWvmHMtWbh3qJ/2RNKSFFMWp8xfRiQmJku4oDnJhim1
9IEekG+7IwddXwfe6gqXrVE3uCwrG3pas7dOKu/t+yYRTwUTKH6znxT1XZTSYfN6ffUJubRomE4Z
KXMbEB9+oFwd9n6OFwyVKq4Dt/ic2iHsmXRaDmpR1nPHNSkYzZ90cAFKSeN7bzoQJWSzY/CnsT5i
Ri5I9afED4CI5CKF/WeLliwRnlCa4prhTzmidF4oMkK1iH2xpPuq6o8xHsMG/xCsq3OUEZgoYwYs
qVm8qs75Os8TpOukADhgbwalLdQ2jOZZvZLOm1zZHnPLOSU5yYe2hkb+zu6c8uxOMy9vGL0FlXdx
e9rxvo9nsSpSuSOOuRiyxzwtiDxwJNK9wj87wYzk2DN7IlUgHXkwCFV2owSDVkTG9cHwPLRVffxk
N9BjOAiAzZVMOXpgUlxVD6U7AmQshXMgw3aXLBAw0qSEjmgc0jTjkpcl+9IHZ9j6WOyKxJTkGo2v
wdC7hzAxnydP6x8E9tS6OLlV8IIDGMyg596WCaD+7kbYIwZVh4Gzr6rpZkBCWSLpor1rEfipg9CW
8EUG0w0W63ozfh7ih1yg3BE9CntzZBaTtDhJ5uTJZcgA9cKEAs2sO02re1xrIDBzhoruxMOVIqTN
S7tXn/8T4rPt3O69OlFa7veE4gEm2ZJd9/BMECdhX61RmGOvWk6VPT7McYLUcGZK29rEaXnhjy5u
ORG6SCZcEgGPYozMo2Eqsaumk4rE3ZhVIZ/iAf1pgVvLYB7f+wwX6wHSxwBnKSIgQ85VwvqE2KgE
GUGMtThDhDkVUK0L74dh1Mfa4g83OwiIcEbisPoSq/JbnAw87Yk2DFMWbcDElmj7ybfKB/Puj8OL
ZbryG+7Wt5HcpYnlMnq94SseftZQPj2WvkQuEXv+jvZdMtfF2UIhD19O4TBqBGumWS/XRkVEBXHi
LUssDy/uYX3Ax2Z90Mfdcv3OVR637vzbl/+P+4q0hU5Wp3p+1TtUR7HWqjn6imupCJDRen/dpPor
H3cnJ//HlwU1I+Ga/k0blQB5Foq99VYvzJr8GPo+jLmNgjXDunvdFPpRHw/92LfeEqLTFJ8/ftLf
vrzeXTdZ5f3+y+ZPOd71X794/eGm4cXnOcHqpJ/VxwPXu79+wcfPGfOIX4hWCtba+t3rlzA1jsdI
9meGfuF+AQyU6Wsc1s/yMkQdWvrWRf24rrbXnevm4zEf+6pZr+4/7v/tMf4YpRucmC/EHuNP0z//
Y/PxWGSGVJgf99fHJPopfewrhzpb4IzqR/7LZzaEsP/yoATy+fHjZKBzbqfsoXZbB07j5N9bzIMP
pUW3fOxof3xshK661rvNDHlwihDc4img1hpr3Ub5+Pqv+//6a+4fP2V9POYwzSKsWMtCGKcm59kJ
eOujyXxgXQpLZn/T3XpzcX0WFaoxtkqznDxNyFpvfWxSLRT8uGsiopecTAkn5hs+NqURQ8bp1IQ3
4i/fsH7/v9rHJyal8/rHoz8eY4bhQ11XINrgl1ySYmTTlu84OeFx10Zw/P8W5v+shekG9PT+a9/b
1XvZD9/z+S/eN/xqfNPvTczA+i30Q/rdobaq2R/utyD8zfNtHx0BGfC6g0mf8vcWphP+Zrl2aNHF
dISwLZPG50cL0w0DGpue5VrCxH//v2lhOvZfvW9uYJvY7wIPDxwTHtv+WwPTEU7C/J20n0lBF9Ur
nnxtAAlFgnJNKFUYs1Ba2ov03c9FLSnMgjI5meohNSQw2wloa9+OCF/RHZg43yHPVGqvesoFBNo4
wJyC1WaNvkxiFkny7FNu9N4enZvcmUDxZQShZQrT6Dw103tr05caFqyGf7wl97+sfP9WDsV9lZZ9
9x//brvmP/+dvFL0kU2U1S7N4+CvjVqFAtDLbVKcIxT2QMN7jLR5cYr08j3Sisc0cFh1hBBOQq0V
jS32xVXg4gjodmO+yFNpmc9l5FwWz+Ri3jKoWfIMTlDL6k9EpCc6gNpC60n0frcFvvCphOXOWsa9
XzeywN0uQmXuozA6uALfmT2dU0PXzDVh52VW7gtBp/UwL/l0ZcjqPCNsPaGA0CBj1PpmROJV2GHj
U6n7ljtIj9t8DnFetJ/XiZXQM6yQns+FINuPgdXac5nzyocR8PCxO/RbQnWLmJlw7+y60F5OjpZz
rpskZX0Ew4dZvu5Hr5u1H+1E0YNivQ6+oKdfAmGLQL/IealOtW+/jxWw8tlFA7iOA+O5+VqZaUjW
AnPBZOA1K0N40rEwzUttgJEqBUKBKmfRpobAoxhA2xF7cvluuZzJepItc5VflikJCPGWj0KOdGur
Irq4gpABL+cSUOq7S2+Gf9qs+4zaxx8w+6e6KJNj6nT3Sj+q4/DTUqGTrSC5ZxRuUJBJCc1tykjf
4sEbWhvxOW/9bTSE7qXBcnBZb826Bdh9wRYBCJ4WDS0qDBpxSbEtm1Mdw4z8vZUaMlIF0tLvJgM3
EOAEQXG8hJuob97sHCX/OkJfh+mzYz2YPbsWGMwFw7/rUPg0YpMRo7be1ALhuhNX6dVoYGQcqo6h
eD08r7vWTRwrvlgsxiH0nIfF1NJMCdXgsm7q4Kel1ceyxOgTu691LkcIs9fC46BqTOVj+1u8S4KN
aedOHtBlPPM2BNnUIXZkbJyrtmqvJRczmHX2ayBeTESpe4WsbPMxwq9pKG9w4z1XBtVHPZHj19cu
I8nURjJYIsRfmOyPV+soIvbR11Sj1ud34XMosuIQlRlNf/oXfbEQb5/1yVU5xwIWTPo5zlrWBJ5E
+HKPXzK9tGl+I4ciPTZhvEtUE5zs0AM9hJTfz5CMGRIOzMYM+dWMxEOyPPr5aPTyWppGSyJ542yN
FpcuU5TBHYgRjIJ5k+peN9Vo+6vvp8wYPFFDYGjFpHadxAOw0dligtq7+sL3++d1VrvQ/sSGOijA
3LT1+pn1VIJAKwv5iBYjDQGzImTBbuhjZ+7BDRW46O4qbyqwZHX/3Kb9m1ikcVHDSS0BUBSQpOXg
jzSOEkkQXPMJWM94hUkJOwyLval8aool2NU18Nd1XC6oZFzCoLx4CjdC1i/knBPURSuQbmF3jOIE
oKvhkGfCS8RRHB5tx+KMZzXlM7q+4qBySQpQ/L2ahX9p9EaGjzRr53NOq3AbSrLi1hMl177m5Bbj
Pmo8UjpV8dD5g78rEKgwLgGwVJSkKhKj0CXoNvsKSEIOlot6S3lEdmD9cDDorQ3xCmzOOYyfEk1S
hap0Jfr8ZxjDUZ2pefMIvIM9vmcA1qYlzg6BnV1jAKFNLcOvie9uSwhnBzOWzwg3qnMy1XRLomYX
BD6Yai+JLkFKiredibe+c2h+o38n1t6w0STmnyfYOkHjPJW2vCwzYySmUbfV0GghafROf8eNy9eo
5+TLwGk9zGdJyyltu6MICoyrptg3MgaQF7qol7HPImXV+ItWfDXEwrO0x33muz3Hw1BsqGGj3ZBQ
98HGs21iS+POfo5Soz1xnnj0nefOQiwwSiBEkBWpbBf5OObYBW3fwwY7N1uezL5GN8NcAuOCgS8X
6sMJlZQJB9v0d0szeLcWzla3sGhklGa1mwHE8+ZMHpjGFOUFyQbDXhoO6NZwQUc126fGb/uzixX9
qnQeaQ6oXSnMmyJxXlxspAgQu7R+F3Ny6wZEJsZdxsideOLQKr0b4dFQLYZm2/UDwZIBjfWa73Dm
3r+1HCjTTopdOMqXhal8C7gaXIpjM8jA+IctPbebozmH31RWgbjJyVSN2wEbsYl4yRvvIG5cwU47
N/SpD0xq9mvtDSy2PGGtPLXzYerr+ZQVBcKxkGyqiDypKm2+2FbCyCykyePMIdp5ypdkbL/5bcLM
MnbmjaFIUCsMgrSAVSxIcsSJQCQMatO8DyDJaIcfMefRcqNaRHBQZNqd1+w6Z0SJXHdqz1qd89GC
779neAuJJt3KEO5XOLiHcSl4GrPx5GPa3CylYTwIkrZkmNGdK+yLXROIbBAUL75HEfQZziwoTQlF
9gSPt/qa1OcxnWnz16RSaheZZxPZEXLewmhMtET5kppUZkC7+TAzEXQgoATR/STs5pOo5Y3rD/se
yTAuPLfdtw7QEE5lB6ev7pQtiicSv6BOfREhgp9cIBtJbRh3Y9veL9Xc7Kr8kiwjaTp5fLNgYZ58
izxbNTwAzJRHY4BfOYyvXu89pxLlfezmPvNJDkvLzTGi9pYE/b4cqxjSUDpM+6rn7QdZ6+zTnoz6
Bi2ya6K1buYuh+du2l9kdeclj1HfT3dTHLw0JRL9bimGPZa4HAUd8IivMqTP4+J7R07kuEd7Zrru
B/7XzA6RmA+ThVVZWPfMjez7IpmObhV9TVI813U9fW4mxEiI535KPFrVnHbXKGsIi6UiY8ZOFkEF
Cl5a3rzr/FKcM8Z7u+4nEjI0zCWxc3107APPOseDsy9L7AxLShxz1TntZupHeokig9DOZGHj5REe
RNnh7DMogYcID1Yc99d+2HAJ+ezahQ3Upbi2VHMTYGzBkgr4denOjJVOFqOZbWfG0+ts3rhTMD8H
FTxpNbj7fjB2reg4TgkBQjLuX/l0SOj5/OiCelt0S/mVUS29QEI/hFvd9BJjJgxeRnZpANI5d+Z9
6CfizQf+Wm/8JaYZ5jKxx06DlFARjDZf1z4sLMo/tRky5ggeG6NuixsflkKPvL8tvgVhkGwDaves
+8Gb/qlyAPd4pDiGkrBfg7m6LIgItjM41qEOAbCeurXOi7OTlNZOzcQ0yHD+ttBF3lh5ciw959Ag
Icfd+uAv9t1S+tapKE2dLkoXP1fhXRyVp2oBcj2ojAVDEG39EuQeY9J3Ve+tJhYPiwrEbihtEgCm
m0DAzKh6RPk9WVh2NLwqYDP09r/OwIUNP3sTPWH2iYtKwugPgNqwugoXnW/R3cOBJflziomACWj5
mbVJnJlxLoeIqWFKgoPRrixynOd2W33p5x9zOWB3KcXt3IQtUTx4yrOheYIV96yU/7Wso08VwCZN
E/0GpdU/gEFsgRk/16V/9JUbnJw5oh1roDgeki3C7K3fnvuBT3DqlIzprGLndPQadRdsM7k0fyn0
ST9H3e3NdrafLIUACh4XpsRTzLt8KANZHvKlg5wZajgFICmvu3IW+dw09a1Pem0U0/00IfHscSZe
u2WMm7O0yysLXWgSBu/V8DZ19hPXm6OjUXvCG34y6jk3i+J4TSeyQpalPVNz/oSUBn25AE0xIeA2
RHgTVvGVkT8gu5ge4ahQFrZiV6bLo2Wnj7TQo40w436XeN+X8qUeMLmnEWUQAm2Ow+k69urHhKxH
Q5pPMNfoekErN2mr825kXxrTIxFwBLQYB8u5zEZ6nFG7SfoCUAp2vg0CzTkBpzRayxXX/ZqMoVsY
uE2cZ9eIvL9NVv7YCsc8FtJhJeelNwBF5oOXi3u7d4nYnRrOw41jc0opgdQiWUZfqLKyOS0CHcHk
QwJbmlwdG1rAOGehs0ZWlm2ZTaBbhECQMw+bZWNto8Bpdo5JBFxKrLIYw4b5dsZLbVJIxkH21Mjq
wfGgf7bW/ZRTj7f8zV7r+EcXMlrYujT7YRMatf1jaVBExMz78P4OF1UzERdpcvQ7+u8xS25sUIC4
M2tfJ91Xv4rvVMaxX0XIfSli2oQ/WhXuwaw4F/Zw5wAehK+uU9s3TGiwhtpMDkEzS3lXqubZLmIM
QZ6BZSUGSMb6RkuB3knUmx09eIE4cxxGaGk10XqhqWNCQ+MxiYCEq2YOjkbYkrPiy3pLz5mMQP2S
ci4UxBZ0UY0dT2H9KTsEzLl23JXirjLoFSpJTTx07W0w4MZXA4HKdkrOOcbovWPZdyVkcwxM1lVj
eE9SODdmG3yPmCf7CPu3QnKWcCW4ijz/nkFq3jHoevFc4tjMBKdeCMQztrDEltS7WO5A4panAR9v
7MDoq2EPSldUB9ZmCLvd8ZaT4xJTOcZWsAvS/laWDqUgEklD/RzmFKIN0vTYtp7Dlh7ITIRAMn2v
e0kM1HwKHTc9hhPZDHkZb0n4SAGcgOLdOOjZNvkkv4O+uAYS9r2C3eAMLBErWcW7ajgP2r8ZGkxy
Qk5/tuVc+cyJrernJLsZrCo1B2LYXdqdnbin4i4EBixZffcipsu5mO8NrC90ALy91WGSTTynYf4i
jkIt3obQAGSgdkqsCiDpdkhdutbYntIsZW6dZtvExIUeEe2A+sfBnJtrzlmBAsPx8nSfL/mx75P+
OCoEn6AxHrDYP5VOGmyBwu27HItAWb87Yni3WYu4BSlxJsjb+XVUnbnpMp8P/fQqh+BTyrxpNPJb
O8Pk30otcK/CCLPEq08Fb07Im0rlA8GJjK+yW044We4M6Zdbt20+8YMpmwAU7bsg/2p2077Owa8g
sVI7M6DI66s8OfQ94ryqf0nlVJ4R7Vys2bCRp4UlS11q6Pha5D64igguXmfHtwNrOYwPNcxEWe3q
BM1DloHHNp2EgMUeDAxnd2NkcYlyKOMomUq8ij4pE/UIAY+Q10oNwBaX+rMZM5qBCLFPrAyufYKd
VUKt1P8L9Egp0x5FintS1vmh917oIHK4KuJWZsKFBgqSeSBV0Uy+VgZpoaFRXcmgCTbwjGQN0RAV
IYg/xceBsmDY9BKrEmB9Pv76hcxr+0twPdYLL4YvMCkyBPfsqMMJWmcsuhWnAEdsjNB+dRdUN1GO
wXSq6ks4mY0Wzv+USf6pTg91It8NegGNQhGMNz+CS+jdeyZqqXLsA0aRC5xonEjU9s9Z5WPzj55C
AP7wJoLPJUXk1mkjCCZV9GDAQnVURI4JyyICyORdAz4P9wqKh8dwJIUlQ749V5QbU0mwSYbAuMy7
iCEFlmVXuuGmP5n2WGHMgpufOt9TK8W8ZKM9c32Mn11us5bnOoHgUGHO53WLJjRBeYWPr4sirBou
eQ92w4q8JrJENWQDLQORZG7m+NvJS2IQI+G+xg+L0bP+Ftr8wUaSPgJoJqFzRIYMlfwqQYZ0nKOE
9onNBSl7BuP4LEeLBLiwua4n4/s0dVxj+9cUK3Fa+yfcTDct+Tz5fMM5ZByMTx4yFR1c8HmO74gT
2auiZ5Y7hjxsOtlDRPhBRMNu0iEczitJ68TvLfk8/aS0SIzmEc09kCBP4YNoFmfLqJwovgCxlgET
OrxqGYzPDi8gVf6TskocvNisAi6UXPVInha8d23syB0E9psFN+UmZSUgmzwlyQdMyRT9pK4ab8tw
fmx6cgxlHuWXAjVYA+h5aLtTF1bXtks1L6tRITtanjC+f2JSddcHrrlLRPIOs+oo0JaiJfEePdk8
u4n7kHVbxxueK8+96xgCDjhgFDWFr+SV6+efeodPy0jVnxT2Y9GCivVxIBURHs7Yvwpx1bfLtigz
LgwyeolY3RhDSqtKXXkQ29Kkf7faiVWLCW/AKc5DNZxCo78z9WfNqd6btvxS+awlFubg3th/XyrD
2mQWfidW5ff90NX7EWlAW9pPkfXJEC4oHZIlu34mQBA3XGogU+LoUTtZYBiMW/U9x9vjLz5sKwsD
XGu8KQOmqt8Zik8GwZwaJZQi6Bi6+Cv46TMsOJ9FNFr3fkzvEfaITPy0gWTjSKFXZsVviRPeR6w4
tftHlO5Pwyg+VfpvNqb+SRBUXwycyAN4HzjO7U3HO7X1M+x3tqy0/+KGmCpLJdMBw9APi2Q1RKzV
bW3eqJgoJCeriUOCwVa2QXRoYd4fwJWghzHEAXXJdFAtjTP6+6xApNLyUHQe3ZzSQsyCBW7qFcY5
tFHWvLfTnijqvDfOsRF+SlkrOI3JVTp7NiJrIVsT6EiKkaVtIp0ANg9n1S6IF0C6QB8z7+Ky3oJG
Q6DhVjuvx24VpPNWQZj2JSVzgFRsowqcB9HQdxB9rZdqJtYYECrCwrq8QLBLTqmd/yd7Z7ZbN9Jl
6Xfpe/4gg0EyooG+OfOswZI83BCyZXOeZz59fZSrCk7Vj8zu+wYSQsqWZIrnMCL23mt9i2662Zx9
l+Rojti0MOfhR4ZfddWTZ4rIIqcjSW3uZqqmRYAgpIEO294GWb0kOwtFDYW3JYirkPB8OdEYvemS
xJTeqkQDGzLm72k5Glus6UxW+xyyOKXEThG/FkVQAfScfG5ijFRG81j5KUbCLEw/jQBRxhF8fIOi
aOk+Haqi+Fa02TMeq2IXTsWb5Ky7Nh5SN7xaJTKQKa8hv7b9eFFh/daGAakakbT2xUQsJHxC7+pz
yOesNb+OmSbJO07lTc68ESo13WeznM8aBrKRifhalgkoQ8hFYmIPYQXNWnUXhgklRocC2kPZvseq
FG1TOxjW/mxNh/qQZmN7i+aWXppF9EfnQdlukeMOAPq6BCF7+ssOscjrlkyKdKJRCS2R0E5SL2Bq
9fya6FL8iXazniXyzQJwYUdgpUzhroABWmV9fD8Z2qcCGZ+GEGlfYRHXRXcc2i8YLtY4BRaY7yuH
BfC+JEC7fbkZYz1uMuV80iKDKB3YkFTiU9nm05lTMsvX1MHg8+rvUTa+lbRlMMI4J69M79McX0c/
9+Wu9E1n7wFW2/qx9x31FQ5C5b/kyr4h7/s+0vs5V5AHUbbbzW4cCL5tsH77aFtY7u14peomvuLi
WrtiZBUsmle4Pf6qF2O3pnDEsquyn/FEiIBv05USiopA+oS2GGX60BiWvC5Df0n7epfEBADwqxza
MS0fB7IBkCbZx6ivhptphC/AkiMkbeNrG1fVpUb+tlIBllo5OtnGa0HjGKZ5Fw7TcRqXZqUkIcNa
2a1otqYI0aoAfVzZMcqaabLvogrkQy4AuDqWNx46r+K4H2p4Z7CK4lhOj1NxZ/RhsY7NsnuIcnNr
1uLINoH00jyGuXSOef2rDgwcs9p/G6q43MfFzDADn1VkGReIytHZU19sZiKEZXPE94xqvnaN8zwI
u7jT5S23yWNMO87h2d40GSdkQYKopWDUhEEcj1tf84TeVSptT35KAjaD0wut2WZnqw6PhFm9ed30
GEzxI8iIazu7XwAfIY3tviTG6OyrgVfUowaFRgkTK/pZtZl8KAUZ2JwTTli7e+DzkOYl6SQRUBdK
+hF3KdiirsDcinLMmLtHWQT3tI6GPUvhysFi8Amuv79zZvXk6zxci6IYHpoh+hkl+aGlRsJqyRY/
JMXLEIU0vHgkoR69wrRW+2VauImG0dlGpv4SucWThaXszh9BOaA/XnX2FHwJfCoO4MUP84Afiqqu
ZwiGk8qPos8lU4JdMH0O5uTcBjRR59L72lk2VuZwg/bK4Gw3kQffOfaVE0SnOBsGOQLaKK8eYiye
1ECEN1hwNITCytgP2FPoY6ZObKxLNchV6DcnQMvhlpyAEF5KeB2H6eA4gdoqoEDrqJhJrPZ8tbEy
NFSJsyvbClluOtwGMfNMVjfnZOBSXMV+BbQB1+xKeN6lvCaMJR4bIpW0RwvcXarJkJChOSgllGdP
QZZqfkqD6wzRsBV9TLKvKa94ZMkKV/OPDM1c0qnwYPvFGUf9F+zkChEI/RWIU4VBGGBlN+FBdu69
M0wFwyWoI8KKXQZ5ZNCROAd5BuYhkrIZrS4a5Amyiv/LL6xs6zGzszo50a9Lbv6c/aC4Cvdo/WH5
6dexBMAiykLQSgQCEGDd9Oqf6dBDio4ivCjka/AMSu/mgI3JbHnBnv6YJBR4yUSiJ4/endLdt2CM
8SWCHJsM9bnK+tciHMJLwrR7o2OmnaJIdjZ3q8+IV5zykuZOa/b0y4u7hLJ5WzU+qlDX3NiIhnq7
nY6lQ14pwOgVL9745DnfknC+RZlMd4zfupPlYH9kKxFJXu08PQl8vo57CDLG0jYIGTTww7Gdy3yT
lsWnzoheym44aDmRuUf7eNOXLAIZ7ZmYOAD4yugh0fbIXeIvGfZjnmy+FrSqP4e95LubblsjVN5G
XRbcMrMczm0rYWiC2A4Hl51+qLYETlyyhRqI06kBSV1ZGxENj+hb3WPyhLt53sYAMtwB0TTmhHHX
mmQYO5YhHiZEp+6kn5NUNkTO1WJTmcisDEK9hDCZ3JjRD44N86ZVUbEWnv2QVH6zQdNoryKLE0gJ
snEVe9ljYoB29B2gErASFtAfknQk5m8BtndAKcZjm7Ye98UL7r0kHbZAOmg2xggTU/Tu0r2bI0IY
89l7dDJ2Ax3NN0lByKLdrXvpeSfpiR/5wEF9HFHe+kIEn5P2ru5++ZzNH2aR61tjgKZdFPkzoocp
QTjbiY632wNyv092Dzez9WnLDYHd3HWm9T2bJuJoEuOu6VBXcuIn/pDtuU/b8FqVyQGk5caUA/Fu
S45kgCB8yC303Mm+Ft6F3ALa2/pnEr4OHiRhk6eplJVN6hhA20JCM+cM2FmD3JPhA+lbQfRTceYh
Tna2oQSb0haEN0kJxkCZ1q77HM/lr7zuOCK3KeGh9lftFPmb7WYnJ9t2U03kd+gRKmh3e2+2qn1t
sLyUdXqeM2sDwi/czY5HUeRz9B6mFXdK8QD4qwwFzdqYTXfTF5g068ggHWJ4LHyWn3b0V4EzNmTp
oZOAU/ndmyDntT3BmcjPronR0IafdLKLpv7iwGrbxVCUui4BdUPhwHhjrDdTYBzTsuvPVjLvu85J
Lt34pYZtfzQ5G0GxJNfDJcA5yXD7Zxl9PUCORHdK1Z6HnkCgaoBg5E3GN1rG+Jey+YGkqWnTD/N3
ThsGEJzXlKCzdQu7029x8+P9wx+bwgAVo9zj32Dzm6zswV7ON26LnqOpo205xN7NpV2OvYUCu7fT
O7ItwKv07b6SW5G4B2ZrP+K6Lbboc2Mc1wYtMcoPy4fwo5U4eY08wmJg2uDGxJjm6WPUzPf4wfs7
+KCEFni8nHE1f2dceUXeG/+cPfNIjcdmFmwn6FQbDjjN4zSFhCc1m9JxvO9xgwigUwkxOUVwc2TH
3geGi5LR2saJvTNpFV3ZNVbM2to7gkt4+Swe6aS61hH/pmCtaEhYpkngYHnpinsR0jrxIhLy0kot
YMrywNSdobGgq00gDKHtPLmGlX/VcX7nFBl0XgETsY0v6WglnzyMgdGYXt4/GEacXRzPp7LoxSYs
eS+Qn4TM20KKTEAhyV50CN7zKeuCYj7KRMTkSEGeJQJEpITMeKX7LQKehfJ4tu+1WbFqMldENcAk
gkCVczs6X4KWtLg0hIobkmnoxNnnLOW1hhPEmBSrX0D6iBiXSafFvAp+mXhOcGRMdzUjwpNWHLgm
rRJW5oYcdl3k584Fdx9VT3Y3ecj8ieulU4d55WQ0NL2UI/aV4xJF0cO1jwai0FNAqbaXjPeJANkw
thCRivHOVWmxTxqMfdpesmymI4e4n2M+M7ekjzl0Xb+1NdMDF2YyMGGn2JYWSYzhxAGFoMGVtIYz
upR5r/NsD8g1vgWGegQnQdd6JtqOPZDGXStpfqHRPpQj0VlkEDWiAKFVkg/TueKoG7+6vX8wPcIT
AZv0jh0d5ZIJW9ihuS8hM1CJ1hJdWFx/DjlRuVNP9Cy0j3WF16DLlX/rzMYGAtWJS7jYI2xarjbk
3nUOXWClvBnPqa0vdkYpkOf1PRCk5bB8KlzOTmPLBGQKDirPxc5CTzAF8xl840tQOc5FhBHi/gbb
E5L2V2zGwDXSEpyKCiZAxRhWxBB/LhhsTmlibqteXMaRhakoq6PxEku0G6WR9Tv6zsMhatjche3z
kGGn3KfWyOStRO09cvIOCGdkDN3Pj3baEm8625egSzwAuPMPtdKdkC+lzbG2NNZmXuKFd7vsErcK
EDivj53ofeRm2UlG3n1AjVALVW21nVVro0qNgzOWv+wkevMqU+0qMIfb0qslAQoTWeUZOdSkP5X7
mXdTIZzvaaYR2gDtW+XIz0zDI8wQKUoeeEeVuACaIrpLrb7iPgw+xQweY8AmHItZGdNnaOjDDfGX
gOIknOCOSQgVXa7IaOQ8gO91GcMCqg3yNRsJzUKyMwuP3OEmI35L8KI3VAtwWhmoRTXf0gVqJ0Z3
187BfceAjPbd1Bj7pkIemGNgYBe71QP+jLBrzsEsQMuxJXQmJro6pIdStqjWaXenWLD3xuSlAI5G
rhTyrCA1mjEgw2qOBwaT3V1dPBLFNe90FMmDCc1sY0z5V1c92RajIbNPLgW8lZWf092gr65xDNl5
9i1LBdU2PSDdTo+U/P6xjZnGWBqBQ+2LdQny8dFThBnGxLq5PViHeOCeCec0FJpWPOMIamRoCok5
3c0hZuk4fSianEppDE8hcr69ljYd7oHY8nGi6HXR+ynE/6QgrNPYnDZW2n51E2UcTEIp/S4y7ioH
jK7vsO7OGW0zk5BW0qHCp94FtqTK+UGODTneto8Ks4Bo0jkkJmezPmdd5B+WlvdYxjg9WvmmJ2r7
VOeHfiisfS5r/OnpdIpz6yWxYpyRi0NVLx/e/08uZsDWJUYMAlkPVspnYGqNDelKSFjeP7yrMZAm
9AC2zZEhdIjGqH4nVApUSicqDgY+UcGBNaSeQh2Wt9WCs4CGs/zV+9+/f2jGKti1hnrm0hn5vtuB
NbzZnW819+9u2Pc/CmhH41wbDvEibcOf/hwueFCZzgypWDMWaGBL6oe7nQu9YVFeyKB8QFOIACR2
TOowm4pv6vrTOxrm/cMLHJ7ppBb1WW7ET17dwczqXZi9yx9pjeH1/2up/6+01NgPoTT8t3B389q+
/iVDBC5b1ESvOepeVNURlczb//lf1u/v+i8xtfoX2AaheVR+R3+g8/1PIoSW/zKRM/Mfumnrt9L6
v+TU9r9Q/AoybBVRIxp3yH/LqQU/UCNZI35EaNTW+v+RCPFBZ4zgzJbClpbjoc/2qNH/qjOOpnro
Ct7rx9zBrBaFjd6renqqZho+OLrpG7nGNg9Z7acaftxIbrEADYrRe2OGtEvCROwmj11HuwAwUaTs
8+o6tp3zUPvZMw8qh7bB2hSIsZjftgvhTSnSRyqbI1R4zCxmOZKTI23vkyvqr6mssh1xE/0aAjfh
0jXD1vqzumsIiNp7dQO8K2s56n5J3Wje5bHdIzy0jnGPwGl00D8YvneZ9dDhsqNmLzNWgAoepupM
wtELjfCbi6iy1yqV3cGV9VNdNS3HRH5XYolBlkkaV9IS2OgcoEC0SK3c6H62AFeOHZqrlA1662Gt
ZGMEopuB7ISJ+lpm/IC6nHDITtkOYUUBp74az5YinK44lVoNd/XU4CcuTJDjNn7knoXBHdHDfA2t
utxozwjWMnYJcWRAtEsWPA2EKnc9WHawCaiNtHTrXWbRC8npIK84/syHDiW3Cjz8qEp+mxLHPvzx
jv43UnTrf75BpESCDroElpGggfXXN0g8qbov+rIk3E0/ma1FcOnyIVUNAzoXLFgwdQgs0u7O7Lgo
CfF8jrz/vJl/fy2YCP7MveG9ClSFoFgpoah4lvlBEy8Mi6Y/EMbjYNRUy2X+FdCQJBvP6O4DkT0b
Ov8ZyfSf7sAHZsryz3qI/DwwLA6+CPvDHZjBkc1N6KZH6Ir0THCR88ZeaplwQS60ot6TtBZtYjSf
pIthmDeaId+TegKNCwE//dmXv78PC5Tm443wpPZMKC6sH6aJR+NPiktsimbI8iY9ypAbgX5YrhsN
nWga2j1pYvbK6JDKu7Swt0RIngmJntGgIpOLZxTJNix3VLc/+7HUa9edrb0u0v37j3J9ZNK2EEge
4k9/f9H2clF/pBa930YHC4iSlpIuyZ9/veiAJwAPbsxF63reRc10aGOFZL43kHjFrsXc14k29lB9
dS36SVXAcxj5DNxIQSpo9b1V7pSj7Wk5NhjFg0uhjND4OfXtLehqju8gDGjurtMq/t4WJdII0SQn
CDANW+v0HSr2jRYKN0JEb6MB0sR3SOhwQvHIybXdol56+offeHljfPiNyU7hN2UyoSVhUn/9jUei
+hBxmKQVteQrGZz/6iqidhmeQzWLi63VVucIZkwh4xM6JpNcMMuH9OJGtKGo3kubArbvM/p7tJvM
2qGgsSF5kl0jRv3UM5ujvL6R74FWp2QR0CWy1jz1X3Vp0ZDqquQEh8Pc5U73WhXjfKgNxgMFYIzK
J7k9kIip/H96XticPvzajmkqz5Omp/nofXheUqvx0NjayOlr/VTojgRjwlBrP/1OlE23r37lAEVz
YRnbkXM1uQoOos+t1wQcghskxQggWgaE64zG4O0fXpJ/d22W5QgcRErB2PhgH6orndptjdS/mg5m
nXinOS2+FExJNlXjPpH5QwSH4RDlyGpOnJFDNYqmI6DisdOO5Id+a1AVrMpOfGtwvcp5SrYQmx94
WwKM7SuyEVtMrtZc/3KkqVa5eJr1dHLys1LOfRVY9cEQg7ktEJVt6HzfN0hJNkYQITwssxOSlm+R
9N3r3//a1v9cwhxUE5alLdfVHi3pv74T6fEOUeCW8XF2Id7QUbmXzaxBo7bEVM2Qcit7I/N2P7RU
GD6fzBNCJqsKH+NMZgdS/+LVP1zSh31FAtM0SXq1TI4yDqbgD5cEwgUuSaijY+gTAQwD/84MXbmv
s/yY4906hq1KDkFvnoVWzqb16lvk0V1oMuufrmR5DP94TN+vxLGYJUjlmaBLP7xfY8auRm3wmLbk
qTryrQnxki2+ll0UD8Oa9Aka5GFwmmk+UkBuyA8uD4CKSDUbIGjbrfdMni6dCrQ4O0c42wLO6d/f
LXt5X/6PawQBpl12PlaT5W7+we0ilRCZfjGylDTOTbeWBpeT0DMqXgyhmm+I9ubAzM4e6U2HMvzu
9TOxaYMwb06U3ThQvoEEjFaqBL6r40+jhVgFcE8fq+xekJO58SMm2IWW+VbNGZAMYTx3Syp8MYmG
kC5Oewo4vuGV/3j3P2wLy923tGJPt1wS9cyPT2Q/WUlUYc06mhKyQgWNAcr1dI6UCjZtQwKM3SLV
E8wSWrjhKM7IdPHtiQZuU9BY9MBg5gcviY1/eGacD6eN5cIEu6zr2oo63VQf3qA9RXMx+2TNDTGJ
9y19ySYuYvb66YkYWmCBOG7XUTI/Kt+2lhsYMpiKYEEjKIQIxSE0YGNjpkv6JHpch4iiorS9oxST
dZjTZjfTx3e9Ib0zGaXsvB6HHWwfa6VQ94PP757spU3TzbHxWmQlZX/fMMBu38ZEkvs0W90aNDn8
NoEOyskeOpDDu6mgYYWQjDacALqti6G+hKp9I7V4Piddd8tFQsO953Vsk0PllO0r+RfXUZy41Sjf
w/SgU2b/OtB7I5kRXhZoEt7JVT4X8vD3b2vv3ywCKK8ojzwqJG1+xNFxXPUHUNfGQXL8OAxEjqQV
KXzzzC+edo57b5Oz6mtwzcrvc2TXKt1hLyx3roVI1wrEnnG3TZTOCCkGFJYTZgzriSab+qI81kX+
s7BltUMT89lPdXPgeSb5XIOGFhwzsXEO0VG1kuZR4mvaVOUdIRDya+k/YfpDti8u0ETTXT3rL3EQ
uoyJBKDpHHbe1NvFaW4kxw5SJlKAvZydlvVhPA90w5hQ/Roar904g7OwTHA7uSb6qQHtheBZfg0b
ui7EQuB5oF6wyQMKGh0c2oSCPzJo7AR+zRixag+WAsVcwpraDOhfnYAhU06yHFfcrqoa8L5RxCc5
j8zeHf279P8x/u/gZ3H/e4H504hqfdgveQgUsAsbBCHRtjDuPuyXps5B7aXcJaiWJLjlzV1CxiHN
1Y4+MflWsdPih6cHUilmuVAwn9yUHruniofQseice4J5R5Gu7UQ2K6YX7fbv30Lvq/NfV0Zlso9z
3hCKjx+LgsggW9Y3Gnq4y1m4GvpPmR8QnmOytyM4Wg08Zmhe8N74uM9JSErB2hbfpohjsgfSaFWg
QZezx/h/pgD7h6ujX/Bh3Vam5ylB6eDggl5s1n+u25NqnEaOCFVVLeQ+YqS+DjrEpLGX7HxRBmtU
fdPZkO10zrPIZmR2yOZYgJRZNr2QqfXfX5D9u6L/cMNslDKA4ymluLQPp9K0LjF6EUtxGO1UbBy7
SR6JJ6Y/qI7k0xpf+KsdovD8QlpnuM/KnzoV5atdfKWBaNIkt+sfHX1Fwwizw0D8wFkWPznOdGff
G3J08W66CyP7Hjb+uB3CSu0wtvFck7yE3AzhX0+nu4NJ0IftticE4L72IkoqnuojL+U1Hpu3oizi
K7CH8tC0xKQJZtpNgJHW407uwiBQ61n39h7y6fc6DsPL6KAOSYqaTLyYU7CjXRhT3n3HCeMUaq6z
Z57WSPXDhPsF4EzW5Unaoz5UeXDuUn4USuBm56DJXMVm8KjdWR0Zew8IPhaNmp9FpzL2B3Lf53Ef
9s0vXu6GSO0ey+Kk3uwaUHWa1vxSGQO1ReaWY0k6mLYJeV055yKIrI0XyvhJqK/c7PBq58Ojb0p/
5w0oLoM2gbRAAc0mpyxE/1h+/TQYiARJd6QyyKPO601EbJrYKFHWZzbUb/Bg5wd7RIrk0ZJwZoA7
2RA6RB/RuUBzEu2tIv3qWcZ4jqCxr4YlQYCyKQe9LL9m9Lw564Hp0N6mREl3xZIynjNUrquK3ZcY
IZcdiyyglQ79cF/UvvtlFswFxb4O++nYZuIXzm/x2KXxqzdPA32gydgrHMzMOpY9xFV7RuRy84VF
8JZZhr4iLD42Q+vf0mVKD78I+uY48EqqHkZKLNBNQAevQx8WtqcHbPmkZUuaovelyDAmSBKsBOoy
qhuxbwVP9Zx3ED4lKEKbNFViKLyXwGIsO5X5rRlGpD6ujTzXZByLqOCragENxUFenBYs/cYd1I9Q
IozDDZlcOPQvBtMUySm99CfKZlKMGInwneB3LANGiw+LZB3mRXt06+FtAHizDwzXQhxS4kXG/7tp
UEDSvLhKp4H76SE9HPHt62l4ljNGDw5Vwcadu01fWe2qoWre9hgmkTa4Z6mJk4yGBsNi4+2FrK9m
nIaIUqCViDjZAYE2NpbVJohtGMpJoIEHN5IPwu6XKMmRc2rHLGgu8F7FIxq11M8CwjCq+7lb/gnX
u3hpYT6YlXUOe8rGloHZ+6G7zn3cZR0pQhZJusrF7Jjk1p4SRxwLolOAjljbwECMVNYOZ0SvIxzc
s0dw+glGd5l+9q2c6WCDVjrpdXSfpkxR54bty1YvBeOvh9oiMrBLiAzwC7O/amuyXog/Y4ginoUR
jC9iGXrJBk2T4MCEiDkEcdYHYle4zT7xA/+C9IN6TKH5tCHbJeOnPp/cK2egMs58RLPOjGFA3hFY
F1zN7EdvYvqZpe9sxkQzSF4uOmr0HYkPamE4kzyP6GbtUiXvEnsmLDMMqo0OMR+VWGXsMLiJ6YeL
EGBCAXJN+tlYybjI1rVknGfEuXMx8e1TDFrBPpr7J4lXLsStculHDEuATggFMdHLNcxL8Kheemu8
+u7QbgXIwQdj7DbW8otjUxv2Vq/qrYy78UWVbYLcb35OLHHh/EgOYZbXd0pwcQmjos8hoe1IDzR6
NW1dZ1UxxDF7YImRs8+G2X5Z4jKAuof9ubepctkNo5B0Jx6rXdk4+cW1iZb0okR+zkXgbmw7zs8T
We7rwmjMrxVpy6sYb1GDIHJP6c59UvQnLCZWUcIgz7LEMlpRP4rB7pnRSezrcYtK0PUeazgUn1wD
v0g9xeJsOfE3GBxMNHlcOUreJi/actCg9K/mL7Jm6amAbmG0ozXh/8x6ugZUjW+iqJpd5djd0W6M
/g5DLLcw0w99QiKI8pCWUmZT4eTg9/RobfJJ4inND44XPmXDWN+ZgNA2Ejca9TieqWS4ev4dL2V6
tAaMtRprNxEb5RFXB+Jco7dvtEm+WBxkMqdtTkMYhdcsT8/AAPZzWj04Ic9gUdsMv7UzstY3/bqO
m+aUDigpIxCB9fCaF/KlRcd9TWJghmTpVTvkK6coidFIO9Pt/aeODe5EM1L+NhmHeovzI9xJ65sc
a9aqwQFNl5q4RYka63OzvM4N8ud3JAn2LniSULKEPuEs4C2OP2WliAHG83Ce47h+wMdUrFQD8sPy
Lfzh/ac6c+NdGtgkveoaLJ0Vo2YrXOSItXUX0g73OtWtmVKkp2GG2xvZNQnWujAPAeYB/CbD1hhS
jt8uPpfUTc+gjPBk03T1C4iIXV5N16Gon0GCcIa2+y9p99pmNG+oWEiFVMltDFFWxTUvcARTZcgc
F0NiWu9YLzDzpDH+kTy+K2rnkrtufBnCrOa4NjBUtRnlY4lhV2MTrLLC/hQyUpbW2dB4Q82qPsZG
sR3yTF2aHtqJ7R1ktUj55vQI1//LrD3rEnpmQbzHyfQWkl/GERB3IMFaumgpI7v2oHMwmupJh1QP
empPmdGQLRSx3Zqm62CmUUSDt6O37UuIdHbW1WfTXTSPZIP5obDgYpb2AdsS8LTEs1BWq2c8oAg/
w/yqZQgcmiZXF5cdVkGMHok/neeBNGaDvA6T4BGqcMeljunWhRuMd+Qpa1xYuPp7NPxEICWz8ZjK
OiRomBkKGUrVJiUUqfT65FQ3DrLYccbKF89HCcpm7zHDWTFNCXcqK1C7mEN5RMnwoqLh22B8HjOX
3KUIJ003rSvlO5+SZeDBOn7kKVCrSHMydGr/uRzWNbPo3PMODdKPtQikdRHZVqnoU9TRZuSRa9h0
I/zJSLYZ68xwJ8u9m7SvcBhPIzvxOGV3Bv3vFZUfbSc8rnDtd5PCKzOCdpga9yUYZhChDQEriD0e
vIpY+AwBv9saBhYRwBzTGOy6trzZHjG4NWenXW3JdSydTxypkeW5w6XDsRlgnd5N/Qw1tUu/T1s/
776XZMmvUbhgdLO/Bh4+otFPD0omTzWtkRUhWl+6AY9OzzZwHFBYrHriNjkSL3yUiYQuw+fYJqCM
m+SrA5ncJxFoCXOOK5a3XK/GhGxupgIk8wgzQom6NUdMK71JmODnAc0/+2mCby1lawaK9TTMXwTm
0W0SkFwk7aLHUEzy0ehl7XaoprdysKEZpAAfZfkSDzWh82OD8NyId4biOIGnYAcXh0w682sELqNK
cJGldYMG1GF9R6sBorZYh2KE1TgaZEoaX2S7IEWmV2p7NB8V8aEN5XY6HhX081WYID3Chky0rt08
hxRwHCuIDuXY3vdGsQnC8rvlYudzgTsSfdfTgAmvfU7LLnb3sY0tqqnCbFvHmgQpF/AKg7uZbKB4
NO7IO9SIf9cIGVeelwFWQw2yYugNgzbD/+9jj+pbFGJtSrjWbGFDpvO/Yve6s4mrBLgwkek5Ujh1
IerApRmkS/FKtvC1mox03SLTrI30h0BSr4PL5C4U9AnHvGXmnBS65Ib+uGW7rs116H8HTPzoetmn
0q0PCPSfW/oNIDZpclSaIl0i6kjgWOTAvHXAwqdpy6z8lMcF8fgPEKCbjKiieUad3aIpopdobYji
ozQx9NFdQMTfmiLLHzKlDyFLwcZNMNrGSzfQ7EW/r8vwU1kTETH5Tn1lBMgjUY3GZprrbxyO2LJ7
JwEFrp/dyGTrtPI94BeMUMuHfuHVK2x/6wg4EAJdPn3/i/cvef/094d3Bp9H83TVv//v4PdbWACv
71/nvkPt3r9QMz78z695/3yqzGhZhc7vn/3+QhxfpFyN5uX3p3/8U8uPHhIVQPwOfdKYwO9ihI73
ZZXxUvz1J4u2FPP2zx87NQvrF3HJ+x++X+f7//3+zt//2B8/JdDiEw4d5MLvvP73yzAx83OQj/Ew
Ldfy/u0fru+PH/nhaz7cuI+35vfPWX5s0OXPuqEZNQVXjC/MZ1szOzpN098xFT70MeqAwRtfNdmW
nFW7/YgNF5F6OJ+M2kN129PZRzuLBI4V7T3aDD9vP9zbigN+nA1fspDwrSR67ZOcvEraoE3pQFls
d7VMyAdtw5ehHV3e6p3ami3R3xFRRltr7D8HYa6vHmSDyhx8rCxhztZGnm2UIQzMk7JZWXZ/b84J
6GXfyI61H54aVeaXgtm765UXV2XZva2Po6sSVL6UYBQg4RbqvLVyhfmrCXXwGJvf6wFJnEjAjuc1
OTy+luNOHeec87kxzq8Q/x6SMdyiJ1tbJlhaF2FzRbdvYytWU7Lprkj3h2NqQQupBxMAmf1QT8sc
AqL9Wo2XFhxDGaXmoehnb11NBJGhYu32UKX2oXQRcqb4pqdxDT8Uw65EyqaMe5TIFS2SfJPbBL4O
pceA3D4EjmE8Btuaim0dFNJfVwZ22Qof+rbxDaabHcp2icfG/BTR6t7Us/dD9R3JcbZGbQ6z2B2O
Lm+dlSfeUs5swuZutDjToKFW8HHSYMkQuiKcsNeeMKL9mHf1lcYE554eb2dm3LKx0neGOlbZcKWv
8Wpa/b4wu02QIJ/KGuqgcCAawWufY9tXl1Bnu6jm7tl6+lpa+h7tYLuvY4tObmbs+qHtSFeoF5Z8
DOG3TR5K7AUrL9AeuNfpXqYsqBKGL7CeXe/WtyF3UkhRA3Ms+7Po8XK5PQeRyksKrpZ2OgDuS01F
faewLQbVzTN9kAqT7eASw5A2Fqra+5kcTwFBbuM8wfj2NJQAuq9ROfprezKfSakjA3o2osMMAg5u
PpMcl5ilJJ1WFr0HwPvEadYlZqipPi55CHbIJHPCyOwRb73KOvbAyeiAjZngCd7Pi67h9kjlLTDa
iKxhxgfRobSiN6Ay+S4jmdef4nA/Tgt6pHXVLURDRQAntXmcYqPwIv8/KDuz3siR7Vr/FcPvPJdD
cAJ8z0POs1JSanwhSlUqzmMEx1/vj9l9bXcDNnyBcxItKTVUJhmxY++1voVRvLryT5PnnGlCwVz5
oiUYTWP3W2YIXLQAH6AZtwRB2Xa7a6NkjXS+qNBVBhoaahLR9kY84N3gwvLqMHl2h19Cl/qeb4rA
aoLKyWfvTel8djifCCD5SqZnVIPZDm8wDXxLnkdvWXVxs54Q46IWnn7YgkqyiPuHrAhuaSh+MUUS
jQu4wp1xVdqBqHb+yDwLdp3raYA+oGhWIcJyP7AtNPx+tWazex9auHDe7FxHrw2VTtUPVoIfis4R
6Ic0PQVGuY4aJgK67bIRQ91djHVzNEWJCHr68nRaZ4WxtnJEDA1+iw151W8gVRAG4ptk3xQ3KdPH
eTwwtv3Aru3EGyuWt1SGJ9v+wlUe0DXVrs2EriXKgXC4M/EjG3EY6voAnyjsHqBpjcsMlhdvbWXs
6tr+BA7GoiFANBg2lDIXmf/S7FEgW5V6h6pyVK6BRNKafunJLB4cn3HTbePfbRAa8JOdQ9f6EoCw
8ZsLsF/2Q0YNkYhXw0V0R52Pgl0g6NfcceNbJu5yKOOBZXIBIkWJMqLHLRr8HJMxJY4G7Tkzy9fZ
FzXGoML4iAPqMDkZdlyFEG8ePocmMdkFvFkWDBjpkMLT+NXXrUVlEv+AGTPZxolxxgex7SYYScKn
iyq6vT3GNw1I1pKZYrhya8TvnibybQN9BpB+SQIcMqVpVSRmudRyy123eXdLaFtYdfI717xHDzMJ
YH0xwLgQ6/hJ5nW9yWrJPTJmj3man0fb1NcMCyzX+KUsy1xLpU55WL/5Ix6+ZPaotX1+q4hiJY4X
QwT8NQRagXLISKlmHEi2ccuJesbCUiJoJhhq7Rj8mnSU5RXFWnjW9Eus4xOvJNMJq/8RIJvArAvX
emxHRtdT+Jqk4tusx2Aj59bTNDmIMykpABq5T5aKNi7ZmwNuGrt2rZPkDoga7UvCL1z07rvWFBxY
sO2eOwWr3bZfXYMwvBqSkF4vse0TeohWNpTaVa9jImgN1PTp7AYn3IskPWZnUdC0W63wXqOZJljr
+YdDoVcrqIQmucxoWGiX9YNzgxWyMwLoAZI7NJ3gFzkAtsu4FJBjes6zOXPSMhl2egIePkMwHLfB
j0jg20ktElfbrDzHrf1JdnGy8RUw+dHd0hR97wwVHwkR+HZgC+KMiwgd5pAYB/5SVgkZYXOAoRdz
ZRLYCanLLOoFgrxql5vEo3Pe8OIRVlwri03nHjAToxdHS7yizK9JI12kcTqe+pl6YfQl1KhaPZkO
PY1aZDfZbjRHsxYWqydHVZTuWdfss8Q0jk00H/GkNA+qVLfK51zvAeZatpWNxt7p9G0sqPjZqg66
BGyVxCPnwYb0nKRwV5reZTtbhb8DdOwIVdwtpQjLcs9ke5IQMEI1WzfpJi7mDlUvghxOCRunHo3H
Icl3ZdjtK0IrBVZqFk4Hl8mqSBHiQeN4QaWdLguToGw8IVdTjCAXOprCFi7uUqebx/LdYw6HWJkS
XWmh7o2wkQ3lrnF8tbZzlNopQutuvkkB0mdrfiNOFIhffhjTb8sXwgt3aRLlvLAJhiUDs4M34qYA
HkSOqU0HhGZFwxgGFgwhtHX4TZIASU6N660Ts8J24aVPCTr/bWtU4wqn01RaxS/64lkNrA6ZBfkv
DGjfoJm9tQJPJBpriiOjPmqzEbwAuz+RdV0j0rcxoTzgfsJAo7lHbqJfdolNkSAR6zASbYEd0Lxo
fR7hLgbrTNz2e2jEG+8QYuHacdqhUSerz1wOw9osqzmjNLnUrrNviEEhKsPvN9IFrOfU1sZLdqrq
ksOKgxsm6FyHPoCreoxyfzfq49MQbFHPaWtJ+rWTNB3HGXyb8SfWNgxN67gaeXmMtlrgU3zKld+t
GqutQNuL19rv8dvK1zpinE0QwhuuaXOjTQ+tCACfmOqsR5QkIldnJHxHPbSumJx4BXoX4Fj04HD7
EwHsXBK7I+rQrgOgh/Q7pXwLWmdgZXPxCQt8bQNbY815jGsEt4IaprUtEa25RtEdjPBUDurGnCBZ
epqfY9JOnibjqhpCcIWB4qkGiLsQY7DCmVkuWkyuk9ac0AeKdTd0lFw+XmnbqS+BXkVnIoaeWqOj
91nSj2TybmgPuAyec+mow92KQ+uWpnQRO+E6qeim/PHJtmO83iAOMt2SwRLozkWuaRVbbGW9hCYz
qjbUtIWUiclEBtuYmspi1YoS+CtomGTnRO66nEOm7g9uSLyGiCidEoWZZH5wgqlcRS60OrvVSUic
HzCyHNxJt3YAqiC+tvDNSmybMLnMQ0/EEREkJGGpXsbH3nkhMYY5gZZNH6hzSdVp3Z0xp+dUQ4MC
zSpPwUwNvj9oM074/l9sV4RY0BBa3j8HK8ge6uSQmklzUDjfD/H8X3hcGKIafai2JZgqIcf6ENKW
OpDSyb/wPz+22tzFxwZjFi+n1R7tNsF6XimLzg+gcYIPABvdieFWjwFmobzwzUyzADn8ekwqLA3z
7yysSPK1//j1Md03CV4DjiIZp7Ssk3zhFxMsrUl7FnMMkfxg0IyCfv76/UkDkR/rwYT2NlkBC7SS
GvCfdIbiFPbSqTh/hK5erTOD6Blw0QRSCroRTTeCXoxszD1xsSxqUhxggrXLQu+IcCgoK7gCMAbo
80Mqc9ydF9jU5SEXYA4WE8iZuArivU/KwpZ20O6PL87nd95IBoXD1+RZ0BUTuMAHwnLCO0y22TDs
fhzm8+f9IWGrWA20rRbmHO80xhDmc5hYqH0viZOjQa2I1KSKA04UAoMd5gdMhkhmGJerXZPgeVaj
eYA4QEqO5pkfIFLV3ovTHVpumANp+KN2am1tFVy/SuWbdsQUdn+gn70yWpdSuSewaQRmR0cDptf9
i/f/yuYPG69ikqJ8LFAtQ89IA/9pzb01txteZVYxyqmhUs0dHDMi+KN9KR1rpJUG6SgdP1gBsaIu
EEAhoukyfM+uiVwAUCNci99hyaenrn/MvGMa6K+AdZhmBh1dXv114ly7QLJ6NQfrzTCNV7sjLUdB
74AC9xTE3WacBhBIZrunJv4uQ+rmz9Bu36GM2aj6+NFE8Dy4Wv+IAvNVwmlDrvMyOFQgBOxgFeZ3
G7VaafWXK8QPxJePQ+Nw2Kz0YYlmaZ97xVGjyb/0elrmpokpGKpBx4mS+1dAS+lySkZWpRL6x3jC
/Myhbv7Ufz5I+lEMHdpoX4xqcf985tb1Vks4s89f+9tT42y++O4/8v5lvVXuuhnE29+e1/lzQtn9
k/fnTdL2oIWJc5nmTIWKHJLYaGVLRg2/8e6cRYbapfbjd7g+8aqh25RXMxiUCmDh5r46dI2+8rRj
ngTesSFOae1kMFrgYCyZCz5q0nsIYJ8gsoDxUhMP1oe8ITlAurgLnoQ1T8JsbROmhAFYGEBtiy9J
j9FGFwNcG1TlPnPLGfrvFjvhQwUzqRj6tV02Z4PF4+TgWu6JnPFSwpj9LnkCWkEE6khxU5RpcoBr
fBwkWec2cOhlM/fuwoysOq1SXzUyz22J5BMTFmmxpYn/qr5x7Hep6eqtbcPXspW+MdEor3ICj9dO
azwbST1g1w8pugP2Yo8aY2S73lrOxWpgaEa1vA5wVWupAwwPzH1jR9C1PMCKiTfsIo4slIooriNE
5ls6kZz1lfHbhY9+SGE7yZRJUmIl76RD0KIR09plzx/7N93wugN8nR9GnKkNUZ4/ZeadXUc+Ykq6
Oir8JexCP4LOXoUhCKeoe+lTc6un0sb4hh9Tp/gd5VbZXrfnOPuSN6QcTyWDOiMff5XSe61NK9zU
8yBAlu6Fu+Ml9iP0BkaoFrnlbTwVYavt31nt+SeWe2GZnCWi6AYQ+uraiJyY908ZRKc85T5TfbXp
ShLqI3dqt0i+vrVfnLN64hKdm+GEgApjcPV4J244TtTBFuO0hHEdgdJ0f1dlD4Zjwrgnka011oE5
Zu5r6IIbUBbp9Cw4rOS2SYRV/mY54qdbQDqdId1L5mrjetZCK6axg8vfYwXxrKWCctsyRGqx7m7j
Jr/S6qXK5XBuReteM3etbE/FMJUbWwMLpYluKfT4SkDFp2tF1z7srgliAFL9WiiWBMeBv8W57de0
rtOVrelr3OKcNNd16hzHCse9xfAqRUlikqFFA2m4hQZDYFKpf2nWRFpQrR2LGpeX156HfPgQuFcX
kdVfYd0/Ng69CmU/6X33FmXdexFFmJ+HXULP3k4q/Hlj/um56M8gwywsjdtC9OWpLIofvPtkQInw
EYDYT2qtCXh5tDfH9MRCrzNX+uXI8tQ6/fdgiO+WkTwL9I8hQ9AmbYCAcXudirzBKynnkFTz5Obj
Vy6939g+KYhtTDONzt1pXC35Cw3MV2c4n+YN9lRCe4eFcqrLn6Pu8OpH34OX0jwD7LeEJHGJcusj
neZWgMnMQnavo28OnIkSxAJeyC2q6FCAQ0Pg/sF1Ga8TnRhVCu7LGOqvynOiVYJOmD68vqnnn4Ne
BLCwgbF1HNKj5TXPhofrQTJNpHWSL+0AaB9anVkG6FLrQePTC5PZLX6BzJxOlmsxpOcPTyWgE2AE
t6RW1baYCkb99TFq1YfK9ILR/1vspSkebKKiDTI1iaGBUgbOK22qhdLsh2iw6q1RmLRBa3oUaMiN
ovdXvTFcrA53KAKDZGzTbdfUJ2dgsMHh+iEKTXZ1UNHYhkT90tDkdUL7pEZ6V+68Zpk2zPsg2uuR
ANnnhbTWxM9eR4ZjJvVq9IxoZYYtta/e3jyZPPWyXwDaNIZqpriS2FdotH5x8rBacQECCqP9l9c7
rSE2EiIWOuF90svH1tJ+BL73xCtM9sLA3t5dx5ClJ6/W2gibFhy51qoHsOaHMrR3hKFxYDDXZd6/
0mCyXP034uei9ZkQuOlTWY7PnZreqh5umG9kByAuJxCP7ULj7els9I8GDSwj/okwJM2sRyvFouIq
/8uwdbmMO0CyUW9tZKyjqLG7ZVXEcltYJSpXiZTkR4iWbuF3wefU692aEMQ8466MtKsNFIf4VgQ1
zCtb64vWxHGysSiJoPoJTvFN0NdJKulwyviuWmRojRMwu3JtAPvyNYqdF6YWNNFaOshgF79Js2XP
NLxHeAjbtv4I9ACvsKtf9Fw7JwbuaLLsBrIzPSaFCOLA5tkTRUPxqjXstqVf/ZwjuzpqvxlHXG86
LzA2ksb+cvQ5ngr5zjBJLPvEq3ZYFbB5dR26NlOnehjGvWl2vwLF+SVtp2vjQGYLolxfIZuhWV78
1mmLsrl2j7B1uClRE4xJjR02uk3ypxZjO2rThqtFqaNBGuKCyT39o/w5bwyMYzWitjIimAD39zKB
7jKGbnyO/eYtLMBBg0AAX0w3dcEs+ctgKLDD/QS6NwfsHLGWCI1BBMKEfKXhdFtNGq9nAjkNNSgt
0Mm0TuVEn1V3AXN3kX7xZxm9XgWH0LMv3uCI53qEHJKi1CuRVxio8YikSJhTOGv+leh+5vYSFK+f
AUXNsZ4kL3GPV6QN+u3UhvXO4iBGtF4Mx88ibzCokK+XDudLwmkMxs/yd2r0u8xH9kRiCuuraVYr
Fy3jYmqQVhHLog4xxL/N4FU1gH//FnhZ9aySlBaKkN2WcjNe+y0QMFul8bGwx8eaed7JF8o9OXFt
bvCWEPROXt7JyP1qFRrm2Tezr7Bzp1OAj2I/MBPrfbc+tfODV8ZqPRi8vXj3nIM5+07GITuWAy1y
vZoKaIAcENN07izNMQBN1vqb2YY5Zrmxo3/24CSo5+4PXgv0ycxXeW3729R2x0MsLTRBtPVDpwee
1bKJGgJ8UZ9K+mNsJZf7gzGi3NN8lOZiunoM7sE69LMrEdEnMDn/NBOsNpkzzDGtYL46VL9mXYrT
wGaIn7yFfFEOsO5aqT9Tq3bPLkZpfXr2bFJRM902j05bmiSGMP3qSPG8KWPIN7giqBKTxNx6CZdc
qGzt0SpfwraEGzB/4ITGuDHmGT6Bo4tO2BCeTG6vlTBRdKdSTpdoithXHaqZSge14CteHscsxCnq
im8pVLy1zMY5ZRPOKqOJdw4TuqVTy2mpR4h/3MC6+O6AbK4losFJsUVkdIKXwu3FGo6w2poQ+Bcq
gQzad3j3R19juJ4rflrHYHgqmfKPOj0X5V8Gb9tbFYFqpr4yEwVduGbSnYAIEp1RIsPrSFnpHX7m
FhqWcQpHtjjw9YgZTY3MgXTQcOa1HBkiMBFjq++CztprPhajiHIiS4zk2A4dGxbsdL9+UpMV0Qg0
oO/RM8dExxBj0uD82+3Ki6jdnRblHfIYteI2EyypwU4bkomLtB4RjK5Vzc4US77Z0sONw0u2rRwa
8VpFX1FK5a36DvUF4gFMlOJABqpGO05SK7oHsmGvUK72Bo0/KigNZoH56umcPe6G3rYS8VIPJYQi
Tn5AdPDnsYGuhZesDRGOhLY053Co3XOUDNl2Us1DNYnTJEGuD27zkXbaL1/0Ai0psMlwlreUYF1l
zguBXoeja5AeswLzMUVgvvAGVpip/RLjeJm6AsBkB4rKB7dDZidZTdRwVsm2WWBqiV1tbTdhvPby
MZzZDr/TgBBaRTcPidNwcZPgOP9/stl9ExecYO3XbxEiMcaaUdMDEArMWzXG44PXa5w+Wf8tWFfD
GH3ARngqpbYYjDBAyJKi8CILl82VoABmZ8CcWKpFCeQCAdQSnAMsWNXOhLDwK0vgqvjWSGtgLKdz
Ev/MCtsnOamggepI+M0NAa6iQIYZB5jQNMc+p0U9k8CwZIc+TbAmPdB4BSBoJRBX4B6zgurMyJw3
XDLJVYX9ex1QfkRtuytCDmxTn5z8BBRslwuCPtvZMg2b0KdkcgxQKWFqhVQzKtpZAyfrJCe1EzrW
xqz74GA5GXelnqkncNa7RPwKUj+iBkdxPTBaPQZJdG3tTtsHzKRVaJCtERf4lCLjKJPBW5VeiAAr
6/J1To9wvsb1dWvRGp78tD6OytjUBRvGOHj7qK2avY75KrEFw55uesyM7BrVubMjCQg2kUuAbGFX
GpB994H98EUfqg9uIXh/GlpPb2r8vTvnWZd08kyzfDWZQm2dVn0VSUJ2uR0/oSqe3SbDaUxgG7ax
xymY+kIW/WtDIMzk9KhOmHkMDs1Zh8iVCBLu0kmYkEzTZ901LW1F+yR17AOi4kRFtAm6JCA9WCmT
A9dXTC+vutpAXwfyTQhoqHCfF2LfTkhpwsei6gT+cfvoAVaxES0zlbDfMhQRlt15OEw6DN2F+DIm
Q9sUqUcPnYnEOh6qVeCrr7s1/v6K5YUi1zt+iDAmBRJb6PRS2TsdPOCi8tyj5KVdFU0pV6WgRMwM
KJwplRUKc9yfscs8vKFJ4Qkyanz7sSNQZXm3UNzNfnqv7KPDBb4M7GHOTbWnnY2i/1KJp/uzGtWg
0PTxtIIpQOxdUIN0kUQBFdU+bzqRjbZCiGB6W7d3/C02DKqCxCNmRZYrv4aFIork7OrMTWqyt6uU
bCUfcdy59KXF94IXUPXmbs3UQ+0rHPMbZ31mZlO0Y/ZyTI2UYhM3TZl+RX2o7wyHZrCcjHVqx1+F
QMSKpAVy/ey1Nzqx6XsGuEWOhCngDoCgyrlzUsU2Ws/kl2U+owQwgGPSRKanCRvPwqdV9di8kY2u
yxGCXsCA0yswz4XuR0YzbskJ8waFBju8VYFArIN9ZvGKo4s65BitFhIHbOugmY2zm6gHfnWK1Zie
yU5U3bW1qLjghHeMslBLBg0xyn7QLu7PdEmb/WNJTe06X4Yi+Ei64BaqkZWOGRLyNU67LYE5va/9
tjpo1HkNFaebmNCkGKgbrCHorOAGa/SuoMXUOHRkkl6Nil6c2RfWwvD4HWmdrKIIKURvQv1PulNs
Wz9cg/UI4vyljKiodSBbock6HzE/Rs7IvWA/aL3gTTLtp5qLZOSv8qR2Aw3qL6tk/FAtZzGCQ9it
Yt5sAcEtGhMKIw2VmZSr+ZVhGAl70KO4kwMktwGFBw3OrYu40Mozb9Ua0dd9P5nqObiq2I/JtTPt
nwDaUNT6fMu9fUcmJwfC6GuglhyK7j2aeO+MUgMtVBbYoRGhAHWZqe0PwrCKrVMN+THxwQg1GAhk
q4ZNHnHI9UzKeS/rtRcnUsOhN8Su1vXLJB15bupWnUtm7iCUs72bFsN+roGdrK+v4Kk5OIziow17
ce0oI/XBbDD8ZWvNMrtrquYJz7Ri1lasSCtPdkXrfBDimx3vD1rXfkaRFpIsXdlr8gROWtjqBLOP
yKsNDiFHIH5vUU9CObIR8zwOerwLJpzgrKNPDNu77WTqT5WtnA1riX202uCIGIV6CP5NxRF/V3v1
p58Z5rKWxmMEBnalRm3dO2yS80Wlz0SHqBXvGkkRq0TNrx/ttYM94kwThNUJmqD8K0+DT6yF8sm0
5zQ7KHeBwEnfK2/n1pm/pclPYiD6PmCF+irr9WYPMxDE/Sy7NdrOWhomdISWd4/CgAxGyoR+PqmZ
jRmuJQMYVTL640YMobPH70mHEjR1cTNQPz7aKUEgQ4ilbFo1uHsk2eizBYhrqdcuJZUMEgeKpsxJ
n4WyC2Q43zjsvJVDyDO74YDfC+0Qf1s1LssGUGXvvKrKazgGUS6FqHsKWb82VMbLemANui9EtFfA
P/mWDwKa7TjINJub/Wsq5tNo63L2j+GH19z9LnMJZvcUt/WiHkDKoYzY5y5TfzprHZjXh1wHWdIH
Y73ToUTMkTCrzhQoOuAA8ttYjVvZvRkahuuAsozATfrfHA+JWFqqrDngekFt27Gp3l8nx3nXerRp
wpijGXEM3f9gCPpkHFFt6X34MlEIrihd2ethoBg52awM0TcRlwDCFOMbgt6w4p5caaXAjdUilvD6
gKJ1oJGJq46OAvdqDN8JRGtCz4AFyzRYalLkPkp1LVUPQ4eI4CfP3ZNCSDRfFR0aN/qazf9KZl95
wdWEkBaxt6FBdp5t5173HBrqdeSywqMESeXPS1BvGHoneL6BA98MUixZsVJY3ssC6Hd9IVCb/dHb
x0b0joterooeIxpUCMoSnlQqdzvmNkffoIFCnerfOgZ2umXeSm9Y8oNLPhHuLZ3+TOt6XLrgYEjU
UAs7RGSCPkDOOHteAawuRv7EOf6ihRgEXYBi95W8k5sOUQSafVZyOXLgS3m6aCj5MIjQqjSTL1+O
53tLHRsJwfSc4pFJlLTgknGlCefkzn1KlvZpE1Qz5SLNr5XbnmMWmYWWfxHSWGMj5l9T6fl6Alld
i2mXBzJa2bTPyQLiffxjTWz7g2ak/cbvky/yZgA+WphliCyKzc46ZgkCCrv3STHlbvfGB84k0aVm
CrXI6du+dV1U4xYpw03mAuvN8RzqvTe3M9rvmIbOria8/eqV+vcwPId+aX7SqEDxXEzTKRZOsrOt
qVmGmNVXGg2qUodtWtblPrbN9mwN3T7vOPz5pMaeYRHD8J/QWZfEBvlEWeDmhZBSIN9E28/lXIE8
WNQuASphn61IrIOqrhVfdmEA8Mi4H+crpDHan8ofX0yzOMMUuPQlOJCgmdOs2Hf1RuzpfXPIaQ3G
evSZ+/nqsfWaRYoqUZ9XgsFP2WZZVCwi5biluONE6H1OoMPcDJ+zI9K3eT3kPkF14BJME39FbnAr
0/qxmMS7GqNfWebsor5gVUvAstHVICKBFj7k4Oea8trq6RBa8dzZzyh3xXwT1QO/SJY09iZ7tkLm
1UNYATVH8UPuBWUHvltyakeabzorsp+BVM/c3X3DDjjb6uYR0xyRTQSNrhIGHm1y7I5m431VurdP
hY870NyDjMaepaqfgfS4Zrm49Na+DR5zcnKt8DMXfj4uSEoHaIiZZSrYfAnAo4xlkMLml3w5mKkX
4eTv5nvXTOS0yflzBs27DYrlrtGTdKFpCvohtWI7lxODRTJsjVvZKx+CiptBL3BLS1rddiguJTq8
xf0vbzpc2okzgsrWnttOaIzjsb9RRVSTfzFnb/A4sRHAFZYL5bPIRXitBheaPZf/HUR1v11C8JQY
JM4a2ml6i7y/ISaEtiXLyK5YlgD3rjFsvDrzp7kfhkXXWIAv2VVK/LWrHPBHafjLcRQXMIW8CsJt
WMAgLMdiKrbz5/URqRWlq7fKOqRCSIaaoOadFExMR1LOgpZEen7X/FzJAgceaVGGoHbvx53K1c2l
aXEntfEZR9TcpWfTiQpCJTxLoaGiHVJoTEscFtuq5aLw8DRlTsObl7OHtXn2ZebWoUk97GMzJyuJ
i13m0lEEQI/AzuGfPfnJuB7zo+3Bp4rms32uAZYt7Z92xUklyNmfI1rQblT520wj+ZHK57UDYq81
HO64+sk9wzJwt+Z6sNm5gOZOIeF9ARF9teQonmeUCC4BHS7wI4Y7GDK03nquTTteIG9z2MWbuV1B
SAfA83reNrk4Sjzp0xaLhraeatxnkPu55j5L3jkwrP6LxFhjxNojxNcQKbvP1FQA6UR3twwaoW8N
YPUr0j2eRd++qvmUlTXuUXXk48Qh27SnMy6P+muCt3uVTfFXb3LTN8LZtjPu1Ukpa2tcHBiQml2I
xB+N5YSkZPJpGc/XY3/nI5Wd4K/9fV+78dLRaDBQsA/lroPPT93IWzZY1rNXV8nFHcV3ln+BMRve
GYPqI3RKu0CIn6Hpxcm8h3M5HmqjSXE/C39lE+20RNaQPiT0HkAlVjRhHHeOJfOZgZfeM+OcZdFH
5oofscEojDwI953BHbQXSbbu/eElbcdo5TcpIpxRMuLXVbykeQiDG3qo3hvBWZtYsUx3vHkWmihu
ftwahE55tT/tOimvBn/jMXERso12sxdxX2+a8UHS8ZrQLXlJ8OoXRgOcu9mgw3G2XYhrcKrgacCM
MCCGYzX1m42yWvbYkAIIc0MJ976YNkOtrmCPMLWMafZkWChvSpZvjDSEUwqzTc6SEzzRlfmKTOni
OnBafJoQcLboSf5A+vyfvzAK5D//jY9/ltjS4jBSf/vwn7cy53//Nn/Pfzznr9/xz3P8k7Nu+Vv9
j8/afpeXH/m3/PuT/vKT+e1//nUzEfAvH6zvGMDH9rsZn74lJ//7XwFrYX7m//aLf8IEb2P1/X//
9ccvRs2051TDZOS/cgbRnc+0hv+eTnj57v/l8N3I779kvf/5bX/iCV3rHz4J464vhGXZvuVCZ/kT
T+ja/7BtPo/3D3rB/IU/4YTC+IflGDPUwPZNcq1mcs//y3r3/uHz0wCS+aYuoBr+f2W9G6Y7M1b+
wirQ4RbZHoAYjy8af8cnmITf5FZrEzk7cDaMRu08wYQhv3SIlknTED4ZkgZWNJaiAxrdNCY7nDeh
0gIJXDG5qm+hr56YGuicapL0VEjknoxIONtybloMHmtHkpXJRg5Inr3W+RT5EByDWL805WBvkMOD
wLWdPc17cl1JWNpa73BUG2LNcTOUCH14QMhuKLTtomWvtUxIMX5sjc/1D0L2vhqvTB6lMFPUbu6F
/kN/Kpv0FYdruexpxx85v8EakT5Ku0TTwIFq+J1oxnqFUhevy25wU1EfdHLbDCEsV6QVBGm8+rap
raO5AI2G8ffsV+xCNmUylsyKaBw8uAclJEeRNpDbcMgfutgPbi21mtYnn7WFVbCkEL/WCeF4tSr3
KoMHrBkLqqEUSRDrqD6Hq50bNMUACZNz0mjxSup0kz2Jpy8dSuT8JZjyRhS3ZDLcTS3SfG1bmMlE
Pa3Is0X3HPYvIxTHXdFv71XfvfFQcXBGFMaVT4OVvbnUD50WvofVRLuL4qNxmKpG7q2sE9AQfXwi
dyE41PWCOT0UhAoMYiuwisTs5VU5cfKjaiMohAK5J4W2aO0lg08+mne7aDTI9kRCf0dcNh09a5oJ
HcQv8xOjJ9gSJLXtiHqyF/zHvU2iFK7YTC7LBF2dSyXrVvzwbG5HW86H8udON37pXtEJxsxL6c7p
VjYdhyiy5EWOr92Zv+OPI3ag0ZxMjGpxx1Pkc0WubHlVCgiZyQvd+HRN7j2QToQIUV91beBNifYj
iISVZXHAGHyxm9rptYiwqBHku/aSmVU2us0zx3XYDsHZmFzn5KXq1PcMIsRo9qtZtLKw7gc2UkPM
dFhrg0uZ0/HydvmL6Q5PjPadTYKHdRGnh9EjYtfqKCGmnluj4qKLDeuEHQZqb7BDO01Xxj6U0fRK
gkyITI6AXb8eYNqYwTJY6HDGDyonpzic6r0V9cuEVLVtCFN6M9Vo5piJC7q4KxP9CUoQ6oje0h7G
OH0vpgdmCu4xq2OMPiq7WDaYXFsiIB04daY+xXLdx1zzXf/F0bdCFkCcw5ttzKqOTkwHgR5phc52
mzSJdxogPZD9F70jUtAOVj9NeDZDBxFLmaxzs9xGKPBf8cRs3JDdb4jBSA0lRYxTF/a+NJrnkEvh
5KEUhXjpbYwAg7UZ4M1qjG7r5OqxbIBQBLNSfRCUjJg4p3OWkYAdEX7RNFrF6YRAHhIJjThNt2VQ
Wlu/hudZcfHktIuZFGnm7HzPq5OGtD3qIvRRcEkYwkPaV+imq9LfkYK6cjzz01BAVS0WkrjJnkdo
k6f7SDe8jrnWYjor5LNn4bQcOf0abkekTzuWG4+3lNZT++2URJIlM5ukt3maMnt7A/bD3wbIoaeh
v2XgChfx0JHKm0WIcGKfZXHugzCk3VaiehzcHj8EGodlR5HKuANG35j8Kskp5RxVYxIJyB6yM7LK
dN7eBLMX8pispYIk+KQpoHHgZuk0o92J3yFT0Q1unIvlUbCMg3GYXMTlduxnp1FJC4NzlKKE7J6h
AzDBQSe5ZjZnUfd7r5rTc4l6xvSIx7Tvte9UT1/CiSYkTsS9lTO1i+S/s3cmS5IbWZb9IqRgUgWw
NQA2m7ubD+ERvoH4iHme8fV9YGSKZLOluha1rUVSkkHSBhigqu+9e89tVZ+8WmA/33ZZ7KugECdd
VfC3xR/KhJJEArtCI6QfZEsTYu0jNzf+RrjFGGowwsbUeOuM3Y772GXuyw4CmbnibChu8a/1Nq6Q
6cQJNfflWhNMIf16zEp75NsGae00xVKh0f6XMySoxPQTjmab4k03SMgOo95gnkR3NAvzZ7vnYDUa
89kxuBWK0ifCl4Y/a5xpgxGr+0uqOXd2TvDOOAaJZ5ZVsGX0R0cohkZG3H3roa/6TpRq36/N/DL+
CqPhElY1anpE/Z6COai1547yI5+9UcbkDxL00K3lGI5kli2lCNDRhXepinIRaazYytj+YZSmnyXe
y91S0LesVHkGuU6rIWc8QgWo3k0YNAwzb/0mZzw7y0w7BzFAjR5n3jbXu/pBn4lRLeDCh011TS2z
urcGaKpFFuJHzg11o7ed5yzIXsGoH+CqKGc7RObKofratJW1SdhVlJLusBkqwXXo5jvHSOqTAGOx
LWIboqdBKpIeXOYuAt7R6z+LnohzkPMlEKGBwY/r9lJTfmAjYWnqeDypeVAfxDEAUbs/teX0Rw2d
mRhisWJY9nmEVm5CspwPReqaa8O8t4stk7Q7k+anrwT8e3PNWmcdoSHx3AO4iNbyDHCbimjj4zZt
SNaXm/LhaWreBxU++ZAi4LCHCVAuNNlt30yaa5Xxo7N0KY7TSz+HzY6jGV84jl5aqPPbnMAFN1QV
tBvrw7gwyRgqDMnNGPhTSQ9P2CFxotTK5sD8PkECx/CGGQUYN5k5d1YwYYxqYKwopEY6KBHw7NME
ZalReVnuYkrheLrrC3VhkBJ82qYJo34FQBujHWyKsYWMY1p7h+u5ya1E3RtD/AgCne5qj0eO+F+Z
IaweY0LPHfG+6PYz2xB4kM4gOgD0K1U6HgbbLCbIc8MAlVnpvbpAUWS32g8TQAT8812CpHDbyP4u
pz0/t0j+CI3WN1re/DGMjhuD1TYNqnOrpfPWBE3s0tL7IHP5FRyFfsZEfdvKjKjojhhMGHJzQBJI
l72J3dzSssyjQEdXJIOjFuFmHbtijVUgqyyGv5H8QX9EHziZtG3XR8+O2d4ZcxxtR9AQLoX85DKi
KtGnKTPIHvO1guKApJqkphgk1GGyydHomgu6+O0c6UeVTIiWRY6zCdoGFgaMQHrvk7dL/oc0G8WL
ZvXEXgjHlZ7VpqpkeUZ9xQ/aEweiSsJvTNsZD2yKFNtYlu6bVl8RsbPzONvdp72YT7IKBqq9hMZL
Yj/mzMVp7m+kHrcMyeLxNKIMc3qBMMdGN94kj8Vi4BtKO2ffqJmxCzsUOjRWcrDND5VZ96j5F1ZU
Qs4AZXm6DMbnxibPIq2NryQolid89/OECqSfjsSuYF9b/zJWycs8zcndaLXDszkBeWDDHfYYWzIf
8CMt9iUgYKNhiBdHlSckr9SZFbJhYrbEOi4vpdBYA2MuRF0YhwAM1mbGFXQwBU050Px3ZhCoW1jY
tR+JyXpWQ92iAYbZy07SHKMkiUhGoItLVy9/5CQcXyvoYrSQwB45K28cNN/P0JzEc5CmWxXF0/Wv
P3KYohagW07zDFYm6kiADnk42roc9mVUqMwYah32ozL7gGD1bc+E6EVTeHy1VTUj8jUpbDI/Bek0
XjTy4+pwiqv6k8AUYIMTPUtEU+QCEV945+T6sQEtssqF0vYYLyPwr4kg01FNvT4UqOFqvCbqwcal
5yv8bptzbUf2I/lQxPPJ4QWZtkWrtpldo9K2EBKus5XeW/1IGPGiHCvS+dwi1MJ9K+SMDa17Blvj
OnXb/pJTbLkNMTmFQ5RdD4Nh6avAC4r4VxaSuWDqIxAcpY72bHExU9MMfF6pvTLN2ZjRWO8YfLaQ
KMrfMsV9pRhsJdGg7zuwYAtxbCHas6Svd6UD0a7eTexaB80pXkbM4rtUIsiuor3o5S7HEb/ROC5g
K9f7OwqOa4FYLNcsNj1nUL2ezW6DiQGK/oC1prfgyiHbSswJm8RgPecTzcYxhvGxINnbCRQLTQxs
t9a1D9Lf8DeZHdpN5s2bTJqnnuemK3BghwUmyMJVsLk4tYYob1mS3xBuOSCWWIBZWGs/jFX0HdIG
4t4TLDau099p+EreENeSiFQReDRwM9tpcxbGsxROe7IsAS5zPaEMSnVudOu5yJ2axOBiJyLxweEc
YQymH35qrD7O+NHS+72y3JyamvDkVB8NV9o4hh0kHmeqqUmTkCUN3dgPCmmvkHw2NOZ/8mhs3Uny
CMg6fVIRVuliPticTTa2Q25oaNjfQvJsqFSTGMcIGqqxnij2VsmxLsRqvp90Hl1QH3FEW838HQrz
YoTILQcpS69rm4MWzgzZOMV5okieRKT9tit+ESzGEhEJ8T52SNjfEF6KBalSMGRPQTmclSZ4s7G4
QqhuYXMFDaOn7otW7GUZQW51eB7oYem/7XrNbkWE5C9TNdNqj9J9PFhvczVQxQJPPXQDMdnCDB+k
gvndyfKR0Voq3VhSRajgT846Bwm+XUh3XSdmDDKJF46KdWhtcEehwVCaSdJEI3oebc6yYfxTheVW
Z9i+q2PincmxJy37y7JGseuysnRB+KK1luawt9bmsSaZwUD0xNrVEdeCP5oyzYR0Ikp4AvjuSH/q
g5eUCYg7pM1hWoRFBTWuEmGi0HtMLjqbxPOwkHagElts41JG6sWYvXIqGBnwF7S8ux9L8w+DZ6AJ
kX6Hf8rap2V4P2cZIqy2uyCCXMcDqz3O1JkCOowRx0XeM53B7KiV7xwPPlML8D5xJZEj99ZULntr
qU6q1T6HaTxCKrIbbzQVXNo0Y0HHaTzypvJLFELZjTxcWHNYLuDXsuPnOdtcsw5h6zU2S2ORxM8L
oLrFtVnF6U5LMW1LLcrdxOqsy6Lrl3aJ07NoPqSFYBMf28WobUjWKOALnZlTofejz+mwPjgx60OP
Tf7Qjz0uTMMcmUtwpLZrBX0xp7y0u0ilvkTsRwfuSKLQIu0SQOX2LE0eeg33UaER+8yknGe0d140
c0UfC+W7SKqPRZnSAwuwdHWeWC8aOIWNXawT0w0hInfUZ1F/2o1JbPXSF3t81ZD4RM4hgQ+nFsWu
bCVxPz1aYAoZc8FmFy7qH73QnOPklOVGjIa+TSO2cgA+7MyBaZwI8kE3B1AAu+efMt5Vs0Skssbl
wvPV7Uf0mHJvqmRCZw0oqSqaNmSkp+BSAoOQ17bbdCbn7CVsjtPgVzX0xLk9ZSlLOacwTaVNGJKN
CP0REIRXk+5sZa2D25UotCLBAlG2sOnqTLvetfOEI6/5xc71M8x8BQefTY2AC6glIJqWhztYpePG
SJ9qsot9WzqG341wuRTVRCC8OlwASewWNdJcfXrFX6Xu0EfsNI0OWtMVHBiWb1Nfc6tl/BZwAMeL
yIRhmd+HDpiHMNjYr0kZvAmGt6TZ4fU3stXG2NqsGov5OVCH90nf+IasQDKCUNcgeus2IpVe4Yhm
l1PmG228XTqOhpR+CL3DfDv098Lqn7qmPEnyUPcaRyEvMZmXQIl/WDAOrXNWtDpkm6N15PJyNECV
hHhdpDnoNuuNDDkUh/eFqQo3KJsIHiI+60X5jDqGkW34phm8AHJEJpOMl7SRtr1jLA9/zenJalsG
qle55qH8NYmoC8oS2ll+Mzt+MQnSmiO+gbZwaDJaxBqTovhhlnwsESWzrtKKISr+VGCTc/MePSP9
NdpojDZnQVYJca6vtyouWfNKFOMuYDPbLcRroEP2bliwWylhQ4QKM06MUf3SIWXcQtpy/DGcjtFy
vU1DFACQLm4h1r54k7cA/MKEiQiniWa32pWr9dxPEiF3UR2cKM/ENuh4fJk1GWsPTV0aRte0anKr
qEhnQ5IZsvX7bT3CQsnlcGg78yPBmrfBHng0IyZ3hY4ayc4PVvakaOI3mKPSxRfpoDjH8C914Cec
xOcB1dWkhiHQEPmElV7x0nHQMWnV2j406+fZtiCyJvkDKgm27QglftmCBEVLfw9CdrkwQy52YRB+
jiBNj0GbYfmcs5OOQKST47kfIqCJbQirmMLbp0uyRvXRdHHSaH7Mjfi1rwe+JaVG1lanNp7sUynx
HswYl3A+9ccAQfkq+ULLWU1P8WL7I/dImzgAcaGANpCST7e2/P9OMP6bCQZdfRMe8n89wbi8x8X3
f848/v4v/h5eSPkvx5DClIYOnJrxBdODfw8vtH+p0KBh5Vo8kJCOSVD59/jC+pcpbGDRFpMPnIUq
yOa/xxcmsUuCY5pKsooDVJrYpX/Pb/5mZf81ePov2Nn/iP+gWWmRVsMLgbd3pCbX4cZ/MPs7qmSl
mxQyeuaNoLSDbrYhZZKlWP/Ujs1b/0wIvbcwxD4ASPuPC/X3h/m/wN3/iIjhzW3SYdbRyZoTI7R/
vHlZiLKGOL4g6SXHEQhVdyL+GFIPynRagGB1bfkNYeh/+LaMjf7zO4MDEAOHcHqav3uInPl9r+yI
VnFnfAHtSQBuz/+bt/xnesM/v+g/0huA4zaBPfCO2Mr75apxCmv9EBBQ7HXJr///1zMt4/95O1vT
bBP7sa4ykNL+mZfVZkoFeaG+zZaDI/bOnWUaKzUAUUlh1wh5yKWmYY+Vxgk7b0Z7dnFySqrI4qSB
iQpkF9bSRAnIGJQO6+OMt4yhRekuTS48zTbgTbZqT+ac+hpYg7YpoeJt5xyqI+prJAnUJTRhjNEq
kHevkDAj73YpHjfEpaRQJON9gN4TrQN+Xqkhj1naxAMkWHjyhvWj+QKWA4adejBLnekYHJQFtTM5
koCzFgRU5OPeBRAEjuyTHtF7r6mDfEGJpxeDOgBFu/U0WVnwdOljHblVFe/HcVH9wFIJqkI9qyEE
3svmnQMJd57BBJo9qCzmF6HS/i44hZqZOOJItlzkwBfayq4uxLGI+gNujE+jRBMSLBg9CuOb8OJL
XNVvKClfxrliUtZeFDG+Mt6wmBNwZZcEY1PL5C/VcAYyPtvIlgJjAXaSyQ8i3Co0YiTpLINJidSP
L1PL/L2qmjc1pM6GmkWelrKdZ0Jz8xIEuASE7Rnlvk4/sfd9k5ldkxDML6EDc5Q6L6WHaeXadu5q
xXIttXJXjdnsN9TfPpdtr9Tz70I5SlzWBEQtmOkqRJAU0kWsrTm9sW+a5ZuFMD6J8TL183e6TC+R
NDwRYnluphd27sjNsK0OBXiM1Fq+gcC+hNVXkbfvfVtnOAFXfUjSKi6b/ZwmuW+N1VtAVadYcqsX
VMoGnQJR5d/qWPq00TJvfZ3cmF7UWdzP5YOsOQemrYkmbiFuTSDhRb+BIfAR1l21HhO8hV6xl5al
b+otQbZB4UKcGzmqVbjWVqtQZiBSzVuumg3zdpRg43S+I50wcBl5aX4rDJJ3cHJchmLpJlXAuXOK
sJL4p10VLnmLZyVSunNqaMxWjKWDMtT8RkFNG6Fsv5wSfIQSWZPfp+kxT/m3lcX45kxCPRNyz+kL
mzulsaaVpNLZfJDaJC9iKZbcVQe4HVTIlwxUGoSDlDMTn9lqi6ujNY/mwm2Sadq5TBw4ggqCXUOF
YJEpEdNQpge6hmy85v6pU3Jdowx5HFrKWyhVlNYNtwz/wVDvbj+0Q590roN3UgAeeC3iVDrW+ICL
MRIRVuF74N07T4tGevI6DRuAoevtW6y57AEGWlLgSdq0syvs9gRRUrtQGtiPKVxPyk++XaAwQiTb
njAiwaDUkulhvW+muXhO8/Fu1kWIIrp702oZunCT/bLEc2haDoBmhyD5QWcKMDHtIQ7qO1Pg8s6R
uh96SDnjcrJ0Kzn0Kh2myqDKT5sHvPcwwPv2ApL6RSnWllXP5bvdeSq54ay7TFHCCmkg3yOL63yX
JAHjqSD0xfrElaBpXGuHDHNLQ4fo8ZlntjZ1piAoSnu9Yu4Axsbu1sDQNGRGpKjfudY9kXF7l+qa
C+CFJ2f9iyGM3G171nizabaOHF8Gi2vciubNWoffltNfm5n2UsKhmbqjpkbE2Dr8CoZGR3cyWhTy
eYVGfzJd1s81fXyhjZUf1tvJLhkdzjqLWdjF4IHil8z41dS6uVXtKt2IXF5FCb+R+f8QMcuayxnp
MO7oQOURR68Jh54l//Z7YoicaU8zw+suvVhLkQzIbx7wpZwajw9vkoTmNwwS8utnfhHiFEt3GonE
Ch6Z9fOP+VHNRf9ugEtvDMfZL4Z8pFXD4Dt+6Sb+sHDKa2wCVR/GXd8UL4qeNjS/ZnoCMQnU602x
dFthla+OPr7Uw/zSOKsUP7jHY8Q8M8bvGybTy+rywf/51C+1z6LKzTjC9Cr5nP24rjFN/tbE4qUu
GGtTnjuNQdQDEkzB3chahlnHuI5mdtXU/Eqz64cJjjeAJA719Tk2+UWXicvVKunWHPACq7ixXOwM
OAZAophKfgyW9tKrXIp84tfpk3MbcVmBbFjuRMuiIkmEyxrh9AeqTWaxXONRZjqY83RpMoVd08GT
j4D8mzEVa2cSP2fdPVj+ekFgnELlZP1UHL5aaCcoPpT50DrN23pJZkIu+ZA08JnWbXLAhbDrl9sX
1BQYJDUFxu2GJyXnDf4agFsU587iE52FVFNjH41LsbPa7g87MiHseuQ3CT+4QzS6r7b51TLbC1v7
W2SEv5s0opFqmTtpLel5ZhvvLVjqTowkdooyr9MNv2+yj0WTlZusqxquLuYTWkqXtFlqev4dZOwx
9oPVwjuO6dUem3lfVngduyoAg2C112QumPw5jebbjdxpkYDzSNdNi2gVa2N+bQoeCn0aH8wyIgCA
iRhdoM3K88nWnS/qsguusqtJCUmnK3pijz7xEwZeMpRIEkFT2ONLBbB4awqd4jUpiaKn3dCFxS6H
u+jh4a08jY5Za/MVyBGBYyRwlC8IZRWe2KMNdcSV3fziWAxrIN36rLLKrqpyoi3iiMwEiHJ0QJrx
eQlzX6Wv3emg9DKJpMSe7N9NjfCh1x1jE0Fgqq2BFgDtHcbeACDCNvNVwUuxqX61YvEr8qQxn2ps
gNM55X9lB4RmDjqSnwf9FQO5Z4t8lw0ca4KkP41J158SiTGYqnjAhndeFBooaAtSsORQ5kfxR1rc
ynU58laT/jZqEIdK2mMRDY2yWfrDIGu/HEPnfmmmK95VQLE94JigY3aF8sQdxhaYelbgNjH4UlFh
czkzmRPBkNIwxD+gw0bCNEdiXpn27MgLewVsHwKnFZVFG/B1bYKzLhkyT0toHmFDwREfuwN1vuE6
mOGwKF3JBv0wiQl30055UzqahGAfuBrzsGcGUNLmxB800ibQ9UdlsA+Ng+sg0XHC4FWHIzBtLWIk
uNfCyssbOFZqv9h7xWzO+lLfG6MsTu2S/goVFh/atvCDlsSvMB2JQd3bjkZ6hlZ5GPnBIxBqxrEs
AHim5STLYdHZD/b4uVhVcVxnu/ZAuT4IGu7d8GzjlkSRvJJNCN/uIpXZqmofZ4M9vTFHpKXtF6vd
eJLDdA4NPF/dBJ7NHnt4Bz3jJRG8lzUb0F8fIq4BJs9ib873urKcnSl+w7cdr+BciL5GRpoBLWgi
IehgGQDQGZ2H20RRX5UwwGHZVXvJRHe/VJABHbVaXUZ05JIOnAxF6CaNzOfZiB+NyMo9i9b1sWGw
TLuMbA/DCQpPKzn+AB1pdtNk35l0kosYgS97b1IjH40T/BPCOtDH+Qhsk6AOJdeZk3naMn0NFg9V
EGnVJSY6kwWYQ0EXdLBZwPVFYaUyeCkfiwzwgFK3ny2PJjrXL/z6IEGH6BPhWYG2mnijJFNXzju6
LE68XjJ3jI7xI4vpa1EHzWeYAuQvKlm3FyQm65JbK07MAY8Pf7ujWChiy455XoJLjKHBc6ZtYDGC
BVbK6OhMx0xihyzoNNEi3HMl6CeRubCJNKJpkhDG7KQED5n4CjN+bNqRiQ966QLcJfMBd6EQAPc2
lSL2ZzuofSOOP9IOHcuUx1QgCegEh+abIxbcMjWGf9NOA4LRO3RQNcm46HjY6TWskIquvsQGOaEh
ahmGB6nrZDX09lG85/ngcdg6LMyOH/J4ZhkQQEPCYBewhW9pknK6GrufqWEjHqf0g6oIusaq0qI3
y1k4h9xvILiuqpAdHYINtzFzH6Mq1iTLbaHqv1amg9tpONhuOZJaeYdKQXGNtU9G1Dvejih9rFRG
PatsDUh4tHO0ut80CBURQtRQfBPWo053HeKVIfkNiVcK42zGWB0L+pP1cugtPXf71cEwmeadLMVX
T8GKuQnJCc6/1afIpm9aX3mo/xTmQlaA4GhLsFLMxITfVZp0kSdZHzDLp26rIqFHrP2ayeHRWpVr
WmmtMJXoENpEQSLv6q4IML3B0kY/shKsMf2PaKbAFxXagHJOXgw1i7b4csYDZ9Q7wXBOz4Dox7ZR
bjV9qE8tRwv8vopadxSbaeJzppQAHFpovC0DgYUmK/oJ6EtqupUzA6nQCrZGM+GvbO3fXaoJrzGV
p7iyHvVqkFQTebujvYxtn7RUbLecmtGKYXjnEDtX7S5I9s4g4oshgqfggtNaPLbkROG3BCAFUTBJ
TJA/JQ1hCJcIoOHWlyTlQEcrDvzdh7V0EZIiyfwf1y5a0pqBfcJqM6B3ecWM30HRcZ5AmXUHTlZ0
LCcZYMdeo+IciyV8FGcOwvlumHiundFheAO5JqZlEPUjmXFtU+ADse0t1NJnDJtgo6cPs8lmBh7M
LbLwLmHWdCjQlgeZHInjmj4QGjgsijxnGjZkfwyQVKBkhQsDG9rPutEng0Z6lhk6B5r7VHRmg6tC
TlRxbfeXMM5EnLWXCMxIe7Q3N1cW1Sa3p4OWawqb7WgxHRrG9U7LTBBwQt0ZNVoN5DRjRMXYaA7q
RlZLd6HGUGPkN1ALDguD421U2/OWnyoqQ48OxL6wabmTCLwdWvoNReorJEqTGWOBMUZv4tjpqRyr
S5fRKXbkvNNxTVkx6QmRuRDDEW0rAH6eLIw/hVb5yO9wBSFAs5TobUywQH8ylTianGo2lajfS5MY
txY9WaqZx1olNojUisWeCNyoiRRI86u61N/pPJOXwTV0GvjFUaLOrP/cv/QL97It/qgzbOOy0A5z
WV3LWHmvYBjixqP4ytWa7cR0i0FjT+OYg6XMeeyIBfPutVLimWyaL3VMobCT/LBhfFTsCObcLqlV
E6hF770sH3tBJRt0ZeSuwrPEYJCpFszDZhMIEG/zVJh0DtMVYxz4A1m2nsR9dw4suGuFClDn103J
uUgRbQMtv9NXFV0MdIXsrMzPi1j4UIkIsF+2ZtV/5231OOTRk1UEv26+K5mhpkXML+m9s6hayslQ
heLlkdng4SpfkV7oHqlF5TawfZ1+FOJLjFMMoBEP2MupIsktCy0iCvT8PDXGtY0ZIsuGGAqVlMwE
WUKPlPFgmnyaTNp7U5hnZ8FGjhXkogR0UhJ+Nk61xkMFpnILLmK1/OSoNBFAm1QonpXm2zyrX9SC
/smEQiNYuRYA00wvrPIH2eLS0Ogm+XNFedeRSuHR3WfaQFAiEfOgPurhoTOmhu4Qi3ivyl+SQ9IW
dD8qTsSnltlLEFLqIX5Q0ELvZ1QdZH/1PzKStZfsbg7BosKmprchZ6TVfEdyGZLajCDQJsdiVWvB
McMXvgEXk+VpsZfMcF26zy/VjIByre/wbzfoxF51OhiQBOAcFSxvBMswGJ4d9IR8g7q66y0ex2jO
onOWcPyZTeVYqvpjNra/raIDGD6DOhvy+S61GocFBWa9Ecsdwo9lG8FX6jWtcMe2ndFUs4StKsWU
4SRuwRRbzDRcpg4RfRFH4JJoCe7nfI1s08pprxiN6xj8HVFfxmufWOceTBCjsabYmdBPTiXCYcm8
CNhwpRwGkTzCLM0PpS6uRm0wA+UQFKxLfUrqohqUWwAkLc8c+GzscxpeSTq/Rhjmbq2AkjJUfMko
6z+itnke2+pet2DmIXuEbzLPQIHGZovzwORxdi44pxvmxdkBzfJ9VpfixFTfQ2467qqcKVgOz78Z
IhpOwLsAVf21V8veyRC6weqPqJochw1btEj05sByaKepkTcu9Wu55DuE5Jw1YQ0AuqeE11anqC5t
TnJW8OAYJdArxKg3626lZyCt6GSCxL+fxvE1SNDBS11FtTtHx5sjvbSM5oBOeV0XkxdSV5uDo4HR
kC1d16YMd3ArO3fQ88xvTFqttXgll9LwdbD6jWy+qlz5w5zeBgw4wRNN2RUyZEzjegF1fDwacz0O
lPa2wjoVprOJ/T92doWVNO7A2qtFgQDI7fyyBYQSgproMMPQ8YWdbnOEAJDGj9ncnCSJsZFC17B1
2DHHqeTEknoJnTauTLG96da5azbanOKlWpEMpqpIIu/n7Tz0qPXW+6vrjXiHggDYSI7Ia+TOyRTM
YHP7KQOTdp3QfwGAusRZ4ePUiLy0CSmN/shGG8+hR8U97aamOZQ5dO8OMf0GnB/Pipb93Dx7aZT0
WyE4lpN8A7BC457n5p5OdHy/SDenKZjxyRrFvGTIyIek2cppOheFtmIP9PTBrJSPAltWmFqerlbv
TgOGbcR5jwy31I7hm1R+9AWPHLEOYNeQqyDijBx4e+vgemCowIh3IgMswyl90bAx3LR6fBVOWf14
JWDsrJgUEM6CkKh20q9iYn2fEavvihfCIn1M6oE7CMRTtYXj42YFTZExTFih3Jsyv7Xys3Ai2nOC
+89WJCTG1fXHlP35NnuOjVG4QOEjfwlQLFpEZG8aSSfIIWxHrcORLi04jdVkilD9+SbxnUgZTPX0
cxwnAh7n/BrP70vrJDu6KEgsgC1FWCduMm5Ayq4DfFWBnUEqg3Awla1NwIXeeDnW96OO0YtiDwXS
WL6MnUnYUsM4gKyBVxzp69lal4QyyftRoQHdqQfQYW4+5M/Klwgg7CDKc/H/Wu4cCSLK4m1XGbjB
FXMrhmhbV9WhN+v3WhzmJl0n+JTkrQg+ZIA+HGAIh6stYlh/cfDbWjg+4FzZr8ZkoAQgJM2amfB2
2lmRtLFJjctbnveRb2GXzXvakMpMsCGUEhEid/bLZvhydFrKsZbdSQJ7RRpycE/a2S8fJ3k25Axt
QJ8UvxM5R0SLPa8DQFnJ9hxWAf63XntWKmI9bfKYkIlzIRXNU0V0DUEuiqbU6Ayss+/UeA3gDph1
/W7rM0ObXrlyQn2vQCCA0H9NQvvMnODaaix2I5q9GAPdojfvUzpXeATKvYz5as1UvtMYfI0n43lR
zOcxJYOjGy8KM8dNamDXCCvCL7nj35GmPSHh/mM2/EGqrB6lniRkgYxdwf0ileoxq4hTa9ksbxpn
RPdwjLXfN6NxFTvnnHsBWWH5aShwBboGN8QNhzD/yjXtjXQ5Loup+0w1qRJX065VspL3OSlANWZS
whb+cpRi4oNhZrkZ9ZUKEG1n1gmuoXzMIRNEl9WHqlHWEhMxeTn+c1eYj6U0nScjICw5pggEGOAW
AWlRU2unu6bizC0Ys8ikke7Q6bBpDzOPpOsEwbBT1cbejHZuIWpIxitxk3vLmt70BM9zbNy39Jf8
xLQJ5pHTA4UkShQBYiGn16TLS4qZ6TK31usi5G9VDphTkD+6UVSOPplQqEP+BuMMCZW7GvYcOvHg
3Jym0ar2vhV5WUgXwUQLR2TbNlIIpk3n6a4VLPsxcOBNHiZ8Bmq/ZUZd1llWRZBO+aQNhg3Zgo7e
DC0Tp/JMCq5eEVkddM51zHdq/j0OzkdhQ1SHeLYRTv1nGlgtuoZqx8byNvF+qHoB9mE8EyFOFA5G
ZHYjk3MxBDBNTGZ6ymth2xl7EaBA13isMkMDiJFf7axb4+lYIKeoPNordcbpOZZYmvU8aOFjU6OJ
VIYR4G51vB1YaizA4L+H7CSUa1skDXgZ62FKivKMuba6SvUwGOqvfARk3zaqPIopfkUSGsIrIPY8
nY2tUqrRqWRWt1Eb+SLq0dxDGqMtEO+ImQ1OOWcXkxFTXVc69pj0EWdpfSft/lACwtgtbZjsTA3C
LiS0tDSeo3n6ahWcFOjw5xOHveaEFMnF5uHgQGUEE1DN99PCboLMH7ctP4QeSFYqrhm6GCRMQ/Pc
iJdcicMDftpwr7zWsN3BYx2Wxj7C5yGgZT2n3vZColCRyOmPKABiN5zkXYgXxCNk4c5QaADDvFD8
TFxqw8aPKMB3K5X1fAM4NFMEcNpxtnHQMhudGCOq/Hi3hR7FQrFpx+DaCbz5NT6V261LVgUlvpoJ
4ihWaVAW0fYblZ8MuIJnostWc/tBBdiDPnO4I30NdB3CKAunOia04W310dsDPIDbc0698mM0/O4Y
/ptYo69cVz99GPl2wMsSAEUeW1UaiOIBk6x3w5A5z876Gcv1uFWni9etKtW6pLRg0XLrpCy9sijl
JppphCJukhXjXoQb+ynGv+2sHvYoASGUGAsSGxsZpyb0o544787ImBTTtF9l9rxPUk4AiUUAvKr1
60KUoM1f9VjZEFx788mgsQgSeaFBh7VrFX+Ra4wHmjxlV7V9Z2FXXtqe0XczUrIrP8kwzkdtjnuv
KBaPVFueQQMr2oy3TerUGzoJefsOnZ+zuqapvRBirhahSf2JNYD+TuRYx8E6ap38WsjDOhptqG5Q
BRheZHXT3e3/AW3RPG5UjYH+FG/JVCZSzwYbk3EUiFW2iC4cxr1pgE0dOR27FXgAT5mrF/iS6UFL
EW1edYVnNulykpujtkKzNBNRbLNah9qrHgcn5pXZURsUnuSINgXQLe2+Ug1AOSO+T3oNXpRg9gjY
H/eNMj2Q606Mn5PH952afWcmu8wkGzIoOT7KQM9+14mxa1RnZ2TmH1I2p+uCdn0bxA8RnRmk+slX
oVqMSXWbqY1meGa/ivoUi3G/Qb5R/jaPqKyGMePUaF2KyIPM52wU2SV3zkoEq5cBalVcv6LBoxtF
MfV/KDuPJbexbku/SsedIwLeDHpCgiDoySSZboJIC+89nv5+0O3orj9LIUUPSpEllYoGBwf77L3W
t0gbIZQEeFX0PPLOZxFmtNMqznaFb9mwOgntMwEaI6amr6+AQiiLcG3k+kfPAF6TE+7ZgmwxvC5O
1kdEW+fluZ8faHAklKISeeBFwN+UiBzwsCIVKhy/26bbRQ0IRXQR545zBIYf8gGyck3r/9MrwoPQ
ZJKdKCKttwBRbWox1wh94CaG7z355FC+Gp1jKA0QoglDKsybwai/LObytoBeUaXfWzRQJBjQA9WJ
OgpkRqu2GoVQEwyNeA152ooxSn4r5Lif0TqXwnJfZAFDpLSrN2URH9MCe0EmE+WrxbWTKwywJK97
I7gnu81GS0pLGONVfSdtNN/0aFplKtYZPkjIjsX8M1RE1HDkEtMYOxoxblZMfuOa6mbugg/dXi3U
gFggsq5U7y5zPINDpy2IHbxJauXZPPiQw5Oju/H4J6+yI9PxraeL2M0Mwh39zDyAeG12RSq9JQ1U
hwFx5rpnNRLWRS0HN2Ja5UZXrVOB4aeaxXslHr9lBiJ2S/4edhwrXqtx9pwFDDsteaA5xJTfCQan
IxV5B15mU/u5t9a1hupIltdDJLD4pqlmTpQnTGw7xrsCxMy+x5hc+LN2QkImbtAoHbP+Wohjbusa
j1AKG6AQzPpMYyofDJVQ0BJCRG6de5SCcN9wa2QmWEFBiZ0m6k6x2ktb3Mfmko7rKiMV0g05D/kl
vHwpMeA1+xLHDiuot79+yXmKbxWJDDwgPdP//VEWWWASRFKR/rCqO2VWH//nrzI/5I9+/bdlU03K
86//QyjeIk9eJIgVOFkQ6dioZFJWXEf68fxvo7QJHSXy7qJfaETuHW543apT0is+QzZfWXOySZdE
WlgoUCbrYnEHzJaQERB3YbmShcMz8zGx+SeL9KW3B33KK6CflkcSM4slk9+zxviKL6MvSJuwIfC8
GL1TUfe7OLAm3EB6uBULkHSRBgsEx2AhdtZJlIsCFKm/Gn05vJCJUa5QY8YIYL40jX0sFVUDYVvM
fJ/Xu0o80CfAL16P6yix9pDjNpnW5E5UFC9xEDd0EvqXKJWWmO+7gwijdN2bpCYRdw3l11IOfqWS
fJpwDRUwh0PRtw5z/QzYTxjv0nRYY7j37RRg/EJOte5Q5iT/kBTmFjlnPZmSKY0yJ7SUXRV6MZU1
ATdpXjlCnN8HGWFG5KVQ2bGUFwruEiltn5qcuIG4uI4kaawkuTnrFYrmXu/RnNTVjp4UXvEJsBe+
eW0ryISLBFKs4iyEyKyJw3zCQjJOQGps5N+0FinSteTJykH3hobTa17B5d2SQ0SntMRkG+3EdL7T
QdDPpuHwAfj1sesNYxHQOVxJfm1tmeJvSpHpMqw+B0oPR5/et6MUWqiPtMrUCXIKYLngB+9NB3hD
fWwnKii/bo6KKBOSNFm484fIWteM1eg+aO0dlQ7mp2nEXiMXGxqA4SkQLbcnYJUTKQkr49dIsNcT
ggoU3dKWmPRhk9VoP8KAaXOZwe0bNXp5WQeRUsfg5sQZix21FjYLmOptHTD6KmJ/BXgbVbbA/R8X
xecUKIZT4GsqMCzZUcEUtxwZTUezDKkLtGinwmBI0krfjrKeQsnov1H2k6MMoMlidmdM+XekaI9a
P360QYmsKFT3mqHtmL3ZNIZoRsLfnztLT8jyiKhssxuLWMO/KWEGqhKAsMHsoDubQthe2lDk2O3T
sBSlyCafIrPr3NNtXeqNTUbGhWCkpMYx3SLvRNG4VTrjQBxmv9aMhKYZB3K3alJzB0GVNMRasLYd
0PhNSa7kttf4GCz/dONbBOrmYl5zBsGzqLfehE1KVg6RV2AoVjrtmHtM2KPgUJeqd0QPJa8qORLP
huRlq6xUMlAAIlwrmO6g4Gr/QaIPaWuS1j3QgW3tXtCEB4ybOJEo4Ew/HTDaMVqvhCa8laoA+6Yq
xVtrlSNgSSO9I9khrcnIKYADnSEng/KN5HGgUrnDljpWnseeYwyQzLh6hBjACtfC4tEnzAg5d5s9
NiVDpGLQk0fJhHlLDH38KFYoqWlfRo8AhJIlmebB4y+WpSTF/qM3Ml9qKFLvQ4aIIIks887GREMe
u+8deVW+hNpZncHNrkDlynS4kUeZFYrEX/8aBZN8JEFUXA3hc5voyNp7ZuueJTBaLIVzEOHHDPW6
P3q+2h2bJuwJxiyUfRswx5x/vykxkRdW2jGnMrRDLTU7uIKu1OrmYxObd3AQs4zsnXwn3KuktS8K
gGur1PRfoqkBAxhUjI/92rD1gegqHdeok+NHw26IcQ1yRwsjPZdstG4fzCtHJ6wq8Kudrq6wFdK2
EqXxIFOX0BiJlVXcpG/COO1FUcrPkR7166k49r2Sr5MyNs4T71iI9H3mR1srKpOHVGM7ZgKc0nu1
2M+6DF0U79+LASbFPW43qWYiqBYoJVSoubPIsYH9XtEAF1ZVGOjoAozuoKkd05PeM7eIdoBlVe1D
40c7rBbTuqx7pjVafCY2w22rPtoOs+bLm9jku4558qAkey83+2Uzbb3S0MFHhVR2lFM8BJrXTMSN
xJCtXqVj9Wl6EQ03QJzzru0nBSbVtK3sNks5H1XYHr35XMuUZEnWnMbmziaSdfW+rHg0YHhj6qdj
iECIhRAMx64s0+UJFMBSYayDfoY+ayWdyKoyyXnQdP0QUWxyaAKmroztTlJ7YDG0gE9GHu2ZfO2I
QiOixzNzpzBDkIdJNbgsP403dhK6oUTEiim/C2meG2Cks5EkKtUgAkpLAs1tdZ0z/ZDZIKGkFRwn
Tg4Rg0U1ute6VJ79cSAogaYY2zbh6HmJN1FBOxo+TlM3Pfi0EeABom3JFNE71EEfLBX8ES2py1sk
cVjxFZXZf8JW4lfLuMXFPA70BPiQE9lHDd6USZLp1B1MUYqPtak7Y9+q+wSrEOgDw9yqnR4CIgtS
+OwjhCdhPpfJJ6aCCFUV5UmIiq8xqe4BQmZW1njSC4blgyYpM14qBS0GDaJm13ITX6NpmdOrBd+5
F72apkA0Ep9p9SeEFqAhOIWIerrl2e+tRj3IllDinvKB+cgoWtCy2gwD6aD2O8KxlLVsnBq1ze06
YGDTFnK6FfBrseu3+wF5Gai1rl9EZl7uqcyOOIc7p2W9MVqP4ZgH+Y1jnYTaiMjxwRq2zaBW9O7h
lRQqoaJj0zqcTJKtZgjVqh9R4uX+iyBayN5pGa/HtjyPQ8qjoYLyyjP0WZY5BgWKOTd/3MqojpYs
APGuk8jJSjNZe9D6VpaHuKrR/S3WVB6eRXWpMSsvOwoCO217eqhZoNjTMDCL9cQ9lQ3RGka3N4zG
IbK0IptIP/06OPJNLqoUVklQYteDpEC7AAVBp63RpOoXQa9gtbZasmr5PA6JmgfNQI6bZJ2+mukM
TinKKMMF/zilMnb4aTYKKyOQbV2lrUNiMtUOLdc+RTfeRdGj4nvJNp5IChRlfWfpDQBsrXHVKDpr
+UiXJPH1pVKq7QZiKWehxk+knZ+30m7qmA+SAkUjdP69X79080/eZCFL06qRZnVaa3aqE61S6TUZ
zAb55XpBki2UOEf1ynSjDBjdw/kPfv0kZ4z5M2tOSRwawgAPJhSyS9esNXk5kefAOsUXvUAlal66
5x65+823yw2gpXP2bL52H9ZeYlwYQEt1YBbR2IVy+MhxQb2ULAR11V+A9XlvCii//lKXaxz+7Ddz
W2Vc1qoTWAvpxe+cYh25opuss5X+wW+c8qvOX0VGL3HeyBfpowyp7ji9GLj84yUiO+2cWYuK9vXd
2GNSOwiiI7iPFYgkWJYU+KcU9+eNEaH4bmzkY6QslWuMt8pRc3sC2rwe7DK2s8/iht/bKg9GcSLN
Ur/4j2rq1uV7VxzYEGbYOc8RRpnZTqpX0OUVGWe4A8eiPaCMTrFRZzTsbOA6YcGJIXEi8hvWSGHk
h/I9B6rtpsnBNG6C8MFHR5znKPcYMEu8osfUf5YbhCUNo8g3DNbDUUWmVS2LbbEu41t6pepWoS0D
80auyN5xwUPSbrLH6FF4RUpAKwnbwypft9pKeVTfExmwCtCL5RR8NQflbm3J2EzcNkV77PoMExfd
jgiclBTbRfTavaU4sC6BbZ75cONS/RjW/VMxbCE339pHyamUJVLbA6HQBbEiV55qSIiwIS6kFXKR
7qgaC/I7E1QYi+wu5jZqEuEWYdeGR9mtusb2muN0qnsb6n3GPIeBD+3KBYnBcFIIX7r2LvaX3GHY
I0Qrpls7gl+4NuM226eP0km7Zf1S1S+t7EKp8g7qlgidrt3OCI2reDFu8mjLLBxhQxY85eVzu8Ub
MNEbjpbCPt2ZBxrHHCRv0SYZ5hXgc+IYXf+JgV3nZF/VoXwRLsM2QaG/TjfTSt3dEU6uggNMmfKJ
9DoENXSTP2pK3jey0I/iUfocaPcvCN/E5nCqeMa9Yod4YgNOlU1erKRw3atrlBh46vWjtcFlytTM
2Iy4DJVNdDfFJbAaadgaNJm5Ve32VjrZkXM4WoIR++c2eExmXbXNFakZseDd3suLaOtfhztEpaO2
DjfGvcrOWrjB2Or59pN0kc/ehto0JuLqaWaqfVW7dMk2CMtl7q06PmgblKAvMOifqx1+1+CpdVRb
eJiTZtGxLRo3CBzUJMFxeEu21cE4F+s32G71XlkXK1S5pQ366il+xRByNS5oXPJndZHTi/ZXauyE
/gpiUvMdfcPgRzwB7gwR4lFUzo0r7Wj69K9sZco7c75ZUI8CfE33G0+pclT4YlBqutnVetfiJYTK
u7BkZEL2wq3ZmT1yB1d6r1/FOalmaa2EAxbhdokKFMrP0nwuN+ZVIvPig1ghu1q3p/Q6O3qQ4k4L
0Y2vSe8KN3pFEZ7dJ9pB4g1U/Uf9HL0B/C9Xxlq7TMaieipwhl85J07f+C2bxE334lW5WJcg2tAG
8zYTDeQj3xCHdYI4zUX9Lqh2s6bcyFaMifRtsM1P+nPvGK/evtr5a0hH37UTeMvoHWLW2MK82BlM
T2aSQqHii114ucucbtcaD8mFoJ/Q6YRFcqdv/ywqS6CVqq1RNOG0ceHFIkZGWtd/++IBSH7U8khc
GJ/oOMcRA8yxR1oDSZcd6IZnoeRZw6IhbWtcEFiG9FGj9kwXnrLhm18Uj8Eb/BlShOoPTqzDqhkX
c3SMy8EvWNWudCYkHu1IbOs7LP0VF5vFRNLz/GiatQ8L81RcQOWaGJl5ZIU7oV8b2hIBNPI6fVVv
vbtaLNVxKVYPCCKH6SxcZeaOD9EdPbdAK3iRpGsQmNJhdDHeqS4zU2gT792HfzQPBaFNtrhq9sJ1
OFv76SQwRKViOFh7Xzt4X725jPZQYugAMxG98USEvJ09azfjbLz4Vx4JL+BHPoV97XL/RRzqaRik
+NGWgVs9VlvEQCFK0aV4slaYGZbBi/7t75CJ+wxfF/KLRKMfWA5LlRmpK5GdtAjXDHKtbe2jU1gi
ABYV27JW5rVK7epb9FfCNnrF5e49SBvpVLZv0T59mp3F1ODolWHXLTm1IZOB7N/zdk4JW9nouSX7
odiv1U1d2v4mHZ3o22rIAV+YttbzyFQPQAwY9AqW7Ws2d5aKutZuX9JNXbiMlNBUGKzzjXBgBIvK
erQVxDIMQNzpEmRrUV5kK58s2mWwMpBmX5RxITvNo3WQAMDgOIaRuoANstfXFreJdBKe41XjUrrL
5/DLP0S5bX6K3UZnTz2D7Ea7AEQsXaMTpghSPzK32THjxNcdlndYX2O/lLPlsEPmG6zyY/ZiPVOj
S/tSWBgG8VS28EafHzmu96kdYzLtzrG6qLwJPcuieQfJwe8F4qHy2BZs4aJf/e6iD9tpl9j1GlAX
BqB1efAX3Xv2JN/G55Sh0Tutn2Br7uDMq6v6JXgsxlX9wS0HrKzZKe/CA9+uI229wOYLM/oTXwTw
CnD14S0OXMu6RP2ilTYyY7SGtiZXiXt6oTyJ4VY3V8NGi/cEurrSekKk8dy4DcpdE37AQv/E2h8P
NhFH4s4TbePQfTfECNH7kukFrbPHGsHgsrsLLxPfNJQXDmMnk5Ap5k2rbHwgdyvbea7F2X9R7gNX
fVetS0vsF8qWcUkkwoe3UQQAcE77EGmuQMb0XcCBkRJLj4FmkfLl7TAojisy4f3C7U9au9eDNW4M
ogO/c9Y26R9E1hyYyWsXQmcV4TpSb4BieqwuPTL59wzN5YrQ4uFMHCiSGpS1BspkIqZW3Jjw5tam
mxIARHo2DOlzCjEpswNxycAK+UO7SxrbxIqUbeUH/ntDWIAbovtEynW3g+k3aysBmuGZBAYeOErm
kHPLmT3UL1QKUX7X1UPT2LV54yAptAcKtuKremgscsBcjzL0NUo30oUNCvmTHN5pCmYP9Sk8ZXgq
tz3wiWv7FJdrsqW4YxjXLHzb2JCb7BQfxA4GPPQftdOg4FNxOBWjDNBdPwdnvaU5RzmHCik8+m/m
q3xgk0i+okv3atC7cwlof8335SbYtrvmRX0okvXIRBhN6ZVsI6gRCzxQweQGqV2sSoBcr026NlEU
pbucXOXsRII7FsAAxPrJn675Z/E6A/lxb6J5MCnNvwhBx+6RfePtStUvvGXjM95FbFiJTpwD2nks
jEtqxsYxThVU+C1t0lu2DiGkXZl2ek8CcUiH6Tvf69f8OTKXnmvefMqvbfaIB3WpNMsBb96h0EBY
4nuyI31ZcrNylVhsl1JaVihQlsmdOq7J3oBb5LRGDwN9vSfeJ+ZQzAM8vraw2jHomA9M3LziSesu
wjm94pQZCIfiNuPUgVT0HbHn9MWDrcQYsfMpJRamtxOf0K1ca04dW4EwGWbtR9OtEUzTV5yW2kU7
oKOPHkfHo0Z9Z+EL2y7ZUrdi+LFpmGevYWlXX+0eEAy3DI8nVHUI8h/hbQhbz6VusdML8ZOVrTn5
NnEIJTiY+wIvmEkVvDQOwYnKwX/lnkl2Xb4tsMCA2hMXxVWftkXkzH5boHLmCtqphzWG1aZttaMB
PnBHX50+hQotBim/A9KciWdxZfwLo4INi4oqsjGWZLvYXCePnmRP+eeL8FoMr2J+6RK7fKbrDJfV
c6igwjUSBYTUlGdDdRvUcm0+tAVx85T1sM9Cah9xYX1yMXiqxpTxHGg28kI4pLfhboaL7tUy7ArI
w4Iu++eoLbQbhhamk5JqT+eKkZ9TPokul9F78JAU9TzvdgGFn+zQCDZlN7hzg+Yoxx1CcS7+GpGt
yf65TTbJPn/rzIW/S27+seAIZVErgbaLvmgEPKjvzGc4iFKwmqsZJ7tHsUyGEWLxbXjOHnjb0ll8
FS/KjWYGL4s7ijPCC14f8syoxQGr2VxcYZe80rvjoJB81d4OAck8Zb/5n+zGqbBFUQVm9wnD7nv0
XbkRI71NsVI/vL2JWROoKT4HcZEfrAe8jPT1in2/TSGd2PUq+EzhMPKM6txmAdziudpGK55RrJf2
mVYBz+v2mdZHUy4rjC02EIyT+iC8pI74IY4OgUywjIVzzH6I8JOvvHkjNlz9qIgHxhJuN9MSUmy/
CWDArrwPb1c/+dUuQsy7kfeCbWxTbG6BDdCiNTfEo75YpLcP3KF82d9I6AWCW7f4QIDzSbY3ONra
ulSX5o6Y88mEco7/EeEn9yqKUGfcB2RBrqJvdj8J4CgRBO8jDT5/8dUVqCwdyib02Tzlm6f2Eij7
5FN7ZnU+hG/eOnUtzx5C29oZRwl/4SezBUQX1vQY0MBcGQpS+IX6KuxFt8Qov7Kgudvs/vqO0Ykd
gDdG6LOKNvU2wAJ/lq7zZjOLxDjDGRvpXMyHWJMJw5p+nn8c79Lzcykxlrdp+zC0xXPOg7F8hXki
LwdHPbJwuEjBRd4FX9hfzQdCzMLv6NZ98BAQrpKTvWS3MV3nPCcu3nrYGFf2KG4K45Op217Zj1vC
DoyXGHRDspyu/M+Gl8a3W/jm8YLm7Rgtgw0VsfeFcpzjOtrb6As4DwHAjBt59gTAJpfiA7u8vxiw
WxwiPDC3/Ji/IUe39nN/U2Dqs/Ie/GvA/bTwnpIv1nD3TAk9btFjipfwxHYks+VgOYOfuqyf6ift
pX5iewwexB1GgnPp9E+cXdVDtpccY7eJL+LKeAaj5ZQISnOHzZPNUnuhtr53r73LNOapuCNQE+wR
Hem2o5R2xmcO7CR21fsCnWRp147IyI9h36O1ZTW9V5dSoC2zJNGKLaO/mc/jsLPs7uh99MNTVEMW
W2viOlc5Wy5Q9bvGMab1z22Dw4dDXI+NcSG+zDfQQAbJrvgm0ll2J9VJqQBaRyxdf81/mK+13XiE
DUqlDyx5O/Jmq3X1oG2HNd+AuFdWNQPBOx7jYBHTD8oeBw0v0CbkQclw6ziXz3gJ3zPKsmA1rMRP
wpPjesUG/iSwkc/ChUXhGofirX7GTiFz8JQuwj3U4GI10IO7Vl0biKB7KyH+ltHM9tdPhOt1OFAL
y64nMbKNilsa8T6Gplf/FxBSifuJRkMokRe6Ivc03oW/fj9GhJXGTclSseJdLXXmKqp4juN58gjb
wjAF3fdZSJTaMRqNz63XAthILeNH3yRZUKV3Vka4S0JqL1TKKET79hyLESC+jPcTFB1W55GboZ9/
iZDdLFsmG3i8JwUZXL1XpYFyacj/zy+DWR1atdBh8QXJdugzRpQqBWVSJeXW+rK+8trq9hYxr8Tr
5jlNWPQJq7QQOKn8+kWf7okh+GuGCzQxERgXK+D1lA+B+YTIsnKDgsIc3SMWRBrPKt5TlBy0aMfp
U9SimxCffToW4JVMRAMS1ufq2KvypxyDJc2iObnTvHh83m0I5QwtU2vnJWcuT+D8beHuLv3xSym8
Axm5MiWs32Iee450ueZWEfEfcyFaVYa5JYD26icej8PFgAlFShbJsZBTOAEVj2r9NKqoV+efQ3Mg
ZSmsP4UoulmEwVZD/dAIU8weqS4hUr31ekELdXwaC0FZN6oIZ1WHDm+c49F3C0E+Khw8SSd+yCT1
angcjgyZnGN95MRSKa6ceBeP4c6qb8zHop0gL/uogbxhuveTfOJyUMDkqkefqPg0BQIhjK61gTt9
mLImbC0vwNEXuJ5S7etsqDctLiv2mSTZVETSL4zB7cUxOFYCphPMGOPaK9t1J/rhco41gZlhHMzE
GnZdRpFpgapXyDdhDDSpa8uSP0aaxisI/PDWEGeQZ+vhH32aWu1b7UFBCcQPEUacOFpCudCK7RYD
+zEqA07Dkrn8r/+H+PkduQYEUPFP5j+of0s0NN0CbCrxoj+ALvqQyFknmJXbq/AhcgtMQcfzQvbC
DVT/RQpUslKjbaHIPIyr8f7nl/8332V+dUtSRFNnQqT+4OYYgzY0IP4qlxzFb29QQWf7tA4iuhjC
LFDyKp1ul4hX+s+vK4Ed+tfHlmTFsEyN4ZYqz2/sH7QgsdaLQR6kikkLSeUVTrFKX4dGfx51vPCT
iJo+rQ7Y8A66hZ6TcTIn21zZqFa//ctbmT/jzytAGIOsqKpFJoT14wpIsSaOyEMr1xPBIkSlABZC
+ApI8nSFU3DyC+aTMxCG5TswPevuRHBPS4tKuPPHvywHIi3+9V5kCS2qYqqabP18L1roSbKQh8zK
CTdke+ABP2MFkrF4C/CieYKp/uVKKL9bgDIWDwOLiair+o8rETOxm4pCqFw9o91n9OndUDR0klRa
7URa2Pz1G1LzWhTghlPQcThRy4HSHjkALpNkq4CERWJMsABW2kUsU+urGn/JiwHtw1/zq+rRRANS
jChTm5TLWxDcjrSStm72hjhsFZrN5c8X9XfXVFYUA4usOVOvfqzr0VfJao792jVB1a508DALvez/
cvP8WqQ/Vw5AUtHURPhbhiH/5yIecDqPjSVXbldpUIGFC7DQXW/Q/G64YwpasEafXaaiA8dg8UNv
boZIO+D/gLvaJxc9YEUBZjv35Gibe679ujDVL6uZmSXFa1JWh2kEoFHo5VqsvbPYBt95lVbOn78s
+V/0LPYgRdY1WbRMiZCyeYn842a0NJXoU1nhOGBRmvpGDq2AkKaWUcuYck2nKkxd4g43A7QncW4r
m05WJY++RCpdEEMY0Ycv35K/zLgi8gjmguJDK5h6/+ylJA7++e3+du9QVAZ3M3NM1n/9+T/erlJb
em6EvF1W1rKVoNpguFpOM3ZKSrt7zEh99vS/DtouUuhd+gjg6MksAKk2f3svv7t7FDZuUUVRjzD0
xxLwEZZIgglIONaYnhhlPIKDpQcb0BMq5XLta9xPTceI3WeM0Qfp55+/jN/evtCMZVWE86azEH9c
O/wm/7MGBwRFdiXJNJk7vOXTeDcJClvISr6o5zsPX1YMEGS+OJ18jUz6SjNOZsAmh419+PJmIMqE
2H/ZRNJXA3oXcOGhSArYPXDES6vB3g/hNfDe4UTssFHSMI267UxZamYM1Z8/mPT7b9bUDZ7Gsmr+
a19Cg8oCEgnDyXdaS4tdV3AFolpzBlAzxNvEmwnYckLjPIL88udX/91zkRU2E89EgHvKj2eCOnhq
q4Ljd8eZ0yPQmugxuHHTRmvJN+6RRpRL1Td/+cy/27VUEWKSCt8Hkt0PnFw8tFk3Jn3lghlOEL5X
r7qZv/75k/3tNX58MgIgZXyiLFhEfocJAKxqpn/ZfH+7JrkZJMXivmDI/XNNWhGsFrnhpiglRwH0
LI7sItbAAtPy7DL8wgSp4Uor2wN+mQumJobx6IeTZJ945S6sukMn4g81Zcnux4QplUHHIBiD17Dw
HTKROPEprGRyLe9wSOiMzsAo33goQu99Bo6ZHiqNP39x0nwr/+dur4iiZioEjIkWkv0fzxRVK1pF
ABbk+ojTFw2P8YWapCsZERSZqtxmRp3ccXczcgB34wslU5OC0rcgB/fPb8X63Tshi45iVZMl4+em
U5JJZRJhU7pl9i34DNsDmf610UjMccfLUDXeTgFYESj/g+78j+yx/5W16TkPs6b+3//17+oE1aSJ
sM4ggEUxf31D/9h4LV9qpipOSmLpA9uQuSdrvuxlXgDDhqfKjOFv9dC84n9853w+UzMwzmuK+rM6
tkjimQhbxh2mkjEYocymlH0uqujxz9/ob19HlUWJC8xurs6f/B+fjORmzGWVkbsmvZvJk9cCDFuC
Nv9Sa5r/LntByv7jdX4UW4KS6B7CkdwFSdEIlmqj+eaUr0OLRxYg5SpzxYckzDc58Yrs28WLGm2M
Mrrx8ek1dG3nCLBdacOlIIX1laQEohNRCS2mIOUdk2HBn0E+6FGwlSqAm9anZ6RaA/b7QiQNegb6
knWKohe6T2uZiCo8/0o4lS3LHsf8SNloZe07U+fkaZDue5UJndQZOVRxFQF8TsJUPn3gMxc2PQdK
PJM98khm+UX70Zki8oI48DkQZ7h2hvitN2yOp4za5jRHKzFfJAOlBNjHAnMTiOd8gwxJuuFj3Jp+
8NKnuohwFbqONqgX4PnfIkw8O/aYYBuaSQ9zghVfadqz6MjRdObQXK49OqywnUkJ0bHbRDHiAXMI
HsNpuvnh6c8rRfrNg4mC0tDYDESUYdrPailJJkHhmJa7EcBgeir9tUuyi9LLV7Oy3ulGkKMzxhfs
PE9WGp1rK1CBNPVY/fd5qG3HTL1iXn/WpHIlBcV9EpJXSSf6Q1aaapEn8ppcARo7pU4Ssf9YdXrG
xfXaJabE9eCJnxXZYLoRX7C1MaVSg8e8Y3QqAARVrPek769aYx2npr3KZFuStuaoUcZAJLWOVRms
VGyEjcpfiBLSTobWDnq8nNElldU9XpKL3HRXLHN+9RmN2UZRpM/Rl9ZAyY/wYOKFUslvbSati4HR
Y8jX7nlMscIwodW0IgsTcQWeheX8PmW1j+0ajHWgS5+//l6n7+u8vqC+tesOQoWMnK9JoI0TtqUx
Fmwr8a2OyNAY2NMk9VmRsw0+i20SZocpkM++pp78GDZEUN2FKT/gdoG5EwT3oI9fqqCY9k0Ak8fz
hYcmqw9qa3xamk4336yecuyI57iz8G6R0Di1+QNnUNbUHM37lxXymweFbEFLpfmkoco0fmwmXgq1
VK5G1NFgyHK/GrcN5NKlbtGHTCvNIQf0M0TAjiSjQs4ictnjemAI6im9+5f3Mj/Of2ygimyo4CYs
WB7WzyMKXZau64s0d8GBIE/fxoIQzka1dGWil2t1qdsivIeIXvRvg9F8SLl4rSuUNUFgqqu8K5gm
moK/6ZvhLw8x6d+nDoUTmqjrc+DivzsflT92QtDqpEdhGaDfVZhIZRm8IC73d95QvXjpBJ3QkBO3
NuBsBUK/aUmK/8tDbYYj//yK4NvyPDNNjX9+nhWbMSYEfISQn5l3iADpGv9fKkCbB4SBqWMxRMO4
yxLEiUq+qWaaRjPHSqmdhaw4IdFV1D+0dJdgJ5h592d4f9Mh9wTkTxhLZDVeyhbKWa9q7EkXzoRE
8VnCRoY4B1tLJSzea/UFlo3k//9wonA+UkAyaPQ2ZPlHHVbHTQFZn3wuoWyPjWwxeq/eYFAtuqS6
lX12S9oR6Y8yAYvJ3/688v5dQavz01QyQEIblqb9qDPjrsDdJEXYUUzGTfiV7GEcb3TrnFAv972c
PkwC4qE/v+hv1hRVO7hrw6AwUkT9xycu6jxv/a5N3DxG8omWsIjrt0lvgX5EJ81DJ53hkRve0si4
oKL+/PPL/yoB//NuU0WFjy1LqqTr2s/CzA+TIlOTMnEnrVGZLXasDl1Geicuaa2eokS/dJgD/pu0
M+uNG+my7V9p1Du/5swIoOt7yFmpWUpJtl4I2ZI4k8F5+PW9mFV9y07rWveigYJRmjKZZAwnztln
bcrbDjVp7KSMnuxE2dmLQRdPVWsd2vnHAjPdsaaXXw2CjEnxMo53VnsJxm8fF7Toe9VnT+vXZYIL
59BB0O44XP68pP0Q/5QOeWu3zbhwmu5Di27gSbzGNOGDoPzkdPDRwLBI+rncJiIh5+StQqTCvmhk
sksSuAYeHR6Bt82c9tJD503LGCfKRj79/sH8GjDz8SCmW0DO58XmNOyyFWBNTWDzznqXSPVSjMYB
JMNKV8bD8ZYnPhaFpvfJePw1rLSxdGVIzME6b3wyCZyaJEbje8lOa9v9mHY7206uI1e/+P3HMz66
p45OusvCgZ7benI0IewaoojX3gW5c+t2nOELJhoJN7bK4mupWReJbW5i3dkI2AJ2zSpbWXRateNZ
hCgQSJUDB27ynjT/s5H1QbjEPTB04ndh6i4nwp+H1qCZQx7HtP1W9AFNUXhvOQNrgH/RRM15233F
aRKRTwwjyvhsqDnzTns6H+elz3OAhLHTnLw3G0gjoRwlO+kAl7Bp9CMDAmsBfxLW9aI/a2C6LWjQ
BNcAiSS3cJIFb09XXXAd0gS/6Dt/wosnujwCb4VBI6BgUlsGvcdDlkCsYScIogXTnoSZYVYrOuMQ
hag23/h1fpfaNJEPM0HmCB1rlE0DPd0k9Imlc0fb4cgy0EqxdnrgRcdfB4gnYScBfaKJnFQrOLi+
f25qZ3/0lZ/wsSU3EGxCYZVL2McgOaJv5PVQvg3A/TQ8vABxYcFhlC8AnjdqPgZ8MuDmSfrLjRVy
Ts0YQtqnA26KYbiGNgvd2GsYo6CXC521O+6zCjVaCRDFd9p9kUMioWnqle6ctaXqm99fxIeTC8sB
yhc4M/9yGs3skuAhKDDUahCbFXxsPTEOwms+ObR9kG9kBEuXcy+Lukuu7+cRTLeblePQlu56i6IT
2kTRguxgna7Lbk8IdYB5gB4cXEZjObdhiyWH3130YvrsQn6NVOYMvUGZSJD85O7/fCFTrNNGDJp1
Z9RwL1r+WQ0VXi4vSTZ+ceZWzrpOv1WlczU3wmfi2///Decu2GzottD104wc08DtkpDVbEz81/l+
V+jLsNH5ZLE2fz0kkwRjZaTOQPrePJ21Q53kxlSwYrgJJQYJ53+RqhR1lnebjJivu6xZsdXsos6V
i75hlEOeX3RoTMwKinhCwwMnh90kCXnn8l1ky6cMZo7pYzYwIA+sDQROny/DH6022FDYnPDlB2kZ
4VYChF+XoOxs91rf7DWlXriVuMWYF6P+6ar/4X0yLVh3YC/EL5WblJvkuWS/sJO9xmUWJHKiXlrS
piAhBcqaNPrWpt9swC+9Bq6qJyJ1y32UI4D5/cDw5hlwuhzwoCjy2oaFOcnJPidbE8BTUCY7mozp
0gH0LwA/QKAsoVZGaL9okiqa+iYkmiAkuJWi3uriqyfsQ4a2pngbAlpXoqzb1YRLMRskqGnceSf+
6STmNP3gXDpytjs1D2IgmaEYDLqlXuwmeZRWc5+p4kUO+oUCVI/FGr1M1ddKOOsywNyINsoXUtWk
IOVhMso7C1oTTpkzePgtKii2hyKz1oXpXtBjfNdZIGCUV51jWAveQt9Q4V/5ngfw1H3KI465DHsd
xemgg7U0L0KGwyJxIlg7z8f/99xsfbzLqiSjEhbfYv2zXdX+8Nl7ZFhZ/+jtOw3tK7+eUwoZO1tZ
7XNgSyLp9j1FztU8Iaq+Rx8UjjvHaCsOMN9c7nQsjUNc5S9xUH1vw/ps0u2Dhg8aLUMs2GVV3sPi
uJnsqicslcukCr/H3wwJcqQNESW44w0dXrsCFlkyc6Y8DKXIYbmvHYNLKKdedha6x3kttjx+pEPA
By+l6Nbp6CQogrumpp7laZ9sAx8FGIZuc4ykwVvOx7ifV8XUa4c4AiCy0xpjYQz5XTD4ez1eG0H5
UFTji67Q6vjprSzGT8445gdbkMFiOAfNFGut03jfNJjVNu3bu8k3XsG1fQH2/+gZ4bqU+X2snlvD
2lm78c2dG8schDvhF73wLvBCexFdc5+XAPWEouqn5kzVth4QUJh+viHfQ0uVbO7DKj37/Vz9aHUl
p2W4xPvEY78IDjpoq0MVFMWuj1G0eflZ2ZLfyfr7KsnPJpXs9d7bWCEdWqg0x5yLQ0ey6PX2Pm1Q
R3ghrTPhdepN3+PB/pIJ/XWCBReLByMbX5Ja/+RM9eHjNQzKktRiONOd7r62JuOoEnWxo53uqnT7
CtHQY9Bg+adHtwHBVp4O6zEOtqNwPvUV+iCw5r3nzLNpOJK1+uexxZLXN7VdMrYwT1majGZjsC+Y
NVsHQ2wtvqezHiMy/VWl+it56g3Etm3e+1eO2d7Tmr9IGoGMGfi0peeXv3+SHx12uTiOMxYxGCe3
k1U383FojAqeJIagX8CNbcbJ+RI7LJdB6C04n17oObmlwHGu3EDu7SF4/OQKPjhX8WR0aQmXA5Y4
DQOVZ0fYXJJdKsfufn4+vSt3QQ3EvPliy+5e15PHInMvhkRcRfSTofMoYutLXE+vjRfcarn9JQey
r9l0zXrGJ7Pzg+0YDzsOXpbNnvRLdb6Db5lP5KFRQrecq4s3xykPac0AioLyFgPyz4rBHw0WC5st
0zFMk+PeyWBhZPgFlpv5juzApgpQw8MzWUBeXSk3vI/DkW8On0zn+Rmf7LzU63XHsqhA26acV6gf
Du5q6odK90le0bH8NKFjHOgN95rLoMg/S3x7Hz3tH9/rZLxJLU5i254TZRI+Vo1fpYoNSF2ccIzo
pRwKAGwCWaNtbUO9vJpUgWtvI87FKJm07oqW9cNM9M1sbxNQz6vUeKYX9hOg+oxKPu4k4JbSaauM
NgLDo5/VmjrQEhuC0LcakrVQJM69c9VWhyP5GIlmRvkRNp96s3MMtC3iQqcDuxJPZ3VonGFZuM6L
7nrEG9701rLOUdJ5e0EPNikXcyh2TTFu9VKeq6rDpxjoizbi61tfaX15SAD4YNLIsZkTWHeZdeOZ
1dKlVrbvcdwcupqrDPKrIYdgkvnTvZNSKTEllkZHp/HIA2GTDtNCfRNnuDFTJ7MlzBdf/4KVzdcE
n8wKZJk2WuMSkLYcVp2OSY4FkWZT0o92JFzi+g4rGJUk3Xj23kUT5MVBuckGlNJ69qKQZpFZxCIx
bM7xTkxhoebsI26Jk0/BCAQvsLUtfGEFnrB7ZjCdoJRatnGAkWPX9LDpAEX1Y4xBRJvctRlBoiUx
Qwefj9twMVP3kSXCSnCuwsELt5CFkIyTwV5gwvDFL9FZx9La5tgCCU3dgtGjR4dRP4n8FtT5ylLE
Y54+nNU5W6EDNS6hX7jDO0gmb5L2IC+qD8IX546o3rqouA0qHLLrBi2Fj+bJpqW9+F4L48lM6VvM
k+IxHs5gGWIHBO6WwsGTBxzJVzR5AymW4S50eK3Ev9QxtWoBB1ihs2m0s3lIDG55K0fvXLgjTaRc
5LwOAEnfom/dWgncQz+86KP2S+EFwypvx+3vl8sP54/heQaLg4VsZT5U/zBX3bIum9FlQTJrf1W5
rMhhfzMqHC9QCdmju24nXKSTz2LFj4IU8h+cXhFToFU6eVsnHGGoYOa4ayj/GLq8ypOMfH7+yUr0
4XbkEGFS4STlDPjm549nIw4CXi/zXT/KXdu39ERBgs/o1iWbUiCnW6govJWVeRlhi1Man0cKH634
bKqeyz0mC3t6cJQY22aqd6go0MORlihOW/TvveZe8O0rhAIc+sTCD6Y7Fv91GKF4BYl4oVcAkgXJ
xxZDnqapbhJM4EncnvuZSQXLAZbsY0TTQ85cZEbOFKz9XZDmr0XQ3LVhsIcrfi7HDpgCblOdU9Gh
kJPNDzAKCWggzvp2NRbuwWrBwCUsl+041whTbWlW0ErDce500scXK592+YThTugtDeldZaGOkP/V
rBOEOR0N+Ph6LTwruivVbSUKNOw2TQN6M73MT7OADEb/15CsROw+cpRKMhdowwg+K76t4C1B7iUS
efa1HuHCXLELWTcsOHorI4hI1HTxpSBIxasgBqdAFqrOvGZlxl1AlgGMowFCOPWjLZYfuBAgUG9S
9UYjFWBSHTY3ztiIreEgBTaWBo19UENfbkY0/55qAvAOkg5tAw4FtUevc/e1ThNlWgWLdqDHtosf
p0RB38hmkTg9n5HPG8xYwd/PwY/2S9fiiC7RuzFU5zn6wxyM9NrJ8qTLoR9SYzIfMjc9H3t9mxjY
1fyv3ur0iNYpeMMFyMdd6EFSzGePe3LsYBKXfaN98rE+jJJdzlXoUpCjcZz7+XPppamK0q74XMmu
DnHTC/J1OBSbOW6PjfGrEWAvRic7uOFPPuZHUQ9ZGlJShFqcw06iHrdCVpCnLC8DZV8I6FlGy0vT
XHmhPDcUz5evf39jP35Hh0z+bGz6S7YBODXqFjiGuyquaACrDlBlXgx/fCrS6q1hD4HqtP79Wx6X
jtM4a9bHkutEreydin+mWkH1x0FhFw9puLQxOezQONJsKTEa1avF1Lj3NWwmvOD69F6IQ5lAcaxG
YoQKZ2eHnvdENbcaG1VNsyt9pllDRBpNWzkibXC0AuoEziNe5pwniN5IdGEobk9nrvLc5VRNuACr
ZukJ5ltPVxpeA+S2zzs4uivmynkUwZeieIshs39fpTTGNTDhMmntisx8GGR5g3X1uPDJxCJoXoVN
CE1YasnKxD+B3GxP1/HcfV7WQJMQAGISViw5feZLOP5fYwF1wgGO9/u7+uGoZcxalIIoTaNB/XnU
9oOPV1oos11fqrd0fJTQRhJ/OgNfd2Xa66ZdxfQ7Tp8lMj8aQPCASGSS0LV/ORnUnTaGynSzHYTq
t3ji8cmpfhnT5iWbNRhDpW7h/hx+/2E/2v2pPKF41+d/jtH1DyuPLqsEQTLkw4QtpABXs5TotOat
vyqcfSyM67QoD3N88vv3/WjF++F9T8/P8WSnXeHoGY3Nw1akjLFY1Fe9aTxVRXf1+/eSH2SocSF2
EYlxLGVVOEmVN73A0ANTpp2Vx3fD0PWrCNl6QDbWrNIGGxf17mDmRvVp2o56SC+7gJlB3tDgQft+
7WGdvrOC17SAfuS6w3UcWLewKofMB3BqpYj8NOM1cOnFqvGRT33na4xGcm2ayPIGbPdqGINhDDjH
mR6aFqTJlNyzNsLuhTy1CfMzYlraouk2qenWxrnt6dhc4opYx/aJtjt5lRR0I5Ua5w0D/PWCkxcJ
44JYX8sP2GzUtISQd/aNbdA5eNw1NW56GEMipVrnTv+1m+weEziOPUbjbJF7XfluAMm5B36Jpwlb
cANjIlkGJgzhxBpu7TTcz3FzWVlPgoh4qBkbWCqsg3B4soMJG6zmEBftFXYPau0l2vmQOOse/Gyk
he/aVI1rJ2z2eMw2V04V4hZF8ysOvZ9sMR9NGjkbUFN4YLaeijrTVNXoLhV5dcXpqrCeOnAUjW4/
Oco5p+D71GBR9slKb340eCWaDLohPErFp+OJ82WAbyELhJt6VybAe2S3vrky6mUJCTea3aGMuQRX
R3Ln+jGWhpl/NURxvAvi7L5qKWsqk7JvhmuHGb/nvvqC3h5zq26a0RLJOSxeeAktQHWwWeu0owXY
cKBB/H5efNApYNNjgc7DZLkhV3kyLwJtTNFUpjCP/GyDfooOd52M91AZV3bGp8J/Sy0imvq0Ef56
ooWY7UmJMHssyJAHNCJqstl2Latwk9/jqod+i1YnHO3hKo3w27H0SB87a+O7FvB4BfGy0TCgSPXZ
GlrH9zXqwt3vP9Qxv3SyJxLtO8YcTAnSP/OI+WFFk+4ossa00t1gxuuSpDooNXFoCrdbVuawMaSv
VkUGOjwzjUMIX4EzfE57b4A3SJMn2yjhGAC1UoTik3XoIyEGom1KR3OU4P2SmA0GZ1J+x2KrRHjR
RumLlpa3YUFjtGPTiNzgcVLB8a6d4QD88TocmkuH0tei8zl5NrX32G+yMH9rEh4UlHpkbtnbiFuB
1/MSbS7OMa1B7WNr75/cU/2DFRRtBFIBBG4Udk6VGHrsBy5powx9doWRUkK/XzuybPj6HudnNCLc
3WEqorM+3Mse9EARJ9Ol1GE39OGrPpbmNQU0qtspxCDLn/052xLVmzG+BBPTZUy/4Q+Zr/u8uYaO
CvcEZ0WpyHHkLrPFiTptFcNVxbeTyTZCHXdEdMdiBaAyL7xdmkgbt92cs5Sw9oWJQ44VkheeK19w
U8I9ADUgfSkJiq6buab+G32Kd091aYVoDaW21kuF8lSz7oQTPeXIkBZWaxuLXhErCU1cJPK717ME
u3H7Gjj6yneIZvJuh5BtVbrPEEvfAj/YDwHspyB2VoFV3M77Sec9YIP5PAeFTWo91VV1MNr21aTW
1/F1F5kG1X9e2NKbQ0jM3/fdmVQNBfLwHGp9twqi/v3S160ryW4Q2HGyJVtIS3pVYpkivVvskDk+
QgRkie1gfqlmN6Uzd3TUn/Ni/P7JWPhoKCBIs3REKxxqT6tqI8WEtG6sbDfERQoW0lqA973LgnrY
cp7j/kTytrM1TDzn9Ys+myQzPlGWfBC00CAo0Jk7845+muDF7rosszlAkwWPr0/Vo+uBGO5kyb1B
TrqTY7me6CNdRLCWP5vFH6z+pEqo6ZDGJUI8zb7n1NjbPovyXdJiIqnyeGcXMMw8QPcrq6S9qqAZ
6UI49w5zYJP5IfDQeuerAt/nsBFbM4+v/LY0z6xxtgDsJBBCfLl056xrB/8SWuYKw6RDJDAOJbbY
EtUQE1bVX7vYf/6km6///V98/b1QGK8GYXPy5b8PRcZ//zX/zf/5nZ//4t+XOLcVdfHe/Pa3tm/F
1Uv2Vp/+0k+vzLv/fXWrl+blpy/WObqa8bZ9q8a7t7pNm+NVBG/F/Jv/rz/8j7fjqxxG9fbnHy+v
PAJoxLQ9f2/++PtHZ69//kHbnSBF858/vsPfP54/wp9/XL5UY/qSUxH66/V++KO3l7r58w/Nc/4F
PHsWiepknkmuM0T6t79+JP9FAE+fDIK1Wf1B2isvqib88w9L/os0FNsSR1LLpZ+NiVUX7fFH3r8I
wclQubQUeLqnW3/8z9Xd/LW1/fXguB9/f/1jP4RxmnCSswpi7v2jBkJC4XR65HobV1mYTDs1tdjE
dxObg11Ty4CxNGoZvdQkkBKi1GVZSoeKMdZYaeKJhSjhJo3uq0Rhb8+WnhZmDT/cyo8u7nT54OI8
y8Ns0ORj/ioPQFgd0tQNik+r2/2sEcbiCW6D0/TXlNHRB2TV42iTH866rZF5qA1dq/4sgDtNPnIR
gqMdvbUOO9ovAVyDBK4rnXDYjU2JeRYrJTmpnhYZxU3xfBL56SILrCsajd++Ya+MNWxHYKQ96QmX
mMJQJ2l+X3gAw+LGxvciypZKT5/xfbc1vKZkzTVrofhMOzsvcIQvP4Y38+mQVYd2H2Ey0k7zmW07
iqgbvQZrAQ8AW/vUealas1jtUh9vt3jAk1Vk0bkXxvqKRjVnBX2vc6evkc6nbLT0hmChWx7v9ZRA
e9XjCsUBrrq8H/2CtDVYdNt2hn4YzLDaR9LFXtX/yk2y6C1ozr2ct8FT+raRGGoonD0XA+tuoLfg
PloTZ+tSRLuIJNli2hleNbuKt+aawHLEsj0myk1ZFoW6M5FxLX3bwIdvmhG7cb8ePejIMkhn7neJ
8fxS5MnlAM3Z17OelhANICjeDrUwY6BOPnujk5/ZrboPAu1GGwJwhQW/k2YuTyYHOZFgZuxF5i6p
+PCpLwQRiHr24Nw0g1OuvC7bwgmnb2pykpVDF7cLwnxlOfOdnH+74rzlxjcAqsn7TW0EcDLgHKMA
Jdc2fUVAtM+VZ60NsLaAemGGWemXIPcimIolQG3fBiZiBu8yKOKzHj+uRSucEHPN9jno7S+FoAhS
zgPcn/2w6CjQwb1Z3VJSpu+jgnuXnKOm+Z7qdrKyYpGsRi2QyNqu+XN6z2wH9rtZ9oDZRgKwKF+6
FsfKKH608bFdYccOkgzUlV1YF15sJot6Ujcl+SFgdymUptjd5hKjGF8Sb9XPxuxUKK5tW1uUZT1u
m17BJQK55yjIiEkTZItamW+uB+S10QBW0G8HvAHx0nGWap3+TjluUQvehOkQCGcmnVMs8/qn2o2f
nTy8UrMTj0yeK4I7q7S8pZ/JA0dQSlihs6R4Wy8qeEBjoO9GXmQxVsF5D+ghmnuPBit+Gpzk+fiT
zOAxdZgkDo59T2dKTVAJXmriPF4nE0hM6Bld2FFrdjWAQH39YOsQScfYftSCZF26foq7OClpO0eN
g8VeU3LvPMW0Lqfw3VPBBUnnB9pAF67mwGltC5C4Aruvooo2iZAwoUyyxBD9eo3CocfiUXH6xYy6
vPINBmLeEwIZ2Fg2NmWvNNep+IAp6wuDZVmJ1fETBBHswSIf7+0eVWUgGalxBWhK7xDvzM996uz3
3kWmW/UXVtwf+ilLl5pRktTm0RUJmbiaE6diWaq0Ornrkff4w4quWoj5PWl+H3pkbkGdFJa6qSnh
rclDrSQW0l3EK4wCp2w7KdcttnvYTHkBNj4Abr0Ac82kKtKV009f424m/Okz4y/srqcIDl498PsB
J4GphCWNO6JfUt+S2njdTekjNX9KdL31DWE3bcfjmGyCrHiogD+xcrxBKVFYDmmQUfv+MR+R6ijN
MeCqARrWgZPE/iygtBi9kUSoj8bpgT59ztcpf5jlIxY7DR3AteSRijLlfnHnCp3jQk2FZKMDVFk2
fXGBmq9eRB1DicfshQFdTPNGU1IbwW7evA60R5R/31uHSgRS14uq7MgxGkuvAbYh28fWYGUTMb1Q
x2ejWsZHIdPncdI5pIstFkkw2uc2i5ZJgiuKxImbNwhdznSGMi51w/5WZWwReC3i3svcaUdIv/HA
dI6vO8Qcyxhc+sJOmNrHJ0ILkc7ZH7PBQXtzhvCuGlgjRnh9wuaqhzTOltEO4S+J+4BPl6MHzk0g
jEPKq9N3tM1gvoU5z6ggwVCo4zClyoTum56oAnigV62G4mHidGaPc4d18mxYJca+8xsRpTCjh73T
WiaY/Crapnr0WIvy2oJtA8CNx87eYK6DPribTDy08omp0dVYksmXmDNgUQZfjkNk6lnNUj14rwsg
PGmoI58LNsLoINFFd5y8xAL3+WeZVvACjeTd1NmAVM3m0ca0gBsm1iqdkV47DkWXDi5eHQBAGuYH
aLlU8apVUshrnKM55lE6B3i/ok+mX2nZuGoM83tAw9wCfffc3KduLB80FL0QBZ+Bz4lAnR82LWgk
+6lOZxDE4J8dB6Y/snlj7PKOOY++0gC9jhaZvGKqvzWRT0IOUTWgovvjKLIkywo5sRcrhAtcibXn
s0voJo+znAd4TRs+2fnsYjRxH2/L2QyWNlXRTgzYirFdYXW51Nzi2UyxTB2CZFN17tc5NyRNFpVs
XqKLalplGelBHeBiXkKCP/5MZWqfBOX3nHoOgifg1DB0ICaVa5GxFE8U9o69ilozv1BH+28ePbrz
O2OqDOkvuc6s/FmxrZJmwKAeM/QOIAOgSWRFhbJw05MsyXSoChZ5Hjz6VVqip2kRBOw7cRmvQNhc
G3aulmS4XqlWM4hV+VBzb32Bq63X4kFTOnzZmAEqs/bZxYelsmfXpKHWlxFsu+OObdArsGpl+BaH
9YaKWL9KaeZbOpkFvtx56Pj0q05kz8c4QMNtm/4UtkmeyQIAO+t9fjVCS1/6Hqdfa3hqSjaVOKEa
OdbJe6Lar8r2bjJHWzoFfTgYd1KDAggaJ+/5cCCXUC6H0n/WBgbX6Kk5dL7oChy72WrZBt1thoZv
0SoWMnPKznKgYyFRy2q+Z5YevHQR4Jg59NDw3Cm1cZlq7EKTTiCN9PU7kKVItsu/pwX3NMJeyWO1
Waiam/tXCGJgU9iV2YxlJ0lYMywaDGNH5UoOmNfKwpnJtDZhyDQP+vK+a6ZH6ZKIthfAjK6sJF9H
qOcWNq2iS28AcMaheGe74aqu0dvjtEC11dfW1KQQwyeXlXU1ltorhxLyYSlTpfWbZJsK81zZckY4
DU9BisGJmpdVmnFqYh/uTlWoZ/quWUTpJlqaV26NGM/CIud4L+pWT1Yqw2C1oI0Cw5Z+EWTEV5bD
JcTDHslGN5u985e9vyBZMtveMpe1gBezvfE1EEiGXJuFlIQx1kq0yGGDo71JG0V10g5YcpfkN/w5
1F3qU0CXqoHcLrC1x6JP3z3B1upIxg+e4bBk5TvnjY2jZLiq2ILH3PwCBYD2fhi96L3qENsUIuVx
O81x/GDjX9qkh6MhtoUNLttGsJubUmqTVVkjJwKiEeef0d5hKUFYFLKAdmNE8jNBUuBCNjTxvVnk
dfa9bts7syQHVZIVXtEXd65i52kW/3bWRGPh13peb2lEOY8EltX2gLyj7R/JLFAl7979lKmDWgwS
PfwwpiDlcbO5bgj08PcI38X8/lmXUJ9CWqf3/Tp1s5u2Sp/jOL9RGrYpEQJBfxa4HffR4qYJQn3n
0bZuu8lzOjvR5QX7kFY1+ywONXBGurnOWvt8xFRBtwd9ExiM1drCbIE22WcjKZ6Pw0920PRr3MoL
/Iam8iWbICEP4hJZDcNojueKIbs5hkGR+TXtwTgeF+PYEIdjDHJcxOOazdWI9VvfgqnZJgZxT1KR
TkOazaNs2/pBVtgn5JRdF1YuDiqLboa8fo4VpxqT9NpwNYQPljJWwUSYIQN250yfIVF18v0Y+3ou
XY2+xh5uaedZRwyuZu0k6wE4wyh9R4nL7CbgTuvkq+R4szA6QkhX9/dRG+FBmDyHfsV66WaYEtgA
7GFF2ntjrG7E5G+KdmT/E5y047gmw5nQYzeHqNO8/E8J3U+lm8MWnaMNQRnPM776HQtsVXW7sHae
k4yNFJ3NfSqT2xybFkKA9NmrbciM1ZIees7uxlLvxaGN5GHILdbIxj1vRuf5uDtOGgdX022vsj7a
l4TgHCiiZhU7N9i+P0c1UU3hTa8EKCtvjuLTzD+Q+yQY5LMPfXghg+6mm+MGmQGpDiApiSJ+/0vo
xb7n2Em4GPlAtFLxO0lxQeaDIKC8qGqX7mCC/yByXsz8rY1YJKbCpS0VuPNWacnbcex7bh9tIz+S
uKDwG2kEMNLDkLklisnb+j6DKOTl8/6Cr2WYR1/meIHW4UMqOHR3EfGw5SbAa7k3op8uI5q3Fs7Q
fSua56Rkwzw+5im8TVpSxDIOJlrxw5vAEDvUJRd9yNpTtvmzWXOteDhtI/R2W4ozdCHV36lFzDYm
LNbx+3xEogAzL2j3/cRqdxzH8z5c2vZOH7msrCVsT7KbrhcXvXE70uNGcEiINJrtG6HmM3WWdlNT
9Mic9L2xEJV13bgeq/mc24ckqAPIchz59pE23PVwilA9XSg9iy6VSs41xYOwsRYv3UnbaVr51Yqc
h0YXL6GUV15a3KQu86swqI2nbvqaO163JSGbbK4TnSWm7A7R5CoWpb4DLa7Nhz+0oWw2BRZrfr+c
+pXpNOthIvdoepjZSp/uMpmsjkHlnAMwao7rhYNwwgatfjx0FsHGJeFKmEdAaKgICyn/i1eMF62l
8IPSCC0QJz24bJAL6WkD5y82yYnqaJEV4NNta1mU5rhVkXHRKgmJ36fZrzQ0uQsD6zpP5XvnezCC
+nQVJ06ykd/Momy2fsesaQN/M3Q6es42v2CzvggEkVg9pWfmrBeU1cRkd1zYohh2cmfQ1lc8pHmc
e153VnYx1EoXFD51oXsmY7F3ZKT2jaewkR/Swl8V5G8Xep7BjB0mr1jFAsiqpPMT/HFc7fubPA0L
fd1lwthIOvLcSBX7f/5RBJ57Paf5bNGb+HeroIhWLA18E0MeO/OcHWgTPBbK7sGa3/p4Eb5JsLKj
JFXsj99sfdoXCs+I1ial/n3aRdckk92NPrbdviMQ23sObg2B5bWrZBpBy7dame+P/+iGiQ2rCHf/
fOuvX0F/LRPkq+LvX9TqkD/UzYgTsA9xthx+fJnjX//zy/+8GNaROdYb/HP83vHL4//98z15fOV/
vvnP7/xfv3fyqlEGMLYjU/P3x8uOH7JzYgBw/7zP8fJqD+R302DtffzB8R+8lvdhPBZkDbWqRoPC
1VJwtrMfb4p8LWQ0nB1toAwdXZCFFxaI2MymM6NC6rasuoAH0vV+DdnZyulu5OvAc29bJcqNb2Q5
JMja3PbpsC2bvN3r4XPb4C3Evez3fgunfqj9AWOy1N234DkpwovG3XPdzv74zeM/eHWHKyuAg+4E
FgBkEkmc4hJkdvXg7YM0Fvvj/7Gcevto9jofGoPGmfqmUb69KTB93GuVMvcY1Zp7f+xu8TcHw+Jy
wqQE8j1h/1U+B46zoJPLemg5fXnZ2jUy+B4pJqm9Hm+Zt3xAnaNIpvU4REA9KCSgi5C6lZsnCeBK
hbBQ2g+p5srXdlzHo7WHH4FhAXKNZQBf2TBBbDhu5q4xW73sCo7yZ9LBXkLofrItTZRBPv1GJiSF
zWyC1oRXTg2zL8T2kz0aF79WWEz6iACi5tTZwaxLulvVIdM26vxKE2m9zCt55eswjKOHQA/2fYpU
jSoiEtteZKvamPwdPIgN/kiXidtfRHWEhtJzv9d+cqMs210gD2lB008caVLSnTiyLltnEovJD64H
OjasNriZNKSYWoF9QmvetyJJzvs0CtjoRL6BjPhmjvZ3kePmppUYaHR99oq3O9rAsvleIikdumE9
lCn2147aFlFz48TtVa0MouBsuEBZznHFZeEtnR4ojS3OKBNc5k2/6moQrrnVD6u+fU2Nsbur69pa
WzawBpV5azQFCNUZECL1doVvpGeD0yOixr2lSq3iesgwa2MAeeTMvF2Gn/SiUfQpZnO53YVuTQ0t
IbcDNdqswrshc12ClsQ+151KwKhCxx7YLTZ2NdqsXtw7c31Z0rtphhTPc/qnqBPgggG8bjkh/V6i
pSTnm41XXaYZOy8eKUaC1CoBuy3tBrEM5nxlCYjCrrtzKZtiidPeeIYmblUrpKFkb3Ej6Z4NPG/J
wHSrXt6bEWloOsXOzb4zyNv2F6qxBJoBAWE8L3fKQsOfuRwyld+8cgWcVwxfbhNLIazGAaSj87WM
sJMgpSHQr29tPaSpnq7kALc9LiNeZxFwtiBCtiLN4iqZ/puwM1luW8m26BchAn0zJcGekiiLkmxN
EJZtoU/0SABf/1bCVYOqG1FvcOPKakiQTGSes89uvCs5RZAvqPChN4PH6dsMM/hR751TQM6bNWL3
O3T1L1rDY1ybHzZH4yGnEmM+rO+GKK9pY8AQs5anIi4WODXZw4u4JLrvP45g1ywgKKqtjiS6Sfcm
JuWOu4SerOy90/UIQR3jw3eKmPx6+0mX0V50Gv7pnUHMgyXf3D65ASO8upF/GCw2CwL4bpUbPJSG
d48iIJHWR5NlpE+dJue71umfNK5AKm52GbTq3UgGCHXecKs7nMfx2tsWdk0QSTr6JxE0+PJkR1R1
JC/NiFCBUB+9nqSdXKKN61vJFHs60al8Ag19Jkv2MBrWRSsQd6fi0X20k2xAPMKcxJAphzGjyi66
agU2Li7ySjGRTF/mP40BfXrXxSzbCNDGeBQT/NzeBa6KXYmfuA7Nj7r82Dbe+zx5xZNJ4K9C54S7
kMxcNX/KoMTQmcpoMedrLkARSlI0IiWWzJapDZfIvbVW3R4bxJGzmdz7unwIMsKo5kFhj4HxJMfx
Yc7kcEb9QIBt3m4BvrlRi2jjZP7J7+LdEtUEo8ol3Q018UcjyZNgC6fE6UieQygrCtJATTmfsklL
T32Z32Sf1+ydxrCrcP+5PFuj7bxoKd1Z5o77KMEckzxSKhh8WvrZfXNsh6RNYiHoXqpu3GkDvoam
fJvn4EYlFwYjEZpw0+aN8A9L2v2MlgenzO4Y5hzY6u6plFv4I9u0QmHAcG+L4ch7P4L3Ns6xd61z
QMxBaU6YKWrBxqEgyasYzb7VvNS4fNeMgqL5CBl1z/CUCQc9onLTSlSUdT1i5+WGi+nd9IgWJ+cQ
853pueiSXxa5KGlUPc6wZv1h3uhU8c1UQpcvwtwgkJ5wPolVnm4Pv7JkAptoKnPblwG5Y86nrbAM
DYQRaJ1JiRb25FnW0ePSmQ91Vd971/jAvPGJ2ZZLbNUpGstPaDxHEmXvmhFn++voa8m1r6ydhkZB
xpiqj+W1rytOS5wait2EfjOt2ycsDB+SJr/PGttGUFUP2Rjao/mZmJTBZtMehW68ydh89txmH/d8
9EgQgLWcZmMblOVwlB+nrrnkWcwcYMBgGgNs3vOyRei3mN+Nqb4ZRXw1U/lkuuAHjgfQvlTmubL7
MC2IEdKLaxtTq5GeS9JZnCETXwxBllMCTGVnS9gV3jeLnmszcl8WC3FEyYQfefum6dalBI8Qtv2m
Phr1UHgPHxvlvQIyZrYPmf/dxqCWjh1eVjv+iHz319R4dxwZAngq0+S9Fnwcw1T/mLmHJLR938AZ
OPl0EPYQFh1GhcPEK4FPVnineHHPtVaeA2MIjbwwwVzkAxj8xkYq5gOBD1N/0qaPacah3gI6Lfxm
h49aiGjvJ3jKt/nbHJMIH+vkVYF42hHm+wVE/GQJvmklEwq2pf5QFA2t6mXRxBJK3njMJN/c1Hvu
/PKnWOJzX918QJ2ia6EgNx9ahrjXSrSfHTtZn4EsYQZJzoUBu4TJ/YOloY156CfzKjWSq9oMUqbR
5N8mZ/4DJvZOqRI2df2rTS9+xjIUHFdb8IMTrH+sx8vLVEJegfCuB91lWZpo7xr5SGfrP88AHJ50
EjpsSdQqhtwiz5ptYXg3exbEt9FKAoqW1wj3O9AR5+ICrxlBe9a4maV96TMfcVfxSF0dh7PbLSHm
yR+4wf2pJzzV+45EdCN2Q93YNaXmXAhkPGa1YDcQvZoy1WHvT59d3ny6Hae+sFmEes6I1QFUrq9Y
9O4MUG4f9lCCZHcijDkZIejB3dt2DnGzkahpo5z4h9RYa8p4PUooD0gI3UkNzUTpO0uoDz0WtV7S
EaXdnDQve7Vm+qOmNA/lZNNeJKImNpeWqsRP15aWdyFKtSYg6RsI97OrWdY2KzjoXUKkC5NIbnuW
ZyMzvs0USQp5yUP4DwDKtIPIRqp5kMdMIyxhyu0Du98vw4jenFhLD309/hhwONmDL02bdho+Kgao
CQwyI71V1fJDnwTcN8GZjrUzOaSEHGic2LZN0lH1PpqsEZmV70MAcJpDFN2LVMKqAW7jcH0wZyLJ
Izn8mMm4G3TCv7yqSbYLxAcVxfsaFzbvSdG8auP84KbJa6n3eEh6RKstMG56OVwy0zlI1yR9w3zK
I3ATjxx4RnjpjjFIuoFg9oXLTrEJHWZdm8pP7o0T3GTpq2wd18o/7YX6mlrP9UCl5pJeOC/T5wyH
QBnZR9usf4zDk9FvHd/4bBYmr/w3w4ugXt8O0mQCJ/eug2yV6Tu6bLmHwbthxgsqRrT9Bu4QMKy9
0UkJVn/mc3ab//pZOplbm/K+xRCMU47hM7FQLBCdp3B5ePVoKTqfpjYOY/KzhWX37z81k5rdCLKI
+pWA2dUE/Zinq5zgqB5iEMw5o2g7e8Nu5uGo5NU/TUuEVvq64IHI48YNnvFKR8QvRzzHkGD8Hxk5
OyFXNVkCec2wTfM7sTdtBTAHdhaIfG9wINWJG9Z8bcGtWr9WP+O/GtlmwMrBzQZjM36HItVohl2r
cvH0T3lsK21jWaS98f+a8S5dBXScQ6uxGEnQCvj79Uc4Nqqv1e0Y8DiZCB7Irj1aFXxtDNKe2Ie2
Bojd2Otf6sIEnmyMKIF5U/lcZybY3Ljv+QtUTAH/HMsACEdw4xxq20GFasLdVpko9TmpRKiu1ema
gkTF6MOCGayevG6H3foCGFxbOQko/dPUiFA9nLou9bSaejlILNfXzmM0ziGm21J/nfj6U8sk2yhB
TPjVVkZb9faol6fewn+/1ICrMieqOXCzZqGZQPGVMlirJnvH/r1vMlYb3+uYgJEIHqqv1e9UzPt1
91OnbbEr0Ax+tcv//jpOgQc9JZmHh8uDiBzofmuAY4FQNIm3V9+K+XHV+Uf1K+gaw2WgQ0HVYBvF
L/VQOmlYmBlzr5bbuW0/ZSVu6iHV7wTVY7E8qd9Q1ySqP8njvy9K5SerC44r56Seiqd4kCMZojTP
WWesT6cezpUD/MBHizgrWpRvwXLE55rqJdu5orqWLZ4HDLF85btoAiy2ODr2FlM9bKE2YmibcDSZ
dMRW+gUN/m5xV2WSlNtFc+tDEusax/18Wwf4dZ99cdzetYnlWjoNRgnlPc5wttNL/TgwMTelyTg4
I1GpB4vWBUsRajRZ89F0gI7wVQfdcZqYZmOjlO5FHm1c6TRHp4WS3WTXJv5JpLXksDGf6RY+y3Eq
Gbh7TysNwm5YqGP5yCEJWKaGInZztyvCoVH+dUgK5opGvhMnhHyJWSYnKxYv1YhsYPFh62BP0VDj
ADcU564an9V/ZdCYu1rRxBQVrIM0ZKKO3497w+uYYHGIYBqOCWo0VvvU+wULnHQlZ37vo5YsRweI
Wk9BvhcqNjRB5s5qvVdryX5YwvO3btPiHaWowpwQ9cfs9C95TD20OIDsrsm0yZo5M+yRNk4/eZNw
TrM6sNpMeQg0gMakNLB3xfp9hbtR1PCbVeqFWtiW5RUDW2ZVagIDYFdsW5t5TIrfhWanx6Ctki0Y
K8sbUHgu51s/YI2cFdVDjO3gxlUjM72HQdGJ/JfdpoQax3SPpuT6xZ/KrxjWWsUP+BM7XeupmBju
n2RrHPWSAZKZ6vlWj3ZNX7+L2hD41OZZGKlwYMveLwaDlt4fqq096C9It5iSmcVHVA0qlVBA4mVI
UcURHrkWvc46nKR2PgoP7EAkAN0mvL5NH1mHJeqZxBYcwxgNoL2aD5Zbib1J8J5eF/apbvVLGwBG
zJLEQamGmY5ZXVcIvziVFZe5Mq8qqGIbvZbw/8Z9OqF00SOwbEONoaUB762oXuKIInVd6L5HMMkg
3F1rBM4OO/JhX9LJzN6YHkTH0E+UdUeFxdx5UEu+1kg6WaST7Z3m6s6OdZo1PtVh9DEFom7UfP8o
nFk+QCgPGas4T7p3DirtbYmmX6m/GLs0yPbrUzeE3G/cXEt3kymImLRjcSJeDP6X0o7bkEgmq3r8
TSuo+koPHiM3KzQ3RQcT4iFbUhl2MSr/lHUhdfetQBa6rSXA6VA4+zGgblnSp6hCep/O/KWXOVs8
CbkTh+RuKWaGZI/OkAtMGnp5mAwHgXNDKYCaE+lpiCKis2WbRQh/uxj4bNN3J6p8gpeCFxclxV4Y
pHLK6RcVZ4U1yIxbh6guPd5QSD6/6wbDiUQWV/pAZztPC3GbUtyspPrFvDvZwLwJdoldn4eouQ1d
cjXc7MsvHoKA0qgpWhvBBaizuheigbWtldMrXJdhW7vsAQb+C+ZIE2Ho/TUgpzQGJ5wS2FslDs4Y
lsGyWMepaqC4sqTKiuuhyMOzP/1wpfVgUO97BRSRXlIe9RnVYMdSArZJgkRHQUxpZLuSUddIoVek
58GHws+4aB0atAVzOcqPj1wx8hH8MUHiX7pd3ZzF+VbCIGTYw+CGG5gk+sd+sN6cjAZOaAedkWM+
VtfRbXYcB3s9c5n5yCHfRx4TgWogxrja59Ft0gcAXCjzywIvTlhUZepJJJNoERnvRV19dIXzkifw
gBTLi6OD6pFh2dIL0CFu4FJZHhd+QSah/kfNz1ZizjKyD/OkF8eCNwFW/BDPEXNaejQ7QdlMBJVD
g7nO7KcY/M0a/UuT5R+mUd6smrUgguSHJokW7Rhqm0Pm7QvpcT9PWCQMeuhEHPj9EpB12NOB6tN7
EhNnqmAgZ4TJkyZOu0ElRzU05XdjASMSvMJ2qid6EivfZgkJZ24MsRJHhd8QxCyGqij6YiAyLUac
QQXuh24rj3IoyINqiuBaav6+dsyrnY/fUDOmQIcsEHekWSewSPkOCMqIst1VTdXt/Mp6qbugOTNk
C9MKMyrXgOlRZU5xwhPuyaqI63TNX/XQfepYwu2shRpAkG2RjnwEgU1/EW/xIfg7ZoS/f04is4VU
B20eTg9hiTmyXEwjeSPVmGlo6R5sArORvR5LhnNt3L1hon3IsL7bth4zba//Iozm/pc8Jbufov7S
5DM+5cIeLjnasN068itS92ExDRK9WOadYnriF0cQqgFuUo8QaroW0kgsPtTEjuQWGDgMb3bznH6p
oaDr12+dKV9yIwCsod8YZ1YvQDCSvdp9Zt18E6220TWkLevsDBb/pq6C761cvsuJDajKmH02QcIm
bNQxuo/s//FwWEUX/80KNnA6g1qN8Q688/8UPbUmNxoc2B6ZARyKeViHokx+fT8jol44Lwvk0GPZ
ASPaWgRoFmxX7kI28CYJjam7okfpPRvfxMGuuEpNymqo2uqmKSajF1MWRYF3Wv/lRJNa7sUH70lz
TmIXw/HefZgtOhy9PmfFQP82Mo4M1ACvGZozDei3JeZ9+990cuefdPK/L9vycD33/hGTBI2rKuus
6Y+0aceCjWNajIfAgzyqcTSTEfOQ11/VPPkhVkrOpvENokgNxbmoMm4IOjlYAZQrFfy7WdF8EpgA
OyZLXxQhP5tOFWBL8Ok3I4QTfz84vHvrKQrAtiWl6DIWHGtmUr6MbcSNAAU50tIvVTYlap1idwDu
b/F5/OXaK4KDEEBBUTPfqLJ+yJYdW+1wpUtICtTKk6836TFPLvWfJl2eWg1j5v/9pln/rZ9RHHJe
qGm5Pl6G/8hzQlKTe6NmdUcttSDA1dF9YUaJoxt7mZrlTu1Lb6pETMX6WekRTF1OlQ0cp44WGpar
VwXkXDra6yi0x7gx9ys5ZsEudLMsbB6eO1e0ccUl7zveOZcllOjJMzDpj79sNtt6HU3muAstkiI3
xDI9Lnn7jISJQzU5qdjEBFBa3YH/++V7/1wzFo4gNioMHybjP7wB4qHJzSAlhknXO3OfFqEW+fHW
SzgmSi1mvkVSzUqm101MYDs/vawkPc3io0xLRQJXbPJojp4czN2txtux+R0Xl62uHE9dDcVyLRim
htgLmAaVOlRiu/yYfd4Zgd2fKEqekGClEg4E+4+GqYdkRhQsf6lDTpZAmaOtKGodqwLZ7aRXoS3z
YVJlEwyPYjp6OrL/ZV55SJm0m7PT1SfXx9ABcT4NdoIbrJPap0oRsfyY/FCjYAxkAR+R55Ufghb2
Z/6hR3CP4vk1h5qweB327+p0ZVxVU5ATvL4WymYWhPC4AcDsUwMTK/zfnwhBBf8tqsK90zIRrRBb
hZwXQ5j/3MAclHd1MRMyk1U4Q44Uq4feJxDTRElWCvnoLi5GpuT/hKIZzq7bmGE7Jl+cyTXu6xuz
j19ntfhqxbMipuyCPOwB6zUXjz/+SEvFe0uIZyCYX/3dlDrjZGMI2I1NttMM86cul99eGn/APdvL
Lr2bQfHl52wcpfYC8MGB2prMUGCV5a2rb7vKe8js4WMpiRWem4jPw/3RKB4nflvpjvjAdJfMxa70
tNeoT/BoqQf5FHjTrl/6i9b0+j4fTUwghXMRhnQuDnTXPEdX1zImSXjo61hO5ygYW74jjFMkzTAt
m6cOrO6Iq2pO4dVhx1B1OmxyuLNhLYEbC73csbUh3qg+FAffa1zATjY8xQxb6WxWDwPdsX6rHb8t
qJFUkea2xVcRkGLjszc5NlXgyqRaf25SyFmt9qyP8ZcoC/KV0L2Z3e+1oIzL+uZqTDBbMeAjo+4M
RdxqPee+RO1V9cVxnX73svYUVNErO+WHak3poknKVthQUvTfZeB8j/Q6zB1SkdsxQjoStAdgyGuz
UHEFGjXCUo3K/uGHIgZR8W9t5Mh7OIxf9jg9N2V5MfXEpUmEQ59aVOELQckifovb4rgyVfvkZxUP
n5qpHiuhh0Ax6gkkEU5ZYo5la7sxZ6UsCRM7fah2Wk4nmjbi2rrePddg8CpWl6o4u6IzFRmk2EIq
v/pFcvJjBynsX37boPoOMXLT6eVAH9k2xxQOqQ+I4CVAHYpAZyeMnXIcumzB5Zpdidt+bcK9t+v7
YMDnb7px66tWmEp210GM3HeD9Yx96fdI7ULewpPrffOWNub39QZP2joJHUEidTbCAKhjBDCNeasz
XCfRpxnMVRRd20Ef2777sbw5lsZmQ9+zcYiPcujJfQ1bR+zGaJ4D2iI89L9NTfWtTqvbrHQTBBxt
etrjoOPw16MCFwU7umuA52FkEChukS+0tt29BnAyGkABC+W9oeiPlcYf4pGVpPI6xD9B+jVtXbZJ
cjGMltODmVFh+ZfaheGf9VZ6aXmT7aWGJCHEd1kuu8ZHyJZLBtdMxl+HvDIuA/Q0TEq2UubpLTPl
iVQeeazMAKDHw2hILgSNIEgDssBHrBIj54keOAd7SW4OveVJy90irCOdAaAvr3JePp18Nl9y/Hqx
3rrimn2vF0QsvffqYznGDKbUEQaAOKXwPXUC4Ft8hIC3BIBsn9p7kXTmVprWuKNDJyEGYcUwFAe3
Jwd6wss+rIJJoaQ9narN4K5XxB5ImuLodc5uJQb1yHpm/DD4JMjESaIzrLKzldfNPtfEeVlSN2wn
3UI1vDyYoOaHZNQgsghxKvvZPC/B8pAIO98hgblpg1HzcPVCQg3Zq/aiQ+j6Xs8N+ZlOE++l031N
Jt91NDCGCqfLM5Q06+x53b++YmxoYEN/1kz9eTHwwYW+dqx1ywwT17q7QbWcg/5N4j4LvgQVhQRc
h4xI9WXPMGjo00OV5BN8xUa7mPjXQnmYjk20aJfUy7xzu3yt/+jUd9avUNQxBG1taLZixhfetxwI
gP7DAnn9aNtecImGJTv4wnpPmyC/TvGEt89ShoFROoymZv2C2ePDQP9zrOTyGHtediyywkA5MkA3
LxpiMTQCM6oxxbmjcpxLMpo3SHTOYb3K9SosDwcNYXVfVQSHJapEC/khZaTiz8Y2og3dVtJycN0e
D2Y8Jye3KJjvNDlRYVmwdVKeTq8IItZ1TOwKgHOD4eHOUjnAHQzBi1++NQP0OtOJT7nXupdaFSGR
gUrYn9BSIzZ7tuO+P0rHP3gGkEpO3cmgZXpDB75f0jmcTPO3JbN8lw1me7Gbvr1MifGrgZy+L1XW
cFJP5Af7ZbzHJ3eXT6Nx8mzBMAeU8CJNm/DSmLEhe/FLFPtveTqSHh7p0FkiREelu8UTAh28lV3k
/Oz086PouF2SwLiZxHmTXrnAH9S67Di9xGIxzn56XriAYYkFwBBeJJCcxkNnFOd4mPuDXrp0yU2z
dGdH8zqQDGszLgxRttls3AQMpzME++yUVRHcY5QLYIRG3p9pC3NEJmefnZqDJ/PC9TFiqLy4ulnT
1vSwzSvS5DGFIY43GBAozViKbxDDuM44rwzgvEOJUlU9zCxNbNsOob7lJcdVwlX1PQhwPn7FGK0r
Xt113bWE0mZAr/5dJO6rXS6va3WB5WIVMic7SJNxXtx330lczfc+4z6Y3MWHj+FIvkx9qCs9g4ML
OLQS7K+j3UqNLqYpPSQIqmYHI6w2/5zj+LLSs4VZuFuPQppxHZlLJqI16WqP8KP261WuhGkFES1R
eZuSEFLj2UiMR8Mmz52hynYZAsZf3X2tk9qZ40PG5SHJoFsVUdBuNfyPFdkZT9tu64jlWR2fK4cc
8Qus/pa9n1eBi2b2jbgxKLdd/iEVNViHdk6Z3t6XpvxQfFjFPnctGOgImxglTmGHJCBFBBlVRD8r
1FzGc8ipTynt8ki1hJqDX0AXUV32iBCtnDlc3Wxz4n8ycMXNMPA8PdTnvIF0pg0NrRXfWUUyS1zr
m4+V2z8mdO5eusf+Hp56Lg/GIO9Ln44nUeJIl1rJQ1vIaq93+1WztRKEcYort61OLzrCs995Dcoy
iJRfFvnXG8Rz6Mks+ttmWnwsA8qz0aN8zSqlQQ3M46Q1j60e3GNnYVZp3uhu0Ya48u7A3C2L9Gtp
Cu5VRlCDds+VlbvrFkBZ8wfGLc2m15udOTe3xrOPYnYRmjjHtYH2FNt46Lwn2BJPsuys/djB4uq9
9lSsaJrSAwbaiWSqm64cHcp4RhJBrv1QnbugDpfCeikUoFkrdY2Wgcfo2IbKZKBosa6OCW+KTn/s
UL7w/1SCVc6eiHD5m7aZ3uTk04OimdPZiqycgQySjDj6MybYJK4rYkkssEjKyE1m1o8U0XKzgi1T
RH/ijcW7h/8LRsjfkaadYuYr6IpzGeqZREnERXencoCuYk9UTyKmLsIzNLSGZUGiW350mrbvCu19
fYLYiSD0sD9YYuo3mdPdlWjHZn9gt23eVe254gcRPkZ948Shqs+7pn3JGV0jkqH2LQFtsoy2PtGq
a9pqpGJI71sxW4+N1j+kHizoqIXp3JFwQSw3pFrlv4A/+ybQa4QzGf7ILs5PXJo+OHfp4KkWT+86
Fto70+MG6SUfD96JJjwEftEAfSZEkjgvhbq2UonAykp9Qu4ffwyq3eimwbVXUtRUSZHw8ODSbOZ0
a4uo8RCBlzz4Y/xbix8qNOeg1a+6FX3V2kJ6JPxJQtSacPIqanK53KTgWiNcpZkeef3WHqsnQiBC
dh+kLlOxS7X40xC8h6pK5cAm+8L7WGTzcazm4Idell+GiVhA3be9kTy7+EqMff0nj/KToQCQEuQX
Xa9+yuf29whyaqlrnKh/a2/AlSJYei4xgDkk6D7KpYrOS1ufSsuELoYXM43GUWrcOkFkO6Gm4Tg1
Wogbh8Y+OAlsXWvKvlZEBFfWMCbSfOsBBIY2Q/f12+TAbqLRePFz/6c/BY9gUDtVLyXjsNNHP1Jc
K94BJR2q4g9BzNxuGbBI7ZZLrtTvf/eymA9aVtlHQNAf6X1/MDhsQKNrlNSDwDMfK/PJ2M8JnTwk
cbbDDt0EmWiTJSmqrUNdDTQ4SnPX4SGyHRtvr0Qrqh9XLYkz015Tk/EkebJt4M/MFQGHq74+s37i
H4RgUCk81v6oTji146RGPNMXOEoG91U4tSowDLWomll7FaQ1C+TUKwC34tamqpo94oKLXqK+wVAB
XmmM5JfCr1R8KluKfGtxo+YAkcdhMpDZE8G4DgBWfQ5RiiwE2F+GN0KlVV0HgefbtMN98dS6DnUv
lf1okDfkw+kIHoelP5SViaMZ3JNT2hmQsVyfKU5anNM5ERwtr4Pt8mE4l8yOT4ZtOlur8/Aixs9u
S96NhkhXexwX91tfi2iLeRYznn4E9bZ+zWqXzelBZd9GG62FeE6/hp7MrbmJxNGe9nUCpVVPXW9n
W6HZ8ymuilg9nTmJRLBDTjsVmGwZgka/lHR76yXYGTuujJofdqKjT+fm1ib7qZsEpys7UlbSLDY2
qn0PgFbvKA5yae+aaL4ZswEBA9UFFrekCta6tyGCifupNc6rQFTGR9sZaI36EKmnJp7WAefa5Joj
uj3LuxJ8wpwd9L0tqx9Wr+3jannsJDfqqrqNPOaVTjMNe+tzCKZ7oHVT2NsI1NJJ2KdMx4aRxK8K
GcS+L71rTWwMAzWA/HrWieHDA6ZKwB50E6VvdFxtOuZBmx9M+w1zbX1byhFhiUJ8nNhG89f54go2
ffYCtAd4Ln21s/yqcg3+p4d/Mz4E26K4ZSksIaJTQA+4bVbN8qo8SZbmxI52D+zmxzpym2fOOr+f
fyyBcc30hTDxJdtAhQcYC3LFUhBhE2Q/VsUbSlHO1WT49KLlaYK3LSvv3jfTGxaVWMS5dxmND23l
HHzVvw5AFbDG0GwpXwfiEatdqVReatzsNohlufi1n9R0/BqkFmebpMqBfNIKwnmzQXEQ/D35srq9
dcQ0QiNN90qNud5duTXv7aa7+MKEupS/2jEvpcqaUzDAoYv6TaHKu6Zne15vuVJNZNahhhoUDeMn
HpEVCLjeHDCBLGx6957FZWW31NF/i4H7UtOS/eiycwYlbgcKOfY9uK46ZrLrkezn8aeWka+onAr+
jqSNVm6gRLlKEzUs2jXSHGWFyq6sPkOoFszqM0DnlmF+W7enwWM20Xl3Bk2cLKpGqnR2psFHLgf/
+jRNZYbHFpZ7uvZntMfvfSSJy2Re2eQxabvH1OX2qAEw1tWgtWm9W++LFUPQGLAw8uEBwSfxPvS+
qZoZ0mYerpOLdYDVOz/JRntZtUQB0uaNBqnRWTIM4vx4Bkhc3pJJg9IQJXtBPQz2yLXiE4UQvnC2
jBp5+BwIqilwtNCTCPUA9wdAIjYGCs6YlmusFmQ90DurWnqw8FOgBz1prbgF2LzCOhRXo2Dz7aiZ
0liD8QDbm0JoOlrqxPOhfCLlLm6qHrNwIS6xrlF6QbwhFPalKi2D0nN9l7PEfpfUnf4E4LNKvIxX
b3EzrlJnLtlpnGI5Luq0vtFwme34S8360gR+ytI81mN2WB/LUVPdpWaSmrXNncb/S2hIonHzOvt8
8ttVWKyc5tSuD2yHDVR6WDGgCdbJijdPsQHhlJmEmrrAP3O3OtUeE9x6n6E9bGS/7NUIE6oZMy+f
j6Vsb8ibv3c0t0sTvCJ9YHABlgGj3nzIi+T7eg81hiH33tQiWPGqXVzNO79HYaI8apQkzp1wYyz8
+LYKaX0lwFdqXk/7XQBSoGIKDmhLKDPUnemPxQfAkb7QB687xcBA25inXU6hNGWmejPe1hHHUmJK
ULsvc/I6/HEwl95MNmdP5D2iy/kQtNSbAOgCfwbGS6L4ImfvIy3lLQ1m5Jaxsc6/seFvLLjHq36S
EHvA3ZqTs+zEdVZmAqWXi309HWz0AJVN36AW65xS2/cKnVJlCzOyNMQkbr+qClU9lyorBKtE/qoU
iCttxLHKfWFnQMYNQ23oU6g1taNFpLCLKmgn0gjYOGPVqhuLsc/ZIfoXm7ca4scs9zZiZ1nb2IJW
XythAIo9M1PRh9KK+/CjbTUDRnl5S5eBAiV2P9DC4H5dfrDTfdeDea/amVRpa+2uvCUe1bEafqtd
L6uHHWx/QXMUWxs5Fb8VBikHashVwc358RbjpYOTA+vaz5EG62h9VJ1eA/0O6ESXyDlJl5i39SUk
I+aRgSCCqSKK1iH2QeG0Qq3NyY/uq69FjsyaMxL2bx8fKzwB8loftrljfuD+ylCc+yqtwNN9jMon
jcFZg3sRP8evgTakNtGrxp3mQgZG02KjNqeFaDax0XybC7eh46X5G/hYghp97OBsRg0hMctiLVZQ
Qt2EIJPKT77UO6qeLbFaOjKl6OhM/S8mXdpmyPSs3jhOfhUgyIsjiv0K8+s0pkYo2vL3UKQPqnJa
cko0att9kaWoigVrh7HKm24Aw+C2Dq8Ey1dzeW8GBLgeQIerCgnHtA38O5bLumd0SpeeZRCacvST
G3Qsl6id9sDiOy6XRo9h+l9ZPJXNNHi0zj5YroHDUusCk1YT2cNUGzmSCrrduAyV8wUwEeMdpXAo
2/6PzsBDw8Zka45sJOUX1FHA3cg7DUYAnkIHZivBrdOPIVwyHPaw9oKNMf5ys+yglvu6J+ZZytMN
2X6dh7g6qv/CY6RECbaWmXriQ+V3fvkVEoihvGY2Xsu+L6IzM82tbDQ3VBj4alngp86ePupxtSow
lCg+mUF5KwexVEkNud4/ieUh4ADm3ZQFOVXtEl9V7WV7zEPreHmcZB5tu7SFxee9zk1XQ+N+XcGE
FcfQuhmT9dF8Wc0x2mKGbZt3sD3RA40526gfJPTQlndO8I22ElYOURIHTH7jfXdfbI5uojrBmYi9
G+qv2cYAiRjhads4zkvCBHwjtOU49awBITjY9WA09lV+HJTNS+lVD9pg40Hizj99+WdVqUdNDr0k
4D0fwGp8mlSnTkmf7tjNR46CBV1XIM1mq4gBPR0RMHy9JR6UZiQChkzYh6yo4bhOMUQtz4kxMEcT
oZq+6x7o46iOOlm/9WzJClkpK/AYoz42dEZeAOkP8vDX2kD3S/diWcPbKCd7a/L55Bj0H1aPpYhx
icbUVg5WOMkpoT2HfCtpMMjv+JPX1WkudEpA9//IO7Plto2uXV8RvgIaQAM45UyKoiTKoocTFG1L
mOcZV/8/jeTfX+Kkktr7dB9EZUuxSAKN7rXe9Q4kSzqK6quAethlX6cou4uQLYLpXL8eZp29DsqW
cCBnaIh0omprlRC5hlQ+RL4+QamzXjLF+EiH/lLVYmZeE10sFw5WPcODyxR5qgwo3m2eSsDZbc/R
EkzSWuFvHK0qUNKNjpHtQrloMZpdSTs4S4qUdeWxH/vzu0NhCzcH1UvukAD829R1zr5kFWoMu8YF
qHb4fSOGmjyhELsSuV3IQ6GESzcFtKcN1qRYfKZfRttcWAyN0d/jFkPkiLfs1N9MwUDWhpK7Vie5
moktzjuRZABS2fxSDcNUzdK3C4DCra6oSj4v5ipRUj2SXPmqzs0KDjrAffeAQxUyctXCx0yHHIPH
vAnSH0X3edlCl/0sj79FkqbALOFSWp9TL9r7EfiA7EeiDOr60WH2uqPN/6YRUWlk5UtYvfdudy8r
5upuzD1LBSVbBKtuPToIMM3k3GAHuYzxFqsQivGS/PQ1+Os31d3lgXdwo2HVQ9QxcwnIE+yr+Sz6
UNkDNOA18Jd3Vuk9aJq/z4zk+2LKkWnscJmCptEQrGpF+gh895PXUoH5JhWYy3au0C8HU4CF0zHM
4Wlwoy8wDgH3xtUCc5aMetboCfde70SHxRhqYXoN1coMOAcW4oAa/iUSEq0bJO9QnqiM/M5fWVXy
vhgLYXbLeKkwyYc1P3ex9R436ZsyMFLHpl7EiDSK+qdbNI+QKH8u4zrYfvupKT/PpLXQ7bYl3i7K
twGUU3GG+ha2ZcNkN1QPX90Wn5BoHpcBsOEwsQOgWVme94wX4JMP3W+LKIOtNoDz3vqvqn0aR8p7
bBzhpyq5We8oByuqw0xR/Dore5SJJ9Zzrr0v4LCQSk48krqB1QsTEoisNvfdaGDC5zVpIzQHMIgI
Z9WZzyEq6nY95Lf1skgZjPZru5frDGtvNYgnxwP2rLr6LG54PQwgs7Y8AxOeFVcJ9cJhqf2W3q3Q
LlHmb2eXmWYqI+z4IdsnBcF5DcRsE4MmKLrRfrSSfRvLz4ZgS4Zt+j1UlNrQqLdeIxiRUoeYtXsl
mic4RX35uTXcasN4Z+3J9gLXDCK8shJTXdqoLJHQ+1kkd3xVmC/ZElgHaICfCl4nWIlM3+w3Imur
nMaWMWrXiZ+2leebzv6Z2iOKQmUnoTobhY5GnIB5gx+DOTrIEmnZUn7sKPmsooJYUEPi3n2aOv0x
LGaoAib9mWVXJ9w62UZz564eiDiDmibQ1agqeiHAkb+p5qbR1+oprmkoMvVBQ1UBtN2TdpB1lm/9
0cUlxGheFv+uZOa4jtwdvHmXDlDg3ce4dSuhhmM0HvIs+9ounxBOC0ZW6xIbbEPITwodJwLzZ67V
d+VopXpGBh9vaFoOVVo9K0+RIrLPM6AHIDI142gxPfVesS39gooQHSY7Odsd+8pzNuufFu/DVL19
TzuPuqZvqwQNcaPc6HASyfa+CU23eQDEvC8oizGyc4TNTCNavxXg/AhPI2iAkblRl3Cak5K33F9d
ReYpiP1jgAIJhlbLTPNbqi9T9YVCqRrP5cmdlbue6sEW7AmM4mRSvaRW9sNU+Km6ym45P2ale3JK
xnWz/JENFTIZKLp69jEptzjH+imi8UXdHrIjk13IeJO2mGGAZB1yN8g/yJnZVA71IffUqq5I+DjQ
GeOpH+MPzUFAFkOlKit1mZeKWMHpS3894g7PEJmph/q/J9zhYItTMi8dYIu9Asrj5GFSG4U6wdEc
JcS9rchphCRRklw7aUq3CbJtals7ox+ma/iGLvmr3bDxarWk4Manhisxq1LbVfA9XpdPkjitheU5
dzCu68q9LidJD8sHuyOdUp75flxSibBEv0oMC7M5O1l+gGcbW1T3mOTdV7XXLGc/efAXE+LRFp6o
Ne2UFVuncslEEH34+GDg0R4RYYK3YZSXX9ridTLtT4uDlCp6pTl/S3PvAQWesh80ybwKgs/tRW/C
r6Vm/ixfrF1iFfamLrmhqqpYDhvNRQ06TTsoka6vSlU1UBCXBrOEldX3xzgfjsiknqDo35oBC3jU
9Z/y4RpmTJKRRHyqhDAZJMZsXcm3pb4lRk8jV2wVNTaBl9XwGxpnGIABto2yUQTmbyzI3z2DfzeX
/cXC+Je//n/qaGxb5h8YVxs8k39xNG6a+4+wa96ZY/7Z1nj5l7/bGkvvP9gFu2BsFk7EUnkX/6+r
sfkfm/0TkqVjqrxLZar/u62xJf6DGzgdtXQlKT+WyY9+tzW2jP8IU8XvQElVhsfYJP9f2Br/6mrs
wpDRPUiIho2r6F+Mbz1zwqqj1MqDXg+XwsKBHWtZJywJi3MLlpmLjPwPF+lvvIr/7hUFUakmdDUT
6sMvpNo0t4i6GSnQh22DX8Fqdss3IdF00A0Mftj9Cy3zVwqc+oC8ENm55Hpalqucf/8QXBBgqMo0
JSkPRrrDohAivTPdyjm5y2q+/fMn+5uXgiUsCBDnBXVe7c8vhWWwQSU1lweFNiRp8qE4q5G5VXjl
P7/Sr3bFfCheyXYtFb/m/eWutRLZc2hz9BHw5W09l+2iCcHhkjH6t+tnsOb/ZI2sXksaGLI7no33
9pIM8ccLWGLjUoR8KjOpkeOZ+s2tSLl05QPCAGiRlU4KiXs06hYR71TtmItczACnePFvIai/EmyX
dyIEHvGeaUjL/eX6OpDDtNYbSjR+2k4n9092Sio93gxtukHavzaW8+5jLvLPF3v5hH+kgS+va0oJ
5Czg9drqvv/hCmiGXZiOUbCEtITZQnsUTg/TebhW7XhlOg0lIjjH+XwjOol2U4vutVUzacCGL7Jq
UEhXfopl8un/5W1ZJq7oS8yI98uDJOuiEyma4kNrNUBCqX3Ar1/l0g8Mgdz2J7Ucgju+EdNUKQi8
LdKXKckqLFX7V9fGOJo6eZDB/Z/f2N/eJqjAbE/UBmwvf75ccxfj3QZ//ADboMbKWqBC7frNNFEW
DhZPBENWR7RfyRr+t3By41cS8nKr/vDa6ud/uFUuKRu9Bvv+QGX/hBkP9QcY+SoYURLV423UOb/1
eDwMUn6Pore89v8tGPbvNgEM5//Pp//lrgxJFqIC5B3MIR0DmuebHOP7YqAdsyX886UW+hJi9+fF
SRy867IucQwSYqEA/+ETE1Ziuxni+UOhlzsoGA+Sac6gq0m3DjZjYaKD9LVPmTLiVbqaQrzAU3e4
2rV5aD1y0kkjfHD5N1M6PXg+a8fUvNM4eLuy0W9lEKE26i/4kF8ts7sWMbbQxWdVVnlRfJcGDN6m
H29zuvPQf5bBvpNZhsMHv0f9/51ULo6UwkOxLybzdZrQ0hYgCI17htz0UEkWaIKt2cpGsbMyu0s+
19UKvJS1YoMA9fDneKDGfrhaljz2gkmpER7wY8hg5wG06l7+uKD/msVcqZruQzM+RxV+QoF58ovx
WGAbj2IG+meSP7cOmS46LknrLOtMBfodsyo4TL65a+L51lb6wWp+Jl18Tx39ITHxl+69He07bMSh
3wov/lAtouqe1XoSHksYIx2TqvHFtJsfrtqK1ZXREzTmoWh25QCGNIofmoNnna7I1WGkVKaP2BH5
q4HPZYzyACflU9p28C6RlXE9l82jleMDLju0+XWprccpuxu8plVzgQQ73uAx8h2m6WpE1N56dx80
Ppw7d3C1WkDANmRGwDoYWo+cN4PRcOZwW4oR192sgCfGBqYuv29T8yfJVhTaJxszcrjd2QfukEQ4
w2hwgkcBowuKXIaNZag/+H35g7SBlTXyUbWBrQdfqlsf9ZfYex/dEiWIO9zIXLm5YsZkwGNfLL1T
FRpPUACGlU94KBa288tookLiEPbc/uohJM4yKINJz7/3Gm/7kij3U8ye757NJcj9ijH4z6ofHyw9
vauXyGcqZTiqtMndTr1eNFXfGmgcnpbekZQ92OpKUfxcxhILnkS/4em4UbBUUuCfE2f33oEdYo63
qoJcBjTmFsGLWQicbWvjGuMQC4WCNRXYLYPU7iXJCn652cDHwfSHAYOf0SKe+xzLMxLBHiyZkh5K
eTHzjtZ52O6qMtLWTRUroTHMyKl6kkH/7qrwLGFys2rpTfsquRTvmbE1nm0Ha6Q2lyeeq/Py7h2Y
uavR6K/q3I2rBpXBXYmlsFq4D5BIh8k6ey1A7MgYD69mc4WE8qaWMmGQPMq6vEBWJbLQzw6xwb2J
OO33WJ9iHdbfzDoud01dNMcknt6MKK/PED2xeEjDji+oDxkM+3W5q3R/ZH2YAn5X/LQsR8hCH7F6
cGfVrKCn+WKK4MVpc9IHHJVEpLYSZYY5SLiVKc9KcWC7ZZox3JYQIWwKke/4WM5q6C2CwgeD98J7
21NHWEnBw0km8zS9NjM14bJt9eqoD9U0c2QJlYG1HsdUwp2abggwiw3sFf0Hk40eFxR9pptlyntd
dwmm80VZwVFm62vrAMuP5M2pk7tWWYcqar/ZkJYmnoGe5WIEsFs0yMc6FGDZcWR5AyXw6CIaBM43
98v/4HV7bJp5yJz+RmeXQO/hbWFExiUnBRlRQ4BgqUs3tWZecPjW1u6EKwmAEXQ9Z8bU3kK4XI8P
eh1pG2T9jzrCPJIJtW4/6Afb67dj7YD/ErW6G8gUIb8giHZ2PaK+6IrNNIobZDieLlmU/KJqJdtu
Ao7lSf+NlWdgw1O2hrcFcdsUlZ9u/MfZDuwznAXmWWDvW8A3t7CGEzbmcEXC4WSa1dFp2UWbUh2T
BYI7DUbXTuraJ54tFDpSucHR1Yq2eYRhg3FomGfroLReQQKhvI6lt03L+A0rKjSWuZVtvZQLlxr6
NtZ4rlJM1BHhT7eFeLcsyKV4kV38oY4DPUs/UJccNJ1LwxbXtpgXTq3+s/L11zjMkQYYL4PvPUyM
ZADQC0z4XbItlls0tfiVZPsxw8pOLX4CrnEEPpkKA9MiFlQe53eDCDms+gB5GnDbiUSqtc2yDse+
2GKo8t6B/ZDgKRGneNNxgDdreGa+i4CMVimG0YAoPvOUoH6rOq5I0EQ7F1ZF62nEEFfGd9k19saf
E/hPXtKCETLZkDG6GmieJL8E2h6rTKYuI+NLW2gwGxCVRuWMM8coQwTtwckZePMwx9lh/HbTQ+DH
tX0uNmVRbsQ0I0/CvAGR1bSpDLeFLewdozwnlQtOCAP6cM2DLBiUFY95KZlG9ZTt7vReuS3WyOxb
E2cmENe71AHnsoqL1CeYfqRmuO7csdyZNi/Ws5lXsQlwF/VbFEsMttW9K1KeoX5GIWrd0Hc+jSPL
pc1qbN08ccezGXK+HmkQkCtY/UzcwpTb7jjGnX94ERaj+hzzJcsCyFxqIuzlf3ixTZPkoYaaNJxm
E8htZQofprDDgLEq/UU4mJAAsSfsVC3rd2G87t5HHYUJKRoFQh8S8opr3spbPvIIhH73OucQNtRe
bsvLrNvR2saAdR0M5hcnx05j2YLsDp1+bGTbsIT04AiGSeWPsrFvoNPv6chja7r6GwFl+mbOYwIU
ZiwjifMEoyPCgzczpxuchc4V7QEzAOIoS+65aQXYywB2t12Hq6qwN22QY8dVRjjYE3MqY9S/Fufi
Zp5kcVATPkcYPOEUBh3PMkKr0T53eRSu8lfRuv1rXjGLEQD0YnZ/TNnwYjju8D0O3HWYyFPAcOgb
eRG6s2tabSA+0jr3vVkeaL6jTTxEX9ym1x8yLx7OmkvkbJT6e7OIH0TV7ytsFB6DasTgH+vVdSsC
a0Oy27RWEnkYBOBQSK73OVFukXHzYAtJYMe1GNO3iKMURwoIEdCbpqrmENTTvV7N1ZYFHeH6r+Lp
M7eAdqPpGxlV02YS05ZojWMdmo/IBF/zQWL9823pyS2WPfS7bds5yvLOINdixNPCPOfkjYGyi2eo
IfnGKIqnRCKAsDX3UOJ5z8SX/OM0zLbR5N6MaCqOGMhtqqSd10HWPesG8zfbIUdHNMEDEYwPldVV
u07CzZDt1G9hMWA/U7U/tUFeSPMm21i0uwg3mf1YZg82tC0eiuTq4fpvZzcX+jf0Bp5PlOJUr3qD
oySUDnhUcpv5SFoxPfuwnR/tyPGhd4Oxg+JKpkTxVJsGJldWvo60moy9eKO71Fv9aH2xNOZmU8BO
TogKhVZAY1KZLY++5PmfPOvQZwms0SLcOyYv6GGHhMbUVj4/HAG96JCfEQ+0jh3W5bS1PcLs5slD
5TBFJfy/bhPUiY4FVwFmKBGT4PBlH0LILIMzVecQuib2px0n0rjrpqbfu179xHw9YfRTTpu8tTZG
mzjbxpls6tj+axPxpM3z0ONNVlNGuekmdyMUkATAOm6pbxwnrA/KQ0ZN26pmKMkgwgVj6DDu1TA1
wiIV0l7oTxtZ6igemGAhH/W2huZ/ZxbDclI8GUu9umzbfWvjBWlLmAw13q1en+6Xky43C5pMVOOY
ciIhGQPrSIIyyUngBGxn3t7P86uoLLGfEcdHbmAeOg/GMKfCHsIFXowifPSg58BeeEv9KttNffM9
rTR/NwWwaAk9wTyr9VQEEZbjKNJFv8MHlqKojYK9hdDWbeUn10miHd2b3PlR/yin5s3DJm09kQ2x
IqIbawQs7XRBbTB37sEdAwrEnDLd6Exc1FgEMAEp3g3Rk/zpYb6J0YfrGTekdNgATZTpGmWyHanY
hTK9qwPzN3QJCURQrJOI+icGEF7xrMMGsz4j9oRBC9tIqqIgceaeWbv2UGgV57ugzpI6nRmO9Thc
sQlGoYeQibI1CU1Soydll/k5bdFk+HQzcd+WuxpO0ehJBnEO9gfGyDs1uUGDhnxMjuvlmsym+6nI
i2f2pM+FG1yWUreNaTOxMhpXDRFKAp9pYhXaq4GjknhvJz43bMC7V+5VpYww6JanmF4IhuAy1/t9
pNf5KtK+2uwdbIL+asRVYDubiIP5j8gQHJdrpkM1Q88esivmS/6TlmLg4eV8qxzg0mRVtxOUdnVO
oaFSEwxGDAdY825dn0N3a9GY7sqI+BiL4X9vdfx+qgsGomwbJDv4KM99B6keAUGwObiNsWq2OoW1
dOoqhC4Tki5y3vwm/o7fEDYbtYZ0MbkLi+s/zA0dJ30aNnrxqeKOtSpUJKUjIbmQi1ukz04/XlCM
v2auvGDF9VGq9NK43fZudSl89YjZ883mnF6XUQXlsmywJKhe8f3NtgMGFmSzVwetStOd4WKRR3rE
g9nDWHesbBcQIbT1I/gKFnR8+kuHUBkEaAsaGri0pqa6srg2Y3a3lFRt/gLJFqsvmi84UPg5NiSw
zRyoqi2VrfdNtBjBR9xTqD3LCg26JlnV3vwQZ+nGLX2c52BPL2+7c3FPL4yA1Bm6BQSeB2HqTxig
FBvyUSEQKr2FkM5rlHoqQwAKbNZfzcwbVlloHAJzuJrD9BDVFMedw4WnsqdBw3CTQSThuYi1+mtS
UfdkaXAKsuJRFkQg2FjlIvK5LfegU3NczKhJnVDvQe2reaF6C9Uf6+H02YK20mVdgX9YBLXP94yV
Y8KgWbpkM4X34mgX3abUkjpg9cxzSKYBi0u9CdEUG0+1trnMHlUxxXWCJ62a1TKeHzr7zYnRH2nF
dMqFOMuKZ6Kxpxf4z2fHmR7SpH0SwBCTMZ8Y2WENl/N/qF+t8A876HHyerPILii7CTt31khuhs8e
kJ4p5KHo3G+lCo0rjfFs4BDFuDO6m6pFHwJKMv/zAr8tb95QZ05psV5FBlARc0hha/bRynwzFPxL
LcnAeb3uCPKs+l1kww0LPonkxUdOszJGZHbGy2hEEghmfETj0601+0nrIR4TRaU2jI4hWkowos5u
44xw3iOzZpFyebSKRsdNmzOFBkUwvV7nUllVrwuaXAXsdLX9TXMl4JmgvUys6UGdy5BvCXPJ3+ue
Z1o19X1Byd4ZTCtwTThbEFFajH3XrY8HXhW4W0oMb9vSCbOCFW3DjJhO7w0dbxf11M4KHWPg+BNz
NXu9rHnXrNALLg/azh1PhCh8S0YaELXR4jwV9T/rqsdUp9upuxrO3UEW9n1Mw3ts/EC8QcqDTOCB
52wz2tMEc5SMoGkzR3xsBUH0DU9PMI5X2/mUdOEP3J3nHFSlliLgVD+SNquhNuOa9P7LOI9f1MeU
msKU2RTLVl5sFzDTwSt/AS67RtBNYsWZx2+Cp6OSABUD8rgtXpzhZpkNmC2DX7+FH+P7JhQcY75V
GurUMr1WJDXMA8liIY8/Nvs092SmI07W1gtd0oBKhlz4FOuAXn3+ZZLxDCWIvkMBPnYAq8oC1ZAD
7zpstCOjnr1Bkeiopb18wfsHcGoVKUpWpUcQsaeQdG95GdWIuqkYMDGw2MphfHZkOm0XYCH8lNrY
JBDdR/D3wMILIhrw1stIMmOBG1A8BREDqhLoOsOgMgNnT0A9Mpx8FsTD9HBArbtLn4pdD3YibdVb
syoFBm+QKfdwhujWF/iM2ArPTPD88x8HaC5Tw67ucXFiwcfkI4718B3wcFvVpMB0PmwFg8IvM7Iv
bW88Ls9DS3pJLWs6e7z2tzCmN/i2/7RnYnmSauKVk3YXjIQqup+JsT647cwSXx4/eACmj13B0mr7
8GCw4zoZYIx9Qc82jYhfMTDyVXvPed9XwYcM2LjtdN52A20RbK1jPXTXdMDwrhQY+QL+rybDCpCT
jASyqEYSFHbptAIFlaUjO0NeIrpqM3fjqvORgctqwUgzjVM3AnTLbTxg6VbjkN1ABlRvOar+vsQh
uA25IXbKkqxmwUYKcpcxRQ+j8kB7qqG0HQqQwXBfQUKEfoGfWjVFr42scBg6DiZ6lzpJNXxx4Y6a
xUuIfxkWkEit/eYiYn53xfbax29tgDqrb9hiUps8jro3Lkvvmc8SSZkbbtKGS9Q62VvdTuchhhE1
+Z22TtuMjDnbuTtGRsVwCUzrYo3Zx4LSaBofuiYppSpx/5XYiePloa/tkKMN5cFvhx2lIimGFcvW
pjX2bAzC4pjyFEWaE8I28BQkl/kWiyZ2392ElreG7oUjJRakChArS6idtcm1Szw4WoR6Deienos4
c3ZqK1nc00qPGVJo5J+tUX50IyacLslQBSgCWkuoys/ZxBESzyBKc/GlmdunUqP19ouEJiq12VA5
3rBZxksKVf/SM2N2D+SszrZEUka3jnyvcAqGsUNxpKApYfNgknSD2q54AmVYMawmiLPpNnXg7fAd
i/lfYC1ZXXZXbi3utMMdvHtcnuVGE/So5fy0VHPLB6X0mjalbbE30+SBzGaeuulmyy+1tH0fiOgl
gKncuOV3jwHjPq0ejUn/SqwIeANDAD/ASSNCtWOGpg/kgLMQNKe1tKiuh+pY5AFmEKz6MblWCabE
GgkiG1bIvsmnr+jcKO6c6DJ7L4MDzb0M/fbBTOlDWynI1HhsOEvZSmsIYXl2ivloJ2s86m5JU1BP
P33T+awRsLajPd/bASZnljd1kCizL2WFaLqEyY5PqWIvTYoQneVQm6ofhCvKHVGhuDQe0dB8nQPX
wa+VXtdvG9iEQXnMEwezWRn3GwzMkIRH4nHU++510rO3LOnhF9qkbSn6pObtZnu8EqKlbR3gu3Wk
ExBHkCHcrUKrb9hDzqN9KnzsforZREFtpjF+etYDlnKbbhTdTu+rS5+kw0pL+3KXCPyUJOJmOKSd
iiJOm11qUDbE3fjUYEx0FjBCwx4WMIkBgEq+3x+CePhUd6Y8ZhHqIspt2qM7NBfyY903G32XncHy
akrtW1t4CiMN4sNcktRZ6slneHaItiE9nQ3MVCCN5c8EdAYGNuf6VVZdu1s06Fkj21OivuBMV8E2
QxciVCiH+uIbfOm+YiVhnFgL8vcvduGc2nii/Nc9DaADrcOun8qXtCIFZPlCaLgkeAYhUxAUxyYo
+fVp/oQ3WbCdeo2wUpScoYEffh2CF0tl6mBUQQtCyG7nQzLcyAJRc5OmPxpdE6cu07/mJQMF6O3G
NsPRZFUMRnZavkSJ/9WrJ28rzMo+jW74xy/L92Kkz9uwSr5HJJRMaTEduZrWiYRN67T86Ze/mmFn
7gObQOACdx3L6sat9DC21PJYP/33SzkEKYBiGW/7ygfCqcaogT2EnN0nRFnruwN2W5hyh9VQZSuH
XcCMzklgvqLnw7Dc63ajOY5bPYzOi5vF8qVTlhR1o54rAP/tf38Q+7xQmoBoGJppnJYvwP3itz91
yk4HdhI/cQaFTerC4mmNqmdP0xnulfq1SQz9WmDbs0tyoMHQl8cQuvg5EdGbKevqbLU4jw5alB00
UqlO3KVr0QbrjOTBV13WZ348XqRBzIKZpPHRS7EYcaM8WpMTi9F/XpsvtqGJlyjUy62MMQXyPKiP
rWE3O4uKQMkjPBT36LlYUOqvAO0VIslgvfxtHGxjC8KvEZJBJkDX8XaCYSqvs5mVV/yeHaBxcIrl
eyTWUn508tnSnkYy6l5QKwGKQSKD92jpRfoUbUZaQ+VHFfag+7OVWBxEuIY0nSaBv9Uf7Tz8aYwB
TEdlApIrT5DlT726C3/4ni6bXR9YX5Beh0gq/W4zCOerppOFM3pJ9YDTRPCQYXsCiezUqy/Ln8Y+
fAU4m1dNyQnuNPp4CmT6ETNo3yaMDU/Lt5YveuL9/teyxnCSoOsU2URG8BNzBgEmebJD3AiMl6Rn
lYuiRRiSWpfpxWv9nmkTX9xp+sFxZK2kM/uveG4WQ/1qQw3062I6kBewFeopdtTT2U6evkcVcK6y
JmD5IQLQ8nYH4o7m1+A7IhDU/7a+bceL09WJ8oPEBrrGWiFiq9mElapP6+3UGtiIqUcc/QNes21J
alykYzgVYRcYd6c+kYSNENTQnlK10RR+sY+SztubmPkaOCH6IdawSHV0esp9OopL6MZbRoni4Le7
0kncHdxsLCYNHI9k7+GPwa+Suo1uI3OfurgN8T805nU0j8Smzhp0RZn/qHAKPk17q9N5C1bdnYjX
7NjXMMGhJOSPumsRaOMG8RYoYlznfoSQdNat0/Kn5QuJ1r//NbJLscs8l5OzOxI7gr4tr/pTKC1e
ZAh//9PyPTt4I7VhPoIeEw7qj8DjYTSjC0aCvBKIC7eQ3S28nptvCE0e7MjhiJ765zKMvqRh1UAG
rjdhWU8HI2jfROJw58dVOE064lkzBXgYgrMfuSeBv9makNvyXHo2IJ0MjhYtD8kdqAZL/bvvWvvY
eWhi/RAW4zevKm+z3X5ORipGg4DzgbqUzlfEp0lQwgeT+WbHSOa7qI7ZScInPQfDwLgA3MP6posa
nKBvflYU5W2ddnuIw+X2w8RgODKwSRsG1z6Gk5Bbw4FGhobGlU65KRI0fp7TfInt7Hsj3e80JrgS
Io+zu+A7GaT3yaqh/TfXPLDZ1mebeci4C7TwqD6ALoY9Kb4uj8QY4gWsdE7xRHGLxp3CSKC5xWoS
kGVd9sEuYkPGFYu9Dc97w3QuachuV8tvUWp+rWd+SU3YtTtyzA0dlpYhUKNhZ58DYsyYabifhBd8
R+vzHYEAuNdLlEjonwEVnG3Tfs84aaOWPM/maa4EwzjBvFdm9c6eldHE1IozEXBf2IUeEz3E98lg
PAXfdi+67llUJaL9sZsOc9quslqztgTmIayPOOBm5AXM4vpV/YKD5bClmq3PswQBZxT1gXpg/A3l
sbSODEv8jvkYoWoE0vhT79S4nDJTtkZo8szrfK8VZFseMr9+MfQeWS3t04LoxV7woaAgTHdoqHQQ
FjcjClz4ZDoo6xZ7uNUemZ62rtjkwBCtTwNprm0aHaHRt1gxnnuNUz+jWtqaMrlHnv5qUiyCHdIz
kzq3johkdXtwASj5VI1QCTpgoTRK76JytdXBqrzTP/NtLEUx+xPbxtPpCqA1eUwFTcP6hV/UzHNg
dQ3wlfImzCd6ldLQw62BGfvIjMQps+9UeiSgVCnHWQY+oaAmj4FaB9PdC2N8x6i6ASjws81UZ7Bc
ygCY0VKKv+EYqPRWSh4FCzeXMZZMmW2ay86n34YEPvTThzRZBF1MTag7h6iwYYSD9hSxNHZN9RV3
gftIvttaGxR0kO4wJJ8o+eNN1mlnuPHbf74ohiJ0/eWiwCE1HMtW/MdfeXkBVk0ukMihzoxbB52o
TmhZ1VuKSC41nId5OAQeydgjsuh/fm3xN69t6FLwogYEKIKn/kz4aqzezoD600OpJt6ZT//FCxnh
zQZm0IR9KcR0lbBFptG4uY44epiyqy6MsejV98ipqaGCU0cwUm7xuPGOowXk88/vUv6FFIY3qO7Y
nuvqnmkyNPzzu8xrPOxJhmXZuLzLsKVBdJtmWLEN00yitIHgYhCDIBHYIXi/K8pYNSQfiswRRdzF
DDdZGBnurqAjhmtwN1Uv56awP50ivyNwvGPs9MGa2FmCoiyIQwwBI4rb54WCGOiqb1dwYFtZl+pL
PGEZPAY0hQtPgzYBVXQhN06KJ3ZPIy+StNzHHLjBPD7gks+LmSFpKD2juLFOH8fYwiUKqXlm91cC
jN5xsXn66sn0qho2cJ67rIdrWjdKifFZKJAxktXRzqlvsQycGT3W5vSajuHhn6+1Yf6FHMvFtg2B
2sHBHfIvhNVyjArNBfpAo58gfNKtLRxVul/FN6nVTmY1ihWVlUcwmn6FHRqCAnSpF6O3dsSAFhwH
IMquQ+CUlpYN3mrRcGh6bZ+qk3sawHPmLHXQIgbgJ7XXXy2fAXBpFOe58bJdr88f2az1bG44aMtq
ws1A3ZMQxMIMwnUW3oNGgwhngFejzLmrgWIeAZLFA3s/eSEkKJMibmZUXQJA1IzFoXRA34AZCnRS
a8kRuo3b5yFkMJWQE4ZoO/3izHTEzLTvmcDaARHUupzYeWrfwe/EoSpUPw9Tvizz1k57T+Oh3IE5
aEaLIDdvfyDwUVOGLBNUCghgsFMI9fzeCcaRmanvyVdg5IUZZh705LqZjhqNRDje5fobhR54FYiP
BTSXiPqsAXLBYeBT2157XbD2UisulpMcw1J7L4TyL8LAaFP49lejp9zzrZnBSEKDpcMra4JmXTPu
JfN52GuZILw5rsod45IYW6byWN6FGU+nAdrUOkntm80PmRCcgmL4bg0hGRj5zre6R3Jpj6UiCRCP
xBLw5AHfzW+BCsZUb7U6BkX4rg3jFffD/mmSKSZEytKu78ab6duQNdDcJENbnxAEvf3Lcv2bE8XA
AMnQUQLYHmG/f94agg6OiaU1ycFUH1mdBg7fo4bzfmrtQ+7ENK2ovWDkRPjlqeGdGpgViklnhYB0
VZv+C3/3r4xvz8RoR9g8R5gZC/HLWyJSbZBlZESH9H/YO5PduLE2277KRc35g4fNIc+gJhGMvlGo
tzUhZEtm3/d8+lpU1kX96Sxk4s4vEhBspSyFIoKHX7P32iQelVl8o3w+LKPvdMC/Wk8Hf1GcFUP/
skiv8FW/+3r1arr2Pzw3/8vhbir01gYWCQtJ5O/S8y7qwOfnRbRvl+iiseOqwtsbk5iIsqVdoxT/
WdOq9bP9U9bsXwIk580y35CLfgw9xbohrxSClfukd9GTYYXThkmYD2F8/AclrvqLTF5ZOmcOCnkl
hGn9rsOlwLZYgw/hfkxi34PEA3s08vS+ifH+GMsym7Z+TsHw2LxsEAxPoeEPR0e36o3BP2RAfZ6S
aNh0kZtt0E84a2OZRkWgYV3TijzmrCZQY4R5RadeMOgieNCHjOYxJ5im7FVzGJLxOZviAqoEqlgj
A/HnJ5anNFu9KHohQ38w6kctSevN10w80CLuPvW8NxLTY9KnNv3AYC19Le022adVToxOF4VbLot1
i7LyWWYGkcXqKsNpvqh+XkUTewvNhDVvlfIY11w2JqA5XGUCdKfSXuuySYHy9AxXlf5tShHrauZ+
mTl+SUVzZmqu0p5CFrgEra9CI7z1kgN5zvNHcN+cmmY2EZ2jHZRu34Dh/rILvdtJc+/Hab0na4CB
djHGJDvX4VrO1blSZfmQTjAUZcJplU3tuK+j6LMdouKP6uP/W6OepvLzP//j/YO8Qi9q2jr62f7J
4CQQMvzbOfdXa1T0k1P/Pf9f/tF/u6Jc41+WMJQjLCVt19BNKun/tkUp/V+WzmVkk8JCc21JDAb/
1xbl/ku4ikwOqUypM6rhUfyPLUoqWzedxRTD8eXY/y+2KLH8kH8vatHv025YJj54F6u1/pUN8G+6
+gr0TsvwVJw0Xzy2dVVc/LlnEmvaIEbUj1GM9RGgcUjJ1Oqbwlig8tUUntTMpmL5WycK95il6n4i
RuSeQMhvVTEPp6+/2RC3kBKE2Zbkgp8WqRiQn+8LTbPOIcOt9SxKIiCZDByNQW461sGnIJE2qbg0
CtqiXJ/sTOzNKq8exrH/XqaJhMNGxi0EzjuD7uHZj1kzaaPeHA3HRQU/ZHc81zcUYuND7khUndJn
xaL0GtVhl/mE7I17G8X6nWWwafT1HYOZ4F7YX9aNHF8k0aosMwYqu7baZ1zSWzPsde6OIn8EthCy
gHFh8i0ALlQ97L0c07qfOXjxo8tb7xvaYxbbVK6Nfj8yKDlFtsaDrn7KIhgencwadjMZB15MjvKS
a/4W6DqaoY4zyontfmVlsqa6BXprhBrklEaS96L3j1lQ7tE3qLPbgaxNwyQj6xJKBS8fey6T3tyd
iKQVfgPzQ8ThmXHM3QIuqMkeO4hW668Eb2xLwm8+J9EBHxsa9ejOgFoNgOk9jvhVk8T6XWH40vui
PEU9evkgavqzbOWjBL60MwjooYAX+V1eYMSCk3we24kDKiLRvmGbvCBHOpvpfMGXX8Gt9lpQ31i8
w3jVcFnEwP0M4gPW/HYsKQJ5IwrTP4V2cO8OenLJHAJFfFhS8DF3kzTaKzLucaOZKBC0wbbvkdru
yPWOL2GrvaXTHG/aVlUnf3LZ+1UvQdYWJ9ED4GBo+jBUaljbDsCiqU/c0wiiBlEf/VHvBs3eNQSx
u0ayJrtB3Bo1DmuEXGjJCNNeTSbv7XL4h9b696rDoEPEnseRwN7Btik8/lwIuU2H0Lme69MgqSqh
lUtu3P0ZrnpBORZdGr0LD7YZPbZkAR8Asn63CFT1QkB1bCSQdvzbgXX7o339P3mX3QiJb5v//A9D
GMtP/Le+lkdk6WJparFGSsVJ8OdHpDHKKbWuCE4qCIdDmmQkLrGyWaflQKmYWQedUQbXZJOs3U6+
ZULX7v3SPtWkn1TKrF/Bosm1X4lNm2bujXQYRoeZH7wN1nCWtPC4oYfvDq8bKL84eFI/Ga9NngUS
7NQTYbAWOABXZFDLHYEs/iZu7FXHrnTdt/yLoggv7NK9qoB61Hb8w0CWvRcs8XSwGgfIe3a3shwa
x9bu5jtnImm4y/blNDmHqkemmJd3IrUknGa0EbpoQW/UwXi19ENr+tkPjbrK033N2UkSwGtrjp+C
rj1PInROjk/kmKv3DJcTYR4sIS+JJoILdW5C6C0iXcJ+20tWo2CdNFgowfTg1uSW4XROjNg6FwBg
pKFZt7n2d6EvQpIUB/KJVe+1cWk86WuodDgacHofRDA8jKUR7+l2yCqLSeKywvEgNAfS5vAr8812
xwz2WdSSizuCZUjSV+81KrwSL8pl7OjFiZ3VGbQPOr7se5a1wSYactK2UtV6rIzfFf04caGz3CVd
9+oQLeXhG8fuN1Reman0AHExWDklG4SwDcmBamYCGrMTCXAMowI0iHVi9vc5uY1UoAceUrGHw1Rv
WBCzP27IGq2G8TySgr6BI4pQp6u6feyIlSH6D7CCpMnFKC/INFgLEVgbI3Omta45BJ7ExYnScu86
TYNBxvWa3gYtumxq2Vt8pyLVd8SyADEJpNxZbIC9tp21ta0BMC1ZIyJq4xqpbW0/66h+Gn96JUcB
x8sUk7Ro4V+kdStQxaqMRYZBViCrk1Sh5W9Z3NNmWNaJvcATv9Pd7PiPFrPxTWyhc4RmSaIgFo4U
VOb1C+a38BMc5erU7C2TRmUR0P0Vfma89NWESIerA7yr72ydGlIIG4i1UaiWcG99X7imOtu+gywg
TrbxgDDDTTMH5o3CLmZHd7VQ2qp1nysWEodUTTGlsf9uKwAcgQog+4lwRzcsAVQ9ah0tdkpM68Va
MASZSh4Ay4YSoWSuCrVTY19isKjJ4+3cHoBHtSlK2BqtGB9ckFOOxh3Ab4BCTkzuc2vMD5rF4nos
7UdzFNYd5slSzOahMXF3VUZJvhHy1iTyn2gPXiBEZCvNzHeMX6NNFRfFecI2C+Ecasl4Sy3kLVOS
X0t0gp5v6Grj59ELNAYcZ5KgbG7FiRfHAOGckHFFM2GMKrHiFIupI2yybqX1Ub5bLD8TqLl168Lk
ynLYqcCgvWqs7UdCGuo9ah+cR+k9NUmzyYVOOxBVLEenUW3cpngO+umHVXb13jKDW8xMdtUi1dkt
0p2RjduuIq6LqTwZiMvJU831W6gDeyY3fBlV1y99rp4bYFcrUc6YL3LAp8PyPBS1fdIRSYL4IlEl
ncll85+c7hvjElJTxa3VNUUJNCJG6IIW5QtyGVgoG9Ku9ohbonMRYs4KU2KJAcL9BJdqXc2f2WwU
1AyZ14E+sGzxa4gy3ovoN+wm/IjQi2zUcjHmvn8LZb0nIzoiN2yhQkbh+uuMKxOYajVIYabL5rkc
+/Y0tfS6I3L/TIA8sYb6rRiGeK8tmYg4Fmq9fSuzovJq10IMt2QKEgexSyZmrGoCzBUvV65hTaw3
5LwpBzxo/pCzNX+wERmQkNsAXRntazvkDiQxvjgzI+hfYXF1nPpYNhRUNbPufY9qCdJ3eU/s0Tqw
5vpcTtCmKgD6KMsDiRax/YQV1lyzriM2stP2PghpvxbuDbGeurnuhEIwGMDfDcBuerM7T51X8djg
Qi29YsWGgtxpGIRm8iAn7WSVU3NKA0rYIgoPrSqntYN6bKH5IcKU6slPTbnPEUOggHTODCDQxhgw
yLXYy4PcuEBOZsc0h+xlQo0FmRsfMhf3XZ4M9nbqnF/DwPUXAmz2LDfST31ufgJxivekwADHErC4
pAqcrT3wFVQlPswMOz+mAXGYZhd8JCrJ76uEeTkxgt9134qPtdndkz/DeITD5FqntnGKoH4iT2nF
me7hkMLGPrQ6GteGARn0TKZcaAiL/Io7JT40LB7MjGDO1PA3gzWRF2hhyGLn9a7NHXxTifGlm53g
5gTqMqHJOOipbM7LMocBc8vN6C4PR9KiSdjwJh0jUNVZxAejLl3n2YSVSJTXQQ+rC5QHC07h8N61
UPaQjDebfkkrBSuLnNVtiYgRauv2Q4xfKoGU3ENBbFCSeJkbcoOwIIZgL+F307gYLa2yD05dQ/iM
mQvmkEvOWjzcf+V0fv1tSLRmDaIs2nGrYSPOLfYxNcK9TeLLvrKXSMmcGJEsGFe8x4jo6jnLRTAe
SDvw7xm42bq+M13XfyVZhyyZHkF8O+p3uo4IbyZ9dTPbLuZYdsY9doENyG6ggw1WCwLBn6f6rWQn
tCmWAzZajtouAN8qZ1tfKy6lg+imb2Y2h2fD9XssM4JQIAPhYdwkHloRbvE13pMwfGhb95Pww+KU
GJp4atCFdIqqKaWkpW6pP0QMh9x1xLU0xRMPJ97nSfQ5gklkfmAfzCTkFRxltiOl5rkpBaI/q11m
0X67Gyrk0f3yskdoc65oIF+SoSs9jiKdAQz6cHVtK+2w+DUtM/kV6ZhpwnDa6bxXmX6yOQtD1JwJ
N4NZ/GTPjl7frXYMyDcaFxkXoccDHVGg8OROMVY1J9ceuHWhMBZoN/WbzrG7t2ZmIxmBI4hTyI0n
Bek7UZD1CSzU/RxW+UNZw95nkWdtiozQm7Qkn95W40OkG81GMG25mikbg0STmAWCestO0XzGTLRR
4KkiVbQ3HDRImCQBm+EiMPn60OX6RxHHfLkW0oDVwXQKW8IC++wUdwqeG99hbcxs81rya6A++4uu
oVf7EV/SjrwahkHSJtzoq4GsI2d+QB0VRTauJ1A9hzKaCbWe8SFHVIMeu92GIZNpLSL6cR/OPnYD
1wj2vd/epTWKwHJoiQeH0bEySoia2STbPQP2T9+Xag09f+BLUU3JILQOwANYQBCboKKu/P71rsww
G9z6ITwnun2nyqq8hdUiLx3tcmvY44+QDonwG6LPoA4bqGGovEtrKtn4V68G3d1CambX29glWRuF
WPe5tN55ZDy8FlJWQE1PMEGS7eJ+QjeaTuF2NhndLUc/JEQMB92ywDESvOaDpA0tvXAcfO5bZnEq
cnP2nLxsd35YLO/0ea+07Ievq+aK3rEDh3yt3cOkJ9XGTCjNWbE8mFoUI5NIT4Gmfo6doR8Jzf1E
nPmDFtdiqVo5e5A/AgOHu4lLNqVjHZPOhBFjq6CJvQ0zQGpSotYBXEJuclzKfF7u6hZHh/Q7gQ4Q
fU9lM/MLjIPZ9+Lcd8YPMVHlBJZamxM0r67E9chiZ2Y7gWfGiTBh96GFi0GntrJd8JEFyGUAngYS
ElCYvgX6yRpwYTZN75/tt4XxeB1y8cB0+6jBPANGmAdbHWBIahfFi11E49rPyaaea8fEToirIN2Y
9wVgw/1EzMGuQKaBEoStuAZ/w6qRt2YVY37KD+4V5vEnSC/9mvYBwHtVSS+XnO1GNx8i6JB4GYLv
VeaSZ9Aaj607IfWpFpri4JxNnqwNDb6BXT6AS7zIqchjZBtvWb94VaJjVSbCyxYoWVAfrFkMW0JR
zZXRNMXBDrP7ropf/KiQa6NHQh7L5SpQEhmh4ABQWfXDJx3lbHdYCBrLOQlM1td234M4vaQDiFPw
wybcHa0hQdi4FJ0PR2tw3v1xdu5t38hwAy47TcPWLzo19zapqK0D69YWgKCjpg43dsXlbWaR9UKV
+5hOgPSM+jDm7ZUaIDm79oC5tLmbhBkiWUymm84gRzhAmvG6mOswRxbDe5P+P73YWV2eBpskh0yN
J7uy7ItIwBF8VXO54aMqi4NL6jv61pZ0DjjY2lVL7b7JdBMC89Sos451bYhdcfr6MIO0RI1+54f4
f+vYQLXcFmvXKfS9zGlqY2P4SAyuJJzXMBGorQhm0h6GvCtOA5vDHSlfxYU0UAZfgLeoFRjeqJrB
OAXPASdFf6oLy137blJwTsnwFI1xdPr6UyUyz+9h7CurJfEdbTIa76I6U6G5e1OIuyjS4wfmk/kd
GzM6NA6CdRDjHTD4HJ6F7t304+TGtZKQgBvWntnRPJZGsnVQo9xVSLPOPjHfxqoXI7UouWknSv3k
lKN7BCodQ9TXZ/9YAwUiuqptXEr0+Cc8bAvAZJ49MAAVezF1YmO0WsA6ZR1VKISt3P/udy2W4nC5
snKpPKuLXXiytBG9U41rqza0pyHJX6l0OwROE6r0DLUsb8l1ShrcBurAdCeyuV6cUBFCJaKZEmYP
AWDBB40sZkyVibnWoUYjTBYnNzSyu2EZemmjee1HQGTEUQe7qAuipwCVyBFnLfrSSA+fOKXn81QE
HwCbIudRrxznMazY82kiR+U32TUhsq2x4zYe3xdTso5I7TrpRUqnUnM2TrG3KPDeELOG3MxsoGiy
L3ZIAY1b5/qPPR07Aj5FthQWPTTwhXaASHv4+qUhBm+LAAXgVBsXrFvi8vVeaYU40A1jDDfKW4l1
ePU1hCyhRp5mRhme5RsfvuzJCxduSkpWfzf7m0nPB5LcGJbMSXMU8VivImKoqJed2GMYSBncQEOs
nmenns8104BLrckHHyQDNFyxsgpNh+ymrHN1advPeA6JRxk4lmDLYdvWDG68dRbvakovz44i51TY
fg064tDZKrgAdIALnSVnx4gxz7lgfcduJErARVJTBvxKIiK7UBW8Uo3bPGFaZo8xJu2+qecrgkFs
zqk/XFiJ+WvLqKKr1mAyS1GBX0w9Lj0d7oAHIyOzVhGyXjLbHkjZdM+JZdX7lAOduy2Mg3AWn3mm
ylMzpKRQRbRJaS+0nQ8JN48VoV5j6zN2ncLVwBb59PXBKox2Nw/Do90bzqlf4jOIVez2XwUIiXfH
Oagzr2lG1JcCaOw8iwPr3oD8dz31Fgf8jirFzGJBFN/wWar8YXSq05BrJpzf4j0w2eZFzMY3Bneo
rWpdjInBvmHoATjPdA+azewHkI/Du7uPtpZpVyyErhjQGmAT1XNdAj8Sg3rOs4uB6hcdWBxcs1yI
i61h1Bw1Z88tw0DWzwlaJY17A3MfU++6952DNVtBTjmrGVyuG5mnqi7v6tAuTmPVfDNLwJKuGi5f
6+QvxynRjkfLLp78DC720kgWTUbf2OEScRnoNA3NrZYVKCPbHB0iv35DDs2qkMV71MyfBe7BrWpe
NZCHMxiqg2lGFz/Qq+2EWwQS9Div41jOu7kABT6lHQFbxfHLLPsFlzDH/lBqunkutP6+zcPoYgf5
tzDSBipP9W4vLV6WrmHfiqcx77E7RSQ7MtWope9BxZ+P+amxB2YKMb26VRnMm3zetNkCJrcYZ3es
arYcNGjJOcahWrUYqSPW9w5pSDv6OGProov3AFFvOirl5xhhHzLKcCULUyfiCQltU+as88sC0Oby
+lO6TViUCFCSVvmq9W2+gxdDK5T28RbBOnWz+YKwpL2bsvTaMwU9K8eluw+M85yyXoA2aW3KtDEv
U+5uyauydoToWDQVDDLrxGZmgksXEQI2NO6Vd+x+hwQkE88jCSC1Pt6anAtdq0vcALL1oIn+GgxZ
XRpOpqZzCdpl0omLAeVeqA/2MQOcY7lZvGeWRATEwEFYdw5HpUm4WZ3XnmbneEFcSLO9z6CyjMwn
OdDOjKWTe7EGGTzonGoNEgDXTbijTRiwxiNms5O43kcTD24q0FOr/tj4Oc9CwBSTSic6bkxBVPDQ
m9/cRJ+vtSUfyOWqmecFL3YIWzcFjAu4ielei5AahpH/kWA/oB/mnqVn9Z4wROybdjWu/Jwx14ph
O/zr2OG+KxkvuUyGfzm5qM5aGmiPpIdvJelGfwxTOr/6xtrjoRyTfjP3ab9HuUaS4uJRknl8zF5w
OloHqOjDyqwprSxZfJh1dJwmvNKdSXeRa8Q32FULqT2E34b4dZmCIhcNfGRphbhNBHnjmyITlWoG
bW4zrxzJ2EZazHeYv3eQKsjS7coh32jyLRkQUTcF5w7q6PweuvQ2KO0jlZe1JSqw3+h9NuA3ZxQU
CyvfoE9HCvcetv3wplr7qeDkmHMWUbF/MeEHwIsJPFwTmGyJNqPNFOV31xgwF6p82OTgpry+JzUg
Mp7aUqhDYLXRaexQbPjDLI+8T7+NjLMipqBfk3uT97VjVdXVbKOHRtJoq5lVREubqwojXIeRr15I
M7rWyUzv4MMR6OtBO3UFgNmviURncoY7MdWWGyMTNFJSfAf2X3BH46iRe0ePEQZgtTq7M1QZPNnR
vrdMci17Cj+OL2ZcMnxEXkNEQ2VidPdJF5BmFz42E1TpYSBKyxYl+U3LB8TBF6T4LQZJipbQGO+d
otG2KkVtbvDWgVeMg9z1W7zEool53G51ikFaLDMBLF9KJgebv2rKyM5q+ZBL7UUWhbNqsV6sBYyW
a1GpbRdyVLct6nJBsFJj/oLpZ+5zp38DquIyzbDonipn3gwtyd1pEzgnxqQ3f7Dy40hc57lBB6RP
ZXCcY/mma0G1K4oyZnow+vfNEL1y//9RVK16BMiKxBj/o2dRUe6TmXg+pjbpEyoBApRiglTjfBkf
KWNXsjcleIgHWju9+RrO7c+kofmmKhJHI5aBZ+Fl3o1JNxCdla8ytyPYqxUN93GZbax6qrx4LLKn
Wc+OleFmh1bDz9eOHftfnxUrCHn7mRJo3+Oj2Qx9D1I61f1L3NXMZ4zoyHc2151y56dmSeSKFWsD
PGJ71E3urY2zt7octqGrG0+V9dG4Olq9wNFvc1yd1RCl28qIMoQaZrG2BqZg5tw+Szv3t2ZdMuwQ
g3kSRvGsu7ydlTmz0ewg9gbj/C0FQrwx7W8mXA5uqUPJujaDnj6MmKknChTVZ7uMZeBRR3gTM9c0
DWgeRcs6ki3teVbWLZA81aTrja9ITn/5yUw7yNTt7PbjVuco/ZaXxkMQM7tJ8pJ0sYEbCy+RtovK
qLmBrqdEsc9cHeISRwiPfb+FZJxT1c4RSN50IbcAin8YAwUxu9eDLfJswlxGhK1xHH7T2gkHLcpD
T6QpOsrG1I596tQM4zglVUuFKXOg06Nfld9LdJSQ7mYSrZf/yz2Tvai+ZoyZn6VWAG9m+bguZ/oJ
awn6NKe7LqNJi7tiV9nTDfxMf0A1blx61JKxnIYb12G041IHfYUDAQhp9+yH75U2IVISvoWgkKEJ
PRFyeyasF8uemFMravmOZNuVAzPg1S4+pjCI2bUVDMHJ4+OMqMJT0IUV9/5sPI0gsaE3uPe0bwxh
WQHO9YR5NputSy5bcEh+jFg91rgaHd3xxprYE2RJrGwQDkVzTEFS1c3dkGXmWRe/SPr7Y62dxFT4
Kume/DaqH93hFb3tTeKWJ4vKmQmBcX/2acv0OyLHEe1S+zhi5zwxzLlp0/wxdHn7EJgbBvjKs60K
AfgMjbgX8S9cSqTqVuZ7buhPMpAKRaRKtt5oIXiclEboQzAF63Y07yADbVvkrrsoDu5iu3u0DPjI
NB8b/N7I+nmbS6l9+EFjeaEmElbCtBKVTU+uNZeW3pbnstkKbY/QzjmODZdPqIsT/Q1xXBp2kQIf
m5tnzQ7+UO33904St0gAYBxMffYhdBGwe1gvqxQp5mErcnf0RKa/tRqlOct3dz3GExd91LM+0NKM
mXiHLBBFblq+aWVEtjM78q2VrOPSVis5VGc9A1IahlJdvv4UBNo5gfN8gKDQERmcmv0efce3IXAx
cjAlsM0Fnl+FAat9Pnz96euDNjf6sTe0fT7WwTXIM2RmbfhRmSY+2iatwmvpD4em6CcEKsvnuuVz
QwPGv7W4T7BtRUcopcCB4hD6uYQMXL8+oGkLth16nD8+58+T2NYtGxLHGuOrHrjxldJ/PgRBdsMM
H1//5/NffxI60Ju5r4lXcLaQnxindKUbH21ZnMlvpEMrqk9u5ByxlTMtNWSybokJ9uJ+1Ld8f2cd
9B3CaAbCXgUPmBlLoh+xi74ZE5wheF3VWkdb3mvJklqcF54xV/VGLIxAMuzmDZxivFxo6R4TRpNn
0oc9oasHKeeAaIoo3hucCH7LvI9Z/C3jmV1rHIKNm16jnAmZ6cu3gc5rVRbRMxDNX/kQvZgI+ej8
j8yTW5YSE81zxSinnUxkyxHj99o6iZHVSma2WMXao1NkrKeHjzz/LmX/Llj+dUEt9kO1MwTuy9R5
TYXNWi1stnUgz2piWExvR9UmOzLn8+ChYY+a2ASgBKqK1zOTsxVJH42jUPzhApg0hWPYDtdFor+D
uWpW4Vsnfjjsi+ikLByKI7m8FZF2og8Ar8UJwHPCf6wexFLepRBQYztDZ2KI1djvLasY76wa34gl
v88iPU6Oi61PZEgqXOc+lSkr3rK+2nO/pW1FiQmlhdma5Weso8lP9f0yXMx/zSa0u3ufkTiBfj4W
2bS7avsRZferaZcOuhXqg5iiEb8Yc7w2PZPRVS8ahu85rhN9yhuO3Ypgbdw30WxDsOF76unSFTb7
RCOGLC9+pL0N5MuGF9LPpEFpvoR0tOFx2J4pknHlTLBpfiQjGeWoeZdCmpwsJaRYDyphbLNla0U9
nIHkNzpS3Nnn0eSYH/Pgw06wltB2+1GV2K/n6IPYR+ks10Wth2vQOCTKl87PGaoodook3YUu0vYS
bGPm37M7rlA9E2OkJ2O1lbV/MkzQfV2gNo3lTmvkNxN+cvvJZU2knJYRD4ZUshfsT5WAGnXYmjYE
y0WNiZ2lQzQKfm6fBebkmX6+I8ixXU9DU2z0rj3y1Y9Dj3ULtu7JiAmubfKmpu+yHkNsxkvIpL4p
454RKEil0a5fjSLZjfYQrbl3fNqOvqds3xoJmY5Dmxw44RnGh1tEs7wC5FJvsrlCJGpX22y2ty6i
1Z2pOffKGdgoBLisetCfQR+UG/pMDI3mrauZPlp+7pkQLze63SK8ij6dBQrTQJ1iWQnmc4y9TjWB
1/o6Jnan3hl2foc7cm3KUbKlz9xtm+hvLCW/87xG5Z05arzBkT6vCwhoG71lQd9pG7bW3GMKxihl
QyBOgFem0Hh9fCQRm84nysBImkPYNnt6TmLsA5slTMnQPukNSHmk2GsYYoYpvjWgRbn/2WJdEpvj
MUHjhmMs3FqzqR+lQdnc9NucjOlNHxXsDa3GyxvYi3OGMAnQZz0ENQt64jHKkVtF4FRn8FagAyDX
4cImigRzRCWFh6ZuEyFv2sRuuQYhfV+4sbX2oTisZw3/RsRaZ+o0i4OQME+ZM99SwryyDsXKJ2ac
NKixV4PSf7QpUcxkaBOqXacshPGiaeUHgl9znZUM7Wd48YQDPBfK2KcZs5QaEKXHwv0RH1K+ApdT
WD+zIGW7Mr2jbHpPONFWDpH1qxBBDUgFuR18/a2aGPkwwVgRVvkCvyxcOU9ZJ7A9IKiH37R3nPZS
ZKxqfckgDjQsZqXCs5d60xrs9hDJHicpRbzuDsmuL99qJC/roYW0VM3N4zREhPjkKCkLYI12xIsq
dbm1muRAY/cax8kPEQKSsDmM83raqGgId7qrnqbxRIrdd4OTyINpMoJpsR50xvWhy3DZcul8o+Qb
7pIQhpXxsyyCl4XSGCssV3EyUqgX81umsk+nb0oSaYHZuoegrL9nktR4kE+sGuZzUQOrYTjEMKIe
vS5r7W2v9TfRAFWJNT8C66L/yPy49VLyjWg+Cmh98gN1wFtQ9MNBtu6vflafcA7Epkq17VC7+j9Y
ir60738WpzmOyX9fticTZ9GfxWlVkZlkTJQEjSWYMCf3tZQlNgjybtfhQAiEAWuDsYRBsEznb5IU
G16iXRIafQ+bcLSxgEQglpThLqA6+nvtnPiN8W8QdeDYNrpeicjXsdRvEGzLn0MnZJdwxKNmHupl
/CVVRHJgaG0Y0TPPT9VFmUQFM9GC8UDw8naO1plkMasJ6rJh9mlRMnEmYUTfGdPDPzzAxaf3+7Mn
HR4e7gKOQv03aV8Pqq9rVOAfLdq8AFMN1USO0H2OAHTywAHaDCOgMTaOX6jSVJIlZBbXv38Yf9EY
8zQ5uo49FLExaPLfXkOBlVALkB4eUdOwpJgT4JIExmX2WyEpOtPlxSxhYPpFmv6DvHH51n9+ArCi
ubwyrqkLxNK/qS2rQDkl6mBIC8tKumFdGEeRu7EHPDzzkooekKiCQgZ22t//zsby2v/2k4XN+ck7
V5eW/bsXTrhFXJDhYrOCiqo7ZF/HdtA85Tdi3wbRbhqAp4hmfMpn9xes3Jrw5Rtmfqq9DPvgYt3L
xpSUMuwH5zofwevP3SmN6/5i28V7Jini0Tr8kzz1d1cZb2meKVd3HcO0eMv8Lk+dMkY+isoYnmzN
fEWbj8OiIChYOniJafU3U6zZFNR7BHoWpI61b8wpXFhW6H7VT1tUifFgFGfojidHg0Bad820xyZ1
X7Zle+oAGXQ1+j3H1HbsjRGRzx/Z4MIDbmIWDqwmVhmCizMGdrRyjlwzio5RT5AUymqaPDVDPP39
K/XXd6drSxoyV3ccgyXjb6bFIrcqnWdaHjvmxquGC3ilm9Wm6rtvjUklGNUMgIUTv9Yy0bd//7P/
Kr3lZzvCVvQktoEk+M+nW+obA+r3Rh4F7KV8HpstIk3cKI7vOcvY9O9/2l+PK9d2lHBtW2I3+osH
S7amUaGWlMfI0D6HonyucVx9TfcTkcHK8j///ucZy/Hy2zUANdTU8UTxtmIm8OdfL6myislHYR8T
33c2kRaDrK13orFyQtGWYceyIoiIuVwH2kNZ1jkyL5O7bfFf7J3XkttKlkW/CB0AEgnzSk/QlpV5
QcjCu4TH188CNT1zW7ejFfM+cSMYrJKuyGIBmXnO2XttlybgMh6tIUgfRVg9P0SjeeUl60JQVQ1Y
j0pJGBEL1tyG8hY2tc8Z2vvD8mH+fQF1bcnyxQdmCZ799gsChhZMZBpafpRoDsR42vdJo+5G54b+
6HjjwTC0j4JBmO3xdhFUdaQ5j/TYFjni4KIQqcD4BF28yqzJY5xhX8Buv5txFb7OxVsg63n/nz/0
f3M5eybBIQYfO/v975+5Z8KKmCtp+rQaaPBLph3SJQULBeDRCEpSTpeMClrhYa6f/vNLG/9mzeNK
dmxBA9qx7N/3Q4fmLa+dm/4DWVoX87QyXJQ7PbQLQzDND1Q/XYzWJc4zaZl1LZpaNerjCo1f/4er
/Xe/9rKUYZCxXLKDJKZDsbzbv1hbej0GHejZhk+CLOvVoh6aF83Pnesv2s/VG1U5NxznQ83Ryj/c
2Q8j3L9e+x4uHYmgzmFg8/dlZSFl6kWk+5Wuf6InWKEcEdNH6e5zkT3PMSNoIUm4yoNlhKMnIIez
xfEf2Z+dGFJHphlfleEc5q6Ut174dO7hhKhqo+YF8gF1aRczuLyNlnEHHU/AZ2D5odcZJ3gmvS8l
Xnqz1/etLOwVxsKZwr81rmEcbgV9lhWGEbnL4b2hubXhp5eZt0ms/LkX7aGrveLEUGLxkcqJAPSA
FYyse1Sz0PLwn0Vg47KGY7qnDPYyo/ic6OEz2OZmBxHBOg5GcAhhIXChbGInHM9hYtr7YTGYhpUG
3amfPo+DOGhgfActT5/VghnlUHtu+mFmLuYx7GyoqJJOJ4rU7V1i6bOXNkzvXRMZVGeF8YfL5d9s
2HikKVnJ3TEpIB6L2V8ulwIOWjxpgfTDwXJPcyr3KA2+JlHjPvWtfnJDZBjphGYAnjtedtkuoPXX
biQrWZ8Vw2WarGGNrtjssj2UW/oEaBkZliw57LV8A2kBp6ObzT+8cfn3O56QLFZZ7KyeK9zfLZlh
1iNb4QzoP2SiEo3JrE0/uzCUX/NcfXa1ySdJ3bmk8xxgfcqYSRfdvfVIsKV6MF6R0ADKZJCH8uEc
AH+m+yxQD6oRPrkmjmmI8dJO3kOmVdueKd8eszOWo4pZQ8NYy/A+igTK0crQcgsyGZN8G5m6b4zV
/XGyaqn7zyQcFxYLozea28yM6SEzWwZTLZ5GjVlIpr4p/KOnzZiRJQHstTvUdPDUMIFs++yKClNK
TgYhOix+Pk73gk/4lgcjhGfcYIeyReclzeHTH5a03/yuLCLAFiTuOBZUbuKHd/cvV4VeN9Hcu2xh
mXvwaPZcG6ett8jZ8Bd5i9u9xbdpLKrRtLRKaF1k9Y4RoojUIyVGpX9Y3Y2/balkfC3rKxYi1jbr
9/dTxw2DSzXN4NDlcHQaJBWOsx1LXV1ji05C+5S2Rbl2KnSPYKZ20YxSvXAYvEFnbs5dbER/OOn+
fdXnLeFqEji7PXbL3w9Q7myiyaZ56JtRLJCZwjKkXxEQWwBRwaA9YyKvc2x9utDvn452hsde780T
oA3xpwyrv533l/eC1tjQxXJ4lb+t+TnuHAC++uTL0FhYPLI4Nm29jxkDAqjhlxaYJtJX5p6b1taM
jdPx3rShuoVpBsmszu/M9QP+n87a1FS7FJNxcprH+fMfrqu/7042B4qlKMHcRIHwe2kGOTce7coZ
fE1BpsQ7qR/zUD+jjoVTydjxQAMWoCKa/1sQeAfN29clt7YX59FZi5/FDFxjcORbFCp1BGPYke7u
5udsGi7RbkTo+1zVY76Yx6+Af6sXVoj8xMQSw9FQbc2OZbhMm2ozWanazqX3KShIE5+RfxJgFOw0
vc3RWVWFt4kKBOEysWguLsLqqA5gP7gSZaHd7AVKfatx5FHWAhDylDvb1qwbojfC8iQjWtso03bA
b51918Be7Q2nIMmUZaXjlLqbyyLeEDAw3binMenOg09vNEDeSPxGCWTvNArGwo+Hqp3aXT+V1v5R
gJQM9FC/ivY845bEHVLYtxlA4abf5p1jvhkTx/kkDd/ARHzKGkrcMM62mtUaRxycP5WOHqQXM7Hx
hbqEEUxZu+u822MRTWgannS3f5nq7pNezngjtO2A0uocG9pzY4LlD0e0FI4VXsLqAwP/BM8B6d82
lKlHJR0H6udYoGBPPLKdKnaCdTGHxtXIYva4PDg0lhz/cOb4+8UvDSp9/MaeFHBYlmrjL2tVXOCQ
Qc3V+HEqqNZAzy1n6GrYuniAdxDRmYtM//e7Xxrc9pZDsiM37O/nzTbUzbYfI+W7KcAQYr8vWdd7
p0QrMuiHdryZXbFvWyAjiyorx8zzS68gO9s9/+ebyvytwIFGwFHLZCfEDCb1v91TBdYPo1bSYjSt
vdaOW5y5idiCJQ1bZL977BvW0Y6Ci2Z102bxa8zY9I/wF733JNV2kRoYlbnDJY6LrxxEaBybhB4g
dBy1nLOTxyh/jp4E479NiTKbADBQVWmzLcfR/NNKT4Djv5ZPFj+LLWxb8LOAXOAE+6+/TytjUmkh
2vajsY43rhYZ/pxL3c8hkOWrx9dYFg3/8SwtsnVTTfFxcILZT8g/oPW9PHUDJE+rzM2z3SS0d+DU
s/94iDnFI3EfOXgqCbWI70sysZg+lZwM6nb2TRKa67ptwUAhRe/0WmzSFAPFrZsAZcwMUxJb+LFM
ALZE1fg/T3WUKRoIMFIhSuEnkTttpd38zL1JgwA5j+zvTbcmeyuQwBDLiFCCHtlSJvKDJdNDQiK1
3ydW4GfItQO34sceQfi3y9MJsxADCb9YHh7PPNDsoDMLnUfcyRxWhf5UyBazjEpewBbjlg5IP6MW
zQ6jbe1NV0dmM0YvdcemxSqGYq5+zdscoTEpvoys5r0TvUV5KPdOjZ2NWQJ6cc2OV6aKXh/OzF/2
K/SCWO4IOZAjfqBuYixTZVZ9B2VuwFEJRA5D0QLFB3tg3AlsWqAtyhCQGFjUES2JyXDjOTF647WI
uk2DlmU7BimjgowBqzFZ6uThCSJAmi+n3HXPTk5EzCCh+FugeJZ1dBqqu5XAaatCyH6Z1UaHFqPY
410yA78UzN6PIOjite4U8qWFTrnxUq4Gyhcm80iENjapNWdNlN05QfxEcVEhuTeB1KiWXlNb9Pcg
qPXXJNS9fYh2WFle8ILnf53W3EO6Vgv2pabSNhH4HdR+1iWEaXurEwSzJRzkNaQV+/iw67Btaatw
YHSlqR4xBTFgmPSwy+PWOnANhgDGIsSrQiv20aioFxrKaU+G5a5pvuGdPcB+Nl4HC0J4WocaHlBa
8lMpc6IpjUXtJM8yRXkGvS/ag4pM9ji3iNxoqZ+8GpZYGtivCMbMbYK6Zl/m+CFTYPitG2vMf8J3
ekQ3rFa0oQzr4GaRcTRz6xBS7KNRn80toGp/ioc1o4+0qI2PRS7frSL/6DYhwtIuwleKK/5odmqn
kbx2EKGBlQ9sq61j8a8iXH2qNz8gnOXsXGTWdlAWoffRduBFk06Nd97mqrWxx//qUOopskNXQRpF
pY6R7PlhTJ0WWe5Ye68m+i6GMPQyJUe/czF2t9IAilRoZES4A/IqUhE/oISt973LZfRwFwcobO8W
/O21FtvxNxV90cPZ3nuNke2HCH3fpGcQ10FjY2ulXMdlwPU6m08zypjXAY04oPwsQpzEl1ndXTDy
GKy2uo1uhO6C0wE2nsHm32PFqV/0ELvIhUgOTa2fPakVB9Hje4ZHhWYPw9/WIgwAF3YgntEL8PKz
greZORsdYGZCXsPast1slbDzrt2UkWd5tCa7eoHMEK4rVXcMT6xsLWYmrEW26I+w3pK6QhoallME
BNnBCksP0VC4bL1TiNhWRwKpojPNkgjOI6tQo3NDkE+v7ZRIm00LDGHTM8C62Ca8YLiBJw/i74VL
oecNCBR6OAtOw35KfxCIFJ7Q9lVnPY4XZQqGkwxh5dkjMNEY2jOt3mxLA9Jb104idiSSOetMK8Oj
2zecMu2wfuVcuy7dwnrixIRlxWsuRdsZV09oCZ6IZ4w7+QozFGtM00BF7luPhoo1Did+/gg8DpAt
3R3viSymOwqqiCsALvTg1DtpRe5dCxvjVnEz1ZSz6xAxph/jg18auIPf19o5gTkYhAzJOv1jWY30
5IrhNTW9gJ1ymjZtFd4QELsvafqNjYEJayNckL9UPVSSdWhi20TMa+1bTBZ90COEunuj0ZAZI42d
Xk9ww6Mi88csPOWjDwTIwVrSfoFho/ZxLsJ1WKUwupElncrSfYbtCgHY+xJ14dHDJ+OnHiK4CfH7
LmasvbIzAySi6hfW9FvXiPWI2+oUoyY/9H3lM2VMTppki1OeDPCAVOgaHYtjZcWS8qyl4a6CGk7g
rXcrW0KlRqWrfZAmT1ZBq6+tuPHLqrA2mo4nrUNhfoR7rx/DKX9jy2ehQqPKp73EInlNhyEJfdua
M7GHBWnsNxnD4H3YkaQGp+sxTU0qVESW25wqpNPxCmCrVpPmS/fq6iXiZxram0kQ54IuAJe0HOU2
RjVVhMy7Ec6WpynnuFwHG7uwPgf1ZK6gIZi71pWcm7P0huqeX0NCIlED6YEJ8IDzS9uHGUYB3GLz
lZEkjTaYSRtSRb1dhG15iysm3wdzjVfCg52q9IvZ6eJK2YJWDT7NbVACJz+yVrRJkPfJvSz3Y6s2
BDK4ZwR03baUZbRDuqWTEsdH32YkF9TpeJSixnO+/NMMheO1sdBakO6ASnPGlwfRzWEJdVmDXmoz
TEDGdSPiibslhXypWSpzgmju81QW+6Fvh/WsbAwnfYrFJ+hcIhV1Y8snCdnWkXgpiTTAMhKfgdih
ypshC+reu51eCftxPtnwNhpglfi1SmuVjEP/gkpt/dD+lmnMmCWSX3LHRlWYZNHR09ptHWjWJS+s
aat6daek/G7G9cEFcnk09I3FUYrCaPyOnAP3Yd48wfUi+KE05MHqwKSm4dWkx30zm4kwmirYZGF2
NhvdO5gq19ezQGoLq5KAt3Aw9hzRtl0824cG88TKoXVJL46qIyLwyZ5oM7RND1BPt495WgOSq62X
x1ima0V6tDVFblpSfBY6Co62t8/ECZ6sRWw9hgKYTXouE0sdzbRjnByEGK371kKYN4wHwasYeTWc
oGvt4zAyzrK3T7Obfa/bxLsGyIIEDZ59O6t7PYqUHyOYyKudOz82gk00n4rJq67oy5AUW5V2ZPIM
5EVX8Pr4OGIgDbSCIAhMyXNJeOhFYp8wJsM918reuCQbwe0bvjyc5W2MxqjOo62amzMxfi4JqRBk
vJYc5WUY0lZCW3V9uqlrw9iMSFu3I1heDhyeuWWej6ZVH4j4rKKNmxtPFd2RpPumy12NGMFSAfmB
aEpWUQBzUOoY7q0C671dYX0fFgsjDlF8wkowqIu+Ii0eD1Ur7ihai82UqAoRQBf4FHno5LFGr43a
VWCDu2ofm/JLHAhxkXOzGJWSo6lnH4NxsHbMQ41VlGOVcPD6xHrRnpRjv3hZtU6tRPODJVXULqlA
02p4KUSjnzor3DBEndbtZBU0i5uDge3X5Gj+TG/vNZ9M/ZTN6FWGID1CgZWMt/t+C6EsuiIn2Q0z
9mYAJc7Z6FqMJ0Mf+/QfDbL4WH1pC+YUzPJua/E7y7jyB5pHN0KDuQHt8ijciAWkTa/dLL0brRM7
RkAZMxFEYMnYr276z3T/qif76QE4CVNnvD/OoYimd5knojPnfcEyjqRbq1u11bjzAcXNIKudEE1h
x8U5k75ntd0RkUezCYXbP2necNTHUL+0ndaghJdQhqRNIl/k3BLdUnstJxEqmBHewSxAqNLEX50+
nY/j0OFY9fJnZaRsaLn2ogNp2yei8VjugUnOcsAMHgdHb6yr54LEPmGQv8jOGR6Citca+/RDL5qX
OifE2hiCZ7pF6KGq1Lz1mKxpDwGYmZIGMV/q5ocmpWrB24Q1r59PcaPPN7MDPEBumPZ5EtkNJ1Jn
a87PIIKOjLbqC/WwtlFme44V09F6pgvapsZRpQXnG4trI1tMVTjAmgrnUW83w1ngDz3YtfsVOoCJ
c+xUt0zJ5mDK/bSsq60lPYFxA7rTLxFwA5wA8SjjVMxFK1icgw/H562W5jbyKjKu4KUf48gdGQV0
T67InS8DN5g3YwvqsqbwQ8SRz9USQMhqcoxDF/vx2CUY1INlz6DUGvPIT6yPdq1xHiwaJMlVUxmb
Fsma31R1fIzy6R7Wc7mzrDn4aEeobUZ7NZRJfw97ckRk0oirM7MrK6TfUxyZ90BYN0+CtTMGkZ3J
aYfakXmvMFhPMfK+S1db9C8m9SSbqnnqexSRfTXDQ6d+eFy3A5rw9aBguDQdyt/OEePzOCjjmnTC
e2f38bZyQg+P0Wc3VQAJevSxG+V0auMN03HWqPOosN8tb7BOWq5jsNTNYs9v5gMhjJIZ3YLtTAD+
e6hDC5WHTwtSpoJ0u5rS0QLQJMaXvAVaMKQ9oT8Yu2kbui+Z+ymYJQAUw3sZwK/84opwW6t1MxMR
9BgXdCa2J642zItlwBixANzSWAuiNFUrGmdororxmOst+6SyQNT0YKuXTNuy4zyQ1WRWuVk6770F
kEvaq3Vmq5ngQ5gIkKriJ60Mb8tUBaCtygmvMkeCGgxcEcEoxS5BpHchv2WHmCc95Qybjq3Tns0x
qv2RIYsr1Z1/DvFvMiFhTtNq33pINUa91fZqmtp9GegvBTOA00RD+tHempvoW9Ezw/Vwvq7yLkjO
WKxZmk37lRH861BMV6Xh6rI4wU1Fk+B4hOusNREKdYXX09gTldCQeAMToUkkWGA8OHWTNdtgcTVh
1W9uVd03+yL08FkZLmkSbb/HX+3uTJpfm7hrvphtJ0CS9TPTBJQ7qz5c1rBi0t505MuhpDKwJ32T
ueaVYdn4KZNYUKZdnmU2R1uyKYIBeXtYkRRmFc11aNvUh7vs521WnlxiL8K2BpMbjjg6LKZgpWAe
9kAktehnt8i2iEVLSTmhBXWFibMrZKOeRMJBMkjU1ynyJo7a6LJInYVwmeP9NJm72PFIlDIDhlMf
tsLPY0nDrJSQ9ks3Psuc1K45vIx1NOwwAXgrxagECTiYE5shq4z4DAvg0Wv6FtjNxuHYOco+xMF4
DRFcHkbT/OmoSV5y3T1PLr6IxsKTUk/JcIiQZW50TXy2UBxvbSoKiqZ+Xvd8fgdHvQ8uS4Mp2Na7
YXh+gKA4G+nc+N7KgMz2wEwgNTeuwRSv+jpSF012r4RsAeppFaRP1ya+qiYGqw+NjESpXTCU43mQ
o+9SQ/gVCLAOZd0WxW8KVctWJycxb8bgNs/U51yei0E2j6+9m/tu6lk3fLmnsstGRLdWeKd/v4T5
1lsnDPVN6yCrnLSoPqu6IpJU1TeDQLkP3Q5N+arSQ3VrEKIDSl07/dyQxyBPYR/xmwcPsQtk+XlQ
/MWH9VAOsFXHrrilWIU2Roj6ssZVsUrd9r3uxGuPDRmb0QTsxFo7SQAmDAbRmpX/a65FeNAys74M
vCZMbvmuld5nziqr2nKzPbZajrk0NfaZKjDQZMmlbuCnL1WmKqZfjdKsssWxALzcGIxeZ8nepS9d
S6JBr7UZceDtspdA/DCAcWEPJ33WneWBRDrzgxt8gaL4NRzxzFjOEGwjk6ytzKDsH03hbrFZGpug
acMdzrZDiDsmnUWztXrYMZEXXXAOfocwjXWDxsDKNmpJxhqOIATTuNXM11TQEjOMzv4+k2H5WZtF
eCmjgmrHNV49Msub0P4ketnfzDg7Kt3JTkmdP4eKwssSFtyXYHwi211DgaWRiEuwxbqJK/cYt+ap
6cJp2wxCfumNWG61SR7ttBA3atEzl3xpN+MRNYq50Yj7WT1OcCWrqxEzvYhRHfMjeZvMBsLo9AWa
kjbcz7rzMzLoR+HKxOjdIQsYJu5VkpvWkUP9Wg4sO14jPjZc66sonNqjmPsRZ5VWbD192rJMxLu4
HU7mxAi0N+rrLxDkIiAD/jRukkAXGBzoSoyJlW0cSec9IMmw7zt0xkWJnYUkGj1PXjwiMiHrIBxE
7bt3a1KG0b9Va6EFxLLHgY1hJrngGiNML5gL0DtYhOZ5/OHYwPlmPfHoCI7R4hVcFvTme5XE6gBL
BOt5P3/V9nB5cPx418HsBt8ezGE9iqjfPPBdUAVgJ43I9kOzrfzBpFn7EE0yKE59m+blKpUAXWQ4
7i1H0YWlrHOLqtlbA8duL6OcYguye/S8BcbyVdunWzMsC79v0y9da8cXjvL1StmCvYtz0zEq26eh
9cRRNA5byqQ/mqZ08pbv6Wo6G7kRboQs+l049J8GS7W7oc0KwsZIG4TjrraeO1DojYtFpR0Q2kSN
fnjs+F0LSaIs+52i2qoFvjCuSWyoQO3GLB8+2o15jC1cz45+xUSry5HwKiL5WCLAi2HVAG463pF4
OitHMSnV1XbsTJIKWWSJ9GxOs64/zW5qXAcFIIT8Qhzbw8C9QyHqLsVO1gZf1QA1wVUdV3MNZMOV
TbnSvSHxLdBf69m199kyTNTx5lFGDcjpy3rP/EQcK+xBqxlixiGYMVYZQf2ZP8P8YnbbNo6NczPU
V3MY7aM2YQCnl373/PK2hthi0y0iIXXA6XJMUr3ZNEZF4qXdvFSZ2TxnKrGOudXSStTyu7rag7Se
ZBqelVt+093M3Va9Ve9dxAk0KtxuR8fXeK3Zqo4FU49SlfdMwnIbYtx8ARsCBvMjkubpOc7AW5AK
t+g34kvynNUENtldZmxYPu6OPYELGOpwbSYs0XM02WdOov10o4e8EQqGRwLt9AnNKkO62p4IOhwa
7sZ0uglcbhiHSe/DBymeNJfF1jIb9xAAmSEXFEcjtbJkFLFcuTVUGKy+3R74KYAuWYQMwhtrXbLl
4sMeSHwaTYco4459TTNpV3ux/WmYvrsR7iyNYLBrQsz3VQdQH3jF507SNJmy1yY3zTezn3Gbon8E
61GdTNl/p+aPNpimcmYWc3Rjt9pYxLCdG0AlO4Fre0VbG6ZCaD0rKbczC+dLyWI0Ra4vOTQRCGR9
rQgLfEdv8NE1KsJdPPVD0u8M0ze3cMW56/ToYrEgG2jKzmbH+MCl3XKQxfwDuHOEtYEIO1Tc1nsQ
fKIies3pGD2XIXTrOEpvbZfpTDLiaTdHEQbTISYjIATPWtBO15JgelGVzu3TThKPd90RmTkQoTbT
k4rssHnC4/VucgS6iOqsmbG+N0gAIZUnSjumQfV7KruG2HFVf3IXK0IwVOOtrkv9aTCKj/jpqvtU
Nj+LDhqZOSTZPh0058M8mQuhbtau5YT3Ix1ma2dSeh2azks4QGnNNRzvHRSkcu9kwUY4yZJSk+Jq
HwLWKhKYUoxJdXpWqKf9IJ5pAJI3NWORwc+DTJYcPYtGl0eocmQWL0MyfghKbdxFIHTPBDaexNIa
sae+57RNMZeXarqio5uuJkvZRhtHurrd9JZ2oXXvJ/7hlcVbq+uB027WMoTu6v4lwrJ5sHudm2P5
cqqC7kX3jpad6beM1PLSKY23MBq2jqnnnxTTlX0GpmKnSqN9c+r8yMF/09u43VfbAK8y1yOEGlCR
2hejmj4NQE/eIw8buOu5W5JmZdam53xGRubl8ui00Keo4l27PZHpC3yY18YBQuwDI+kEvwP4us7e
7p/578ePe78ihW+d8h/79Rat5R5u1YlAoLv7mn2wv9MNNqsVCR0DAWcFJBfGRpuWE0S8idfA2OXW
YxWGDjAdwBur8+De4uEFHXsFq1htUM3urc12e91eP11xlq2+ECmwJsVqO27NnfTrY3yP7/27+1H8
BHvDqbeyAQvSzlnjEeXL5Llut51k9LFN8537dWRcddCP2Wm6D3fztfkE2p1hZIonihwPtaZxHZD3
XpIAuuuGPb183KsoQXCQ6NdoyieyBqPXqKt2DUA03FIMKrvKrQ6AEPt9kHQWVnzlkegwaUd3KK7Y
7sqr20WfhjIfuVHtLXNr8TXlILDiOKuBBk2dQ1iU5yzthy9lBQygG7XyMiG5u3eD/j6Hxa4Z+uwD
TxKUSWXIGTPOPtBJXkuFBCGVUY233LI+iN6mY5Zw3EyKk8DwUfAmXj5AqV/hsZl293bY4Mj07yng
quDl7jzhq6yrwd7IZqr9x0NtVbVfg/v89aUTJfQRK1w/iZko34Ha5gd1o/zHl49nacOl0eX52WCc
5jP5OmvROadzu6vNsfS9yi6Zl/Psty8V05HDLPtNQrigX+YOJI8orHk0mJftxsx9fvzJHNhyHUtF
h9jICz9IxNlhQLh7/GFQ9oVf92FJ4mB+HgZT+8v3q8KhCYcHpxiIHnw8hEmQc3Pz8L/fezwDa7Ms
++zZGa5lY3nNpmC/DuagntePty7jirqSme46NCpsOF3lB01Y7qeWfJaTXpndvgTvNkv53/9608TF
r9f57XtJDcDJUJlaMyd9m4s62inHxMjURHG7YUODCKXVhU/lUxB+l8GZSeY9OkaTpceMcAgxqDYz
/a8Pj++Fjspo6ZUnbfnUHw/MY+mdxl7K42iP4G40JBJCZ9Un6BrKlmpLP11eaGC8/0s7+P9k/z+S
/Sn7/yIu+Tdk/6L40ZQtmSI/yL0BkP59YWc//q9/ov29fyBqRyUrLeTWKLiQ2/wT7e/8g/IJ34dr
62CesIH8L9rf+4dw4fSA2zYXfbaDiOefaH/xD8vzgD4h3Xbp3/3f0P68zL/KR3TPQHEP9Z6hItwU
86FA+4scSESpl7cWCRyFrpVRTUyOQ3f7VFrwM7ZTg4v1hJdK/MDTOkOIIVzMJbEZ27/zWidmHv50
DDHI71yJpfZmBXQj34dKtc3PcLKy8svsiF773kPsVgT4suTMYgZnMlY9s5vadSkXV2x/8FPLys6a
FyWdiQxopB/vsUnoOzjbKuqgLbKpL6uyUe48qDjBNxl1Y7gmqSg0T1XUZ7dUc0W1CQYN+1RfauTu
WjqAwHMHW4DOaMEJeaW70YSKr8NbvSfZRppExKHdZyBmhuSTdFnxmcQzLGCtQ8TARpEtXK7JbPCs
FQgHi1MOGgjjhzmNzJobcMgjMs4wr1ZRPbYL6QYTEw2arrHPgInSPrp1BbIzVGFt5jUNr5ZMOpbM
UGKJzpNMxsYXJ1JpeAQDlCyyj0yH8DykKfnQUT4waoysZ2vAYJKIuaaeLR2jXXiEFePnMki/wjYn
AEGzvCy6tGGfAyrInIDRtm5ZGaiKOYKbhWzICz5h94croAfNzGYuRQ7QNDYmnwGPSDY9B4fF/exM
3r3DsDa8icGtxQt/0au+29EYvYXekH3TUTk2+yatgbckSlWACiSzuPUkRfvZ5vAXbAUowmvusTia
ZiBeCwObdmxw5Ab8jNmOzifEQ3iFo+mnlmk9FeRBYQGgF1GvK6MkOr6pA+etc7Dx74q+ascnr4Pv
yJqXJMnGNMHw+0rxozKEFkiNNkZj0g+15tau7thjZLyN7YntXtVNtYxLTeKhwUqUnKu7aG6mVaz1
xR00lub+lM4gmpXmzQPIzZF+HDyTEnfGyomVw9m/j8NYOwF/woJM6hIlu1VVswst2+6JWsLIOxC6
g+/P3SfuQO+jysA0bwO9yYET0E4yDyBqlqgYyi39WlW98YKX3ExoBcuhvmTonsOLNoaj815IiDEH
6D+u6wesKMJi8Gd3c7qN9YrfyrCizTJQnpGMa04MNW2stX46h9rHysqnl94R4tmA3rLFmMnWB9z5
rjtTeOYOYFLSSkmDS6dlNbZZ/D0j2/tVU8RJDQUEJmTR8de6B3U3aqY80f6r6I5aAQV1XuzNamy3
DhrsLSVqWa1mvVDbKGvFyVJGfYnRtKOqofGipTMGtlgbXzNlm/shdstT7tTOeYz0dE/AWr4JDcI1
g9rKj0qGw4tdh8GGinJag0BLDmEnzKMehPJdn+ogWkVeLPHkiR9WPkxfkIeqq6X11hOhT8HT0JOO
CsiseKqKPuTzaCLa/n3z5JZh97XPjOrY6bF4iSh6UeJ0TnRxs5G/COhlTxqj8TEvmpjskIQJ6cSt
Ak4s3QkvBpHjJnkD26ZAChKHKdpazmJA78JzWJIDukIoST3LCnnDa1F8LkYr2dadF95tWyFjVUmw
dSRBtXDD3e08jQpWndkw92XQ4qEAwPLQqovgUtz30Op2FmaCe28F2hczBnRed2X1Dr+hvbtdQsVd
aBP8sgRaHyquo53oGWsDuU9SxtYdo7kJnS2y8muKn2ATJYn+M9eT4kV1eXM1SGcGwoEFxka2kZtH
Qt+0D0hbgYX0TkZjYJowKetRCi5WZDjce1qvUNHDjckQiNmbh1y2Z36SlAi+6IbQ/xMEHkBR4DbH
DD0+z3bd7ewA459NKYbBAVb3IQhNd20yd9inOSncbiNBo+c0DlbM2zF10FD41hlmwhWCiVkRavHC
pN++qlE2AJKichvw+zlghJJHcHLj0axaDapIou1ImBd+HRtLdvggmeWa40VLzIzdaoKe1oJj/i/q
zmzHbS3bsr9SP8ADkpstUKgHilSv6DvHCxG2w5t93399Dcon03YicbMucF8KOEcORUgMhkTtZq05
xwxz1/aL0LS/NaNB/PVSx2dVrCX8pkLUoItqNzoka4jYrSFxWs2N03R0Ducqeg7bbL5EPZpEXVcJ
VFqmadeB+Q5cvMZHc03cTCi9w2uzdB8dnr7rIwNqVD47LygZEjhwiXnCUUOBI8Vgg3xmug9zBPi8
BjZDcpEk7HnLcueqax8fKDN1DYRjLrkxu7mhplTqS7WlBhj7RWNEW0VqxaHWS4wEVtjd2HOFZyub
+yMZL2uSHfSXjnEzmKRNkb4ctP1iDSHgPzkg6cTRxITgQFcwsKXLJdzVVUVF0CBMpYMg+Z1aE3yL
pKWJZUOXKJwy3yEPijdVmiBvycEpOs44HZQU0lyy9HSwEgyQwu55x+d5OER0QPdF3oNEEoLtg2qj
VUcC9mojdHtOG0e/VUKbqKtI2rvRTciQ73CQhgqWbT7eDKLdHFIiY7ZAazVva0M4PyJDlSctVtOt
sijNA5Q46tommNBkhH2DIhLlQL4gOF0cIkZni24SPLpjv2CVTYZ+vIUbXAVKnw83GiPHbgFjGmS2
FW6WaZC7xCDZtyA6FWwrCQamAtWVMkM8UQoRwyYuZHLEHN9e1sQ5PCyiX6GQmT+5ofBFSaqM22Nb
I8psXE6ytFi2LxFMP2SAIPSGlSlmLYc+oahuLaQd2GAVfXr8VA41Phm5UcykKTetPxUu13DcNNsu
SYDuFCPgpkTtd9GYrxPIiLCH+Y7GgmqC0NO4SvNE+tkUopdKFtyokAaSIBlU5tBGzc7x3PcPigKU
38yXYr9opXXoZlzniklcM7shtJ8Nw0wrXGVP4d4MkFFMQVxY/W5JrYHgwjltP8qmguWlDsauKCcB
ZGLqRxyOdRXdE+NYHTLHiXBxOG3zCsp/2YpxqW4MkhSzLWhN3fYTyXZu26ZtG16mGFm9r5IW3G8j
zXLMPcFR43J2eJFoGNak0T1NxlKxjwr7pvMNCnMXJvWs3AhtLVNbxkxJEDhFH28Tw9Vq3UOIP5th
5TWyV2b13JOI9VUug6HTjrku7f+nd0G7z/LmI/9s//d64G9lNTcIYrr/8+fd9ud9+Vmue4o/7gTX
jcR9/9nMD5/sCnkqB/r7kf+vP/x7O/If9zdIxv/r/Q0rQv6rqvjPHc71ef/Y4Th/EZShadj0bM0i
bQzn2T92ONpflsHqT9PZdfydWibMv+ibCMyyJkfBhIqe/e+tjVD/ooxpa/hL8OJbtun8d1LLdCgk
f+5tcDmYLgGEDhYaQSLhv/p8YjuuzbQCpJEN5Ca6Y/feG9YN+x0knsUUHh0+Ry76jF0+YaVJ4uIg
Jyi9Zhep+0bXCUetWJRD00kBfWGLWW7dsEOiq1Qf2VQigdb6zykPGaolzeo0JwBplOOPoVxLvWw0
mK8xWcl02dIjAzQFUlXOu9lu+iBShhuRvKlzuU3hbvssWwkwbuxVWGusSV0/GkoJ28mUJ2PMYerf
0egCIVK173mNQIa6or2d0S8g3fGi/puMRLTpHOPRKqZh08ToF0hXTf1wgfCihss+B3819RVLsDXk
jFaxsrdWVWOSohZYlKLYJiCTXSXMblLFTO+YgfuNsdBDj9FPMcJhl9Jy+U1pNJe+fCeeuk7Ee6ac
L5FI4hu3HKIbO2Qb1WlMaPYUzmeW+yPCuEEFFJYfcPFBbS7aSod/rShB6+I3Q0utEn5BBCLsfE4O
J11gimjvAJzy4jnrLjqG/tmFm2umw2VmEN+XaAzyMB7vsmh5JO18hTml6aOjfp2G8oDrc/hs0Mwt
bUiDqEdR5GImULSQ6j/iF78e/RrBwHYsSSJBEZD7qaW/FMSe+7o2P2lVMe/ctuFAZU3yx2yjZBtC
n9S1kzOO091i84ZWIpp35ZSWh1W7aC5KdmY8wpPFgYWjCKyyzYeISjAIPHruohuzXNzTFD/kYXZy
QqOmsKM4nsoBk7w2aRABGx+x+QNzSEpPVIq7n5v0GLp6s8M2Twyu0I5zRinTdiQhs138bSAOiTUG
N2o0/n1D8QlT0j/vXn96fdz1e//u7vUHoZGooJGM8/WeglN6kw/MFE3Sr7L3P3/H9XjV9SfXL5ec
Sl4trYdfv/d6GkbidGTE9K+1aHO4Hn+c6PWYhNETxtJhGfmvT+/63OszkPQTx6biWr8+49cPrndl
Iun6Xr/87fx+PlJZXkwL/56UKQngvx7425fXB15/zQKYEpsvOUZ6Xm6gpavn602r6ZBuFgcf2Mh8
M5IUgeCGHvIwp92RTFt2DxJeR35GJJD+dqNgzgBvjcwSvle5kZmx1rb5HgJAbSvCnV2PX67PuX63
d7DFky+Ol1YaRxMQELN6GdS6ThFYJHW7n4dzpLDzmsqCnhmXkqbmyjmEH3K+fiXgSAVk5DV4jafu
hNL4OLrjcqBJNQbEGnlFWuaequ2BJoozW05xVtYb14z1M/1ayfrYZ4J6hZOFc2P9kd7psFYJ+gtt
ZT4VislLTQFmO1SjcZbSMs7Xr+jHhvjF54dVAd+ytw8VLqwF4tpZFsqwCTGDwS75x/dseLaipyQ9
rY+Ym/Bb40Y0ylOxR/Vknaq8IJZtpNOnRSm6sfV1X6YI+llSIa6MiH5xky2SGZIsWhP9W+ao5+uj
rjcqEvCfd1EtJrtqTN8wVJUMntnHGNb5TpCG5YXuXBwXG2q345qnlg1wS5TNPic5pdMk3Xmj+Aaf
AiBWneTbQtUqWG7pC1EW5EjUY07WPJWDucx10GTIBsSCbsW27Ok8o3TcuXn5lBfzdC7XmynRcftp
dIThfkxnvbljHytOhD7mx9GMbqK7eDQsuG5wLdWhNA+keIOTL1BNrjfDlMD7JdxKnRBsZmiMnVaQ
uWFzwCFmOWrFaXkRxTvO0uzMUl8dcVc09OKJplaWszJry1klXvDcJnl6WOAmRQvfun4fHGntqYZD
psH6sGS98q9ffa3BvbgOyV3ZYVTApLHnZ5xa9a2FO/YdfViCgAwV+naXWxsVircWo0ceiGs7hy5n
Ihcl2dOEwHX1SOSllzJunOcJHPqcj3uDmIvKJ3JBBAVqPgDOGKsqYb5cL6xG0KSzIoIikAVml9oo
88vSYprEptGwV+AuwdHtdsZ17g3qnF8A1JT+aBMkTo1jY7Wh9MBp3oNPuGtYdgWlDWSxTAdCzyX8
eAjD2aFPkQECW1spg1K7tU18rrhCXmP6PXsiEG7Bp2t7fa2zT/jZaHWYaXmcyFU+srkqjnMInkY2
47Bd0PIEdSdwXCXrY8aWAv31q5/f/HX/+sRELaO/H/kvD7/e1Xl7tiCibq+/2tY7G6B2DPVvPfSv
J/x26J9fFjQm2lCPCEr755lcf9/11y85+DPM82G1kVYMWfXXSfz2+KZotY2OVWsjVWIRPaWminu9
cdY+0q+7tCgaXIZ/fO/6034wop1h0GJ1dtBzCHUPAZwV0r4RfY1kJ5sC1JN84KyvVFm/Ij6vfZXE
EGux32lHDZc+AS+WEmBB8/LNBDM28dccsgkihWmAJVjBVj5Kmh3u0wGeaWr71WTxDB2lZmdkwbTE
NPuybD7klfZKJedgUS+BNg+dCLadHmmS/M/qYbCKfVTMD50G8ApvOn+zEt0qtN97oqNTAjdJz9DA
VA6IAoBCBZbMtQ1WSFIDtYWsrwxfWRx2e8JWWzssfU07ukmLs4Ni6gFhB0pe2nttx+FLRMOWjUrX
lPrbWBBUze7T3mKNztH+X2y9xgXUtU944wGZvUZDP3nMy90eijy2VKOeqGg4Nwnm0jSNIOTmynte
5QMOWoR9cnL2dZTq2Dy03AekjTUU+/e5xxkIiYfZU4XjrJXawNt+QGvbe8XQurTHh3YD6TbemGV4
SIHUsUShoBrW0wHjPkqNOIIaWbODFuA6WEiKQ2QOM8V2dQq0ulU8iHPAuNtu8mrE1H7cjtA+WYGF
q0YkFfa9wvvQxG2yh3oee3kqVT4jLVrdKOJFGLOPamgP6Wzueom1JRXf49U8kquPlgY6Ed32ZVYE
JZW8fUOJgNUlNIYgnlP0QpirwyxvDoRFkbStKGtkUvpU6Vi2poUGe7dY72wPJdSopt2OXJ6sxay7
mdiTM3La9+LF7okRXTJKQ0rZYqaA73Qllk/219FG8qMTS5Fi1NxVFlUcl14GHeLR10eFRcUEeJns
Iv766p2yUeS7F9sZ7ypK2UHYE5ypkZlEpXmPlrbaZAlaQKd7hbjxGfXuHuVg7dvs6HFEWAd3EWTO
0+tuCjl56kkDNn/puBy72FWRt7tsGihlsvcovYy0JqNUm2eAqpFLXbwrf9gUZqGl9eoJz9w4Fh8l
ECm/Vct9Q9AIbfDu7CbWmcJydCGIYkd5k9nNmjaYLUG2AAgdUHKeRDwgVUTXWWvifVrm+d6iXt5E
aXOJR64lFJvUD4jXMzsuUKdSbxtleMz7I74dDUumxfJ5McH5hljELGMdk91nN1L6oCaXDppzCEhd
ZLsYtYoQPFA1ndKLklxZE/Wkn8rpnI62gC3t7iKTf10CDnT5rNX2i5E0fKRCuR8aVez7Ud9HvRXD
n6XsUdgXORe176pHVPVZUGolsa+co4mcpDAl0CFi7nKZ9PtejHsNZKYIWWUTRukLdT8ggXlxze4Z
bdrHZMENAf8lqeroYgfUtRaG5Skdw4qJj55yWSShjpD6gE3VDohzfJ5agV28Jf2kysiVaup0h6LN
SnhtlwIIrj7uzELgViAib0sPwDgl6a1Fvq1XR5GDS4/4vIo81QkDJpsjInRc+Rai2jmM7fQ20i3B
t9ndRMiHzxB7vzgd6T1A28jXJZNVgxi/tyZX+ZiiJtsWuGZC6PR+PnPeCXaAjVnncZATfJzDht6a
Mn0xM7KG9aiMN3oVkeHo8vr08xzMIlFQjzc0j9So8mNH6gE5Zpd1iUPZcGOZWbaDvNN5MP3hhiGq
K6VcJeDzgvBQuSDDikOG/VQZtlpXYscd5QMaRAdp7kBshc31qKDqpJQDTF2zS/xsWBFZyReTnW6m
D0cWhQfswd2bjCGUeUnELEiVIFJt9godwULYuAdH/UEyU7iP7RyhhJQYvdOav71PbjUcZ2zCeWl1
bVe0GdVtG+G2wruRmKPciLj6Ls1z0n11BPR2A9e1X8TTOztWOkHgu9EvMlY5EdJMlnbhfqlctC9h
yRUshktjE9xKu8BXDIujtqq4aH3uERw/kCK5IDxNx4dosb9gMUAGYTjw69YRr101D12dvGlF0wVZ
iGaH9dMi63RNEIxWDkXOwJ5tyHxd84LBSqOl/C77o7OE4SPaBjKw7nLik0m2lo43S+MHUYxXoU+/
R59HM8Q6MlKNked+ESsDJCOtjz7Ou640yXHG74OOjKG5/tIUTEpG1/2oYqzqOS807pdB96N1Oxrp
AEMUdKFLFj+RacTOIs/vxJrUGKv5t1BjBnQR2GoNmVq1SS7ICOS9JJBt1e9JCMkC3ZkB+gsFXu+X
K4icKLBik7f4F7SCxlhGCplDLnvsPFD9vEj1QY79RUWbCa1VwSciGzIuM4YT1fgi9ewFfzslbi3x
3IkCekb4xzIQDm2NNFSIC2TnWZvE6xVmVfqQ9eHIQYrCDQMQJUyCubDejbzvNqvaI9HaVSn6TSeZ
1u+NscMEHp9Cuy42ausSd1Fu6lQgFrHuyHLb9AqpKE3i2BRJtWp7VzklzY3aeiwc9T4t1kjkKBrB
+7ffs0LucZ/gd53MbxbF4QdD+XTyYd+DO3qYajP2FnZDFmGCotb2lTm8NQkLCwdtky5Z+efyo8Cf
vlHSevDySLJEXsAAr/GAGMdKrAGzTrzQUsWfY218sTrqJgwiE9akMCWQgoeH4Slb06cyqfMmEvbj
OsjWmBgL3xoYdqvVvp870wYOKGjkJPpix3jtcUN5YqKwpYviKSoo2sjnKl++R0uVBqkx91vgHG8L
GIB9Ga3Zq8ttWfK+kkhOrEupIveZ3juUbDTRZjzdyGGi6SGuu40mi29WsfhNgqK54qjKngCqd+wS
qW92a+zRQKJP0iDjT2JE5lg08tSgMW7My80QNrAX0/Id1jPy0/RhHhGVm7jf4g5QzTA3OxoaJpU4
+UwLj9zodcmlY8ryjIYJWkvYnWbr3ncxXcLzXOdo13IH5gKFkXmh1UWXvwb15prDtraseuvKeOum
QICJ5tuQQRUHTbu8ko9deYPFFmjCikI4ons7OzMwV1OcBhsxJT0+nORu6NWNu+wmYnBAN4S0nafb
efxhiq7ZTrlSQAJOja2z0M4lava1R1hI5dt4LHr1ZY4asXMitvBJf8G6I05SHNGNj4f3NF0Q9lnE
RscNBi9gZPo0AsLR8X/PRv3m2kyquWl/Kl35KYl+XPHErldFMY30tkyCKNdL4mFuSqJEiRWi1KG4
IWZXg91n5MQHwzkYlePsHYmLOSR3BVjC2J2b+6RdVD+OiavKnHJBLWAQEErIrl2T9FcSFXGiPfC8
F2r5XlmBXDJxUMbkLjYkaHri9DY56unCRdVFWLuB/We1ObZdyPo63NNIl7ejoKNTDZs2b6zHuDd+
6KCgvCmWJgpG4GoMxQPsdrU9s64rU+1rxKKph1YAE7Mxt0ltO17GpnRLONO0XHo83TWf/iOSX+oO
/OlzMu3G3n5NQ5QdqZ4Pfo/tOUjFWYOmmsPGPJZLMwVFPsYHuDgXVZHPRVkj2l+cxmtQW/i2lX9R
zPmxG2ggW1ONmtZtvlAMtw4ghxJwRqn+racy45v6Eh86ob+Mc31qUKH6WiMcwmVvM7REZDgWzLr9
yU16JkVFouOoCFQdcJ3A8PKI0jICUdWkxKLETcKSjDbXnydL4pqb6QHiZfWG+m7QowfVNXLfQdW3
KabuSZVnSysGGI+AHtppCXKdHlSuKyY+UzIXZA4h25hWjizYCkqlr21IlGoHNzM12eEgIb+xWyqB
MHBurRxlykKvOJXmHWKnk5l3Fy3idFhUXXidiAcKb/UIAJTVOa8zMgx/KtuXyh0f0sp4qUXPirdz
B79Q0odMIy4iqmYzyAItBgQWvWf07fFCZYOfJsTYoFihtLGbpxGsZ+jsKyW6qE5tn5Y+sXwPvUNy
bB2oCvpWFW2Bi0kftwKQpGc15qHWBgLQ+uIma3FqraNFVRGuIUUo9i1V/mg7DvobqIBkgyIhCiqh
30wFiMkhSgVLaekErqJ/r3BontgEAfqn+F8hy3MXs4QvfmgmDmdH1Yn2pQOpBckqfqqXgdr1qxV1
1XESzoIU0cMTUnwX2WNfpzDspXR2nZM+xDrxQHNDhhcqUMOv5CcJw+O5lj2t157WajX5qk3yjFM5
bL7wcAXopgvexSLfQsPaTzmTIlG2rIrWEla3d6iTB+x6rE3KmtjISWCuLdKH+6nchy3FBYuhA/hu
uhkinezf8FbaxiVNnGHLlUx7fRqfdEyYjdM6m3CGwpq5ypPtyhYcOU3ytD2UyGHcpWd11B3GJN+j
1z85JQh8VAs5U+uaRWbZ2PSMntzcBnXqqJss8ymR4hS1d2wrD4Sl/QjVIdvH2FoZyZF7F+AP4FSx
+FjcY90vOK6QTu8G5kLaq+m0qV0MkH3ZPSVtqx/biE0PETzaKR8aXPYAlgwV/ZjE7gTsYItT7Umz
BACpunuYbEiWcljpzb1FLQ4Xu7eCybDc+W3I9N7bx6Fvi60dzyyC1wyGjAtKI+MY/mFN+oSJnSc2
8gCADlNgleBxBBSBwR+JL7NlTdCPB2fq01b1GBeq/BInewcZEZOdkaA3Mt+xAzJ+kPmgpSFGTtv+
mGWVbZysZx1M/kqPwtyl3ryR+HM3M0od1YCawyvG1kZY3ryM+2GynpoQpq3WQ9usOqJ7TYZ+xDxf
JMatU1g4LzJsel7jgmrNmiYjejbPaoHIikBeqAvRfaUtODwwpk4qbeKlfheUrLX2pcmwl6NcKy9L
rMy8RW/pHLGbbZSvDUUKTZ3EudVqmCkLyEC5dfLaflAyiKRU349dMVWUAeeQMoTx6S7yZW6JNssj
GEF8hqAhiVUS3eYrS+JlqW/AnGJci4ryDiBFvV1YmwdF81KQN8Z8QiHHVrJtZwAkyeAdk3qDOjpP
HL9e1HA3jPmTkGEfTB3LUl0tXltBDXiBF7mkC5E4KHd1NShoGlVzdh/xjlHjTpjn78TIErpTqUFM
E2EdrnVv1MkP7Lm3Qz484TazA9ui5aF1hETxqUzYcA2B+GjBRwLhsHBMIwjwF2E1G2OOnzJ2ZgdQ
aw/QOo+FPe1iR780apjs6P+RnozFK4nxQYh8S3PyhaooyBeje+jWDyn1SH9mv4hO3ziOsL5PyMjS
r4THrJeagWFunGnTidDdxrjxkl5BOBcZaLOWvYOgDWkxCTJux5Xp0lLdqfa4HRPjZbQkodVmy64s
Wn4saNuCTkFlUeMYqr+FctiJaHxc41R6OX03l37aRfC2GqcGRYBmBpMMvHexxiGF7g8QedO2qs33
RWTanmkTCX3WzhuaJ7dcFl2Qz9gpUH7D/snxHbbr7OjMCoIksDNu/ZXIMkxE1ZMAVrGNQ9AiPdSo
pk3vVdV4GrNpTaVvc2r29mutpzQhkUR4uRbYpOFs4uWrZsCjm+rmFDUurjiTraJsDN0j7iHIDCs5
I7EHzzKx0xnLWyKaQz7XLtScEbBTJbK3RogqiCpN4Gg0Wk/TqdpSY1E2deG6+7wHDaHCCJP2fBCN
zdJaRbNgfEek89Rk/W2GFg461fRREIbkabNTB5bAwNm1F8qTPricbK/kj0P7NcFxSyCDeMfnDXKE
3qsW90DL1FY9WNN31pjJo23RbTT7AXZGeUA5QhWwctmUj8EQJUFqmmzaYgQ1kiqYh2e+Xbuin8uw
5v8ZGDJsVuR121J5Ke5A7rheBBHJB0jHqTFiVyBwIQGV2t5M+PMzVXxPJYIcROrfOyjae/S9MMNx
hvlzH9K4Ynnp2Qye3qRAVs4Y0HylU6hLygKCcEmGGlZi1ZobMiJZH+Kz3VWO3PEB8rRk7I+oYuID
fKOtE0OnSjM8rkk9P88daDH69bDkSPPu4hp325CQAm3Qgyqdehf1nHFpLqY3FFp8NpRLC6mY5XV+
ayTteS4oHjZ2ismH0vERBTGXo3gtcSAFJPDSf0CrFbN8NaEEGT3uwk4Zwalp9p5PDFWDLkUymjBn
jk2DF7kDmpYr2zrRVkepiyVdc++6TP1imeqw0cBXDUPpnoX1nMX4TbJ23R4lYBAKtfcZn3a5Wnyw
s7os6kFfFOd2rN2bCVeP707Ke1dRCxuoFOxmB1GtyNqLAtdgM4FaCGaTrOqS8C3PLG6G4nuMr8kz
xwNCxY6/iWDEAcT54BrfYqvP/ah8FNnd2M+Y4VFGBVUou6BSgLcqhRFuanMm5YQqg6I8OGKPBop9
KMImFoG5TxGIurl651At3RXEf3JBjSzqM3GJDesJb+TOdLp+18xZ41fDYgPSx54HypQd9HnNr99g
Py19UWn3hTOfzASxTYUv9hBn00UHD+5XcHCJ7y2xxlZUozFJtVMciLi4X1L9g96U7tnkxswTEjus
PFoaU4Ue4afE6tcmcuUDYzP5JCFFFJdG/xo0vc3YKAVEWMdIy+/iHMQFXnxAWUDKekn2p5IftCVt
9roY7uj8t3RxEE8nicaqAVfXds4oVA91ymexIFtsGl5JvO+CpUt5gdMef1RHqk7dRS+sRISvc1Hj
J9xEdRYflpaS6qy8hyC+w9YY3uzZ2inqMN7FLaAww0JtOKtkRCMWg0UMEWJXOhFpB8TCb2gP9Dtm
8VU+NX3YXAk0JPadGg1cHy16ByOTG0s/m6DoPDmXz/3aJ7paQvrVU2LmpDH9tIhc719/0qyOkV+P
uT7FkYqTetfHXO//evSv78V0sbF9xyofBY5QIAxeNvmCyk5x9MffDvPzt/7bQzoZoUvq3Or+zwdd
j85suGaVryf821FWbxLwyIRVGpyLKAz3Q+pIFrzrn/jr/H4ep8BNREqMC5t5/YuvP26anvxgNYb3
+ueRr/d/PvD6l7SO+RFhKg2uh44oPXGEf/6WX7/q+sJd70Z5ERHkDoHoevfXK6qaWrGLhXaKG+U5
JCSJbiO1yjip3oHBQWpSLbIE0UFSvBsib8gUdi4DM+ak6+wkUyZdHaZQPrApZs18fwOXU/WdSXcP
iSCsUIVjLjsqYSBKnjNGuAQ1qaHJb2z5wZyUSY17th9J1psZ5vOMGCPa9zAzlbBP/GlGoWwVxbPb
1/tZoGcx0RcPiJjx2JoLglOzT29UdW2ZzBAUZ8UmIkue8V2ehjr5trYwmpkAmaSvLpVYPkiAI/Kz
Ns+jbuxctCSQPsk32hI4dyNyfIzZQpiRQKHnk42XrDm93piHd6pgQE1sFAKCpG72R0DMlsrG1sQC
0L2F2k3NdVixppDXEvcIVy4PYmF0m9ja9fTivQIzwhQvw8aykFCD+j+NXf4VNFfpl7S4RGUHUoWN
4or2uSvAYMuUdo3NReuJbDowse2VytlRSAOLZM0fglrePCpv6HSUjdSnM9KcDbHQ7HsdgqXMuNlV
COODKBJb/G9fkOWwc+i26BJJfAKMZ0xtGMRjQ8vcqF7yzPpejmLyh3r+Pto53NfUYOAW5eAlkjkQ
JFIeDMtbJPWnMmN5WzGSYc6viMN87VWqoBNh2OQZoQ2ON7g0zf24Oh8KDeKh09BAT+KlQnfk7GoV
HyvMtDCMNb+ZqQwYAgZr3zGaDhnbjd7WtEM3Gq63KP1bPZKdZhvp0xiyrrCqZEOz58sCEplCmk07
Ci6IL/vs68ykBllwjQoD5aPF1oifTvdjAyoaJc6aaERIJ3TlUX/eMIwBMEK8YHaKgm7Z5ORrl7CA
8B4OtkmPDLPk1FovI4mpMFQtoIBZve3mLT+lzUQOFKbX8rZb3BfcI0cQkh/5FINdo2tpRMCPJ+yk
ppYZaHls0otWzZNV2e1PI9pPfePdz1yE/1X0ZP/GRddipUKd+HtUCH1cS4eFYOCNYqmEro+f/2ZW
ikIEoHFPcYpsCuHlg+Ie7ZTOQqxld5mKuiM2wicTP3ig5AV55l0UbkHyW7u8L7WNIg5I8Alzx0sC
4ao/abni3hvT7E2Rnd+mXAil3T4yFMj/cOJXF9VvOQ/XE7dULgdCToRF3f/PE1/iorFmarQHGsHp
QbFM5BqU87wJsiBZAWTBtolDTz+Lbs0kIixakBP4m3Tz37x4/0pgX8+B+gf/r1JIh1Xen+cQ13Fi
TVEO+7fv5luM/4dUS6IDKz9t44I43pfgQQGuPDqgWi9xrx5BZUNE/A+w/H8ND7qeByBoF5ucirTX
WlWbv72JaTnPRpPaEs9tiCMHZtFhdYG3KoPg2CZvw4Ids8ysJ82R9QWeAmpsii1DhSs5bJXL4Hb1
mQW9d4UwSwQzzFcZM7qGodqQDNMoQrVLSFhzaJiAY0b020qrI2ynH06GRO0X2EODEvOV5QzDfoKw
kLqlfb7exOtXXba8/dcv/7+5dleLnaGB+FuTk+z12v7tz+7VziFxO5IHS9OBsoPaChKXNERN2tsK
w3ZkLBA06pG9JTwBU68OZKzT388Wlu3TucglUePqaOw1Mx8O8Ioh6EhsHU0VDjvYYPq+18fHPgTV
dD3z/2nh8wUAbNmWP7o/pc5X+fIvHfT/X/Lo/2T/BATZN/+qjV6f9A9ttPuX6uIOtHVrHbl+CaPN
v2wb7bPFx/CfymhD/cvSNI1hwmYHj5qT4/xDGW0hmjZ01eYBqoPKyvjvKaP1NVPpt/EI9rmNT1XF
Tox0VNAW/vNibDQrqftaRkcgWBvHkNSGim6XSp1wikjv4K5mJJuk4e5673qD8iloVDXZq3NaHQbt
+9VJfb1x4MQA/Vid1Sq7/Y3aLTdpnPtcpBS8uszaIyN779QwoqRSNGeNhnAk8k+rRQjJ0HhRYRnH
AwX7ee0PNGgWeXpypiLhy0mHhNBrt0AQY+jCkiThIkL3TzZ3wSYvmDUmNqdfHgfynXfVspz6nt2z
lVruIVRUyqBOPqJ08ZEW115LxJZP/R4dGVzD2zQNrNE+rh2aV3U6FiDxsPRlhB7w5CL8in/QgsAZ
EuzNbi3G4dRS2iMzHU0Nff+N7syFj4zc8kQ/jUfdDOmahtUQTAomp066Yh8dhkYLvbFGr+XU41ZX
YpeqQLqJ2ysLEdvhIKedBjB9ktGHhnbP6xtMIFOlfgr9CTYIJpG50AP8pmnQWrSDmCQVb3Fo9ZVG
LYNsLcZWwzPlQETgodkEjj5vV6q/QPBNaNAPK7EfUsSjhw4NQzwYYJSEjX5a3jnVfOi0hHKzBQ4X
0MHGQBSj6f2wI0aydcCXSKrPcaDaUBXRKqxW2son6Du8jCHrmUiXYUDL5c5WbI2tN8ZbN21RgdBC
j4FSesBYG89eeD3SMIWVl/Tkdo7DkS3LMS/hmvfLR6tvp3r8nFwIjER5snW0OoxYTebjiKVJUGaP
5uhiP8ZmWBZYf+qO2oorI9Vj0J6CxQaH5OC5w1TUAKVVcCpFSnZcpnsiH6J9VqFOSG3jyc0b2Acd
CNLBuaw+MKx09snGzHeSpvgclpzKGLpLf9R4exVTuYsHTpOdA32aHVA7LpyMWq7dtMB8e5vSdjqg
ZDKIlJAVjUAAD/OBxkwcpI12vyzQxstEj54chUBiWHYbvRYoozKVpVnXKbeqzouZ4gCmFPFl6k2a
BDjGN9lafdCsIiCLQSe7muA/NmdSycodLLroWLTUErL7OcpczkAlGYP+DSoK85lKBmevm0fi6/NN
CWTKHyjYK7q26YRoHiyZCN60ehN1fM4c5H8Hmv0zWEfcrI7xPQu1/B0YfFubUEbzozHTU9HQMhva
wvbeeZJL8UUrerhGcQwpIw6xN5QP/5e9M1luXNmy7L/UHC8BRz+oCUmwgXpFhELSBKbo0Pc9vj6X
u+67ihd208pyXhMYQFIkRXTu5+y9dkyqwLG2+rNvVoDLNJgawrEo/q4nBjTl0aaxcsJLCJ6JvZdo
MCb1CYFUUlNrWcXRoAM2pXixSRAnS5iTp8WnMKy9doJcNXWncYvvzcU5Cts5OtbI7JbaEMNi2egQ
ZKWTrnFuXEG7QPp8G51yNSQwsI/xsSlKShuQ6oUJCKVI8hthpHcouerA2qepOd+W65eh17aT3XTl
XvPOotTiTyYvv8kI/dZ178WdvAte6/ZgaO51XVr3S8mBjNtsumqE/U2nz5dudXNyyCDeX6fNxNCd
9Z1nA1+J0y/pjMRgzLvkGMMBjgyK/wTNxBICg6Bk2OsV/LFi1LB1llQuSvueYcB2N/X9szYlXzMr
R1Nt1Wuw9W196SLviBDxQOv+G3oBavROcUT4DF1rW4MYFxeWZv0tpuBFKyAqU7zdTOQCKvO/kmIK
R0zdEfnjtwIhyW6mJUQJiWlBtxCm2KxbchA6kvIItdC+Beu6g1JF9EqLiZBWy4Duel+4M3K09Gxv
TOmswrjaNufOTKOG3l3TBPnYf7NK2ui17/9MW+t5BPR/ERXCfZpfd8ZqplC6tpZEYL05mXMni+PZ
oeLSdlhT55JQ8saCur6tUJRpO2znaHL7s17WBCCnyY0Zm1dUYEzuRKiqU4pobTUPRy8vQ9Gh8CpS
cd/hNDGjcwYm8tTQVUWUzqwIjtYtM7Rhe3IXJq1RDyLa27wf84piRXCLwClyncztfevG7TmroRxP
6fes8jIScqk21xr0sWT96g65F3Srh8TCW1iBgWrZ21uXdpwvHWWK3kCy1lBO2jUit3ddWsznXJ9/
rUtdB0Zu3cy9v8KJgzGZLe1+qjYtINO+vXBredCtT21d2z/c+clJi+fBxeEyp76NpI67poW6YV/o
88/BL6eHKpseadZ6EIGZzFSmf9VvzJQtQ39NJY4nv0HzEOr1cliYSXdLiSwrMkLDiSGYFw2wlNg/
wHHQd8RRNbthmr6X9te4jONPelLhAu+5qpS3q4/2Td9Wsqt8/cnsH0YQXYEDhwUyydjgPF2ZJ34z
oMIaPraZ2EOKs+K+1usyvxVJwoUZisNATfHoGlJlBYOY3FMjiOv2VQMPGpiFcPYwp6Ojzmx7zzDd
DBJn+UIz4znFeA9cgen0jEyQ4+O19oCN1/rwAvjdI/A5JkLDcOf9UGRwEOujay4VJz/ZvrZBsIOR
gE1cU8TeyI+eTRffse1oPyiKomex9T7ogCwcLI8eA8oQoH10QZGRkHE8+0Vgz9MF2695XxtzeYkr
dqvb0gSsZDU9c/ODg7HJyfsptC2Moe5EsyQHvXYqGWwUrWyC9jSwuNfe2ZD4PSAZ5A7USaiLgkmY
OR+W2G+uUTC0u9Tuz20Xg7VDjXp0a/2JqsOzmdLYWvsq0E2ajksO/KXOze/JOh3oed9qfUMvRkBD
bowCHjDXc9g5F3fUHpnm3M8cRnsbxE3XcxqnvfadnEzTmrXPvp7dYXeNEdQPt6RUFsM2hH6arkGS
wuDt1+05bzh5LYFUKo4zqsJV/8xdxz5W2DUOi8fNzLVxPXT6Bjtjo0JnGig5dS++q+N012NVpsRa
kWJFw0evjbAaivmoa1V/nBzZTO9fgTZTSlndNOxs42c6MM6AZ0jKS5udbDc+grE16Cp7+sXG8RvY
JZH2LajEvYs38R74MMp0u/iy0OGV9Qdj7wo9uqUzsgWDjznYlWgwjOPIOxgr7JNnzTCf+ZbrvvcJ
/CWxKX7qbSz+rn+ysFCfRoJHnK6umDbqCeApOws5vWQpey53mLnIQq6iPWIc9NwlLfjZM68tbGkQ
/1Pugk2s0f7PGZEC/HuoG0HVhIqXTpxVXhoEysMx7MjJpMpFdRUgfD+ZBnM7oMR+Kq70JSoOYPgI
0vbrs4OMFMiSdzPanzk+RVDPerZbHT0/4HwItanETDyPxoWbN0eGORyA5Q8BdLCKodmZ7lty5Zvk
jJZjywBGEz/BwPVBaaCBo9N6WJQFOZ8vbUx4ezUREA45/thgt+Gek4BRJzveROCIQXgLALfRPZSX
zsL1d5re35mN9boIjpWULJrNL8ksye3XysNmseIX+kxRXD8IiAaYH9ls6frsCPsoucnr3EF8/z4b
GZyutn0ZODnI+oIzlhX1J72zKiTx6XY96/L6XfgkM1jNdHKdDhLHXD+2pk1ZNsdvDPj5qYz7kMA0
3MwtYe4MR3DF6dVNNjBgt+2k36/toW0fNH0mTLByE3KZNhl6tzExaDP49u69wRxjH2kdfQ12eZlx
5S6bNOIgrJ+mtnRutii9M8vta6NZPTdhzboy5kMsDq3X12cPgiZtZBuUe5bLTFdGw5gbcD/l35YM
13WRoDl1FjAYhS+uLGNwYCk3dz7QisDwS+fg+Cu9+4KW2tjeOCmqur69jhenDfLePFFWYf7hoqMF
J/IVATijauyhK8SKS6fXn3BpR4GRAPQfUIOReuNcz/mGzzvvTpbLm9O1F554BBr50qf+RSTuy1rX
FEbzBA1VjcC6FvE+Q5iwXwx8BD45JBOw/M1ME77pDVxmqtAG/wi5tXs73jjM+j7Y4lfkPGvYwUWI
mMEwcXjuPCs79YLbqhgmgpn775DXrYfCKK86XPo7xksXcyB+rmsqJ7Ts5hyHCbaJUxJP323X827Q
N457SUjP8PV80rLpBxidFlcsgK1Ue5yQhD4ltlOe0uRHT4L3EVjrcr1BD6dvC3013KylBfvx4lMz
oZh1p2OVv8Fph+oTuixjVyAxHajQdnue2Gtva4ZUbMmrX3GgZ4Rou/R+HN1AV9Gi/xlczunEa3di
EuJY4CqhNnqkos+hBHZPn1HidyK+dE56brwxhpMAoJVO9nfh0FKcNUGB1OHK2E79l7jBAWE30FA4
SZOq8w9i5Tja/Ec3Ga+rGPYfFHjuA653qS1jPREK8qjpOIr9xbfeyswOCA8P0kyrfogMLvRkcGo3
bcsIt0I9UnImMwcOCO6kV0m4apzedYMoPoNd5QJt8/83htaF5gKKUhMR9hTTDrpKZ6zM77IXnN2H
jfI1qi+jPuUugrW1v2scikwpUi2m+/FJ1zED5hCu+5Lb6loPdxj6X8ymvF90MV5PCIiPqSDgG53v
vqgrObDq4exaFaejsdEGQF+d9OuDmMx5jw3hqQQLd3SY3C+4Do6dvSIOoQW5TI1zpLq9nEjSwnfj
iK/Yj/Mgieb5ohVihiv3vffAJdtu+StDV5J0WXpjTNOdYLLNKDMnFgLf3YXQmc9+bjhXnTVshySX
3W8TxgnjgutKzAzGypaMIJRiFzB9N03T/0QG5gQInQIU8ugR+bEzUyuC3CPjA8xJdfCrpr1ps2QP
Vf4JbFAa+FwHjgtRz0dDn4wbZBHdQNcRIHeNwQJVf+ESrmHpu7RPv3YOuVtEcGZcTMWnZMB/0U9u
SIcH55DrMtYhOi2VtOqY78Zum372qfGlX2Lr4pKb1MVXekQIyNAwhdGDeNdryaGYuJg0/oiNRuSP
1mpdCWttjzMwooAaBAbWCIWJsVT1lZ73ISo+lBC5zuS8NlrkxnSam0HsHLv6Iur05yZ4u9IkYQOb
xL5YaEF42ZsQRDAM0XAd02SCsMrZhsTTQGnbWLc+HgsuR2dndZ1dxeCtdZXUi3+himnTN63+1aE+
kDRkLExrgyWhu9O8zylkpADNHyoyY7yvHCHCVtdEyHXKLXdqm7xjM1RratEgVhyhj3pOjx5ae2i7
GrmBTL1Ti9ZujbCWC7XJxRuUppiLPf44ETZykRSzxe2oS24dx8lOwkrQ0Rb+Pd6f6KI+rZdfQS0a
NBjhRIrY319CH3RShkDpBosM05vkQq3902Y/g5CutP7iyi+oy6y+3n2r9cq4qA318CIJ8/nU/dQ7
g7476jJ0lhsDJ/ll1Zo5pXfApLUj4cJm+f6sRtOXwz6+wEUTIZFzCJPkmplV1t4QRr63xswLkTJM
svvmQkpJ7ocBL6Y7COtAWtiAHK0KWi48YS0Xas2nPve+Bm2jUa8YGACIQHRYipwZPQ6j2SGkZjKE
Zh+PODCJM6KzgBSc8K8RCQd/tyw9E1B2E2pKAAtTfKirdgo3hJ/viwXdXMFv8+8HJ+4oHCW0SJjr
3mtdPoeR7k4MI1nz5eLjsYrROpz9bO8s0RwORHS8LwptwiDnpZ8XqDkQlIzHGNYaliBYllNCZ74Z
p/QgFqiXHwtDUhkZZDch2sP54Olxj9jWSS+G34LE1fLmvHJ7DouxaEOXMToHNLopq9Na9hA6TQZe
yBLlppbrxoGWrlTYUSHMSofQDc7Ei+G80ISaQx01/KlN0uvFrInYkgv1uFfn6C3zdMJR5202mn+4
4Pt1HafQRyUbtoWPAEfLB2yA5YuR3QDDHsN8sYv+3KTZGGqul6GKmgFSxs0QfiwK/OBhDu7qWC/V
g3qcz89CQgEyfSPUIDbMHmbu2IdNpSdU8QC/rjgdiPVzQxOkBuaCBI9I7wzhx6KSHyrDAgqu9jxz
b8p3MBBjkALEG7byW4xroTOGltudtpI/V7gdwor6c21z3AF1wViJnSN2uUy6M+pQnWlSVQGu8uKl
PibDk48ama4o1KDEsF4nyIDkt87URTZiGVqqs25mXuZcu4lwEXqdm9Bel5pxYu92NnSy/Vy3KF3s
6MVz64c46U6TPtlHArs/tab/dS2rGXLUEQg3nN4W3foKIMMy2uEmGSxgEo7zI9M+ATBpA8JOiFCw
vafVjq/NzCqOI6N1jCSzfyzXHyVJDSeP87icqNLBprotNAt5OomX0h6Dw4hJw5kES3FwvFATZRbU
ZvEUe7TGCXfzc2xKw+hL8VKMWKsrPtUNoTlxOfxiSDdeRptRqZY/pTmpH07G9RLVbLHaBxJxYQjJ
cjkdyR12pQloojveZTVv62keVIoYg/iC+aAENnjMOjKMi3na6QNJZKP5Q+Lk0Wozn3AQbGRCe7F0
jot6dVzOKsCj0RIdphk9vOM7b1rx1JfudrA7R9v5BRMu4TW70SErtZ7dS+9ndOEy9MA5SLgbt+qI
X5qe/Gq6mbp6Ddua6RlWAxPhVTve9yM6Qs380mLdqEcGyyTmfCVH77MGYAiwl5xlVtPJgM4AeQFX
G3EQ9Qv8wmEHdeZYhGXVfU3tYsT35FDb0MSFFvvLaHJXdR3hBnW1iEs8P2XD3H2mkrVzxEz/D428
X8BZaqPiYYlJ/4DZcrRd7m+tbyyBa4zPk+0x3GspQA3OGw2b4pszjS9IPzE+ucm3YXPTXbNpPmIF
doYWj2ik5uobP/hXUWSBV7goNkEpu8SjxZP4ge70U4q8Qjrd4ji63yJ3JUSCuqdv2KfBpwBCWUIC
X9NTh/YvLy2PKzga8TGrfVDrzl01nyMdrzNZevrJrF0QKrD3913cof9b4p+YUOydyYCc3oKsrk0P
W4uE1BA5AuCRmZ3euDujJlbHytqD2ftfmCGQk4wlm0ATyi39K7WC13kBAhZLdBSuJCZLJreSJK3v
UeqB1Wt6/Wx6dEPW5MvU0XjvsWEgKgMw1lfJVWncd4+b4B/PSc1lCP6ymd6AQGA1mJBOFEJbDFA1
KHEzJ6hNoC3pbji1OLps6zZbyxFtvf1iAZE5V+NjXeJGXczlSTdK6xhPw2ukjcVBs/WCuT2HWZ8l
VC4yBj41ab1J9RKzY5iH24c6Tqxjhnp6PzJj7Elj7aoWjf4KfwqBM02oMvoMhByROC7Uo+GC/zHs
5IaTaydbGQWKisDy1mI/le4FMkCDfA2Jiwvo7NG6bxDzH0yAP7K0lVCLMUO99d6kGepaMo6Zntt3
jWgwy2YRNjJKfSuGD1Q0r6vlkfPVkHJjEBIVp8iSksJ4MCL9GcvoK4VtGOoxpqW5uTSeEV9xbUWs
O5Bbyj/bDU6gLUztEtxYB0J2dyP33pON9FLawz4nNFaYmvzAEJ3uogQkx7Qg8+TuhSHYdI5eoX23
rRKZ6aT/6maAgNtiPNXpvB0TIbk0VvnZmTERAigBVhblY+BavnMso0UnMIH6M2J7rlnSkkShe0eq
RnO3aJhw1rBJnC9zPoh7nVjPoK858iIkxZe67uN9rjlvVV9/qUg7yF1y5PIWuXTstefWtqp9lUOW
TtfqDAPT34kizgKcoYEZczvFNQJaPpmO3rBek4x8ywULwHXK5EaQzrkrKE0yubxNiid7kqS+rn0S
WxaFmomvy49RBxrp9jRPXn0YIhyt62ZfSCACPW9SohUgfrr1XEh5auo/5U0KWNyzxMlAuEk9pDyt
a3oz5TFyZoafFpg5N1m/xaAcTwSW5Lticj4z8PyqJ6ZGGWs5AYWbwzrpECQOiK/KmADprg90/+tI
+CzUqQK/9DI/ET1HNdkN9dlkMtIQduSuLkl+BhRJ/WSJFV05/RgmfHbDVLl+q4vpa0vnQPJR0HhN
b2k9kzDQGY+YfghEFhrMtKjbl3U8X0/6eNeXxU+Kgdbk4ANHsDdZkmURUcftQVteMvmYekItUiko
LCXeAvLkE3VNbA0boxS1aFsGpyMXXa9MKIut2B1Tx7qdgfHrfvdYluBFUaSDSAmLCX+CUzMyUAvI
NOP72hoN5PIlRorFLjJAN+Cl9HdpI2itjNp0tUZWfEJxt/cwMIypHgcpNUnadFZ0oP0J25WWX0ym
YOhahEsWUX5TFtx4fL+5SxZu435meMa+mrslJHj5kuv6ygg/XcLFn9HkUbg9FDXjV26SPSMUBrEO
xlqR9fVFPU6ItThB42VS7z20lO+DbaQ9meaPczQ4+I9KPzSxM4fOROiInYaNGKkUlqC5wEVmF9dj
IOT0hKaCN5wButfVDg1qE5CfW16RLl9cbfiFr6x4piLC9CpeSaHezc7gY1zDYwyCmHNP9Bn6Foad
jlyoNbUgPoEplVpFMluHyJlhrV5VSAyvFolLKjLjZzNaxGJ7nNuERjfMrAhZolr2I9ahdgyaAyq+
BuyhNpnqNTtHG87dSpaK2lsuGYbve4sopPmE8f66Xdz24OE12W9dlh+QvJAPGqW4Ppj87VP5UdZS
UTuPq93Gz4HQ8EEvU+1kWk5JqI+Ne4Bh4MfCrBgq9iKllKtW1TMrBsxIMF8AclFeJQMi06lKb6uk
eVG881UHHLjPU6KkqpkED4VhUY8NTn8zQeXgRGXm52wEGC1ioqHK0a2Y7GqNfvRwGaunWYaUq3jy
coo5E4ieVqR4PwWtIBeQSIgY36y8IBxyOPhmSW1GziL+YOPb2SJwb9TAk+Y+vRKTdsoq6tT4Wc2d
ST0v1Mglgzkfpn5HLc9cXPz2rUe1WQ7rId0Tt+B2HGNyqK8Wbjr6RwEvBfqACIfU+1mvVEm5rV9c
WvOjmTAMZwhHzFy0r+Uw3I17l2nLQtlAajpo2KUADHoYNGMDeNVw4GiKCpfKx8JHSnk2YqawRGsX
O37XMsAP9AsQeBNqWcJURi78v9fM1rf3pssxCjDPOy7peJub0fAuIHEguxD80JwJTd1cnegZXZwH
x9pPco5Yytmij1cSIB51XLUjYsmyKbYVNUffucR+0r6m8jHMNPEZkjc1ph2vq9CcouAdaAFRoCwX
7bTZkPrjbKOe6jfnd4Fw3NTTaVwtXNaoi8smeox8vzqqz5kV9WZW+B6olNYxMueHwdto57hwlUuU
YaZtDXzZiWRvgbFETYQ0sA5TXj8ryz7SU6Quqc24FVPb/o8QA7Vp4eg/4TW4DHKSN+GROUSmDgmA
pHdiYeRc0E9acN3WyAykh9I0JDSevImisDl+c8T6mJECcVQBAaASmxD8BGgCtb1A+j6lXcpvMdXj
lVsQrNhQVlASnIXwGRwB8ivW8vjscEjhippQ+XJxSNpnfEfdRcUtoPhjQmSK4cbt2YWTShlQgQMt
kNOt9Y8xH1LrK5AX56zeciVe4a93V9t6jgVEfjatqhavGQvRL3zRj+0JXPC+srYHbcxfkxj0+gwS
q59WDjMhjy6OEGPbJxsm8kVeXORjneUQzUEX4qD+Y8sdUTOr3yHT+ucNu/YhW+CiyEl6cl0hxgld
Qk3Coe/39Qw7TJ2b6itOK/E1RA3Rp5PT8q70vkXI8QtZHunbNT4RG3Gntoil+zEt5RS4W1SHEe3D
vZVE/d5wJ04V+bXU+aI21WKTT8xjMgJQp+auvvmyai0MXHENVfU2tgrUJezdzLXlXlmh25rHHBIV
odvjZSpLgrRMTvkSMyEV9GfuYBqsk7JA0tyByjkWbfPJHHF7+Pl4a1QG04c4AvYl022ptezgXN1M
qX7PCIJiJFcuUQwEBE5ohtMWuh5y1PHUGgnnoBaKml9VNNP3hrrmDs75o9eI52xwXsDh37aN4R+Y
USIXJ9OaX9u+LrJtO0HB5HauDyEohavebV5sGN2H1tYfgbjByEYrvl8TNAZ9+Rr7AhvAJMqgIF6j
gg5LpUTfTaaXn9rU+jKuV2Yb3dQINmthz4dUjLfgYl/rvuA6a92MM85WrD/fKcf3jxO1yoloqG5J
1sci0s8D4zFkoWjN1+rittpwIN4AfHjh3FCmv/dI1tu5D4YLy7axgIMsTnq3SKti2mDL8las1IKJ
MYNUBirDDCio/s4ZucGoY1AmUvIOhY5Nrc9ERyQ18ge6BdXV2tqElJrVBaLM+K3W7203sr4nEf5s
5ifc5WvGqBOAXm/Wn2JLu/MpXASZkYMVn4dfhs+4vk2mh6WFvNLXmn9UJyNFZ+LtgNovVaefZsc7
qSgUvxNE0qrVfInFpV0vyBBQFKyDcWcUm3b0k8oPlxLE8v/Xeiqg7v8Thet6cGv/63fY7l8QXUnz
/b//56auhrfqj6AP9Td/ST0N3fqXLkzHtXTDoKVgwbX9C4OLpvNfeEsMOIlAiYWh80l/0XAtBKI6
3hddgDu2LWQKf2s+LetfJqY+30ULatuOYxn/K82nafAF/kPzaTu6Y3C2Q1HyhGehIf0PAXKz1bmI
mC7eOasUIDEawRdfnSvY5rtS0y9bVbvHrDCvytHLgmJKX7GCU89dHAOdQUJ1PrkaKb0c0VJkh7H6
5ckZMakCL8IbHq2myzCzWbRYJwLnDYwoDA04K8A09Xb9UM42TU5BgGCNNfZzvg7ftg0qk5ttEAAS
ok478yXJl+8VyboOgNm7gvi/B8lPQO+3y7UcpgNJejvboXxRWAvTKMtkOmwwDrpvt+1Js8uvJDal
p/oX42jGed2p82SLY6SHTMjGdmrBV+/jqDjF/BmzJUojFMuf0fONkAfWH4tFq5Ffb48mPT5vpNDr
Fua61V/DeHpbNj1/KIc6GH0Cp3oGvfA83SvUWYwztkjgn1yxB88Y31I//UES41U1FZIjohMjcTBE
r590D2n7QqEVwUxQWoSY8orlJBooIXbuhHpCDFPicymyDAtdEf+5tYzjNUb/JpbCNw0tZtyU3mGc
iVLE6XfIxHqfQDnCS3vXVuVBNLl9GCxpnzX9T1qaMvru9PthgmY7atWw3/KELNjmE3MtmbttE9lq
Fc/ERhA6IIo3Y0Q8RrM3Bo1i0yMl7nkfed7RzPoXqO10hDazDqCThMKv5+uG2CNIWlzr6ESVRVcf
U4d5XswvUMD4memIvBrF9Ohs0KRgJOmMBLgrMc6hX7htoKK89a6dk+4q9Qoad5q2W0pQvFTIk8G3
wJzyHvj/nuA1oV9wQa0mhXhjVrScTQgBzO+mS5GTJwofNToXdit37HKrmS1ouw1VTSqpnZUUqyye
cQIOdeRMuSk3lErAv+hLu6/VNlT7mliW3bQOCFdusRBSOzebN7JxMjyxVYDMIbttjU7qfDbniCXe
FE6oxfjf/C6biVjmtlKIXz6IrEtSjs96SiW0W5j0YQkJlhqOv9lh9hqc+Gpwzn39PSekJswqgR4g
qauTZdrrta67svQjHuDMkOPQQTJKkqcoIUsTXS4SzpR7Jr4W0FWlgZXOQEtKuO2SPi79nkRhMiis
73ZLIjqmV727cylAHkm68lBGQZLi/HaNA711ZAOg/5LOyi8r5UlmMyTe4ogj0yDad+QyYzJ138ou
+kHbUt/rm6GhzqGZy+SsX5d0Z60wD6rlxtQr3jubqdO24wikZeZQBy20n3qDDiKTkaNhg4jwm+YM
+PawMjSMKwhyBtMtI3tuEc9dXPxq9yi6KT5XA2MXNM0W9NoupZUYJXUXbAQLHMbizF4rpSeVznPb
9TvPQ+GGFqDGCrd65pEr8D5y7R/84hVzbRgR+Ux/C2mE4bFvB3QTWsxYpbIuC8dsFwP1dACS6rW4
ytP5jbbZse7H5WyPKeGJDs50Ryc/m7xCarFTPV+Q8j6T8n1LhE13SKRUDD4rxai80cFbgeP24Br5
tZVA96sDjNDxUbeq5UQw314bCbTxNZ+BV/EcEx+yn6vFPOHJvsNsR7pNMHb9ellwxxYW/ToCNo7C
0t48s3zMi+TNrtK7qjTtO82VZj4ieXErrg/ZSFLFlzQNisJYD0ZG2XahiU+F6wSWpz7qTuqdBFa6
AdP3ubPIIYYuosn+QdHdJZnIqekzi6vGaaQzS7+jwBo4d2FKTyYs/KQHSivRJ7F+9fGQekWPD1/Q
8lJ/8/6c/MPftlH9wWLbqEhmnjaRVUPhSK3RU7rfNOeHickgS0zjpIb5apKtQtDUplrknVMCybR+
DVQeSHFz++W09v4d/gZM8nnNsBMOLhGsc3zXbz1oT7R2UzSDz0zADnOhPjgJ+ReecLXbhOqdvuH6
TpkfoQMki86jXQGUT66qRQ88cr/xL+GnZWqpFipdDlI+jOC/HyP1xDhUgIn32rIx5uQ2OjPvpi3F
lTDbukczrWku03yJxfa59ipZh/duNxtDT58W59Ua7wjTpgUsFw0YUGo6yWXsS0RhnZGHCLA5rvIQ
hcu9E8dfh6h8oOc/IBlhjoA2wRs8/2KiO4Hi2sTluctFMBhyz9lGS0hr/Glxatyj6jH03OxNKjqX
efhS0hsIYaB4eb+e4xKAkagojyze28DsbiDZ44pUlV9YtexA82iIZ25/B0kM2K0sIiijiO7eUkEA
6WJqVX1WEyNXfPcnCYQEaRg78YZMP7F3seFTWJILX9JhR2qCxU6tGgOXxy6uh6A1V/esISdtBwcH
5OJzA89LMLdWzRX3wwCtPMGEPuWh9QAz5pOllxMugjBx3GUHeRD5tKFfI3xBrOlOr7qh18dycC7p
3JZHHYhFWU0CrVyPj9eKCWeOctS/6ggw9RH4pTWle1UdUp/0sfjjMRGPHQUeQBzlPJR6oMosZZ/B
0m8guKhfqUvRQZdp+/OjyKLW1KTxj8e4M3ZHNJSPk+ziqsWG+B0pNLXNbKu1FV8GNWvZRmus2VlA
4PvzbpJ7I5WVE7UwiX2iUyWeq3wp1OGwaZy+sQUDo9XFL7GC/lnjEXpGdJq9NU2+JUXyXVsSb923
8vBe5OHtyWjFj80yn6ryrJ5Z3KXbAvVUCRuN5JMJTgPiA3hq769Qz3WadbSmPsn2PUWYj3eaKsJK
IWguO/Vupjzn1Nr727x/hPwGau23j1HbYzl+8eaW4/Tvl6g19TbvX+fjoz5eox6rKTdaqwa8oszc
1z+e/B831RN/vOf7V33/OPX8+wPqN/vt3/htVb0KOcvGCGTJYWZ2Wv3bj/Xbm6jVf/xPfnu7357/
bVX96cfijy/tlhaYFJKbrYKBeWv2ydViZclVvRoL2lrdOIED787qiYhOP6p/+Zoylm6kWq6qbbv8
wknCKZ/Yn9wei3C8ISXwCk9wU//H1b5hiIeGV6Z0YdExaLEezEVqBFzZCdBEQXFQ/anaVguDBAco
ztQ3jMmg6F54w6HpF8BT7VVFZ/VoWaD3ml7oB53bKEn0E7KMAhaEI4teq6p/WdyIEHU1d27ZhokM
DK1n8kM9ecipzSXVOXI/ttWDmjzy1doff1LPxXAmtfygyaxStUDAQjqn3BQ5/ikrYxxAcBxyXPkm
NSly616tTlECjEB9fKkeVau/PYp0+LmyGZA4MsEViDE0ybp9cYyNi3FCjWfMtOIyTA1VgczztWDJ
xRfY6m+xcJgHyfNWLQa5ljEYlrTdLBBr8a0i/RgJJ9e+bbnKrYberD+eFbbcWKglT/6+8ZoB8Egc
YPypQnP4QcO9vKg3ZGJKboN8VwJ16X65Fyedf2yzf9+WVErU/xHlzqdIqggqdUFQj6mfgWuve+Hv
Pr6fkHfMCRnX7uNXbFRkbC7TY+kh2YfILpU3j7q65j9Phm4GzYbMhd4xL7HkDu7A+jSLYQd6V+A7
BDdFMRZbL/wV97JG5uMCWJIhwXIY8NwRs7icF1n0JwYQglVqSGAy9siD+pZ+Ptx2wEnRCPH+6ntF
TrpcBnG3mdXA6M18eH/h37tWbVbj+J2A4HSHmYPCTJ1RSFWfMsp2GcnQvFmfMPVQ27mqaxvluanz
tTAJU9YDA24rqKahmm9G3bXOSkzkyUrvLLVFHAu/mqQERCB/f7UnevXWf2+qJ1LP/FlMYAJXvztg
svI5S1wTIY8EyntThMGGe6kkIak9ow7rWJ/g/zK9iGrr/ZBVz6kFGuy/TpWPPfl+QMvTR/3rf2yq
16nH1LP/41sN1bQw9rhRp5w61tSXUZulKm99bKu19we3lDKeHrvF+/6KtdE565CD1EvUxzLX5ExW
q4s61d5X1fmtvg0jv3+fgLn6oI+vHDeVR4anda3542eFxlc4/USLtC1Qpwllkxqj1mq91l3VnBBq
5zhiEmK+1MvfV0lrLENYGeSZMHySFwZ1pKq1j8XHYyvRB8fVEEFjpLQ1/31NUv+TWgyTwS1frSIZ
YXyqVt+/fbMtUAJulhqm8cR6X6/gFha/ZHBc0LN0rG+e+iJWF6L11i/qxyagh9NYftTHb//xGDkJ
zMxjW9t9vFh95Mfmx9+qtY/d+PHEx/v98bdp9WXMkTyq30JdOEc36aqz2lZnHr94Plyp7fcvv5EF
Ko2cOmmGXE/VPv04tvztLdY06rHqh8c5vXIqsQ+ScWQoow7Ef15Vb/F+qVqwLZ+9pjgAxiVGQS7U
tURtqjX12MemesyRo+D/1evUi+fo+wwd+aI+X30/ivYcth/nTOTJw/j9YFaP+qIaN3Q4/z7v1Nr7
q9Tqn9u/vetvr/rzA/78K81AfDxAW9h0yIPyN1S3EbWm/vafHvt4iXpWqFGgWv1Y/Dd757HdOJZl
0V/pH0At+AdMSYBGNBLlFRMsKSTBe4+v7w0oKxUZlV3dNe8JF0nRiCTwzL3n7LP8Ht83l2vL8/7H
Vy0Ui2/g+ynLA397q7+777dX/e2d/HnAH2S3mts0yznbUEnQuhKhxp/5Gcu1ydIK9IHzfPLbX77v
g3vNKb7cLps/QzW+htvlxb8f+vUa36EayBi6lUL/4euINqcMcd33ifLL7a+ry3n1y73L7eXxy3n2
xzOB3Q2IOdp4UijpsTguf2JlM1VZv0lI8mPz1AC2LOwtHhiZ2N2HeMiIGKhb+YHhZJhlWuJCXRiQ
69SWD4B09nqJFXCiSfyS6dnOLDXpQVU8+4Y8jdJRve4O5Cxm32qwcUnEwR5K0CCbxm02RLS+NWz+
dHOK4zSGmSP8hlwMPT2iwaLcSJ0EzQnKH6tLy20vqNbBttxIyxj3+wf+Gk4miIDtvKmaLQ14+fnS
lul1mVi/LwCK/XO2/WXKXa7+3cN/u2+Zupf7vt7h75739Q59bB/NGudDwNaPU3O5sJZz9/s2PnY2
MZTOZ/nifP7Ot/v55Pq682///tvTTaMZoQyLAo7NPKgtT08tkUXXyyM7Qpg36lBelj+Myyn491dJ
XCTfJMl/KmFlrjHV0N8CdJDAEGLa1Ge7T/BTZMdWKvihc7QQugDQ+oyzSN+EdbWjYCeuemyHRKEZ
NLMb/bEuwhulMo/WYJ+1DM2RBUZrDj5T69SgQWjcog37WajghUKGZzdk6b/rFbSn9YQmVw+zHo7z
VDstrUnYbVINoIH0bODxyPiiOT2EOuO2kdpD9cP0AwMBBCtDIpsb3uLGT2RMA6Cz3WTMK6xEaMf6
gATKEPmzjad3rRjxQWGe3THFz+QomJ65MBxJ8h7Ntn3xgwGWVJICO6OXOVBno8pH7GVGIXxVWnMF
3hsr8ukgfIth0KgUjGfwLVQpTC2mZJjmGy/21yQPJO5YcI2mKCKcftr6dR2t9NojWlTP3yXFvtbJ
BWCr3GzNQvpMpWF0U8iobhHwnyfGY0KwJdQntuBFLm5AQb7i6fR3MBPWlAnQzHlPrVleLHx1ANFL
Us/5VruEnIY3zc6aczs2E7hbALaRsRGVZ7pJmr2PVrE3pK5Y5cEwbNgkt+4YZzdlLtvX7Pt+ClI4
rmRikAgeQRE8t0WVHnlUgiFjLeYEm6zYlFhU6smMNqqXpTh6k5rKTeKybaNyXgekIGfmLql0xCEd
esBBJmOKZMRIpolAUHu6UQoiIwCPZZ0lARihbKGQfKZh/FtJmXaHGNs6GGOpg/+COVnWD/ZEtqoQ
vo3Q0r6LhmZcz+HNl8honwMQTzGij/scfy4ADOUeKRUMRaIqVgxQ0aFVvFM2VdmG3GwK2niK5r70
IauMyc06xVi3vb617PIV4DmpAFALkZvpBCcAKjsKBbGaKWUvrXXGZzuSXNzUiMuJLKOm95COyiu7
T3aVuN03WQ04yKs8Pu5A0TmjzNRKoKGV7s3sE/LNdfwFiWQeSw0utcDMPI/+UE8Y9ag30fFdJ2Ql
NGOSHavW3wa60sIBA+yv7ekuSq5UhC/ISIdNTIG1bKsdbMyG5MfEpFdhKxUi2vo9xQ3uJop5r+Nk
m2BCiEIJ3kZNfouKgfTnLo6uMiMnYCBXHA455dyM1Mrpt+BO6A/2FFp3Pfloomfs9PQCwbZ/HIh8
2vUG80pOh61Vc387th++CLObuI/fLaXfhbVVuFFFlEfWmOcRsJqKL0xt5bfJzNQTI0VMBQGhMtPQ
SzyAKQd4XblVWT7PqTcu0idiZAFVd3W0N2YhSNwGr1OD7szWkis7Ry5defpzvlFzdGSxWf8we1oJ
0fjs92JcTY16NHv1h2S1tptLaD5JqJbr27H4mZVGcInktFoVRTZs/Lqi2EScSUf8xVFYGBQVs39R
hclBQo14DEOfQ1r8VLzAJF0jJYRlBlaaWuWKXCnWmizuydVI55R5oFHegFuOFB+7ZsSAP0yIAXDP
bu4lJkVK+m5hv6eU2tKh38K3mo5JkF1EGR8ox6IiF/sYT1isJE92yGzYrays4vCTKunO8nkPm3hL
lbpnZhhbXYsvqoW5pArPTH+mEaNVL8Xe53d0x/KOwB/1J+K6osufepQWWNdJcukTb10nfJGSkhz6
CPNCxds5/vioGt2T3QNCTQh1gTvIj5K1N6mRHnqcN64mTTAYijTYWTo+AKXkrG11TeOfNh47I5ev
So+sItpHiXBRvz0CuEQtYYseEb56sCq81XrkXVQvdPPKizZW29QOgcCHKpmL5LLEl5ArJ6sNd/jD
hrM+SB7EupoZYmReSn2EfDQAxiPrGSyS1aee6+auBMXYkEM9eSABO424rxDAXaNP2b6piILA90wu
ts6O0FR1mHgKZ7kP4BWQ99gjqjI3Y9n3J69oyGWiybwpaNqEdlHtwhZJWYSfcB75OQNb0kwSCrsb
3GOMLkKnKTvoDVSFl6KhZ6pWtIJ82f+U/OYnKVITQJVL12sowfOOFLIKiI0eI4xHdpcZgX/SJvXB
kAtYb2McH0gNudLG17IupHOiThwuQXLqJQmjUBp1e5pyq9xAkovUfg6g2FIoQAmTdtDGu5SAsao+
WL5AtU29/4nx8WCS9EQoGwdqNurY8hisVIWwMk3Et1TmHYDT4VbmG3NizY62Whz8iJT8DIsJK0bd
wx6t8on0O/WkSt3N1EQHu2J4az3zjR3zti4p1trhiaa4ujYiE9F4zGwkef5JNdVi3ZbW2ZPhUmsV
NEQocnSrzOFihAbk5QQaDYrcnZZl9uFKKegFD5yOB1l6SMBxr/zZqG57CAK18Emue8tNXj2Prr40
4X0eUBqjXGwBvz12gInWHZ6+JA4BLJmXYdS2NOZilGQbikcaOvvxaPec4qVluzWgS8K92x90tzlB
PV4oh0Oy84D+GanyANq8uYBKB6KUq2Rr9Ps24RuCSrSp7CE6KDLaY8lzq+LYD7V964d+v6/0VR5C
HVBN6JsCdGafEhTj2f0uIhY3pqOc4HqISEYYTfKyml6LHWaoKzW1m3WfsB6HNupmKuTcokkHFxgk
Q98U3rXqiEI/NVlNlxI9zMweITnXPg5N4sXqsnzwlBsxkcnbA5QRPzR7itej1lHawn+kwT13ZXOY
Cz+GQS+KJAgjHOfDVpqblu3B6FQo8fFBl57HPhZbX+s56xOpwuNbv+D1IpxEm+6RrEG8xSOfZXGP
uhzSE3PXNlNRtveW8YI/ArNTceilBDXxgBFVG1IY/l3/aNXBThFZuW+ialibkB+Z5PZE50h09oN2
b5sjmFWfBXMYCITzN0GLJJ11U2H7jqYU0y0GcyrDSSDpq8mXCSfyhrPXE7tCBJyrwshbVSBAR9Jo
OiN4L7IJp5zwXPq1fBOhsgn2ucCTQhTO9ZTKTqHdoZKwVnVoSPBOmFATcyaMgjgoi+mKWYlOcFty
CoYkk6b1c4f6Am9L8WIZ3R6kk7KSyWK27eAzHeMXlCb4YqlLHKusuUV8b28CozN2g2+9BWl8b6Rz
zI4fyatGYGqpE/zsvmLcBeIpZf9DOxp/QZWQhKIU4TE1TkL6Ifyg3IYte4dROkj91B9R7f+QR8mE
pMS6xW9YijGa5lkc3IZdfRD5BMjD8+na40IORwblUkWiOSqCrm8Pw7rFXJXeqJoW7fu+fbRG67Mq
TWVdpODK7a5khhpPHTKAGFzr2sQzsSWJqg9miToBAftQurFVk3ADk7nYUiH1iDmhAwgPqXbmXq1t
OLKGwZ6BhEHDuxr4qXbkv+gb6TnrVRbquZ0f1JBmemohFjX0u5DRQVh7RvSHdLIcYG/jQa5u4gES
cJL2PyeCXWCsAYVBAoQ6Olqn+qmBj+DAMsMx0dmbEr6oOTsbcsOGquV5Z7nu1JVf4p1l2R3S75zC
tt9mUVk5MhliKz+USTXT5hGIwU+r+5t2GK5s1kGsqpLtVI8oBj2f497uWYTH8lYaQJ9rjbwbolS/
gMZB9EIjNNjhFX6Bb3KuDb86Nxnm/CGoJISiygZgAWGkRXFu2ECDe8zA3Q0bvZm3Jj1BmqP1I01V
GoQkLKwLE+I5sVYPAT6nkRXA4BW3kSA+WtHRuiLWbDVCBdGZRk4CxzUBseHTlnQiYqmRrr+LyU8g
PUVsFoSXbApDS9dJGm3ZNjyXOQasFs0BWQk1ru1erC3yplbKVO7srCLyGyWBLRB1j+Dp4BIjvRVX
WXTTytq8Qod/bGXpK3DZowgpAAG+QcA/orJoFaMjUwjMSoefuOUo7FW4fqDz7obW+mlYRv+cW/ZT
WSUVhrDkPYwk0/FaBbWNwOyrcXwl+rmKDfUxqcRTjbKHBqniNr4JmC0jWSwjpUNqakgwA7okr/R3
ShYRlKCnd0RkGg7knPUwIXaKQukhiwCM1ZBmvHxMXRlYNXu16QkcXunKQwJIlN/SNCKOnLx2/Aqa
kDe0wcZkPVCNyPEthGnrnNqdEjidpJ17jViQEg/Xthi7jqg58nYI+urVRNn6wh535hRhkcKMWZlg
PEKdhQ6u7H7tw1N0BBnmbudfVOabDUZ9+jAJUy62C7YZK5nyJmIVEgsm8pFzw8NW7wOIQv9pwQHq
WHIEInZ7CsXJnGRT9eOuj4uGUx/gwthQfE6sYyyX0LLaxnhK2S5FMIfIUoRWYVQVkXBI2KYOz5ol
N+lOCw15VdEWGypcs2YEMQ53h44bv7puIux1CZsPRrIEq78hRmNDqhwBO+mIdnbqk9UUTObK1Nkl
d1a9TUErJ2k67sY6uqSmyEmYHvac1DBLPXS+USOuMy8FrjuQpGCa8loUVXeJSLgw5hz1QOh0TirU
aeAxI8BoDSccRyCJwIz+fmYoV9j7go03Jo9yBHZCZdIiqo6YQUGec20F3lWV3w59/WiFt4HeYNaE
xNP6cb4mxa3LInPPr1H5tbnyyEazfX483ZpIqRkQWLUlJzSRkVoOHdoK7MegAF5N3/tCcKS5RVGW
bQWeWUPBt9JWYOSUSUFZq6bI6TwWM0qlqg64tFEEnwnf5ZoYeFBeYfwR9uYb/fvt/C/uI7P9YVDl
AuqRPFRDTzVsbHZG45P3HKXkWmaV07fPqgfmSNjHEDm9obV43Brj8FmSdnbleTCrmCJuVbYgKxJV
i43up6yOiKwyJn7SghAy9hXYQ+vg3OZiWhkDUQoUhtHgVS3TQPswqe1zqvgqUV6CeNCpOsvQt+kI
5Dg9jKyGxZZkG7vS7iJr7sGawneUZq5BjNdtSX5sDfrLCUtA15mm+K5oo+RgKc0XgPj/ObL/m7ZY
tcx/qy0+f7xVr3X8V3Hx15P+EBfbxj80Rdd1Y4Yny+iEeb1/iotn3TE2ZFMTliJIhEdB/E9xsYa4
WFMt2dRsE72v9ou4WP5PxMSKKnjDv4iJLd1A0kxYhsAfavCv/VVMnOCwlEcv6I5ZpzcDrgYMhqdF
JeXNpc7l2vfFf36fP/d87KWq+u9fhrMXm7kPp1d3FC0lCH7pvi+96OWZnQ55tCPDaSxSuInJxZtd
3sns9xZqvyW/fBXPTvCgf8ytXN1nU4/TZ3aLW9jGqdPtea2CmFAc5RnWcoiY2MyjosTu8dqiqHXZ
REEkAgFrtt1WDmANaN207e3i3rNQC84e9goze4OpvcHcns4ud2P2u1ez872fPfAeZvgk6h6pBuyT
2SVvz0KfZnbOFzgZVa3CyexJqB5yGsdEg5DT4M8Jbo8CA34/O/H12ZPf0lIuZpe+Mfv1Y4z76ezg
T2cvP4i51Yi5X2Fzn2L2z3gfdo1qvGEjTtAlSAB7ZgPEMyXAs+AFyDM5oAknGc0vBSPif9aRQq5b
vREzbSCauQNNkT2qkb+rTaPd61L32esBVvE+u4shKOFDhl/gzSQDRKDBTDagFf3o80O5wrqKZ/ZB
PlMQhpmHoOyAHhWGhFS3z86Ip8kQAp9AECv5suO7N3MVOgvCgj6zFiagCxiCHm0/tdc5iyy3q+4z
8Axgd2UyweTmNIbEPfV5clMFZbAlEWCa6Q4VmIcO3MNk5gZakmJbi/QyFdYLEmk8izMjIvMJHa3a
jvbIQpAAJTGAlLBAS2gzY0KztZ9dWI5uP/MnKEj8YJ8SO14PmyIxH7HuAr6cqRW6DL+inUkWAUiL
CMS5JCjZZMrZq+QjuwUWN/qE3bCwUTKU6xhjEBtl1Fr2a0fetZsVgco8CbaxICJRkX/mXZc5kfEq
CcKeEzklkNeEOFDF5dHqktTROSFJXqky1i4xv15eXBepbTrwKyUO6aB0Mehe46kzwdriHdOoqoM1
xFiL/rbrrdz1zfwRLwCgF3yJm7breiCKgHJTzWWP6OolqXnqZNwOo8JiJsipkwY6unk8hdpQXRUl
DFVTYAMf29yHKeaVUDPkyJXV4Jz6EzvcRNpBoG7X/KtEFZfiLanSt6AkGFYn5bTTxW3UJB+yPLfA
DdyZ7J5MY8SGqL9m7IZXgs2d2y3bfmOPF/idMpfnas1F7zSVfODcGTCCXhQ2s6qf/IiD2JWV4W1K
upeAMKkd1DfwQ032ahU4r2v4ppKmPVgFZfW257eS1BICUXOQ7LdBKe7m8XWFd8jmR9MxOWQnu+yH
XdNiSfbUDsiDLm8zlvWHxgs/zTi9ZXh0J9snCgxDLskT5JCb8Bj7QM1XQOpb7V7NivuKYPcdiGrW
NGhPvi4E4QOp/hSmY8uyV72JKvMSN5LNwiQo4Tdi6FZaCza/is1cCm9E3G17aCRM6/JhwlYA+0G/
GnLOCRENsQMk30Dae4q0+L5J0axwdunSRP4hv5hyK+WI/duUVEhFP5QSLNrwyZjofkwN0eZRCSRp
rJNDgrLfCa98lhob8mxY4Eb9eERev+WzvE9+p5+0dDijtefQUMtdW+prvxluysSnYOLXYidSgK8i
fhilolj5otAc7AUnX1hvuMf6Y8WO2oqBi3u1wP5m3ebYATZ+olKAKIVrtBOxSRrpwIO1otPADim2
Rlcy4KvpbOoulCKya680YI87hUywn6lGL7qNNrRgt+QDF2UpTDG/GY11oCPaTy3c5tCtWfp9FKmx
g+TRb+tBkMWp6z8Kb1jX7QkcJDtLzcFKVjjF6CVI6I0b0tlahfp1CNd7rfZsH+vYSM9aFd4qZrsu
UaKv6RPAGZ+kt1a3IKgVirpWdQJeMEhDG+oIGSks+ybzHK+T/KuEtNFVM2vwhc6GUhpNlyIiTmfS
/lbUdNUpaByNYux6BHE9n1rDRFxkYpijG0fvaorGw9CvqkkNqG6TvAz54qPsu2cGJO6N4L+0yjEP
8vci76+ZDI4VrZwV1gkoOnpysWVIjX5OIPxIsaL/DFUEfVlafQSQHFaN1zNVNp+jNwL4iYP7qKmL
HTUUJ1f8aYN4/JM2DbncloVITOjH0CjQsyluLGhMwwhuHXPehcUosSgfWp9Tk7J5Qxncx+wt64bd
fgplUQLFodgkIreJcS0LyTxrdEzX4xDkJ9ojb/2g3lbjeKQL0u6DbsyOnbfBXktLSk0elUYHjxVr
3bbJgKxF4XjDAvyhlMlH8SKbc4eyozGh8B89SBcmi+qZYd6UM6yw4ERGmBgbcE+aQQAA+rDDrGap
LrF2AJ0tT/rBxoDrZtbw0vTUDbxKe/VKDx4Lr+2L9hOJv8BKQzQ5ZGd05+FlTB8t1Qc9ltwIfSrX
Qk58Nx7NTyMBgWtpSHk7tXM8EtrXjSFueUncADGDXi9HNyTAc3Sq/jHuS+nYtcFBLmx6N5BRdjq+
QECNWx7Mbq8sCeJsbvuCVQYmfqcrEAWkiZ2Q0+XRzWyhB4R5R5/Qrp1CUT7KzgY+Rw23N4vntDTC
NbTaT5sgEIRp5bZhSYf4nc2n3fi7rq5HEERdf6BXspYrevZ61VWsLiqLMhXV5Zr+glWyTTIZ2FCT
H0If8koYV7NR2GVXZa+1uLthHQmJdwhCeHkYvjSGY7cO+11jDa8gIAbiH2sCzrX+w7+SlFzs6iy2
nXySXtQoCrdDLdoDawUgv4leMNnbAOGVmXU66PmaKMk3hZ3SvrKanQd8/ijJ6SGvreuxUfv1BKPB
aX0ZNqekOG2q245OKvMITGlHLXM7NnKzrvmxKHLTMbL0wpFHyqmJhmGA7y9CeFl+tC0DBjlBbP9D
esmMZYQVUk84lwZA/q7EioMaPto2Is1PTYDpU8loopgyBxBGJVyw6Ycg24kOR8tYtJP78D3jlywn
FX33mPZ7gVuWFo4Np2nwRuqCNCwsw6euK6mcRpJK42c0tv3EzFr4ggi1GOMZ72tjLF/TtSw3AE9V
pOlZ4lBIoXI2yBep1gp0gUGzqcBPbrsouM1wORwNqZgNLywYdLM9cQywBkn2JUY3t6RCvyqy7l3U
8fsUyW+Y8u+8gO5XoQ+z27v9UQaT5Y6tZVwRV9BADFAD1zDGBzqX0c7MUmChnnZvT7BWcxrOawoW
hte968hGcDDNQYhTveoSLqoxgGwKOdUM80OmtT/VxscuCNwgxVY9d83v09QqLsCYQs/YWyWoSwz2
OJts61TmYe5EChP55Bedo1mUSSbNb4814ZVmJJco20Xl4M+SDsmIz5wa5rWRyf3WEOAHxz6AQApm
ETGz1N2D0bnOq+qM4YZylKbnOznRkQUwr8keALIArDPAw/Ac5TQvJjzMlI3g+JlS2q3lQuHkzcuW
7gQrG82EqRqhvWFQDoujTGwmHvvyQ7bj8lDPJovlGrkt15ohK3tVAnGWC2hrgwC80QeGRiurf5LG
FAp+PB51dBXnQHBiQ0DdjdHY7numTbw1SbaN5E5C4x6dhzTWYI7My3Zhk1o6l+NUMgghUnknkIqD
E3WFsQGBsIr00dsxURyrWjSHBP/7rvamyxh13m6IPbHqZXE1iEZbxWA2kAuL26QrAF4Sh7b3olJ+
TC3tJqIhNyiQOmPVDyjZC0I5qDiPsnZoiyE6lR5ZCwwkrZIf63ySbwZq0JoyBkeoXC9Y2iCi6WTI
xUN+X5IhekiL8s6wC/CjmYDFf1vL1nQzyVPollNabqhYesSe4pkLVdNEbOCJTW9N0AxN6U4mi3rt
sbPYZB3hs4msPDWqS2q8vqq6tD/3apaDzTr6Ho3lyWJxugAH0z+pgwuP8Lf7rDj5GfqsOBb+YGF1
TIvYKCjVfBMI5UI4dNz63dx3vlowhCCiY/xqf96mjxfiT5r3DyrmpS4dSSnI/M8v7N5C3Fsu8tQf
gaDAgvBL7TVstHZtZjruLKmE0WLbZKaDCsVQ83W7KV99HHRf8nEllmYazKx6phPnVIFYtMR/XIRa
6UgEF+5afQi6AwO5QVhovBZDirdqkTqmuhfhAJvlkDjaLbdV6qdFCbvI274v+lknt9wcJdpzulFt
2hqQT+tn5B7OKsnlNZYLmYGdDYjYft/19QZVCWGrC+jUzIrp5dUIbUHuvVz9vtMmXzRX4fZ8q6FZ
a6HqXcR+le1Pe185/iIj/kU1u8jKyrlCPwbS9SIxZeNBibWpB3M7UD+IZ16h3XopX5c0sUVFdw4Q
DBwN6EH2Gwu6EOkTHopZRBjMXqblQpq/JfMYozlQ4TCyYvToboDR4Feaf6rl2pBqk+KGEv4vXFcL
eVKbiTLLtUI2aCTrg3huGcEB4MOzMGcReF5Q49uNpIj7My6TeQEfA+LBqzibcT/LbbWCMMn6hD6r
pK0HP6+umtnmtVwjZKvdGQLf5GwJq+eL5VpCnoPbqMNLNz/Uk52mSYMvRONy8IUKVJ7Qmp2eHW2D
tYKjgO49H9lnraO4ywfnR5oPxIIGuiC/M5w/MQCTkmQJYyh2PfyKIFLMrR/DjFkujBmfAbu7vOpr
DzEZ1MvlrmkSuYMLnj1w9oBeCb4OTePiimCK/IrMc0Cc80WGwdwdtBZcv9xs7LG5/Iv88luzOQa4
bWN7dsjOknl78Y8t6vnl9nKx3JwkD2pKldmI31K24ajp0dpP7ZFNnLdZDhyJLQOY4RTxkYl3tZo/
wfKBls8y3JIsh1UPODq/yULOUWcmCJjS4ipCvbU1gZIsFFUhQZfC0ppUCCwihhL11tB7hYzGmTgV
zQCqhTYVc6I4SBAI05ml/ssF5/Qf10ZzTsD8vr38WV7upMvVu/bIHvnP50GIl1E+zbebVk2r599e
baq1dF/LH0MxI1tKnePu66peEnnAXMHaZL4z6gB5pFXIOP/9yA4HEH5ALpZrywO7gXmY6s2IMIFD
Qo1atzDAPS23ACH8QZiyteq5bJs5B5JHVZCUFVf25Qw8TmE4hZSFTpTT6dP+ZFItdKrfbprkedrk
98xWNnz63y+vabXk4HaZo0L5bpev9RvutdzXz39Yrv3dQ1ASGrsuY0RfzKgLd4YAAk92Jb8y8TcG
8zZbT69zcO7MfRDFZbJc0MzN2n+xqO+Xq+WonkIRkRU03OQjDWZrkeF/W06/vIeUcUtnKmdDa36R
ll9zQRf9cnUxnsIz3Ykw6LbYJxkkvyhGuZ3puxj07YLc0czOIjJYBjnJUPL97y83w4XPM/9huRkU
JSKAFtHmPB4t4J8vBtD3ba8HOme1ErwePtlCDVquZYyfQ6eGO8rElaMagKOX+5cLoybaGn5NRhNl
ZIc3UvubRxVOoKDaLVcJyCLDk5b5OlkwsjOTNpqvLTcHv2IHms4oqyYh/1Xp9t/GSCBaJmPTbJTs
FYlgEchWfz0I55sLJG05Jg3qbxul129+Ob6Xq01IKTQGu7JebhZaEG8TRTn88rjlyJYb5awYkrb5
5eBfHvP9HqWCsDlLC3rrM5wNfALnUzbMeC5UWV//4PKU2pyBCsMs67XkfnKiRba8IPcW0F4wz4O/
3Vz+gHlYrP+f9vJ/or1oBOD9O9rL+aP/r91rSlcwrD5I81tedP9OIunXM/9oywh5TuyzFFOXf033
E+o/OK0oChqqCRBGmaEu/2zJ0MiBwkKihZgbOhDOvnkv6j9MG5GXrWlCgdAia/9Ji8bQ/tqg0cHt
8UqmpVvErNAC4n/4NW5SRz/kl5aYdrP2Jg5N6nOBa6E5fCiPyQ6Y4qRuSnEF+BJNf3vfvOo//fvm
EXgJOlyanURzDhNbm6emOLTelrRtBlt2MgaSO3lnk/CB9hP7wgNhVWVGMudtsgU+ssleabegT1Gi
Veo5wYPyXh4IF9oDloq+Gor/Yxzsv6SqLp8RjYJtGIwUpk1g4q+fsfJULFSpNeEHE4+totwGLZCX
eUPS6z/bqv2UpDnlIA5fjFC5/eWA+Js4Vd2ev8FfMhSXb1jnlxKGLgvZ0H579xz4aRn52rSzHuz+
IH/mt9U13Af5R7MhZAtEl7dqP8WdfpujzDxQA4nvpI11su8s0PHXZeHqF4Wo6SMysdf0PO3jSwzq
+RxWq/7SFmuyVs7jq6VT2l8ZdyLaTpGDbfhn/hgctRt5W1gfEGHgvtrTY/zBzG/e6C/oLYlKziG+
rIxTk64msVpRUGav/pA+dAhEtD1c+1S4wnY0YpqKNWkUVKZQFtXH9IgS432gSrFrxMoiJlU4TDKW
U92VZ4C/yqHeWleak/7IH1DvBT+jez7OZnjKPqetdDuFm/AE7R8pkrrqoN7u+iPMaaQam+hj3KVO
60yji4wrLlaf6oFWS0NCQCTtYefXbwiRWrGSnPSNAvCgO9K++tFZTkqE14MFip8oOXjzaKPusY/a
D169TaLLeEOKvX/yzXVl3eeX+MPXocespFN+b2ynW5AL2VPa35NMRB4AX4d/HJ+zV3PTw6ClnvwZ
UZM7mea+U0AauOzxfXap1qZH4wGTi2QFsYp10HHPHcg+7TSxWEMAl8kXXd6gaRaX6kd/MN/yG++6
yc/qHTt32npdvgv9dUDM1G24lc4YP87+FZmu/o15QGAyOmayBgNWvCZXpYUQZBVcckf7jFzCydoN
wmWZovdbE8H/3wRs7qE7r71nwgWK/Ca8b4KTdQCLR0ALQc2RSz7GYdrqm8CFvYTrF96P8aK8eye8
voTVPGMftp30msyGH8FJJTeNr7YuHDp+yFMou3qU+bfiOLDcBJV5sJ7mAG+yAHIn+agu6JuGswru
5Vp+AZ5p3Pp7QfgWWoUQftu6Jzr4vuObQJnWkLF0pBum7qLXdg9u9lq9hVZnPfhv5rmtD420Cp+8
B+tCKZ9DG1Fn46DF0/bmOb3u93KDbusoLrXuYjAodtlbv8kgze/KXfJswzVZ2buApuPJvrEfp3KV
t1tBSojbrFPOjlXy0Z0R8rcHNbonI6W8xgd5Xc9dQsQ4rCRgyl31z/AaxEXHdALrDYKKk7jNq7kL
KQ6tFNcO1iReolvc2BfjihSD4FSTOAbWtt/jMqfQ+rNas5RRd+Ymc8W+izC980WulH4bncadV+x0
sarW1TlN11SoT3G0VhDDPFCjHMn+6KgerFvT6XyWvSvlPXkIXIxoL8i6k626GnfDDZsfc8vi0thH
D82P0dmNu+AB6jydXzbV/rUA/tGsjHvvtf6UYNWiYj113X58Yt3uUqayLy0iI7Dj27Hay2hut4NP
WXNlXWvtg33pTs1LcEVeIKE/t/KT7KSU/1fyrXJd9f/L4EyO7V9HR0tRDRwacAgVpjnjt7RpNZks
ozdpBdUASzJKrajan6ywdv79MPwvg/D8NoaNQAEdgqWac9DtL6nK1RwiIHtKuTOU/n5+C3sc9qM/
fFB/p8CfEqw4lUzxf5Lf/mboJ8TkX2ZXSyGO10KJoQtLt2Wm8V/fFgC1juG2rnfUv4GOhZ5rDBn5
k6xbV5mpST8UoyY+JNl4xWPk20gTrFf63DBAUel1tDb2ejHe557X7SZL5VSjA7RpDUqLoSYf43Yg
CxaRLuKEeqNo9KyQNequNajWplIVEs7g6Kzisj43A0NGMmGOzvUDtovoOpu08qj3o+VokSDmYeOV
df2oFi0IbAEPHAC0jfUkp9dnTbdNyj6Xo5y247hTNdJTrPyBXkR75xu1erKTDDo5VdU0FhJ7X7/Y
2019pE0WUjtnIvPk4sXu8j3l2sRPwe8bP1u/J4sRFXdlStCVsZjlKfLm5kpOY2WrydMelifyJEyE
cxEX0Z4HZLWq1oWNmLxHLs1So7sJMz4CP3vDcGCtsv9m7zyWI0eSNPwue8cYtDjsJbUW1OQFVqxi
QWuNp98PwZ7KanbvzM59LzDoREJEhLv/wqlWRalIu0yGZAGm61nNS2mBb2++gMD6sylrLAY7uFtB
Jt9Hpqsfg7bAkmZEkzlTUXTPDIkS67DBZOZqxsgUy0OCaC1FDuwSNC7S/qk++IpLm5r6/YJXzp15
cZ0tDOwwZqo0AtYsEnRu5XQlqWgsaKFsHevKOlLAh+cod3R8ln4eSixPTUl/75weDxz04qcipksl
b9O2KsCN2qi2lEyWfRdetAwbPpUrS43xwUDWjOvF7iP5UWa6uzFyk/5sVM9hWx/xdk3mdWZChAvM
pyaA0aRTuu8mF5/YZJDQAoZTSn2cjaZ5b4x4N+YlGA3lJANmlQbjovQ/it64G3MJHzFveEb4+inv
Ca/Ojewny6qv7no/vQ9d70ENqh+h3cOC4AUe9Sai8vw8zevdUukCe1IGxh0hwY2inxghssRfjPQN
2jodrsxL6mxw13R1oavQzpIQy9ky9E5+bjyigHyUJBl6gMOTttUdLlbSWop1aVOi9BW2pGU1GF/A
L7qnNE/mso0BbJ979krqP0CiL2Qpfuhz9QduCbtuSEsaPrKscrSWomaYEX8RYjbmBfCxNxvoGeoT
cqSzAZHVmLsTj0dloJqbe6umuyeJg23SpNUfLXJcBHQqEancLKZnJrvSqo8/nNhbWdAZNN9YdKm1
LDELqFGo1y9mntKDOlQIQYxkcH8iBLGTZm5Mfs89dexy20CuFglp5c1oMYUrMSxm4JUaHyF8p/5+
bA30UNpHu+oOICIRLZJXOsKpE46+AipRMURr+8Dc42xg7jXP09dBkpwH3wjhorhYAUKZnowKG+2A
DYKNVYJ1GjWyJwg9GbXuYheF9O+QKsUW9sJApbXZVBFUL9CPfbNPixIMgOeu9czzQE2E5TwzKGd4
1YgmFS0fyVC7Wtit6iHF1+6UpkKMEagRAH70VBU52A1ZsLIqzJHExBxUdRcHJWM21an9dVHbF7fG
2zaVjIoyDcU1DF3zZTdJlPd6F+0s81sYTQgXsSqwnxEJSnfwLaAvTTsZvhN9zrXqd76IcI/lB1UX
jxxtUujt0kMQZObXMc1n78QuGgDqR+HhjKSqbbC8IMtH8f883lWUAdHabmb5xl5Uxwxdj1mwxsiJ
IaP7qj6OG/U1zJfVojzGx/6ofIuRot6j0Wg6Cwexshltd/Q63PPtF4ces6+f5VpZUvVMDtrJfp1l
Vx/FyFesjfWz/6066KseZY+Ze8reUXm/IP4MsUx94RmZL/a+uvc3OvQnZKdp589WvrZAzBgwCFGm
4kZNSAaskstqbp3kCyAu9OI88ByIRKL75M0meQ9rq1xtyLOUT2blq4L2pnWgNMZhGIlYc6pbxrt9
sX/Y2+IjaF99ALLhQq+pWXNg+7PQlsZTd0DjGoq15GC3wKhnHuEAenLW1lP2wEAeh/BZ/2StrbV8
DtaY9WB0DdfQuWo/4zfE1bGaex/fQqwj1kW1zFRG2pTUGDYvFHOBoMNGKQhVVhOUfJeBdGhpQJ05
pspkfUtjbSp7hCw9ivIdAJAVGspUAbVqr+hbin0DX1u9d9y5fEQGi7bUkGHzwIuZ5cCYSDHBZwC7
s+zMi4ErLX/vWtA27ZNltwzslS+hIE2DQH8yLzFUx+2Ce5gvvee4XucLg8HpCbNaC6TwFi3T8kXF
iRhqJ/aAw5wsa2zMJbR0ziqKWFsmR0g+eF9i5WfYKxvPnUWHO8cs4vsa1kCcSw0ZtLltHvpmRc2Z
gi9S0gOOqEDElsE1424xuvxAYVEr9+U7gpw8HgyHIfFEM7ho8dkxdxHkKI/y6V2H653zKp1owpyT
YezMV7hd7YbXIpG23OJJb9O7t076jxZNu2hJSFZTVJjocrhuMWa0H1BoA5sfnuxgb/4wltJ1fHLP
xE/VawmVOr2rH+AO8duYN87Hl/SQb9sfxGQ4WOsf2io4mcfkW5PNZW1WP3ePQY+l9dw58dngHz95
XVKVmmeP+aq89wm1qFm/8gVo7wnBWrgATQAQ28H7jxf8cZJ0XBin6NFgqDoukGY0w6WTL8GfP7fW
zKNsxvXvuF65Oap48jHs5lYve6xl5RlQqXmBHnixLh4Vf0ZOkb/Jqdv2kikv0JcRobTtg2cs8AQk
I8tNtAgkT1E5Nw5KsbT27s4mArWJa3hSuI3PimjBA0I21H1qoidvXCfm3CT/1+yldz1dBneessFl
3HDWBQOxk3OeWAfjjKp2v20PESKO3oo3F0dHaVasy30TrfpdvcNr2VtMwIEfA3ZaL7JziA8uMrjW
zHSRPp3JSIC8l3hWEM3NsFHMvJn1wntFYRpVzcn6BnWkDVju9+Ydu4cNUpnVwd+k/cyyF9FLvK7N
OYMBAjCkVZ/A6UdnTGAQl+xg+ZGCnUlwcdWZZM87m1dk7pnL7lAQkKeL8YhiHC87TTP0grdSInCZ
9+ChrkTk4M+iB3xVcXB6sJ1585wxwunX9lzbon/+oqzUtfkYr0nmvCaIQ9B9bONjsNIeU/IKS+uw
R4hrvO+SJaAvwP4XvOk3IGVW4aQOoR8jmjFvkS+wDLB++MHM2yQnJC5f2hf42G/8hyuRrp1u/F27
bseZh9frATDjuHQwiln0Z4zkhnIuU0VE0PLk3kHmxK6eqA4My4KwvL6rztJrsTfuKY3WLzb6qbM3
f1vtIcMuGSZcEQR3MGCn1W7vw2Flr6n2uFtn5byry+SJLrS+THCbA6ZoJ+9UfscWdgDOc4yCuXOm
uKYz3HrM35uFcZzABw/aKXiM9t5GV3eettMp5wwzdQAEsYmjQ15vc/liXvWjdZ89gTtjgIkWRuoB
hQW7uSl/EBoA1dqXW+WFqtB4JqQ70cOQCiFGDN5rB9uWmeMtoZ3i5GA1UGnmSbLI3R33HZDnC1Jo
YGXRMH1RtKVGff5sn4x6XiorS1pTvfelTa+seE6uv+K/ZNFVxidd36rhnCAVJozbrNIjaZUO8ER2
IKpUflTFO6MKB1xXfdCv/gMVS3umrOyrunbuYc1QdoQOhIAqkrXYTQZIqszKra8CTZv1hwDJiKXt
nIoTBlayfiqQmuCr/NlC99/y2nnP4/fkJJo5fentkjeyKx3V3zegAQyLnOVwSdZoS169YKcp7/A5
Q/vqdcfgDSpQh0XKVGEENbO384YR75HGv0GYOdq73UOj8KZLP4HgYBSDL+qF9scB8xc7D9GuvcfJ
+rvyDIiSiKA7xq9kILQX5UwCpNVmyjnejqviqqCuyHju6r3RL9EYaNo3p10BizlndwHApe/1yqvm
ybMsz21nAecFBjdhc0hXRvsIWIR+2IQe+djnj57NKHweGWtMrIAC06kotHav4VttzaMzKtjDtX9x
sbSd3LPm9VbjjQ2RooB9i7fMzH3zEMpGZUJZ5u/FY/aWuQf9KQ/uwoud7x1K9pvwdRp4grL61oOH
phwSLECMR7sQ2bLNSEfxrGwgk6wx0cRGg4TIRl7XW8LT5hgA+ivXhbpqPmxjgS0ezaZXAOmcNa/2
vTye3Pt0AwbutfmAPZkzCnjAoIz6plYu+FC8k7xMHpHtcy/ZFZjnXX4Aqhh9AzFf/NRWzVtOfuPn
sEu+qdo1CeYVQd3IbW/3HWRDBuH39HnBFer9pZXXRrDFH3A5vOnNonikVQeuiVmlR27sBF/8njIq
vYi2sZ9gJ4K3cM4klL5pK/mDBVzSOg8+HeS5hd6vXQAt2I4oc/eBclq6N+5gVBn+yo+vyQfW7na7
TD4MyPXRdXT2kbKSlna60qyTBxDv0ppbl25xkN900i2x/t6OMsGJjKjHy2gCDYjooPRlhukzn15A
YAvsd1Z0KnU34EUMgQo8ovBot4CXVqFLWk1RZ/pxIEB/wZDPPZbaz6r8XgLKuPCfYP7CRHe33gdj
mBRvXm4KssWuN48ZJeyselmWSzzg8leKqDw4/cPlMaY7IyL8mMHkQ30TWPlDewCk9b17AwqLCsn4
XnwQNQL0yzBW/FkhVU1HAynR3pFLNp69HqskeqE5tlK78TgskkOyThhdLjocDk64UbyWOcIlaxB8
SrsA0tzOilOwBE00KCv9h7xliBisgXh7e/2IT1cN3WFWLL1T/Jpuw7UPcPa9yTHD4tIKAHhQRmf0
FGd7XZxsey+v+4/2wz7xVkrePHkYj/4x/e48eOf6mCCb8u5sg6fyAJ+e/Hnx1A+rIf2pjJcBFHM8
J/Qawm2KMFi56r9bNtS9VY8BjTJD7xyUFOZkQaLNW9tTwVQMIKJVTG+h3RnebiSK9Q1L3nderOx7
sUGBJNAmtbSW4Y0v65jeFgU3ZS8mYj8xJw6zOpCmaRRVNMqNsnf6AJCT2AwtK9+5wyX2apAPoX+t
ZGVyy9MAo+Hw69PO1EWlL2wEG5agNTSCKq9fJ7kJybNPGMvbc8sIz2jS8GEnACkTdOEWhhVdA8ff
Awfh2oBiosmdyKtWogcZLdmZuWmhQzmkzK22kNAbAzpsY6LADgRr5klWDXFAXlaIXkD7lUlGOQZ5
Ttf3lnVYvyqR6S+LpuruFYDHQZLGq0Ilwy47DLhrCluLwkXXMlbL+6rS7EXm2t9U0MIMq3GtHhBp
iUsPomWsLhCBKJddXJI0V/HO1ILefwqClVFAPpVCS1lBfoRyrrnlCrApQANAT4sM7updwejI1nzo
1qE9K3uPYK1HDAdFgL3e0K/n0Ugixe72fhhfJReFiBbz8aNfaa+mjmfPOMEsGjSo0oFMpi6FdyCc
d3Zu7S06JyDz+xZumzLGNeNHRshd5l7jwH1DW6Pa1ZjqtVlP+BzS/lWjsYIxAScT3IKVbSNvT3x9
qXN8BVV9JCWuJtFyCBIikYFBBdLw2Eg6j36CZHsIbNNvbZx8vYOb9y9mlKrbtpOok9XmxQ2/xU0J
2MZRPvQ8JixrbQijQxiuZRx0pwRI2Ojxq24TrLgRopyjnUOXHWsks9z+bvSuuMoaL8jKV1Imo7ZV
v0IBJL2MgUroPhTGT4QfSgiE8VPrx/SrRQTxpXR+Fqm1VyoAm+gekTlJuQYAq0sgs8tOtfGhxshe
qu12U/daMCtk/+eIr6ZSEg3ZsI79rvU3Lrm8ohkfCyiWG6RIEWmSEJD3EGAhuOqeh+nHVJXoFPSj
6mBB02O5AhvVWZpATnUFi7AgxIm08tWNnJOexplgPUagdiN06melum/GZ0DOz206+S8TUzvAacs2
e65Rx/w8Fr/zn7K9jZScxrojfiefFljwifrYPsemXAAilR9qWX9J+wj+wRIkvoTNuIz4B4NrB/8A
/Asb2+MKJrGX6jkz8LBLCIjzlCGqltWPaYE4bqprjLU7573sF1jSvesmQ+OghSmTMWDOMaO0UINw
9FcnVl7Qy6gIQSlg1cgRYEN7yNpm5UGBmas+JZSwCJC+iuO1Uibe9s43Jtj2QEQHLGqdKQHBTCXP
1MK6OoP1JIUdYZOFKaAlv0Z59x729DQ2Ws2DQz4oqbfAPoGNNQgAhS32p+EjXsbg+DWalFgmWvar
OFv4AdA2rLqXgE/qjR0U5sxJA3PXKnQAlvfQ9Lq/trR1S1wa1i1IN0lGVaNZVRVyFVLw4KJAZehK
SvYJkrJd11s11iLY9FA3YhX3Cq0lbyF5+OFUBRm9gAoiTeRSG9DOKF2MBzTqbV6Tn20nvQZd+agU
w5QmG5C6qRSwIPWd01Ug0+XuMdHrcAaig0jGgkGESwZ82hpJsoxysmx5mxwBCc+UVuhBXjVuLW+n
mqJjz5DWKEGUt1HzjD0O45GYWgxteHJwiif8hiri/vDVqh3KVyHqXToKVqFnP7RdeBjNauGqegSW
VF7jKw7rqgXCZ0jSsAijQT3n1AElOWtXpgO1L0ZSFYtYbwbw/h4kOCmF2PlWxESumZ889g09ErZ0
Ey+sxDwVOS49Kk45aYa6dmFR6AutbZ4RsROK2OHMjMNwmQ8U1mS931Xtzq7UN79nIJvXr7K5x7Hh
RF1jk1twIuy6+nB6CvdJtZABeFtSesSkktwMHpLzu8w2tklR3MuOfepz0N2dSaWtlrttUpY/ctSU
Bvmb5yV0p2kDBSyA1i5VCHkNVvyKR28VUf0tcTmNJ8QVtQQGPIQ4w+s3E+cTbF8Y2Fdwj9KWPKkm
qYe6IStSSlOsand3gY3zXBQGVxknNyM24KIXlH37rAEd7dx7ZZiscEahY43yTVWNW4zVdm5Yyvus
RDArlOO7vq1fETcu4DYgou/hdIfRqD5Dqv2aSdK3vkW5zNfOXpvugU6cu97BOdRpqtkYEkoqUOAl
oN5x5Ztz3WDRRHth48LRgGMP0QSGCOOo2FpkTvKY9R2rctJqZdfuAXk/yla/qLJ2HlWGsobwFFNa
7cj+tuq6ojWbmXZEuqPVTsqIkkE7mGvAz81sjAFXpeO30Qj20GCkLTpQV1hFU8I5f+z6mCDarO97
NE7mbmddG97T+aDTwKsOFogVjolNTNxErdXTCatay1hXbo7cl7Zwg3yjadI6yEn0abGjzAMl3SJV
sG/t4F7i/z8FJM+jLHqJrMinJ0YWpKQjU1KUZ1Knk7d6K4MuRwZG1RJSyKFGO1XqwcrPCeytCufB
2kVqJMBVeRuGxB0jYiWyFwYruKjtGSj2rg1tC3d3ZMs8FdeVsVNWGnWd+aQOoQcqoaE5fNMjBx8L
1GDmWR5tRxmF/cze6mHdLG1JkWZ+gyJSmqFDOfaLDsQGMn0ouo1qNa9knr/pjivNJy5DRsOcu6F0
GfQ62Ro5viuljUJag9BegcHHOuzUn13RksaNMah9aCHOLW3g38UQEjrA1qpUqCVN6y9HVCsHu76v
Epu8Zl1u8Q3axFZADqI0rl1Cl5uPzTZAujDiFsEpsA656UqL3KOzoWgVx8F9MVR8MZXxrPY5tLIo
eY1c+bEr/WFtIPZVB86zJSMWpbb9RIlz0ZSqkM32zBeECMg6hNLCUIDG6gkUEEWH79PE3SpT1BcQ
yIhVmeQE7Clnbajx3ShJez8f77GX0RnpQgRHLobPONG7BzvNULSylR/o35dHPazW5PHRZgGIumrd
+s6rtllsvZtqIONZbe68ZPgZ4nS8skECIk1gzjNdXzY9+TVFYsQW6L46R116XvR81Vbx3SpgOSkm
r4RfAYGu+8pcRCsliYq52qYYp6rKoys3HhwkAgUddETmNi0GJ8F9lKCbRIFmkhIBFVRQyo5aIBCT
DqPrLHoqGkNHXsOrraOqMTKgYTtaco+ip4PoaIXLOyZA6yBtz622kmzIlKrfaGsk/PRdlXT6Tsx9
WezjDHcgTFS9InoPqAwtFa0wdp3t/z4R6+xycJZYxr4JQrmYFC1fAA2WskxyRm2uor7KTabtKjP9
jspZhfCQg/6RLKH7M0HADb8lw+d7BKUKgWwIRHjRQ7UAVEVOMyZym4ztW8/LtjpZJ2NyIYyK+I9J
M+RXKdGsFSLm5q4KB4i5qpFZO9XXzM9JimTIrn7FZdyC9/TPSQC8AFWzYntDRSYTSNIANyucIpLO
JiumGelFdjsVVQsjOsQF5n2i2v3/sg3/TrZBQ4r3N2DA4lv97U+WcBNI8PjRB9+zPyMExWG/XOEm
DQbdNOj4ZXPCCf4m3ID3G7g1ami2rlsQVX6hBDVrOggLOY6yHFtoOlRZU/v//V+a8g9NdRTT1hSk
FyDl2v8JStB2vuo4OI48YdgM3TAUcHT6F/xEAZF+7Lw0PFTIf3qF6WYzDeLBOor7Q0gD8odRCy7g
hUwdrNLA/ihzSWI04Qf4eRe+8V1PfMAExiHrMFimE+4+J9rksOziRLeUkuEtUaAuaDl8BSctAGuL
2dSGc7gUsw1iKZ/bxWJkQcyRIrpfASjOECLa5VqB70DTraZPEBchJkpVgVATs3Ae022Q/BAA65ub
jzUpnt8Wm0RD1kVhACN0IsZJklfIRGRCe1rM1iPVURSRhoWwf2kmRK5AY98WxZxD+hxnhxGeDQYs
wr9Wm+yHbxOjYaTd6MZeGOYIUxgxEW4xnWRIqzEATTERaeCe91iz2MG8EMaohEIocZmCD9Fm2V1M
5XTlthouqHoLk+Jz1oI7to36OyMvMYzWJvuIYiIoiIlYDIMwxWBP+lmildntvYAyzVhZlKwMKez3
kzpZ7OPlYLjupLv1o06Gi4RUBP11SgDgJPAYmzMil95qqNq1DRdjZknRpI4Q1Ou4b6doYa2gZrBR
7OSh8SmtoGt76hSyn4OFNlMeehdg0UVd7sc0Kvf6NIfqYrZuFeWby+DK0qQplaq3K5x9pBkCDAmy
52McMMYNJ0V70W6LZxOaxWM81oU7UozTn8Tz80agh1Glo+150bPOpPI4cSS6hhycqw/6PJPND/SD
UMWeXKxhrmBlPc1BR/hj7rZOyzuyqbdlsc9t8XacWCc7LrVn4gAc2xsMzn6d8N+c5utmcVpP9SkQ
i9nP7eQ/R+gRt980xMXdlm+/95+vK3NqMVE6MsAV3t7TJCnlP27Il3Ut6c21ZDiwE1dffurzFny5
TV8WwUZ11PUqdGinn/E7JV+XsIDi6XMJpu9LTNJfi5FAxd+WxeYynUw2xDFiy+dOtyP1YITHSzLG
VykP/d1pv6y7/Xw+TL7TXzaLxds+t6tJa7KeEp3xQuwiNvzdfrfzSR4O3iXK4bdVt0Nv627/7bYu
qtRzaZoDb/gkcK6a1iNGFB4DeXOyn2GSV1kpQ9OjiSxViZrl11nVntgdg3cOAUkj0llUMnoYDB5M
yfPm4hy3s31ZFOciyIASKLY4fGygLaYfH9xQ39SIIoh9/u44se7zYLGPuJDPM9yWb0d/WZclvbol
cZkhaei3tJBvJK0SuGBEkDnu6TGi/mI5iE2w6l9njWGiIMZTM/p1U95skKNYC9+AwJoaiyFFoyMI
KNDeTFZK0SX8tpMndr0xEG+7ChZig4fraoiMUzixbG52LsLTpVICWmgG4M1qxH9VrBP7iTlDWGbf
lsXBt0Wxj5gIaxgx58sUgJwU/rEgrH7hrxqZg2qZPabz3zbUaPfgpoI0qAL5iRb698nfrasjVJgw
OxWEOUHGFHPq9J2KuU9fG7EFU7pNrrfKGi1hZxJQ1pvdYGMcqqTB6evOn8eJtZ8uOfUIShwdGdLf
jB/EpGldrj732rkgFhKx/JPDOpENxaLY8El4zbNnuezbrTwZnomJKozx0lC1l4bjvfTTrdIqhIzy
SpN2HonBZW8jyaEDsCThR+NkNDR/neAV/ZqIdX5mvMtpP4GA1RE+tDvCumSSGvzftK221RQCCBap
mAuR+mv1LN8Kdnw3UeQVhMwFF9CHoEyuqlXLlaePd+XkwTOQAZ6LZy6er+B2xu7ICyNWNuLdMSZJ
LMqgSKpwvIY/dZQijesiXkX1euJeChamS5KW3J21dkdZh9Tq6Dsx55Ms+5wbzCZDEy5DOzlJwR0I
Mqo66lNtj3ziTu5L+GE+xooUuJCcH4pqo/bVwugx1brnRmU75A5I8OZAlwwDAdklFqjeMkjIv0U+
iM2erAL59MDZxaiiA8WRABrYYAvUdETYQEKDSXjkiNGb0L0Ry4Kaq4uVYvkmi5MKC6hcjVUStT3c
CrF82y7mPleKk4jlGPl1MGD18fOUIyPDheOGpI0k7d5WOuCfUj2OoApoTgTJVEzAhCKu2Gkb7JpM
xTOQQmW7mGjTyEvMVYLwKZbFQbd9anQngHmJc/7a/bZPaZLrUEfZnQuzMjEZm4A2VczylgHsyqfh
7t9uH0yg41kGQ/TLPmLv/8M6scvnr4hDXAy9PMcrkV7AWus2uf3VtkfvB3EKZy7+lLhbt7/7ZVH8
0UhaG+O1njqk20SZOqHbojf1IO7UfSm1u9JKmNiu6Foy0ZvddhRzvRXTr92OuW3+PG0Qa5gJ/fpB
sRKRKO7ql58V+/yv65BYh5QYaysTNTT0vnnTxaT2Sk71dVYspyiVfO70dXNlGDzK/337byf9uutv
y5+zv527V3u+OlywPk/9l+1i1zHIsm2lIIX2dxf+29q//6XbRUeD8jA4Of4P08347cDbLr+dQuz0
dVms/O3wz+2/nUqL13qFSUooRepvk/jXYpKBhEKCE2lX9ritvx1g6TKAqjF+u61y9VpFLzymHCxm
xZYmtpXPn0BEFsc5UOwMVbHcY9LjoLYbp0kUTloLYlasFJvJ6hIN3/YUc7hnKgt02gsKKb82mygC
YTI8nfO306lpUu3ULocnKmbF9s9fEsthOT6MObigCs089P1/HS7mfjvn7ZLE2cVmHvedpGBXp+CO
gTSO+iS+ldsXIRZ1D8b05vO7MNswl7ES5wMUeyEkZ5F3ppokuOWdsJPxxQgI3ec/zGvEnJ3W/tzB
ABzRiAJuCkXNP+jrgsMutSPUXTGbjJEhz8Ws81E2RrDr4ajTqU3fDMojuMlOw7nbYtKvwnBn2Ha6
HqSm2qGy+sZghwzCoIHVqJqPodF/uHTkcVas+yjzyLHeewkV26xpX8AcJPugAqdQo8jnI9i2FLF1
xGkyZ++gsLVEMQEu/J8nIsIfgxIKlUc6QWrScC83KogPjwGuH2k7U6MzNyfwToEMM+h1NNeAw/Ff
DKPfI6CD6g5DVN4dCn0xaWmKH5KxCMvofItdRSpCRLFJb3TLwqRu6HTk/v4/Yfd/Y/UqJjycX0ye
v03YvWZl9CVdNx30T0Kv8g/bUFQbTo+CcCbUzl/pOsv5h2WSlDN1R1f+4PveSL3ylEOTZci+mm1a
pA3/SNfp8j907DoNBwVd2yCbZ/wn6TplohX9iXJqmJpuGRpqQAa8169sJ6U1i1ama9oOshefW1Tb
7lwUBUM4hB36FYtRcVFwcnQ0WNyfhhl5mzGmVv7bTfsb+pMyabt+vQrbUWRuE/dC0Jt/Jz+11G3G
wqYglcZOgRy5e9+SJhrbQTkZ6GythqQ8lqY1p6AKPkCRlp6BeFyf+2vfoPaoq5gv/OtLUmFvf70k
8qUqQ3pLVx1QNWz/nQYmaaqVo8O+VYe8RQpfqhdyMyokC6wfSR3Kl7hvNkVW1WtN8951Ay3OBvIs
tCwE6w3pzk0ta9mkXbPWDAOGKvLqM2vyWkhlGhtLljBz0QplbmW1t5x0IrGcLzdSV206nNF2ktc/
/ut/pEz8uC832ZAt3jabFwq22Rf+diHJhIQVhoGyM8p7zSL4sH34MXkAejx39I3qlsG6inp1o+Q6
rkjoL2hzM6tzLLnShyCz1HOq2s+uKjvLf3NtfAV/uTZedE2fhC8hYfO+/3636wqvh862ki1KfHcu
CbcObf0tWbZh7clIZVYOgMNBK4AoNgg6GHBp1K7YxibgMM2NxnMinT2Zwsy/ua6/vJgw62Wy7VwY
dEDjK+cwlCVoQZQ2kcfbFnVqzbH0hkspQY7KlfRQG4iU+bWzHMEFrFWve8oT0K9IPSHZa4zKMQF+
+K8vyfgLP9EyBDERxj/PkmT3n28VaAd59Ny+3Wih0uHP5Up7swRIDvYGcl1Q3sfuMVI170rhOXxI
FXM5oJA3H3UsQZIS/VkZNNEJHzGABq3ULNo+1neD5oGBG+XnsgM9jrTVcdRimE2UwedGpD+YQ68c
zFbe6Y2+SpUQlnl/Dm3D2OILYgDenszQGCcMdq+hjDW8Zw2akbbk9PhPZAed9DDBXbU1tOzVrwEi
9+j7z+JQQWaoOmkdYsRZVg4n9D3sYfgZhIW6lH2zWfQWVEFLB6xeY7uwNB0cnkYE4GZd2pFxVu2H
f317Vf2v34llKArr+e7Rd0Gb8883OE0c2wuTutmoFCFNNclOmufui9RxYAJr5TYsQDdEhd1eenxF
qLaP+xEbm0vop+S5QSObNU4bKeDdvdOWHyVpfwyDuEFD8wNDOf77ULj7yB3dve9a3/MCJcIgGPAA
bMHrmjqJckvKX90acKEPcD7u1WqduSp+eap+iWz1wRn8dutXlnySSiZiLnI8jzRWc2kdYK2aj+Bn
JSn+WUxi3zkprk3aC8WZJYC+vVWldzzG5hTXfb+pakN5aPV0uPruGaxSc0nrRFnLOEA+jBUEnqr0
zw4K1TO0W6TJhG5cVB6+6xm6cTXGEWhOlXMFJNXcyMCToFWCgEMabvHVjo61k0dH1XgfGpU6Z6/g
9hMjQTqOTbylg1vg7Bau+LiRglTLaIOZo44VF5yHQ6SAGzfhZp7qIg6OCvX2RPWAroXPg1Q1G7q2
CuzPOODH1ion4DIquqwn05IvtlFIyFaW9kJRU+fQ+UW51acqaSz3VM+zXNnSscPhl0HfdfqQ7RV7
4vpRgzo0AUSLehx2kq/3SCrnuIs02iaq3G8gGVD1zeydeEYm4jPzwtcUAB5VvdI0+RVuGVy3ghQh
Qa5xwGVgqyXSiWwOBG8ptiZVqK1TWMGV1N8+AVV18JUouLpSC+AldPxZJhcovzIalaRCuW9Sy6Vl
ttGf7fWVoprewSC3fCrsdDh1Em8LsNMegdPhoFohQDJPL66OGYTbTCvlNeift6D20kPVK5MKB36I
jYV/B7qku8GCb6MN9PKh5CVLu9Wp4vdxeNCnSTXIGn6I/ikaLXfFiJwseKbQzNr9XdilmFEbSnDu
Zd9bhWQl5mMDzCo1yxgijTZeQDTLFxcMVhCEwbYYmm99WQyXBq/CS1snT4hb78emBlmu9NqdLhfS
OYBlJpY0XX5Ix56brGSwZIYUbdXK2RnxuG08xzqLCR4qwRZDQCB407rRSe3PDZHB/6hbDKDEOoS7
sB0bc9CxajYexM6aIwOGtVN96SSwuhJLbtG+rLwr/g/eNcZcZstHAiRpWhwKGtNS8/ujXpprsUpH
SBWddWVXaQk6TY7tr1U18u4BH+KIFBHC0MBId2Iio7juoxJ5kqc98BRpcLkhm6cBW6g08yIm4EbT
3aAP38VSUtrjib+36Bk44gzcIqMd+PG9mPSt+2qPVroaaLRnVVOTvJJACs0soOQlHhu7sS/yi4MX
J9KoTn3vwTClgx0PUk6Ns9GcJwWfYATbwelqJLCUzHvKKU7i4W4Nm8YIazgZVbOsGxhsslNJSC2A
TmpGFdKsW+BqVGB3Zv7ogih4rAdeYhkdEB3XSSjqEPGyBBKhDowKyWYQv2r/Pc4a54Ip3f+wdybL
jStpln6VttojDTMci9pwnjVLodjAIuLGhcMxA47x6esDI6sj82ZXtvW+NzSSkiiSAHz4/3O+Q0b6
V5E7CONhy3fTO2qmM5jQfSBhOPn0AxDx9odJQxBBWLxRXQgnOlLHketia2AT9bohO6IIq7ftoD3K
g96la6JwlQRNs08JUdzGwUyIk8DyBFB72md5Ou/iwQRBgm/5aFbJnzZD2y6k7cXIhXsrQyW6achO
QL4+l6g1JWKMvBmjJ5nlX7VD3ovL4HvIcXIQjyFuJaTRjREhyDf7fE8vEkHyZL8pTZwZQ1f96EsU
iubwGo0GTil4ojiiSB8JrbLAlR/KbSTiayaT7te3iYPYOM641CzPxjSYugPxRR9e1+lHU/voPZGn
3senORPO68S53LRfhGlUT8xUN0CAhC4mIep7Mb4E/pDsO+9MZRRaScazLN198PQjEfDD+NVt3Xnn
Ju2NJi8c9YFBwgex7M4oMNtqIHFOzQcpsCJbjlxDyy8+42x+8TEJX5K4DUFLOuU+RdNujgNRvWFi
nGqUmnSS16G08jPH71HEyXDWcfAYECu+SkFpIhtNDSz2wYHIWDa7llh3LIX3RURD2BXYDPhoEyh9
CDEjpF8cZ2TnNIb13TQKqBPYvyulcozgXXlWvYMoPNGS0C7rrKUYLm68daxivlldfy5KZZApeEBS
5m4GJLPIVbP04CTVbe7wZrAhy/ZBXSQwy+VpHiaAKP1HUk4sV8bolXA7VMem95LG08btJB4FbRnv
cReLjRzLfdj1AY3ueH4U9VPjKesUtQlu7mqs+Pdk8JlaMLH281mMTXqUExK6ESTfg5kL/xRiFU9Q
bMYEDxzTOieLQeSswBcN6lSV4UUu6wDyFEcNSNGPXe80t9iJQRuq8ocpynRjEghwcLrqWmd2eTPD
n3JwelJfcB/BtTimXvMzWWr/tek7R0OHD1bnEN4wzWT6+bm3jTM14B10xmfU7ta5CFymY0F3c7ZJ
czP12Dw2YCtx9/nuN2DH1WcSyHc4gN7JacEzD3jJN12WE9JjOc7R7WIgkGTr+E21Fy0ibZH06dGs
/Vvd41tJFu9niWauzQ9F6j9aJPrssU1VVVUe6xDasQ4W+LFSCvNx1Bzvb97QcftUdeG1jCsSZesE
tM6ESl13iXkN83Q/xzkxbYBi+rphGOiTo6MxO7JalgcvUZ+1nIyrRq/r8snIwtQPrpL4Ht0kP49y
JIxNdRGuGzpaHXCi0KkfMgjUh7FFsmxUx7InMKwffzZeUV6HUgybOWr+rGaEaEPMBK68ap3P9ZHg
QQhM6PsPWek4Jya1Yuty8IhTpQ/kx5TxZBoEm7ZlKOyi8cPuK2ctJz5Ciut+kxqlgYGOs2l5DR3R
nyow1u85g45O53ircFYEcdix3jp4pOMh9bZjTNgd40oI1dm/0IzbRlFlXLIl92tuPPKH2mDLaWJv
tEZ86P/MaGM/Iue0E6LCbB2KfaNc7EiTOHVVZyO7EWqfUKtY9XiP27DPXrthQytNUM1rakxWm6CU
zmvTWSuBbShHnPwRAWEmCyJ8tTuAl8lMUshQk1Zb1AjHyQlDKyjUWzeZfzZorVfRFKjnpsMw207O
t743ZmBBebWzDF2updHjetN9dc4S/g+KX0woHSZoS6ub3wasTYn3OBiS9IH7w44cDSyoHHEEiWep
maN6Dx11l+fH1Ai3fT34V1HI4Vz5Xr/KJh8se44dLrDT/Islo0eDHNOfTtAeqT1cBdmhsCVwRjV5
4Z9tEXrnkKLpFsUu1mKLC4RnkmHwz8LG+l/PqDBVluCPuP+kuv9VRyxpH2IZWdwbWZEQQdDF1aYz
8eMVuQbrFEwx3h22SW5j89CI/ggtO9sNQ2XuEi//2rAhO/fkQ17u9+43gezlZjDxa3pxaTQI3F3j
HCrM1nYPn3/5izZJT4SGGPtxDv8MtE0QpDndDE9RZTR8+9dNkXH06r4mHxW4BKZdKs9tsVKQNsrs
QczJp1njYjXMm8WW7smtH8fM9x8NSMo4XKpnM7O9Q00FZ2X0U/V8f67zxmYdN73Yt5VjsJQ2cOxO
snkuU0LgtK4f74/QQ1onX6A+vD+MD15BgjyncbGp/TzZ+sKrtpwyzhOh2s7TlBJqmWZgLuQMEquh
2nKsHRBGI+klN3PQl86M6xeIqWumjefAEvGpnOr84IIRXzeNVV9EmL5ZSKQvlhZH4Q7BxjWhc5ix
tJ51apnPkiBDt+UNRjp0iSg22YHZ8ZbSFPke3XL5CGIbquDAdqO8CMZfbNseUkzDeLDa0DxNs2me
YKbj+b0/DiqcewFCqY1Aea3YIJ0NetVrO8+mdUsR7eQa8bPTiWY/O6M4V0jzTz0Lu24Y59P9psxE
R0je/34sJzgsAhrK1uZ7Zsqc/J+J1U5b3zr4QQ0LvvaesqrrTwEX0Zl1OeYlSBJ5XoV0Vht1DmRM
Xl9b3+xohgSWeF8ME4dTFhAyzLrhSGKLIgtHZNsuzoE2ZF+a0v+O8Co+GzBlzRCuU54nl74kAnGe
4idzUDcSnm8N7ANf26+s8A7K6kjp4K1Olstr56BtBie7aGYBeE3GSk3j1zqTuO1t9WGAlbBmE4a5
Sl4BulMVIP+GNVofwT6nD5xwCYY/vNn9FszBYRD9m1HA6OpnPOL+vCEtFZvgq6yArfValWSkEB0q
BebWAf0xcdsH5eonFicfcplhMnfYTyUhf7g3q/pgW+oYZ0e7kY90uqO9Rltv2vDMrALvZzQgAM6m
+GK4REMG7Ya82pPZmt/K7pl1frSNUHCv5pFVDWEd1lE5ETG2/XjoXRebf29Yh8znmqot8gpMzJKm
6H66RtDt6AJ+G1Os0xBkPuzS10c0byNh8xzfzD9SaltPfYbJ3ypAvTJc3m9yb+M30j9YKvzZznxO
1bX72vGPltDmFhbkk4/gnMzddG2TK036eSXWApDc0GPITx0D+bmCneYbz4ZDtE9Z98Q2ltn3McSW
Wy/lnRxQaSreTcLitpEv8Gu1I05k3E0wjLHMl0QuYHWR62SROJe59WfEV10NEd5/+EYbw2IhoNP6
W/rpqCp/rBaWUlyP+W6pIBfVrP9g4HhgGFqy022stgZK9WII6oOTl38OCABQ6Hv2zhpD7z32nVtY
e8cy0SEVUJ/0DXKA2F9J580PK7xRSXZKKrbALp6wtQyx3dg1QJW6Cp5SbJC4UJuvSVFWHxySq5FF
700Nsj1p6m9+hyko8+t53w6kU6BDRV8vMeB6jCF3IIwbWCP6eYeCWeDIm5GFG53YBHVi9Ni12njv
GX6KhF27mhYgbsX0JaIKVK3lYIxtInnQmYENzXwO51tXJeW+DarqKUmoGEKvzbuUaBk/CNiU+6ir
rYnsrSi/9FmFa6d7My1tXszBqchv0vhCi5ov0f67urFq3IyY7KZerFWEynr6a0HhaDWI9oSUVe4Y
9xi/PPPByazgUVKgLgz/USgot5h1KhO/7hwH7lll5FAqs/has5baI61/MmegfpGdYC7H/Swsaa2y
PvR2BATrbfY6UFQmRUv1G6rUQPDq5CVw040xR+LCUevXyqOeBKQ82IqUkrLCZRV0s392U67+YzCm
NbZfMHP3eSM27Ldw8pwjC4VLmcYwJlrefeaqJ+EP0Vupil1ZTYSQIRgtYhuR34T1TsimXM8ITzfW
kD5ZBlRCUi7o9JNeaFXzOrGJFWrbKFp3nNMraGoPfdneUgOnilT8PCWiZZWYUcS2qD4MbW2vSYol
+Sc5DjoFb1fOwyauRgceEcp9Pw/KXRTMb3dhFK4LoOn3u79EV20EfUFXXzFgAMczX8si3JGU6gLK
aWkHV3lmn2TFnrIKXEiA38WcfVcUKHAMRxgMe9sTp/vjAnsC8SXy+FtscWe4/1ZNuNaijvsffxwt
7dbfvz0EUM3In3gRdrG3KrBpvf8ZpMRHtEDDyLwy3F0+Femhr/Pw0Cy/sOiMZuQfzCbTqgkbQj4W
5c/9pld0Pqc/JHtwB48oi7VLlHXJMTPAH/oPXUW3hqTzpyKqLrh2xKnInWxNZsq3KceXaDit4LTv
jBPEsTYnt429rtgG6QIK8eWwi2M1P0d1Tip5NOc7a4ifgkXGmb8kQf/WmAJL4UIaN5d+8RiHZJFi
7ZyseeNAjh2Cl66hrRL24sMc8/I1hPn0OgcL2RBHaD8cUQvCaHTEdJNTUm+8ADt3WpIWhdOSryaD
VS/NQ6xx5w9tRyVjKo6zG6FEIlAI5Mlo5CeBZJjiqvsyMnBVVXoKy/kPDnbAkG14R3dYQDG2QrlZ
TV/sQYc3MpCdfRb6FRtFbLwzs3HTluwAJ3fTl4KybkZlpcvi8sFT7VWUJUi8DvA4Z/LGMIuQ3wJq
6owSZFO7tcWcfvHzvDlHBcWGKGmLTUu/7JJmxc2xSuO9ws68C1gjHDMd908hANel/aB/jCm2zFnD
P9HuSxDIcs8lUBwiKYv3sojORaGMbx3orrUrrJ6YD5ndmKLZKIX9loR1+S2uqPF0kDmD0f3sY/mE
3Db4mcth0+O/thljHrLIIbQxxmzXmNOhdlv/e16A+XA1VqTApJCedfI5HGnokPCUwLu0MM7FbUo6
yYDnO3fnQxfBc5wLho4JsQxzi8ZgR2GyrAYMzfW4p8RB875oFbq0zr/FNTgHignWxiDN+RI0RryZ
WqiIbPb/dFCXsaH0jz4QfehlxUNq9dYrxTY0egjKsjyczh47uMkp5UujI+hyPMK0BF8o18FN244F
LmiGH+d24Pam4lWyR1irjl1w3ECgUKIv9y4BP340KVKASuNpjK+T8mD3NaQ3mgZkT9FOR+9rMWp9
gytjjSMmSs+0z5UD5S0IAVINajR2TdUH16HJyQIskgsu0Iz24HimO1keGTOvvaW6Jzv3v6UQUnDL
52TaTeOjMgGL2pJJyhrFqva7565lMm5jooRHMYNeyfuDG7lYMymuopWWJEybNHCbRu5UE+PZG5P2
iqt12KgBkbYBkIFImObQddOnlJol+tAsmHLKUqHn7Gkb+c+W+a123ApoDllRvRZf/IogM1lJB0Tb
7FHFqHadjZs2Ghu6nvH8nkx1cbCn4YWjNR39Al5HkvbzrrA7SGUC7FSI52Cfxua8szjBGCIyOGMY
1lOqw23J70un+Qh1kMG5BB0xmd25z/SFMqcHZPYz6PKHAj78k5wx9xV+rK8GgJzcZUprhnbce9Pn
FA63sAjNS5yC/OLrPZGk/gWi6HDuff+sbOXfSBP+iAujhKQRXQIJ9tQZfKCOIy0bIrYeQiILiajC
mjrH7cNMaTsO6Ni4Q5fs5rKWZ510zzMxD1vh/VE7BC16MGOG2GCxTSrOtnWKZaeuqUwagvVxvu0G
J9j7vgcmb9A/zGGSZzQeyabtx/LQH8pGJ/u8HLurrMEgZsD5tsZ8HWrh7R2gkBuzqiBwL5WDNs9J
ytagJ8MYJ3MwFMc+xU6biNo6TClfB4GrtyQXwWfzhmc69yL9MNk9QqU+fYlHO7mpqbLPqbY2PhKc
LZIgD+VlVV4jY22F7CJD2/YPxuL3nNh4Sgp6Q9eZ5J+z/adUXH0w2rMKNxVwIFV81fORcK9Th2fn
5hv0mlkkgZM0iTN5SGJWQgGdp0fZMhw6jTYuqjF4UTt+HDyKAWMzX4UbwctqoWBZbELgYpEU5c98
fyxs/bMsRXfuyvAN7y4ML7uJAE8XzlsAyJiBhz+qtAfFpQt7OirKPo+R+tk7mU/ypIKO2T0T/Nd9
IVLoS6eZYYNiLvaSHEkq2a61r5pZwiXBWCrpz6Psmp4s5Tv7EhXmejDN/uaDQKjgYUZKuxdyogCS
j+W7ayl5gXNK7n1hh9usikjYy9uYk9BInwQvsUnEOOOhVRHJrvtujtf9GBwS9v/nVksAbuHkn0vW
jJGmcJT2tt6zw62vHhqh00ieQOGV1jWR/ruZu92BseqdVgWJ9vAi2924LC2shoavLVrqSzZnny1g
XobTAPlTD/DaQ4ZXmiYphZPIgla4bE4XFTKZhP3eTabLPVvKYVVxSWxG5CbuICKxIqxMODsdbalT
4tNsrhLrlVgWYGHKSDZGfaaSmp/x8C+hb8afWVSDwOii6tVxRf9gpOneE5+mN3mvrdH4rzNFf3Lv
PhOz19cgs5qL10WHYICpYc0qOvGNzNTpklc9Vd6NwBP6eUITiUrh7JwTcn6WcSbWBbEZ69qqi/No
2GwQwakZiiWfNF1nQ55hN27sOPnpqzrbddJzT76ZCZiz7/iF6BxYCt1skLb5ymdip9xqc7fJ4vmU
pBUwOUoWUBoZMHiDI9EpdAVA4Vi7sY8p+gUKM5BtxP1RURdqBjKLD1XX1oQweiOIrNEmr475Zbaj
GHKProab9IS1UxmN+L7Qb7aTDIdiiNRER5sWU1Y4w5WEyzlkSE7b4KGpm/ZBLzf3YSfjCkaHkh6C
8YGmJWv1WoviFixtane02qs3AoPy5EEoRnhVIOqZJit9kMu9IDF+piWb7kIP/mHILHqjYb/pm4zn
ouLql317IedpL1jGnht/9FBAptlRqpydgpR0WQN2oCGItiZjmnRN0kvIdmLmjv3roEcFrMa8pnhK
w7bIz+EARoUIkv7AuDdvHVyIFGNzQOvl/E0GTswOOQ9fEKNfC92Yn5ED9lYOfgEWz3rsWjb+ed4B
zOaLBPpUF3u3KY0T+JSvg2XLTTqE56rwiqVrHryHGNlY75/Il45fG21RsBunc+whu5MqwE/siB8g
XZo9MsFha0j7LOkbfY5mvJl9YjsalqQ3qyLRzB3JzK29futSQDn1LPWsoLS+k5qIuy6ne8AitBBU
/5CiN/Q2bSo7e3JiSZys2/BVFeE+BNY+sHa9jBn1hD63T5bV1A+1WT5Qot+mqV1BITB/enGHRbgo
D1HYTq8V5WlKC69J5SSHQVNcup8P9zMDLvLeZcmxrTREDhvK8jGLfa7zOOGMb9M3t0EjKihn7NvC
bZ4gEmwmaUcr05lA1VAqow/1tZegHC3mjRXN+OYSK+uVBri5yXCrbHv2bjsqW2z7aHcCw2ufoQC5
x7qkUqHGOV31TTm+F6H302hnnsoycFuzBnTasWotZnsGS8IgTJ6hYJxjTeeN+seALOWaN625n/q6
hBxLZ7NRtrHvjMC7Yh18l2WpXwszdK/kUb2n9ZNP///FT73kNWxAXskisUh/CpEJLCJW9655Rbzx
d53tPcTnt7z1/hCtJjKrJAmZ6zRTQqLCo+OGcHXvmTb3m6IYPqwmzTYjEgx3CazpgorOvbnE2fy6
SwKXeRymK8VmsmqWG29RtYfLtut+z7wr7UtNAZxLHlzYYiLFHQtelUYo9qpf96GlgChsHOUhUciO
f4kv/xVL7tdnS9fmsXW6P1Kd11s1Lx6yYXGz3fWl93tWWi4RDf6HChY1eL+YJ37dvStT70bQOmA0
kq0H72RJurIW68B89xwsD+/P3W+8QBKAl9KrvRtO7y9wf8FfL7WYUO/3GsIt5yAuDzkbMAxzabbg
yYf3+w/T+3P3F0jNkrd0fwt/ecG0QpyFmPH97iMt/YEDYSiSvH49Xhym8RKUNiDK2BS9064JICzW
d6suvbsSognb/d8PI2mwUAUE/5fn71//X577/fD33zt3T8jvV85iD9cZdAiW9hxA+fso3h8bRrW4
+dr4xMlPMnOU4Hxxsb9kg4RLrQnrrSk674dBhJQOX+6/ALE7tNvqOAZj1Z7vjuH76wZzwdlxvxst
2U33n9zvWVK0W1PpH7+fuj//K+Jp+d02FC0m2PL4++Xuv/HrNcuRwh9ZxP7mbuy/YwTuZv/7vfvN
/Qddwg48Szt3nVQvIc3PI8RqKri9n23JgWpOGWSYE+siwq6d7Hg/zPJ+uv0+rICt+uWiul9JpI8S
3LXc9MuN60+g++ZEEm41jKe6Ir7QpjxPUY+Hv2/uz+VyZmdoUDVPdVSB28nL7f2D3HXO95spaCAA
ps2IXEQUb6CKkDqhFwB2UazQuTSrRdckR/Lwml3gAxWaEsp9oTltRR7sydVBsSVe8SsTxBr5e5UX
I1O0v4Ny80eekClTFM8EymabYdxOtPJXlM6N1RxbyA6mPQs0+yw8tvhWCjWUHd6K1uFbltgPua3E
zp7SP0TIfodG+Jtf8g9zvXQWA5TfRfkhJufYFy1hqoDS9q3jXF1ON2h9CPVi0smpgr7btfegSb2/
xC5GzHkpNifRJQKodgp4gyswq1P7nVocvXIaoysEYGkVcWR4QTQZq7bV01ZHVP8ngrJ9Kne4FHNE
LSkMQt+5Rq4LzKu7jktvuNP5qvUVicghuR9ttKZa1+uaHmk3bby2+3Cz5pGK2b6LiGWJrY2cxI/K
+9A+EMtSh5jT0h+M1huagHyeONkrQ6DXqqcfxAisYMpxuGnMiikkzr3y3uwh+GaYIPFytR4D/UNo
+ixTGGDfsugXRC0u3HyigyNtNgtM4wmOaelBpUo6sD0GKWkdNaBrHCVf66TO2HpkFknG47FEbKHo
3BB8efSj6DER9BPjiaV84UaroILmSi5NBmydbg4FGdAIu4ECqquBaqNHmdm6WRqpg3jJMmj3Dt9c
y04MzEB/xGOrKAxNclfJjP55aH2W/h5wwcKUZIlfNSQd9NFTom8F+KRtmacw6Dsg0KxrNhpqIHva
rMVaxfKLRiAURdex9hFiGwCCdUfHiqqkbSfXsHFeSBUO15GvuzXaiGdKVFc+e7uqpgRFccK+Kkj4
9prQWilvtleVX7xzdf5p6Y2eqZOqlgY3C/yjG3NyWZZ9iGZySVpH7uc+Wehl5nc2EC2XrE2+Gue2
2rA+LDfU5VfjLtLVx6ShRVZlAgFlIE1ZmBsUktF29gJ4mbn1PAXeH5EfbcCcVSlxL8Q+kkjUmDbJ
g/lEEyWP9s3oHlxEXmsT5c7ONOp0p6Ue3+yss3HHGRO2/NreF7IwN01dEtQdj+Haldp9HWHQ4GQk
fCaUqAHy3HudC6t9oqtO6ArbhvtTcQoRrBusZ7OYDGYhL9y29fxp4+G4grcLjoFKoXK5lAvm2A7I
kRiDV6OTNR30yNzRV0TQ6UWvI+riY8gmcVXWBReok4Dx9D2IlCUpAxGfoHWr4sn1i/lFSgKHG0Jg
jClixWNy2oRo/NC1oFdyaKNRmWj715GowhvYqTcmiv71fqPH0zi25gtA3CTilVTt/EGeVMgeC8hs
4DZU+00c02r+mSUY2e1kSB4TxxA4jHdOFdmMVVl4CAJ4bFFrwJCWwUm6zqWkMSt6rz/Xs0ePAIIW
VOxnRzvB82gluymb+0ccJy910fzAIBryo4la9eQUD76rSYQyreEorNRh1GgQ25QWcLocUGceNvvS
bYFTsbPry0KfEX5/Y72T7hRlROp+I+k2hTtcAvWeVwrucTE02wjmeGQPrwg9IK73IPIsEbJ0qlgW
Zua1Jlfs6tmTC2QBueKIrmHnk0rPlawgB1d+Rtk/WCextC6u5T7VPVFNhh+PIEs5r0vjg0wDIse0
uIzorg7zXCebPCdWA6dEtWkSvajVCSRDH/5zyuwXlBXyRVOel5HO33yixuc2fPGkz7iSfuTWNFyi
cKquyrCe76qbuqEqSdTHKZ6bQ+/z7/+9sthaHAP/pL8XqK4Cx8PNYfnmvwTLzL2twiRwqkNqifQw
9DS9dQ7qG83gm0C0+DLmJK0387TzFnHH6Ovk//IW7H9xe+COZkA1Lc8CEWM6f4nQCSOpO8xT1SE3
kDtFnf0QABnaGAOYKyayz8xmfY4goNqFZS9vLlS00M6hs1TQzNrayVHGxfK8iE3N3sofoKK+aprL
R7ar5m1Rgd6rUf/+i7MXwfVfvjhCKkzcE+jwXVTv/yzIxs2QOaokAzYNtb/NPEsc4z66WQ5QD8QL
7h72JUTv3jr2PmEbbJvSzxmzrQvKCX5i1Lrht3FbWUKCtDLfS4o5FH+8nwhUPJfxiyUw1ZjHtvTw
L4Me/OWe+h9D5ex/MTfwrYc2LgIR+nyMu+D8H6wkU6vwzFh+yVBXsHR3jXKT6JYPQb4xgEfziCqj
WCN56ndzFnzp/YThwb0qAK3EH5TuFm3/ZRDfPbI0DrMvvoRLBYQQnU+uvEc1VtUeIu+wbnPp7bVy
b67Ouv8f7Pgrg/F1qn7+5398Y5VXbJJWN8kP/c9uLn/xTP0bCxhVWPm/1t+aMkuKb/+HP/1vI5j3
N9cDpQFw1QsolS5WkuFnq//zPwzhQmCyfKolFulPwnWwfPzdCOb4f8ObSHuRDGLH5s/4q//mNjl/
41cZRG2Wr6ZFBf7/xQjmWPbisfnHy4yGg+04YeD5NikrTrAkVP3DaRqkY503WasOiem5e3+s3jzB
GtBU/bao7O5JOYF8itVAk8/KUAqyLnQq03kuuhzSZj53J49uazoU/nNl1HhiWrvYJbNRXIaJegNZ
1N5jH6F4qPpHv4tp/hXqBUkTuuBkyC/tUkN2mmtILmCamPPXqCM3EvIg8hVdVOcU1M8qVi2KwcQK
nupwhvft0SoMCDlMYz9eT1bkPAscADttW/bZK5PwzEq421lQqDa2rKlgjvQLy6kdf+jQuEphGbxz
Pzu7hZ8d5jHKl7b88MVsmg26zvEzEcgqaqTGVcNsCESi/JgmewTeFiDQyxa7ady9jXjoV9JgNun0
rN+ABHarcik/V6LyV75pyTfKb5vcyxAkz9R5x/I2zU9TJN1jL+pvYRAWMELTvVWP2S5PPHFR/iz3
TWcgDiPWQVs3x0k+CMcet4EPNn/O+0uIdECk07mNWK7wZb2bGmh45TtHFc6vpZ87W8MDle/77k8D
NXxZ8u/MdqYFOtfEEGbjsKr7TUHz5lDMwzOCuxCW9MsQ2MzDbr4rTKvdGW6LYLO8qLYL382zejJD
+HBxB2x+yIddPkIqmnKF6LrpykO4T6E77toBGUyIM3hkVH50x/757s/IOzWC0szkHm7+bPsXA1wh
QOaa7A+Wk5QAc9TfwoZ5TN2mcxv1Dmdxg3wRZ40gA8CtrRIkyB9cR/UhVbl7APBKPyGERByVzmub
kr69DVowHLJ9EHZuQ8GOSBirehaNnj3uK1sDV+Tg7HQo6eBNC47VbI7ZWBtENMKKKvIp2xiK1blO
0bwYlSfPFuXssjW/E4I8Haa4dp5MeB995Bzv5hKvC9nl86LrLEpYUJl+fHJsen6CvcqGlaWxMyIV
ErSBjUOBIn6kAyjoW+ct2A1yMxyThIflhmbtGVpzcpAFckIzhc+JzA0RvnPKI6oxQfjMFGFfRTIS
vOhQ4GkzxBiJq17SpNolnFknERFzNqgJOnuklrUkpCzhP40O6QWWJC/Gb+nCNjk0a94GG36TsLm4
bsk1vfcVY3SpuRFADuxNDj/aJKNMAmidmMV0Ob0Xk00lnq+c8tpc71W0HFOsUiqC6GTnDry3ye93
Ach2q1Ld6nUYi+48NvK7E+ns2NRsET1fE7Cisk1pomwTtbGfg6Y5TPPzkOhzjZ7nMTBzYC3W8vEn
GOIIz5HnGvW80a4AgrucrFXEEqlEqLxprQqQdp8Kir7ph0mV9zEsbYTr6SmJ2HDbsXiXRlSeqdcg
xl0qmX5cfslLmPVNi+iWEfjKtfPh6RipG5TinZXNT/NoT0cz8Di5E3VG5SB3DlKqrSxK1DgdlYQO
WPpGKRmsOpOUEXPKxCbKUi40l2GiKSusjBi4bk6S1FfFXkw1xVfXrUnEEKVC2rxuxzeDZHTtJt21
tJVFOiuN/LBTW8N0NJWohD05iazFWFQPAYTrwEIJ3Q4j2rQ5/CJCmoRzEeTsCvNPC+Za6bvRrhZG
+ZmgHZ5IOOlqzCZxroubH47jM32bfJ0FlbwEE+FwtaBWTf+fdKfCg3dr5N2DDhr7yU3NBxvX44MA
NjvPdPxobbPriP3+VsPRQ64ffAfnva1L7xhX6j0e4pmCSyW2xabslTpSW/BWYICSYx8sero8oCXW
JPjd5FJztA11UJXxneSx4UVF9kOZeTtXUqbwTR8LVtaUW+ah8uKjDS2m7sOcGPmtn2Yg7YeKs38r
zcS8tUt5p1hgMPHYd/s4nCGHd1gJk95Fmd4C7q+Db3EShe9ONEU3t7EIiEdfNFYRWnhFN2xQ+Xjx
c4PUKHzSO5/dCaag8XGWovyqvMF9gCj3hiPqnDd+91YG29aOXJI+AoH8S/U7ZA5/qiTsENDapPa1
JV3AgroMgsvkkKfudK4FWTsJbAF8kmcRyQ3cgvS1mX5UffTQSVu8KcP4kgfduaoCtZmX0k9qD+2C
L/0vxs5jOXKlTbKv0jZ7mAV0YNGbBFJTJlkskhtYyYBWAf30fcDb8/9jbb2YxaVV3SKryBQh/HM/
boUWkYN9WeJtYfHuaCgvL2ohl0yA4XPFzbV4fObIhegwdG3A0bIKqJ5ddIiXLj0FvOKjPg46vCGo
4PZvVSfBW6tasP9CIZoUTTjANHjJlpy+vSW9zSJvj1XHf1hE7suEjt7ZjiOzCcaro63kxDTmPU7c
NpzyEmBYTvHQKNfyOK9GdhzjBtMjGv/RS6wTGPz6FTKxHVa6nI9foS5p0ztl+v7B7/weE6UrQGwz
2yVdI49y9aa9jwHjrCoxRTJxTFjslSLvxogA/fvTMkHwj571bTLr+ZJm5hODGRV2jufeHF5DapoO
Xm0iE8YmnjDXco/s1E1kYdCL0B/+WsvyA0Oe+baYVzFWwdtSTDcORj9WlAkAwGRdnFx/U2OAz7YX
g75bW2Pf5PJH4izTpTam90ZfDNPGLdk2dai/Mo6Oef1nI/GX7EyOhl0x82E8tbAMO82eSKrH4gzA
lD3v6GtOHF2S1CpoTLZ+WK1wn3Pu5edCtPadldvpIWvZqRMHOrijK3nq+oFOMDOpX+s0g5Ek2dYH
q7N3ZY1vo7B1fe0sm1RPqUzo2MtFxIU88XanOnr65RU3EFBEWRmFH3sTy1fX5uYtL1Tk92NwtVsA
iiD+L9qduosPHntwxA33yqwbqjnM9NItQGAafBm7ocapPkNaNhOPJhvd6GcdxIjccXxXx/YQJjkZ
B83I/w7u5MVr8cpkDbqXXxR/2rXlVICxlwjSc1vyyiZ8N9+UGF56bbivHcU5Re+JkCiEOMheHQ1i
8ndl9lnYJPJlv/zuhFsjyMXonAy0tgTD/bymw67XxIx3bq7gfYh62I2yQMbMqeXJVfkJYgO1Vqxh
M9Hu4eWWeACl34R101EUtcziwDNtY6n4kJScszTWg97bvaHO00p/3kpLDwau4XH08GTIDAlhwV8R
TxRB6s51IkdSv9yNVnLnufWfgRTZoaYzic6CguyJA9x+kt0T/oXvU51szs6X3jfql63WhYwq0xNK
1M0b6rR5EC11YlM+VO9jux9gmM/G+mS6+S8/49jhWDpicuLfS86FEfmh7pisyJJ+8FG5N2Kr0yPW
H5D7yXAsaTOXdGMLM9PPBEgRCXv/KgsqGGzPvKMgqoc5fIVD/td27eSuj6GlV2plU/BTOwyIjzJI
LvNrj9AypPGyr8wm4bSW9U8lR63ZmRDns+GJMyvVLzyKDNSxODiOKk4J/M0QeNqyG21lHgrfeyst
TQ1bvopTWbtraPm5Cypf9NecEcxoYwF3ippuSLl8c/SQHm0rfvWNLj0xG0uPbjY9krjnQNCtuKgH
xOue9zzzi9CzjNcMCS2W3bvfNvwNUTNm7WND+ZqtpufASltUcxyeWX0SuRNHgbmIi2tdGD+aD21G
eQoHmTXqOgxasTfOt9Jp3hJakPPBbc5yLNk7m/WWU2Qg0mS5r9NuN6t5fqoJCAx2ap717NhncOp7
MAdjZMNpRu+s9X7UuaA1qPpdbX2ssWGnd3m1MCtbttK23nceqMwY2O289citqwRAb0OvTwysx3IF
ar/tKJqkWkl25/x1GOL7Rayd5X7smxedDs12C7AesaJAh1+DOz9HhBuKhmodq3nxZ2qAUjPNDm1S
PDPVze7580vhSRw/OTluQEhlSAdstzenEaA9LTeUW3Iom/wJcm9CLC/2LHoS+yy4iqn8REjCKWFU
xV07ZC0TDlIFvpHmd+5U4c4lgB74SwO5pl32AYiN0zAT8vJGojOt4p+aC/els4n8eTWzQcFuuQew
uLdCs55udgD7o/O5PW1/mI4y4dtqdmvZLEzfKPEL3BKN3OC9y3KceKI/1yqAETFS5UXLTHCg+3jl
iNEWnCqDs2Fz8B1SztRGZ4cyLesTbkeiPDiajgydT6Sx76uggyoX0CpqipHpBRmQevjEgcPLjnvA
znPFPnPmv75sZKRR6aOiz385luANaTcj4waymllOz1jl0OypNA1R0wpUIwjkVnSVMxTCUVoE49lS
SxaiR1DL15gUPeEfi2EhWLwEErIKhcres1wqZFXJtGNbBnjq9rp4y7CwP+rVomZrld25b/NwTRSl
7fU0nbzOdCLLUg8BAe1Xs6neg44TcD0GJwZvY2ThRojiZU6uzjy/kKgYj3Uv5HGzcHK5YqebubCI
Ygu+DCnR/3zBOt3VB9f3cP4EBOf8l4ZwMNMUMHdNPpRs4B5NwV7c0fRnjMciW+h7b80H7EtYgXU8
QcjjZdlBlTG3qGKZ5/fN0nxPE6opCw/LnqzsFB/H8qHLkTaeLYuf1bF3kJp5+rTGPKFp/j4EtE0B
N0ijfFj1YZQeerJBedVE62Ubg5EtKN25OHN+hePbns3W/W3KbtzPGL0pRfTI76YFHXYqhvfcajta
xpqwp46+LtypXHIsV+XLsuQ84qP5F8HfwhKRZPtEjb8Wt+HpLshFtA7uPS6fYaJJ3wdlS4XNJtkR
ueNgWwpavBZDHbrWF1GTV0wecdlHdVLaB3gVOkw6SWtFU50cM0ii1MdenzfUSeemd5+baX1vOBjQ
fU4rTsrAwiRimey0+yu1Z8qx23pPdtfCxNKTmcYzzAQwydnuqQVRh9gh6eAuv7ZSDO6dp1XPwX0z
UjlYV1Vw38bGuZlzfermzI6+UqAM0TyewwWBnIx9hNZRgLPETWat8f0cj5/cXPmEYowvq+y/S59S
s8Zy+6eufiLjdmQX7x9j9qOjg5QTtVjNEkSr40BVFQnku3Uiv9ozRIFr1RcH0eVmJBj5IMatf2RG
1fPczgR6Gy5h2SLvCsswXz2SIHcprnliiU0LfmLC0m9Wt4SAqO1a/SNY25oAkEqOnsyjQJb63FUP
ODWdO2aNxTmtYk0TQcUs0fQxoWvU/70ZsPnVGkRbGWP4MJyCeLIumUS6FZ3WfXOAVxL1ZRK/Mcg9
DqLJDyrDtW7anHagPRPrXO/WoDxiDcvp6DP6IxF1RnGFEntaUOjdI3oeerYFAGDbAufOEowZsm9e
1893DabicclP69I90fW0YGKjPziL9SvR8VLbfegngXvPveOY9ZV86mdxw3O66TlveKrsnfCkBwEh
rjkTlSyq2BUxyOXt9zoGRxMj0Q8Ai9vYHeiUm1hfOms8+VwzS6KQZ2OVz2apzadafo6aQL+Y6qfG
xHavIdiQZHMjg+3gTKw37AbnSge5cVpwxcLc8OZD3iBS+Y4R8DZOz4t5j7Mvoflvei96Q79BhkUw
qH72hpG+OEX6HmebGTBOPr92rAzbXKwhEZg49Q71anwbEWJWOiJekpz1xe5sqDU4kJOhH48sctaZ
ZYUj+7Ot+uItsWn0WnywQGTBAcXQIqgomUtH63ESDvUROlbHmhd5z3QXV4lX6xPAKeglGBG4iNAk
QUHNtlc/WNtPOxs21tXKgSCRTSCcSDyc0+Xoz5z31GQupylmMOgojnNtZqE1meqvt/oUshXeScCs
uc0cAa3lVroDbXoo+rLP0I7sXB3kXKBNOfXVrbK/mdOJezdx926JtxPelHXOTJjAwYyvs9eCdirK
xgd5bmmwYCYfMs0/Yq83zjpd82s62xV59ICiyLn173FdG6dWDi818xYqLXJmB2V3wqFdHcckiBER
s3prHE/vi8m1jg1OnZ1a5iWkOd75OdD90jrnxp30u6kDOLWomjtW8kcm9smpyGKO+JSDytoI7kX9
W879cZ7bJex0T/xdBB+JwaMl0WdCDnuKPPLaPWkmw2LNqSrCgP7EyWZ6aj+ls9aHye7aqMNO48Rx
fVeWhntLkiTKtPiejL39qQwaK43hmtouJhgvPnuWr66ZLC78MNOjpykXNa3u6GSSEtSUdZ5d3IgM
w0CMKcUztXXEyoiKwIbfHJjkjXL87C/V0B4D0gSsmg2laDGv2XoTa+1J39y0Q8yUgBczBm/7NaNf
uXYqFgtRven8eSb8hpTi/bLshISmQXrAcTCKDtMrtmX/0ZnO4Ebcu4B92TKn+OTquQy1R7WrHzjV
bvUorh/LOduXUsZHhPMNmOzzj2QF4/cYbi0p7jmEk22cUoLuu2pY1KHKYxk24xTvrF6rg9uMFBBu
isWItY6puF8ejRSuL4J+vx+VUR7arssPhMzo1eatvgKXQARKnmpjudU2t/HCcx6GeRjf4E+ueCMA
6Dvy1wjG+SXPzOCFKvZQzWgT0nmaGMWC7yG8huScHXTpnQ1CtqEh4/YlAXJlcLi7n1T+HRiOvrBc
0kGPzvCMPhLWc53vp3UuzzNnPWR9CslwQxD3nyKDAcFlMck9Gwxnd2lb4i21PixUc9KM3n4o+vS7
51OfnndvrftrHEE7oXDICCrdX49MEZIl8odUnJyTOTj7Xt5e6qal1A3UBdJd8Uwx1IvH4P/I6Ws+
F4vzwFFHnZXIk1OQ4CRIiIKRWzIAIteUBMWt5eE3wmwxDOaFVHWHFtzRujwyXjNIpEq/4nzEXpFZ
zCIInfwcG2qqp4buI5B0T3MJkk4a1Q9pYE1cc3VMrfrCjoMD2GBJ/oJZ9zMwlaKjyrNgP6Kbh6SV
Px0z5T/4otWXsQvngRpsnSEb58XNYMBv58F8MbcP4vcMM1iX+XL6AuP2qfsikFAOIAI+jXaLkNcs
k4NZ03VH/s3rUFwNPsmoMnGRQ3JaSinCrqUOV4/ikROIffjiUPvaobkT32qIA64+uYTrvJ7ty9cE
NvF+WdBHAk7+3gBNh1P1nEggY8GCbJTuZ5sqxEGp6TLjDZM8bGi3Xb7zCdRyrcDQ4RqYn5wHobCL
C0IVeqABe1rbZyfeoowFNFAD4/X+6/vMR2/l53W5Yxd9QSk4j39Qf/OH+j6jMYx6dS8qRjmfOFKz
uNaA88zUrSMloJP8+kqofUG7swUfUrmAaGtXDZCED7iOKLPyxXlpEQeniY7NEpdQAxnYHfPvdVf8
buqaokSt7krtUROecnW03eKvXw8reWi6wBCaMeB3VR8lRFzJgPjHaW5/kQNjFzWQqnJSC8HHGr8n
G0jbWn3nVOOIcQ0KmP3tg9rQ6CpZ6DPejJfCkESrwCdEzsY7//qA5EsihPlLZATLeAFRlR/jgTrw
DUm+zHTX18n0s08C4N5W/oJp2gw57tG1RlrEnMgIOUKGqionLg0jN0Lm/4epym/VgiHNSys30qnY
eVQIoQ7WB2yUQGTL8m5DtVHKEtpbjrJaKB+i22m2cnruV04YRhX8xOLyu3bWY9/4r2tW/ImFcaDA
TjG8YZDBLglmKjgvGx/dtKmHshLxFgt/xOuHRW4Zl0+XsMiOODqnwOKoZ+NJz9I8L9TZrhLrV5iU
xmURFN/GaqYEcuGJaKtvwqYbcxBC/8N8l/MT8HS2wNq9/wK8ew4NcI6Or/UEjc/MmvWIPsGLR6m3
0Rmtb/Xa0wmY+yeXReDst0SwFVlbyquXb0Fh29HXjGTVdXe1q+3fergz0wWcmhzyD1n3ALE4fbi+
xmxuuq+JMVtYmXz7gufozZpmby/S3tjNeHsZY6hjbkys2YNy3hcPX7qJicSMaejbnLUoVosIG8Yn
3GU8idWJlnkNhX5vujMZoFpRdotOv/km/2G166YjMS5u/7wuLdz0Czojtjrvm5OO993iv5bBb7d/
69LkZixJvFuH9geBsgnlgkryqvIeZSnA+A/531nAsQlwQHsGbdJGgIHQcuQWsTY206AHnTfGQVY7
9qmpfOti8MWJVW2C48Ycq3p/24xDG5PoaeJFSVkMGuLBG7i3/+KYEnj2PtDajFLDuZsK54bi+A94
3sB2Ia3mU6S0XVXVdcw5AHsvs35aFSiigC5Ww4d8gdzwTnT9u/4lk4fS9AYKSu+ExoI/Dtul2iII
ql8c37sYE7LMMt4aOWwGV1x1uNRjtCBvoCHSxNxJqvVbDnU3NuQ3inRAIyTmfrKz/ORu9u4ZCvtp
Wo2wnIkQtvbGdKSjJLF4iL0Kz6EemAgNnHhXFLK2xUWIos2QGdoBhd24MHqug61JATA8mmeZzyaF
Zp4qI9cqg4gLq9iVOf5NpdDuYB7UqbrlVosaUZmEGXT+4OB5XNnCl/RFIT9xfCG+ErDtKHtao8Qe
GR2vgdgkDQELAD/e4pV7Pcy/s82OXZ2apI8kLmzWHyBJOEqjZrHLc7c6p6Rzg6PiQkRdzXSyFxzN
lIydMLeCRFbsUSJzLkMLCs3Ffn/yKaFX8EcI21WncdqC/W3LNckOftO/RPBUrZyZSwsnmo/0hT4Q
Gl7GpTII7lPPf+dATHKNTDjtdPVlaMhe7mbXPKlOwdMwbX0pYqJ3Hl9vZtQQuYvivRGLjGjJoPYa
0B0nJRrZgqYt6bAQd2NMRonzJBoe0TJl15d1Q2eVLcfqGVLRzptnvFuUqJPpfWu2L4uVZsNreXa0
8cwJgTLVIn4UrD//rl1otrXd2WqLMlc+UUlLV3PCzxfXetdt1nNglC+tix1HxTYHYmI10QhUirWu
5a5icS8sxkvNhHr7bjHrzGGitsb3qiQDzQUVG1e5qwf1IAR/RaCIUg2PTQ/iyst5o+f18kNOzV6l
zNH6quPSvO3S23f+9aup+DGmsUWJ4myFc228M8CsQ1GVbzP93aTeeGCbBq7iwsG34TiDPCvj0KpI
0tAL28DdyDD/sV9Rg9C3t6DOHGJuZJhcQaG9ME0CRaV/H8zmTHHj+N3yyx+D8uYwpUsvNKCNc8ez
aAgM7J/Bdjpx94HN8mxXDNUk5n+D4+klp9HqEvtjde6oNnHAHhwHc3pzXfYMlvN6t8akK5MAZERH
PGtXNq2zL6TMKPHMVFQEMVtXAWgL3g89Dqb1t3UIULvomDOJ6a99GwFrOBv6hy2MV9q+HmGAgse1
46tS3qk1nZvGh3P0tR+HTZ+vqGVMEfxxeRx0sdW1H2bhMZxsvKNjt2/LmCle3t1D3s9XG0WIVG2y
X+zOudkdpIqsoQ2s9OY7nskeI8D0qsbpkZPtM7c1GUmXvvQy8MgEptVf12SB4K4cUYBGtGQtvkve
Se0AwyompgsY69R/z/Fcnle9+GEFBSX0aBjdO+KPnlpOTzX8Sla6+JjinN9PcfzScQXEma67RxTR
Dlg6a7I8xeDbd0HRzJdpmI9FgUccMHoR2X6tDvlrmxlDWCXJM+tEjKyIjOEy2ZYo243JymgqfR46
LOQa73TW+3KHeFs+1aUQvIGNY2e38dHNdXFSZurTuviVYTMOQ+mKs5D6UCmNXFDKj7SQsLxMDjH+
8jgyErl2qURNwHEzpNNjrzABcDApuuFHnFU/BU8x5aYLFa/moCP8G7Bgxvaz8qxPIwsLu3evoqGI
WWQ/KxMLS730uAWkMZ1nlwIwLuw6rLhZh3A/QmO81XSRceMx2SV3WSBG2HW2tWd/rKIgJ04NVWqE
RGG/BRDyTubwW5jGSZtWfLZJPxUYxfFsu08Z2b+oBztwNEufRHibvX7l0vUynPIxNi+T+yeusWIm
jjq73CXDzqPeO6j/dnVcvAf0xjc0cVo6yT+DYxsUKsw4QZ4mp3JIu7p/gkZ7+0xrf9cvO9T7+JqC
ndxRUCrDMW3OtjbrPT8ACCIPgcxxqQeSlRUxAM3Dnpq5nTPDKIwd740XQeisG0tQNxb3I4wBCkjT
NpmPgxJGZqFOVn8TI9YdAwwPtCQOeI7iTRVWQv0gAUGD9Sh+eZRORoLfTFS3r6kChtgT3xxj/Om5
6LwDMQze4CXZbm9iQmRSbbZMCqXppaN75YwFayHp4wALzMYn5etDk1u7MjB/I9+7T3LwS65S9/2K
AX1UjXGcUuS6QSO6F8WjyQXbLeFha6WOLFDZSdaUnnKVfi+Hc1OI33E3oU3YM+ixIMCThOv0GLvV
MUYYYrXilEJTDLw8gCTQIH1gcmBe55lmGseHJ9d1OpwdXFuk0b/blgN1uYNK40pvDXvX70+W7f8Z
79c9IXdmcmU87hbHMcPayxiWr9G8FwzQDnHmfFrdq+0D9h0mPArpDGOB+RXOH9wfe6E9CE+IXDUd
3lSwP2OukAcfPBUDZSwMpTzljsF2lGPVdLhBuesQMpXhGg9va+yXiXnjxLircq6z2G5rOHRqAhN+
oa6eqN/9mbAOXQw7VkG/hZHFmZpkI2NcNAsWDeOrNTsvfwZTR4v99o25DXW57QLwtYqdU6ohMKaJ
9VuiB7fiarhztVdJ/lo0rXldaHq1W4P73QgNryU0ZbDNQQmPsINRLE2AkK7eAdRKe+OWxyYtCoIN
9H2bBKmLdFjOToEPqNPm3jWmXVJOhDLW8pnoYxbZ6fjT79yXte/GEJk/aprsHD/SNVkimjI2QncM
i2A4C5gDEjzXpdbW3ltEfuoHEoNxYR2yeGJ66NID7tjkl3MeO1pRb/TKBmHCq6PJ3QuD0SJs4+aY
OQb5CUDx7iwgNgBdjZRvLTulzV+MfsGVN74d6QyiyGrNTwJqZDTfuOF0pPXWEI9JeqBMlxDJSCw8
bntEr/ndq+9VoDvmN87PYrJheE2+AGzC+7ysxw/MP+U2o4sJPAZXBsHGsYC4LfmSQwENt6vmgZPe
jA1p+1smTzj0C4PncnA59TTpIgUBi4LY6ZVgogvgRsxvvMiJl7+1SOaTXeFsp9gcvinjCO6qkW0l
bLx57RwslTwSPN3Fce/AbbReymK8U5U0d7YztruNCNK0zRQJo2bQzNwiwr/ODBozUjOVe2Woj856
rvpq/daUR1zze2fiaD1ZlnmAtdiEmlgJ6qRA6/UnAc0muMM3ZoPe6OZ9SdAEEuR7VSxDSFsGRpeZ
doyMy71rQWQDPReKcns1aJ8pPGVKLjjWjujqXojsdfDM75LxEY3s6CvYRKVZJ7znvhX4EA9YNLim
8/rARGbrZzuRyZUx1f2E8ZAGRHjlgWVepRd/T4I6jobePxAWSa+eQ6FKScZ5U/F77WGMGRRIMc7/
q0GyxWRiVC4TtFonyQkOjU9tUzzGPnBH0+RlI50uxtwHubEtUxoKYRx3zfKRPcyD88sueLsuTfWt
6VumvGPwmUJhPyRBu4OOsmCDMzcZsrwWK1eLaux5T+AGG3dE64eLsilhb68biCG12JcDRmGc59O3
2AW1RsO62jAOZ0+4FKVV2ztx5gzN2vd/Y5OtGMYeauE36fv9WWwnd387XX99+Oe3Phcnj9rv6Ct/
aixtjsixNdKVisLOTVj4+mD+61f/v/+vRMXY9Vw816Bwon/nE8dMgCCduWcu3mAeZCdfBFfCvI4X
3EbE/7ucgrWsny5fv0r+9auv3/5v/+/rU/79Ff/bpzjOzGUhdYdIO2bOStPS3LlhyBM4Q3tlriSM
6h5n3hIDzdHIM8kKFCrpvjmT81uBJX0EPD1BNcv9ndNKAttkPxpPVAcHO3Lo8VnOiM20t6FoxXs8
RM2FtmgEwYWx69CjFk5jdscr78gSS3Zp4UwyBMn8ONHn3ScwKit3ETRr9UwqkTlcRrU7Z0ivij+n
FWA44GMJB+A2Rhd/fhIdDAj+/WXNnOkPZZkDhenuvbY/uk4AdtD8oTJ7iJYYsno1oSKZGauk7XOE
GnaI7+YFDjHoZyivsRdVs/3ZWPHTAhXk6HOF34bYxjD9tBrPvMZpDzyTIajnowstpLny5LELMhvN
0Mb8OOIosjxJqRgnSnrK34byr6Ca9WUyP3pz+YO4mkSriL+pljBkbi9HW/fNpc5zwEUzvpq1s5yw
k8e8oRAgnrjZT3P9e12ye84ubINCv+GHRpdeWQoWWTxwXNhLbkRkJP18n5rDrYxDORo3XEQAfyz3
2wRdm1t6ymcI0EJW+ksjUMAPTOcDnLHyZHXytTISm7fatETmkPbAmsdHYiAfcpiIz3BwEG7KiaeE
oVM3DmKLUle51X+n6wrAduv0HgfpXpxavlISNHDm5UY3l3O/yUVz5M+LPJBnfigGqFUtZJowHryJ
wfDv1uWN27f8hfXW9lfPGULWs0KBbX3qZ2u4C8yqdyyaQ7cv2GiitITGuNRBRTK1fIZl+ZKQ3mW8
bo1Rt0E4ja2a2yvbeicX4t7arZwzIUrs78ippOaPX6XfyM2nqiyXY9AJFpTAOgPEL65LUO/7vJxO
znbHG+smZ37Qx/A48UoENY+FqUrr6vjrdy6KAK2ogFLBlJyauLvAscLzPcNX2X5+s3u0PR8JZRYP
TMtRMhePm3f53c/zJ3e2n7IJ31vyRloxv0pBy1PMeBEfvnsbMs47FvLT118UuHe2x89kTEjOiWcc
ejSDMem8E76NZVesaLGBbyrcfDIm024dyzmYTm0yQttdoNq4YmFoZTFVr6956rKcPWRVdqnLgX93
RNOnV1H5Xmi48cVvDV44nIfxuHL7z4MDh7yPLuEuuNUClHIaw6Xh+FbAd8vSe+ma3/vZrUI7iH/o
xryzM+/YFz4pmuJ97kY8jWB3/Cn+sOMkZoqdDS+jnezEKpLLkJTcahiZObaD5bn4Ipu8m+0gDj64
m7BNlw94IQsTf/SokWqwfZxRfS0BjL3UbvtHkEPukjy70cUld6L1wmwqjhNMp1uVMNka1uLNl34A
tZDzOteHvc9EitG0zB7LPDsJI04ORu0k5IK8AHQn9L6gRHWZnLt6DowTmW4mjh0RUoIOeLwTyM8m
15kfnlXkd9VKdcGwX1r/NiPlKCaODaaOA+HW52K7RU1+TT8dmNBOMnlg7kg6tJheZYHOUQyZT/yL
qUPdBD8z0ge4uQZKoGWxXKzt5de7SPWB5mFX1apDxsvXxKJsUtF3FQpOpGHMOYPkq35IlMfcqsm+
Z01j01YF0480RQufgI4H9m21svqRZyVHRYxT4QMGxT8hhQOlCPyQhrKAK40LOwTPDLOd6WMM0vli
DwBVvz4EDZVAk4Vu0KTdfWWOIzhl70HamIKKloqhNbvEvSUYIzTPo+nSOcNA4+vD0GBQcYUBCVnG
b3M+eztyB9RTu+mwt8f5dylqP5QBVud2gPB6WmrSqL2d9xGM5teq5KBIcmLajQjWFxK3yE7bh7Ue
kQh7Jotfrd+mlb6tsD6YI4zsap41XC0aTtay+22lOZiu7WtwAHCx2tY0woR/KfUBKJI6bw4kSTjO
DLRbm5nn2N1L/E0fTcMEr8FoVgGZ7rYJNqC5jRae/8YulZxH2YjHUeN+9weoBSo13vArlmucPmEy
7sOZJgluF7lzmLSn2TVn5gCCxGsjqyFCjtvQVH8X9HpuEs7V0ylArA1XVK1m90c2+yos3FGFzmSy
q9jv08CgWAjMWO4k08fcae/Qz4sjjoyKc9lwTw3AuQuq+hb77k/aYF6Uk6wfRl1fA3+a/5Q2oWhY
UGvyAeKvhgjnpkxwGtzJMqM4VNVvFnCmbHWnw5ih4C9EBlZqxwksNum7NQQf9uR2vxf9HewdOGbx
pHrH47Y0uZFT2X9jHzNqVisAtZ3M9vFocTesMGzZZFEiM1EJmnf8J18dfNQ9OCG633aqXqv7xcci
2plr8OJvFvCg7uQnWdq+0U+9cG9emw4A/1R+1lTVyrL9hkbF4KrY0gIl3LN5+eFmT86cJq9VZyKj
p3ToMtTnncHK5rfZD6vo1NWFiHjX9/Zw4JTdnF2FqSSv65caj1wTC42/WAuusy0sZlz7gT3+E6sn
dN+9NklD5W3Hu6i6ecsAttFc9+0CXjZLzRivAMaupW0UCRiTUBTPo5f4zVlJNFhr+RMA8IXod6xh
Wv612uQsOyzfXN69QzrxQAWgyR8HoqZnlsLh6OCweCHzxT2XTNMfV53M1WhOKyfcyFfrcFWJS2Jm
MJ82Yv7T3DFW9D0P4nANnXdq778aQwZvSI65lSABI7fdS08899ilsS/r6l61OdPVDDF1BAvJmj6Y
H9qipT3NKcbxtzHF14eSO+El/z4lfXNf5VkDdyb19pIg9e6f3yLkH3XvLBSfZPeLs05Psk/ek4WM
F3Q0mwXVumWSOi47GPFTtWmzL+hhOfpdAP0t6UPokD7r3ZyTPQeBmJPYP/e+fieind8pd3vMG5Qb
JzeduzY3vrkDHDB0gGrfJ39N39u2yOWNcdDIHXXFD+nglnYZBw/ku3l6cDnqJsfkWqwXnbjxw4gf
wC6mS5os+ZN8mbwcCxHgC5o2BgwSAVi0rjK3RgzYH0bJkdhy0JIaQjM1i/HJKCu5lzFUvf8n5/j0
TzLwPwjvPdVp1ev//D/u/ww0Exh0yTNaxAYtn/Dg/ygUG5IYBDpgnZNnaUI8q7bux17QGdwHzzxc
hwFt6pI7dtXv0G32HqgJdnEm/2tFKIWjFGb2YkkLHC3Z27iBU+sNnJrmqXHCvlKWofRK+DeN/d9R
KLtIrLDu/AJSqz55c5qBr0s5O+eF99oXgf4v9s5syW0sy7K/0tbviAYugHsBs+p84Dw4nfR5eIFJ
LgnzPOPra4GKbKU8syKr3tssxKA7JyeJ4dxz9l4b70drHM0YHX5uCJ1Ggj6t6ScFO1F4b1eWUu2W
0V605rmAiX36deGkWb1L/PbRN0rmWuQIFB0KOH1UEphmWxfrQjfuW+V6/+ZjtD7bg/kYHdNg3mUp
x+Sj/GRvBiBjMGNofGBo6lvR+cZbW0XdMjYjB563JulwdOHr9FqMEJQmvNAr2vjmPWpH0AVJku9b
KzHvmb/WZ0W8B5oFDCxWiv2FZvcDOy5mnFY96mOt7WMXWB8tucsQR3LFZ1+vcyk/YJvVB8TBwZ3A
hojkInhPqgRN0TClpMUM2QooAo1TK1BL5J/erTLavUOO1RFJ6KUR+PSsutw3zJ2pz2rj2bGYn//1
5mZ+Nq/zAYHoogQUEpus+pwRl5mtlwfoAnat8FYD7PC19Opt0ee83UiMlJJ2BEuwbI6djpQ16DYR
28C2NwHW0h6+9Wb+Y8CEQo3Aza8Gtshuyp3tg5BImTcuv9lF6p+ddTlM41M6hLeDnsKJidEyal76
Blaue9B664iG56/fG6/7z+Zb3pyc/yEXJg7yd/NtNuJizboJ2btMkj3yUtqnmz43w/egqLFA+nnJ
rsQXwfTK2kA4HRaFFmpf4Tty7sopgquk2FmRnawzh2Er81Mwb2OrP1WuTX5DldLqZrMiQxvGF62r
+uybKvmHa7EdgJEzm9uxJepGE3Hz0XGIlPqYvUgYERso//NIAleucTvlQGh9X1dvXpHuU4tpXDbo
z3oTvYWiC5+obtptggNmZwH3vE8Qgi/QIiHE7CFpTr72QtdHPmCViBdtFBJcxJpjmecuWF7mJrsR
KjqoRPYc4yiCS+XA9i59wyE/qSZWlwlBD1P+pnBBtrGY5YDg4aWsosEDBp69dLXsvncMu8jpfc/b
cUTjjhRU2PdNh44hVnZJ3A5MXNJxaU+nA8guFtTgzDGSpiVyPtV28rUc8rNRTfZ3Dq07up/eUUJ9
5ITteYumhX0QeRbsfMOWt9jscFxo6Q7TJSRtTIZRsOG8XW0mDYtKv6mnon7D9oZwvN6z7+Lf7d3m
RkS4XKyO01FfFa+Zku6CUJQntFjWIQrsdNeY1bi1G6SYXSSI7Msbc51QZgRebrz99VZo/vORyFbK
sJUJrUBXxuc9jAFPqIEeSXYuDdOdjnTZpLV5Ut1L0olLONPMLL+Sa5qJ4pgAIqPlB1AWCT0rfqdv
iJ+auYm6+Jra9HmJdvK3SmdOro82k95xJLoPe4eocQq0s6p+apyFauoU+A89SOJl1mbu0r/3gjeE
bYg26I4urXQ66Q33TJze3sEN/zc732yv/2R8R02B6w26hDIN3fgUPqnZpTa1QgW7SeXnMB7FWYyh
v5SJFt6CDzymmSC8xs8ec2iJC6vT20dWNGetb1lgVnV7qS08lp0STH9s/6R5iZyblSYyGTzLRYf6
2087lIOzEHIavhi4/xamhgPQj6IndqJi5TITi6v6VprBQeT2jnZ0vEkGj/m0Ku1VIlJ7U9rbmvnX
amKc9W8+AkP+81cPkcCyXYnfg+7jZ0aF6vQCR3AZ7DpRdOcx8Z1TW5nMy8SrVE1zN4EaPJR++KEs
tBtWWLz0obeqlD9spNJpyKVu8ZbE56YzHpIxRsWcCvMxVb61KOEyOpxEjnZZdS9u+OYhU7h0ffe1
HHR9J8oRn5tm6c9mRFBOI9nT6gi/ypifG9NDvs8YO8iT54zB25lM5RfNb8Jl6MXRAY5o++Aq4o+y
4rGlI7QqUzghbZtfEpD354oR8s3gj++OXnfITNNNXYyow235XANrPjcAyM4cL1+JyNFXUhhspk3Y
3KMfMmEj1reibG2Whin2kF47tbiKgApZJI/1U3GuGdWsmlGcrtoSjtn7OmHJ3+nwmO2xnO4L27h3
2iI/tmV1b5ozuwZB1H3KYrBwJxTH6CW3zFqPWl7gOWmycOu0Nm6KyQEM6x4bvWRU0Oshhzznzjba
eKvJRp+RtNa61xCkYlP0CwsFuiqcG2HXGqIl5C8D0rIN/Y9vCiriGjd1vMAClgHbSbwLER1nOg7J
NuqAWhUOSuI684lRYvm+1o2UDC5HIb4ztHgTiji76GG7Q3KKfC9kXe5NNLttw48XU9BHRzTd9UJq
NM3twPHWRmmIrdXEHAqeKa6o/8AakeeF8bn+ahuEeQK4Qco1dW+6MuvtFCBCwRlJ7ddicCzAN9M9
Yd0Af/cHEVcXdJsnA8nWuU9pjlo4TIknw/DBsutSJa27lso21wN03XUI6JTReoYWUKG2GEP9EZ95
fpcEQ7jsJY8MPEmtPjnPKMUWpmLdh8JU3qTtyICn8LSnvz6gQkv950OLEsqShmMZlnQ/Z+4GhkZj
qFMa3HUa1rOJ8JwoUgpQdIvFOFnfOhbR91kReavRqJM1eQHZoQ+M9y5TPvQEGncaYOZT7rrDpdZE
sCfJfVimRF8R5xzuKpAFmw5m7s405UuTAekvxvRk5zbQ2FFDuld29cIMkubWBeTs2k7OAu8CRji4
zOO+OwpSvBWGUOswQ/XrMZwHIRptna5pFlDseJxPO2VQWcJZyIxhxCJ+6Oy+XUGusU82rK9FkBsG
k+H8C2NzOtVOfmohZqHuZ3sMbUPdiqQhk1SG9Sboq4ikGKzb6di8pL1Qlz4O1yZus9mnt0mDQ6q1
9Qe0u31IIBNCy4sQX2lfdDstZ1qew5emiLhVVLicSfp+BzwE/YkEtc0Bed13vIovpM1cypt2pvQv
TRYhuWEJxmhu3MO9IFdl9sHb6mhK2noJcNpdSseGfJDefcZGe4rHEjqFdZdNaK4ovM1DYLvYARuC
S7DPg9nzXXNtYcNeTNDDznFGaY4w6QYd5tLQiplhlx6qBGVMjzXpKDNf3yBjn0VtsxICcTV6F/sx
wnlD5wtaXOehxYzifNq5TlzehuhBJrAV5MdjxkMlGflR+uHGCAPcSJA/44mjIGZjdd1i/89vsKL6
b//Bzx95weDSD5pPP/7tMU/57z/mx/y/+/z+iL+dwo8qr/MfzV/ea/s9v/2Sfq8/3+m3Z+bV//zr
5nT1335YXzPa79rv1Xj/vUYKfv0r/O/5fM//7o3/6/t/K+mdNSwl93+N+TkHYf4b3OfnA/6E+zj6
H6h/XF0XwCBmFA9rl19wH9AJglul7cylPdXF31PejT9wCgiKfpb9/M82f8F9nD9oZuocNkwhDTUn
ov/9zf+5Mv/5rfFh/IuVusUT/VbhKNcld9y2FSQhA3nnpyWm10Oopgll7zNE2sqxxrPnDvACbNrk
qW9/NVtaac5XpzPuCxe6ROICFWFF/lq6RCbaltUtm9731pXV7Usf0WLF7a4ZTZvY6S5JTtPB6Afv
kNME2WVYOm23uitAXlH9ONnC6AGxEDHDGI8xh4/zbz9Ft3kj4uWYIGW29bc4RpilMocVwmOWb8lL
DXapwbiUrsLBqFux/odv7198JOJffCRC5zPnUxGmlJ+LPiw3lWf0rrWfNIU7UuB09hPtFrvsuM01
bSszgbi/LihAJhM9Oy2EKX7XqKyIaUpXiHCnXVNwhGpdMkMAd7oFIbLQFRcCQMGGyRbdb1e+0j8o
9n/9txt8fZ++UAe2CxHu1Gy6cuSVGPWPrCYvEMBKWuzMnu+9piWQ+cJkCj+Q4Zc2Ll21yThn/UsW
AlcYi9JlRlVChqycF+Ix+61RIToeiJ5a9j1yD5UjyujJfuW8LZlrLeAJrwQGpEVa4n0oFHoEZpq5
4+OjhLJa28nRTNCopRBfDDHdhUZJYJFWfU+RlS3AshyJa+Zslg/HsfNfLDFhNkalSPLiq+j8J1U0
FooJAlknyFA4Co04Yq7vXPyANPG6aNsNB/+niVBDjuFaJ/ap5mEZdCZGP5ipLXy2Jl49BmVLfbK+
VpjfF4HEpZmhb3WsZcrjln1A3JRRrWtql4UhQQDJ5psISO5F1rZwIm8kDMyv1wHlfWLJl7IfuF9d
osBlzCnJVWH4ueyE9kEYIWc51dh05dodZ/xxiTKAYbnHCYA21k2JnmLRBwgybF3tGc4/ZoKmcTVA
xGp4Ei33Gaq01h1nrQ9McdFC9N1WRYg7MTp/icfHoUOsFw/WFyfYGw5jJ8QpF0hQKBYLi3ErcRTE
OBzj1NkQ4fk2TdirPcKP88qyYAswXQvT+lRak7nRAzNd2JPYqiz7MsUjpAP0HYxiy1XbVa+FXfFd
9mEBoZZI9TIX7cJyVk0VHFMXVy+cGHRUEYob5H/mmd4/oVM4GDzjxh/L9i7WHhz0TrO5Zc0sfpFO
hiAxajikqiE8jtThgL5mM1mbAGKaJlPqFVpbKw/OBrTV6c53aBONKC7S7qnqsJknZfZcjNY7asiv
KoF7bbWvyqGK7prsWx2FdyJgCGOE4bmKKX/DtnsBuvE22Uvo8/DAaOgsJ21a++jCbcs7FhOTs0G3
XuF/o7oUp1KfKioHsQ1HUjRj0mLwSbA2LQDh6Kjk6Tw4eMEtYD8BjPfAX8QNq6Cu3QaiuQnyattw
1naGfl/H1YcSdzSHD62bPpHsl6x9ffiiGfa6bEH2IwCZV31EhnIxjYthTgKne8OIV70HI71LLWj3
dkoAHAqsJSkvL06sHhNapZY23URFoDMuRrYURL6+w0e+bFO0l2F+H8n6C/6ltyAhpcFPNjZ7EvDI
9r1xUBDVvBzxv3BwEEAaIGhQ2xJDE63oWHJglY9TzvJdJV+ZSvxAN/leMbvLLPOLVgfFUjQc0FWN
/XBwL2Fnv0Z8n0RZnGMvPMYluJCqfKLfdyg7/6Js+wOlHjFL1hdr7DF+I9DAZH3v0G+PXA3psh+B
AbbvE6taNxbINSrnYOF7qM2mtNtCJ/mesectHATbzMqSJ1glG8ZcmPIkMitbD2NmkTnEYsKtwxrd
XK3ye4V/2IgBQk1NEnHUoGgvEvMMAIoGJ7TmtLsj0vwSDvFdJMdb19R2hXJXRoEuY0RatcbFzOEa
r2tf345hbBLQmltLMxf72mv3URXUi8T7Kuz0BlfzgzvS3pfj8FQkUpD/ysLM6/XLz9eNm2nlyXzT
dP6OAvlLEqvVvH+PdQ5WhV2JlKC9BybdjPS1MaJMsvw36PfjYiJWNkn92bOOkFszoYAaF68w7uYb
Ile9xj1TgcH9Khrv3pfJqu4r0sa8emk6zjumnRvfgRG2V7U7zye6V4JWdNCupYFECW1xnkzDOnRZ
JZb0YHtNJ+IQOXQuaCYoWQFeCGxSu2Tw6PWI9aOw3Qtyc1lUMmqtDR/DeX/W3WqfNcaLaa+tiEiw
WKlbqfIX363mufxrk3AIcyaL6dUXXWWsu1loTyEdIxgK66xFjhrR6lJZXSyKFuM+/ZDHuiLv0jaC
ZT9O0b53yUdTnN6WgPpQc5vPZogHNTH69ZCJfkPD5pwU1bMXDBepMJGTY/5sIJeO4vobyQ3lginU
NxOoTt7QYci4gnZ29l521fWm0S3vC4uSnATusXBYzgTmuyCWbCoScHuVvwrcCe6FRTt3QOfHegyv
cIxPR07dj8FsiVd0l4OffpUIIw5DFbHWYGrlInTFmzlUm9zsio0Y7fM8WoSClyJWbh+JT+0XKBU4
vnDuGQ3ec2x8pDQ/FqZHZxEv3kKZ9lvM1HOFIvFLoXkvVdCeTA8ZKGiPjGxUfWtaJAZ4+ilVqMKF
sDXCF0YYFiM6aXe0ToXAWDc6D5E9rDRHvaYM/hZtClLgPSpCAthwsUnb/GJTiEQNAYGaaFAYI1Us
wiZbx5W6ZbbD+qVlUywaeZkA2uBt9uWSdQcKwXgXhE11sUKQuTqzJRV6/cIpzAZ/kM70iY7PiTxO
/chA4dvk6I/lgOiQ94DyhA1eqwkFV2hgWz1fAdWCrS7z7yF9pkUCwWwxmljyxmjrGy4T+HJebdLt
cexHCGw+TpC9Ai2IcFdddAv9o2v136YQd0Ypxq0gcD3A/AlzgHGSAYq7Veqxh68d+85BNESZ6QuL
GajMbbjJsAUdjlve1Hwh05ZQCjaJ0wZTwqn32pfJsea+asqsX2DwsR7mBaJq4uZt/uiICPU5gDNH
sO1Xv2y/TRo7cRror3BREGmh1GJY8eIb6UMKmpENnVFcbryqShQbZYUL4DrfuoyIjYJqG8lMviCw
6Ogm2oXl6js2aZKQGSMTqfkksxF/BtSzRVnmzw5KCHrht4Es92S/3muiP0cFxp8wfqT8PGjt8OgF
iGRsC+WjB+TEcBc1j4Jbbz9d3x2nxyU4jQUhtFD8eVlToiiN3QeCiL7X0cA2P6jnQoV3He9QWvUa
QcrO8W4ly3HNrfjDQVwEkP48yBcN0hCUWG5yabuvU4ec049JJK3qLa4ycy0LglJsnAOwCdS+GchF
6Pr0zsyJyuBQb4xiXWbFU9+MbxOOvENL1wLZwbA0k1HQmx9zPBP4EWC0HoZ8KjFdwIcj381buGhI
C2SfG3KK11aRwqR2+wsgRLHWcoT2ZQYPqRCEN1YEWlTpDOfriCS0kkcDrs4mEqxgmEQyIY+MY58O
wPexjMIMexIa/upBC5NVYDmPwFskkoaar7Fl1BvrD9i2siwkucuOtnj12P2Z9VOXtDvyxL6HfuWt
MxhqS5b20wKiTngzikms4ppBMPsh5m+c1wODmPssA2di+CHEq1jbxi6W1iKzZgtUWy+BwCySej/4
DHu0pAYDQL5X4UAkGgSje53AQGgR+r5U2jGxiCIYO9IyMt9aycRL6bbi0w5UTNssQTUSzIxmoW1r
4mXgl5LuIyeJCsILkl0TziY+cwzJkauJfGwYPBzAfmFPdbDI/frxes0gjKqardbXG3tyD/GCZ+Xq
euPPB5iXpJoGKiNCU349xfXaSNzwRnXapWwt1IO97q7GUufcbm4Df5pN5sqA+BJCbAiKPFpqYHGo
ldlgrhdi/oOuT3T9sRjEJWMGtynnTMihq2hrXq/GOkkKvVcsfcd5G2yyIrPA9JaZTRdQ4XQDWGLs
00qj665UuWWeae0ZUFsLFnBkRzcZiaY+c6jRe7RsSO/Xp5+f5nrt+hLMnni163MjB2BcZMFLB25T
LnwtLsGWoohZGKnO91X2N6DfFcjDfg3cjJQwiA97xHv60XNbf8FYbLrFY82KybSLLTCJnRNa05FN
Bo2mZgRn6KXGRhuV4jhQZ4SIEUyI5Te6DTw/WQ+9qEB+uS575fTQ0/pcDuiZ7kF548Amd3dDBUM1
h20IlsWI3EXmxYqBkn1nCyBuIgXB4lskoKL7QkRPYvM6RCyQ5qN2yj2npG5H5F/H0Szi09ayy9+p
RzAa+254EwbVcwPfnyoxW9Og3Yx0jJnPmNMFY/fGYI6+DhBpbTSjIEPW4PVre/Bv4J2/0V/4mKop
3qfYJjg9eAcAtwlTxX2YYgCwtMK6R3Z3cMcW3ZA9hTey5viQFZwqmhRQFnqI5H3ihOREBEwmRVcd
yWIqkPR35rr0q7uUmIsj8QZwRvrqwQJuc+qnWcOXjvUGy4FxlLQ6Aln5Z2NA/Csye88a39rXnRfd
AdyWC59dhlIj+9oRMUiY/CG3OIHVqCiOmUElhvsFLuAYohjVXKpLwreR3HUJAhD/DvSdogEQDZs8
7PzHfsp+mCXH774ulsase3F7DyACorUyBoWoejWd2ESwmsE4ZjHu+4gpOmpM5RyBMqgjeYfQLe8B
ntA8SbJXujAs9wp3PFuyuyDHhbjb+l/tvBn3RY59YVDBMfaAbA1gXlezPOO2AZN6q5k9Enyf8WUr
5GGcyvERLxgcwozUEzsR9zaQqkdfq7O91rXpMhekYpe1vAzjDMyKi6mjMT9bDyNH3BTzRadbl7G3
8fPBbF5fc6BCJS8xvoNd2A6netSKi+t6t31kJDvHbOqjP/RP8BDQs2P+mCZ1cVZZ1kb3FabTmxC2
SuAzuWdpcj+OUFKiysacVVivIYADvsS42/S26eyDwYfZKX2xJo6nRk356lGNME+DxFXbeNKTLl9b
pBncFqWNKDv1rb1MsDva5gX6hr7TZtpB7Cb4P2pAD/2jAf2dGl3S3w78sxAMNfxE5FtIEofQyrJN
kHrfyDQv7o1BJzejU9sxsJiBGDYfmDG9ddUQ78Jmq+Hy2bdZfDQ7HQQMWy4MxA0o1ydoNYcgIPoY
fVu9UUH24k1GfK/Q1xleVR97jISlnoLzU2wQ3UQrvk39o09XRmGNQ8TaQHG8tclB2DtyuGPc4W4g
6OGbt2J7p0+s4w27AAxWC5OUqUA7etax6ZwRRXLhg0Rtv2M+Cc7t4Lx5qfncuVQyw1ShoRiru4ot
NwDMdjBIBJjaCbZxgOerC/Atz5hYaglBHyJ8xwre3aODXmtNfKjSzL9jQnHrmQgyEBJlLEBAQE24
FTPtWDjjjE9Ko7U1PU/4Azcu3pxtGJHe6ghaL40aaCggrBubowXn7EjkeFbd2WF6CSlpjKWHbWgr
R2hOTmsW22DI9COo7TP1dLTJq8zZe8CD49Y9ozbsOFcn2tpXqD3iSRyuNlQ9Fe6WRHF5a0vEVVaV
jSgTPZSZMntiqv/KzFI/VS9lpYWPEFNWNP/bixcQYzFQMGKkv9d9EwW1n1jrzDLWJWTfWFGdN1Ve
UWT38So1mXfPRvEVgINvEJTH7dS35XFIppWyEeUU0MDplW4K36G1Jq2n0U2bXWdDR2jpwA1J5O4K
vB/LqsluqvipEhFzdw+wYtN7h9FdOk1xTAGfHKakPgpg1Hf0LBcO1r/ZIt6brApK10UUzcX1Whje
FCWnZK2EYbOo5qtDdXMFeeEdnfHVpPWNyOojBAdrT6eXpFXA75aJRgrWiJR2mTLIOCRB+SPTDPJL
dU0gKkw5LuhQmBiUYxe5pmX/vBrO6dkUNAl+7b2T9bp3Fskc5uuMDfUH+xoR7Jt+iKeD5bKAb9Io
Jc1BjQdAaqtAkbXDCgN4wPyr6wUU1uehpdURN3mPuG0OqWTM3v15NSaLfK93swPJ1g/jfHG9Jmxk
SwucOX/+3IxJuNIhUOGVnbEbFYlp12sZ63AqfIsZjxx8k/VOhkGZu7ShP3NtsOQBwioOpSQ/TUQS
P2UO7eT6O+9auvy6WXLuXxNq/M5hXi7t2FX/8NjrE1wvfj3g04/YpVJMPFUklpXPGvTXQ0pFPQsI
d/r8hIaj85DrHX9eNfDt0X0DR/Dr0f9wp+svHU2iWqixxn5+B9ebP/19rmMULIGDaiaCFYeg9OSi
EYNa/nqBT4/4V8/y6y7GwJ4bNjpeUrZHDoRwJsh1XXt5aGJEl/CcAF3ioZpvLi0szaJ3eZNRdR/6
0FxkDiHkeqE87FY0T6FjXH925lsGMGDwLJJ8jd2AxRup2d1Kdu2cGqw9JJnzKHEWLMW8BbBffbi0
fNZ2Pub6mk08PzDW4Aa/YoFPKA6YNZE8uM0Ee30otzPBaDwmNRL7gcECLQBi6SJLfx+yaV91/bcg
zXF7Yi0iQrIVBTkJCqJEB5ctGG0yhBVOI7Yi/LHU6Xb3ZMU4SKu4eAhD9SPIi7NrlyvfdC+54X8h
bwdgYhff0on9gUGz7sJLOaCYHFpg7IUM9yy7XzEXpwtGBUsjNb/KmkwrGj7NQq+I9Z5tYhAa0EgX
O5BBH3GamvQ+BrgZWmstle/w6s14Am73w5MUwK7xkPXWUxT3j0EJubMVDog/Jgik2dHhTfoPJNUr
P2dlJEXxUlnfnYFOrk24a6p3O5Huu1kzpFc9gVdB890CuRmYw1EF8THV/K0w/Hcxv2dG/kVtgs9y
jspm9F3bAa/Wrxrqv6jF7dPiWiUe4gHb7LEfXLgL6SKGhJzZ1lnY7TM+ejOgmZ6Uz9hG7u28Jm3R
srZNqH2rCb7BihCCLh8eHGN6ivNuIAwmCxaVm980Vb0rNBLuqN3i2IsPIIH8HYng98XMNe88AEDI
xeISZmLQs0D2oNXWJKiVvpmsQjnrkBKT5GpijytrItcCUbXjJk+D6UBX66eNc6wotoBjQgt26UO4
5WQSQzBMS/LVYKZp5X1TPo3x2P8QLE0ZpMWO+T5q/QYw895ovdvS7ndu556arOQwac7l+a3uRI8A
I/WFAuCFUykaT6UNfabpTuRBQ+IZV27z3vW1RXtT++hd8uE79BC5bz2DZi9E9DJ4OH59DzeUU0RH
puzp2u1hh9FEIDYDUaUji6+5mfInoyvpOJBszchUyxGy7aYvpQ0/h8yIXpSwyQhPInIhInA8wqFR
MISA/E9CQ2HjZ8XhEzvE3Fo5hbw/L2RkjoOzTL9VWj8sJ9FBzN4Ry0aQnZYxcohrIDYRH2DRE6bl
jqwFWakfnI6Mj3tXCwHoTM431SZnS1nNUgwesM4yZWP07oh+Jjcsi/0lLcVHB3X1mtCHp5Acvgwb
GouyPWsJuUg7vjtLdyEykUQCSMBbFUhG2dOnI/7L73m4AdnykCfuDzQx5RpL1cFFvrIwycDFgi7e
a92UcHEG4OxY2yw6qkuBnWGa4aiRbmEfo38vXvIE1z3hnzSCMFCv7Fq2C31AksohJYb1CQqR+RMm
CAf2XnnEeYN8zo9f0ersW6QqNIog3fIRFJlmo3R9TzjJbcS8rxUyZdFyQFh0O/8jNjiEscreMhbm
Om44v2LvfmSD50gjAzatqgEST4ZGldOyKxO6DNXEyTHPQgohUqKHGaUVRsT6Aa2hxUA0UY9po5mA
g1SAZFNGBZzNlKJC8G/QiowSDKQ+amKd+Jy5E5LGs+atpt1zrPM42EyOiU19qIZVHteEuNcgSZz4
FaIAAcBphRu9Kh+8BCBeZSXnuJ5oN4G9HxQDqp79SioadgDec4TW5fxBQtdn/kXAJqsVplreQ2eN
77XtflT0Q/g2jHdn61dY9cEuLKJp+N4wh6zi+D7EIKf6zCFTz3+aB9JMu7BtNQEEQ5lsqxnJcTXf
qRgmSV86yEU9SnojngYcP0QVjn20Nx2ysbDfgWxs5rffqHDllFTqlQm22lXbpPRYMVusBwdT8oI2
eiZbv8DB7NedLD+wT9Rb9Mn+uiTalUEaactsgsJi5mf96ABspHBJ7E47D3PDHm9jtMxabEq5vyJD
RM6pkYvA1T5EEN3ESf5Rzf10QbwC048qP55AleMfgLwBWQM0ity5Q1PsPTF+lOxBFW1nzTCeO0id
6BNR3w0/BqyZyzjDKJ9XoBMZ72q0vmM2Op3WqS5/xLQMNkXB6ICOzLJJgKPbUwb/CWNmymJmThnJ
R8DDwI4serCLNrTfQoOpcRTjoBbJ2k4mOoIRkW4u5O2pcj5ijqGFZj+p2DimE3sDaMezlnb4JQ3r
SwO6dMH+XS2x8d/2CWi2DJTk0gNHRZ5fC4kKYCVAyhV7O5++hCdEiRCV16/CemSwBvbarVIOVCMb
hKdXm9TV7h12S0A0MOKb2fGfee52MF3CELAYaN8rECH0DZjstDaBf0aKLCwdyuc4OScIUVdw5cSi
8pemWYhT25YE1xVqHbdwfrJyXbSg0AmrcHUcr1ZEkYTg0+WQ4O+uA///r8r5d+FbFljw60f1U780
637+1PPMwqL/+7/PcfIlyNPfY7d+PuhPZY5r/UFIFlueMIEXmbaL9OVPZY6hm3/oukQfqISOQGdW
xfw9dkvNt6CARg3r0P7/PXZLGrYNRwTfy/zY/5Eyh1yKT1IOfmEq8OdwaFAJkef1yUVTdTHSc2mU
By1UxySnFd6PlMYKegv92ueevOViAFlWECa/arWHmLiwZd7Sfgxich0YrWMF1jlMwDNeDmMMQY9h
DaQva4/kTzvoWDEOlnXIKr8yqen2QZ+FR4qAQrfjpQlya9lXzdehJAgAIl5PBN7EqHFaWaMBP9Nl
D5euc5jM1D0wXehWUUBRI3KpDoW0nwt6jfBhCTSudE0euhr77/XarwvNWg4Ci+aohytbYVW93iTo
aLIunR9U9rmC6ODXG5iKzy7jADR3/p8XPhwcwAIsrWOU65A++JFSFrY40qDlrztfb7hehPNdrteu
z3K9NmaUca6NZ3UAp5NWP4J6Jl85hIbQlkiP1wsQcumxmjwkyKC/5YiVzEV0efh5rclXaayCJWPC
jnYseAavBSkyTcmRWRgzatfV7toyVJvcuwEyAkOslrQqTT87/rqIjC5cShkzk4y9CCgy0/YVKSN0
G2xRHIkJv2EwPK3r21Ta/bKsEWNmcR6yBEovonc+ZEE10jG+WEs9eU0mFodBWLw7DuwYd1R3Xh9V
Kz2QALIjJ+OknLGK9YH6Otpb65DybHbJpiu1eGm4w7QjJ+yG8CMYCFWrVtZQipPfCOM09KMFNaBh
auz6Ut9EFR5kHGh7zTFh8tU+BpTWCG608YeZGdmpc1nV8NeciP6CU2Idq8hsycdo11EjvgIK7jAV
S+bDiOhOCO67pVE13sq0c04LlY0Zvusdlkbdw0i3eojd8UYOyHurWdTsa3ZwEoTPcwqbkk2P1Qv4
krmDop7eAlSs4NJU3dYke8zi/N2hQan6cWuRKzVY6HBwYcM7SPubDMsm/jtyZujBHZ0ht2/0JJRb
5RCwNN/mFj2fHryclABgzjfcQUbS2YtK2xq89ROxFObJmP/qpg6ewciOGzCMm+tt03wHGabnUdgE
ZunTk/SRnjZWA64zzqYbuGnjTS9DPg872booi9TU+Jtp5EzdG1O0tcf2JNs5Y72el6IR5fcGP+5v
v+urN4zkt2Hjz0nsQXrUhKvvRq3agG1sDixyGoyD+pTM652GtHd++etihh5jEiTkXodOc1WuGxav
HMEjv/4kBkZBMdBKWoOkG0lGMuQxe+uyupts/2kIqRPZNsQRocNPsM7AzkKUyCWZEwF13OAh1PJN
7He3V6Bta08FxVNFMkEJFGUh6aFhHrvEaGsOcyN53Tnp+xWh2oux+0/2zmNJUqbN0vcye35zNCxm
E1pkRIpKUVkbLEUlWuPgcPXzQHX/+U3Z2Fj3vheFQURUZChw9/c95zmH0mcF0BlMkctBz09/dhFG
bxocJwcRVNm0/sg8iHzW7Pk25g0EPcvmm/N8OsQFdbvTAs9segLiEfwelpv8huWUrlv9tjGRhXFJ
IJBHG1iQU+WkO82qRZRhviUVh7wWGjRgZgworLh1PlLV99vINOpTMm8WWueyt9ymPGC8aYZBQwcE
2AbU+ECbH/LOiQ9V709bq2prloz+m9n42a4NK4Cz86uc8vBNjxt9++eTlNToS09p64XSCpByA/R/
OJCUXW8Me9KZM6Go8QuIEcSudEyQMUQKEENrMyzJutPIlFoBYK1OC28W/wA2qgBqGoUzTDfi1CVm
foDQvROYdOOi3qOgj3a55oy4qLsncwY/1J6ndkZZPDoBH3rcz615bSA/Br0kAciioL8t+Ro7so8G
CvMrYzTpRbXAL8Lipu3raGezDi/M3sdpsdZlYQOdQr4wt9VIimOoWHYXlGs7N9OWPSbgoOBiGMul
JkgIzBX9t/kHMC6duHmvLcsHspigdul5cYo9k+ezCWyF1NYXp0DOgxcODAInEoStLtDTOIFKozXw
aUC1kXeXsS4JO3M8Gb3xYWCj35Lihp9uau+Xymg9tCb2kdXYvtrt71CHYUkLb8wACzGKusRwcaYW
Pjp0pUfmOvKcL6KHGng0PDIDokqQAQvM5dGpAy4I8Hm7ChK5dfOkOsC+jg+22e2a8VgXo0ffi7QC
sFzEplGwAmVnvRjZw4CS4vjXe18O+xiLPnzs8DK2cJmXjwGj39oQyCSXo2WjzR+HrRzCFMb3YSaP
ToljnqzeLLY2lYA/hFEjj3HA19E6E/w60vkHmgJXnsaJ0qVBhTeoUf5HM6txuirXLA+swHbtTEz1
iuZmmEnFNJmRPDhU8KSf6JtARyYaO5Y8NSF6EagOid5As6bep+yYMjazANFHP0THBYLY0BAB4UCD
VLnyIOx+881vnhSdbObrgkqLnQE0WUMprY5RT8Oak+OE8hQhUBwcMoexoCJGu5rJas5ck/veLLe1
k7wXYdPtlsvbsjFnGOz3IcvV6pTHGrWK0G02URkytkryhuezPxQ6V4Nld9l4vu3T1Hdn3UV3gyyf
VbwgEMhRwUAZmU2no4owWrilM1iaYNSLE3UEFhV+vGqN/larQFZ1FA6Xv7tcb5fX8tfhFAhtXzg5
LGDqoK6/1oOObkdaOZxA9cii2MteWpv6/1LqXjatBrmpzflEShFaN7oLw9bo7K+c+ddWRVp0Nixt
MxWVOhjFowYcCfvh/MuMwJ2WODfpxs+nqd9Gs9lvlot5GKJAeNANH4KaVrq9Snra04SQvGY1WT78
x9irMTi6Bhfm2kzPknLcXo0TIJm5mJ5PI8+17C7E6+We77v1/NBKaYKZ47HfNy97+Curo9v/Aso1
V4sTm1wGrnXzEYm5LP/onUC7+s/DP3umkx5NSMGydkIdsjj3lmkIeHz5HCvbKftzQtSZVbgQZ3jH
BfCNk5Vk4iaBynNjS//YVxqLSJeQjbgpfsd5r590zdRPRL0Reeb76PwoIS9M3WUvmem6RTwXjpfd
5cbvx/y/bgP2Sm6FFqKBn5/re0NaQHPQwTt+3/TX/1/ucGYs2LInFdmlmkbxZDn1qiqHzbns1o1T
6OhWscIbJQUNGLob8E27mnbPQc0w9+8h9Ptw2esnC23zcvdyvAyz34c5lDzSeiC/qCZeFbpQ22XI
WWj1iHpRvS7Hw3we2ciLyTodMAfpfnNaNp5Q4Cu8TnqHvh7Wg1nJm2WjXLfcjIzIJBjEqHr0CpiB
4aLh9LlEn8ZR9qcAMWt7iPs02I8IuGV9sEY+DYcAAKqs8y7AKIZCEE/l6e+7/vGoWCaD2CrEuH8e
VUCLK6vj5HL12RbLkDOfDcvespE54Lo/91SpMzXn5VZWLUhAlt1pPlHIxCuJqJ93R1Nxurb/fhaD
Wve6clWfnclgTDdlzVqAOv+sZfnz5P+85fspgxjC/PKMy22qNbyjdNfLzX89Khojb/xzz5/d5a//
eSHLQ5fjuHZ51HL85y9+P5VI8NgavtMVZ9eFXf7X83+/ij8v+/vu72f/L9xW5ufErUXT71gIHadg
HFvWozMN23A29batzOkgBopkBRKQCewI2IP6aiWCBFjSrTBJFs9JTMha6VfPaWX2TGYne1c0wtrr
gXvXpqr6yVL4iyn6W+dG9XaKjARPrkb+jMHD9RJqao5Whhyu6AkwlNjIJA1Ojk92XSQR+QU2JbKW
enIWk8DSld2jWcaMNB7pORMjysrp+8dp8IaNrMULzjhk71CTEaueybY+a1HckCFBEid1M9i1OG7G
Qba7TGPgcyBgDGO6rZmfrlWXkKTQdS15BPCM+6bK9lXR/UYwHc+yc2hUon81OkXF0vnpJR1hI1VC
4q3br62m2Y1K/2VqQKn6XV/SwTZqymOTQ3SQK+H+c7oc0jY9UWsvUJlZZ1zkkktf/Bp5hMJG0ecw
vsPuBcMI6rZPtH4XFtFLRzsHpWp0tGoWpAVBm6Fp7s2uutWrsOOrqkHIh/LTwTRfCd/eGwEVicQp
dmHDyg004IvmOp+2tmmcuYCRj4yt/Nc5mfIhJRvRTHd2gzyxrXIQy5mzjTLznfbdvU9p4rnP32mI
byVTrttRZm85YRqCtImNGYu7enRHpAKmQWfPbdaUoVlxWBIJmPNr8j0B48dvj2WKhFRkUH0Tk3wB
Vtl71VAxzAlpAasBOIUWxN73ujcxtdFGNeEzAvjknNJ4WlM46TYVy8ctDCnSolIw1bm9VdStd3FF
Sihmq7eEX/opYaQGbdtPWC9ITVP6U+DO3QVDg4bHBDRntgrAV9+rLjgNArh+RK/8MIT6D29orD3Z
NMcor62H2PJ+eFV2HXywckkIiqPTQ9DW6O9rNUDJ07Y+5QyU5wGsXcffawOpeWEub4ivCD61vr3h
X72m/E0mzdDMBn0ucBAUW4q1XCZjsjFItdwkJc4d20KFMYlbP27EMQ275iTc5Eb043jr46fFc5Oh
nwHHQ/wnuU1BubYQkvdkF+sl4BBroPngIRTZKYMmoUSRaUAjtZCWndquezfmSZYHsfY4VC8amQOT
S9snMyEzJ6D5bEQ5zIk6+0K+4WwgAUJk+GlytoweGHjvPkBqS0YiqDOIRYWd/qxN+91u7QfLE4L0
1fKl4hJF4l8qVl4txXqYtSwGURMXIS4xnpi1q1hFWkbZ8Ci6yBmtBfq6V7JyYBPA00r1e6eU7d1Y
fJHTC1qppYthgGdTEde+R/emFn760FQlrjdlUcDSPidq6UUc7LKIdJkKV4OTkOmWh05HmAahKGPa
xuuibz/RWtqbwPJ/2G7dHuqzTFprb1lQ1hCEkWwhFRYoLZvlwwGnm32aqGoxzfNwds9qzz64aVEg
IQyWv5nkJitLEVkccHEq8x49XAY4WdI1yVv/lGOkQAqUXOtA77akXv8qU8EYgEWqjaipY3HACFIz
Ce2o+xhV0dDqCl7g5SWgrpMUQPshGsSPytWCE5mGu8iFidLV1jkVbn2vKQTKiT6kgI/bz6EDtBNw
jSKYO0cHQr5wZSlW0V17LZLhDsOqg79gP8BYHCROKp8UCQRu4jN2jLM9mqQZD/HbNGSkTkdiHYC4
XeFZCXaF31+IiXk2G5tOC+CRHfHsLHGf+z77qmIUlp7fuAek+oWt8fOt3ihT8J56GhVAQl/9QB3Q
uT7qEYoXulGfsqT/XU4RXndrRjxaJiptImChKG6gV0kkxDetmTt7qPIPPXgsdJEO1vqwg7tNttLO
H1HhJhVUe32qtrF6k+HwS3k1QXDDUxdmJ+pX+HtaZAJx/4RkM13lBtq7NjqPmrotDOcd0xOQQcxU
LsLGHp10TR+vdAdvo8TXEFViA3D8y9MLUm56cuN8t98VEz+/uIID2FbTFRskqwcvgggR4lNXfkf/
0Aq2mp7Tek2rYlOZwMR95kcb1AHv1bD1shIblewBDMqOmXCDnI2lp8dQle0BMl8I0vW2JsAPAigI
BBKF/knAcgUn8adl1fi/SoIqyrZ/ly29E+FXnBfQLONIJ8abBBjjV++iIA0qQlaoQ1Ul3kdHWtew
jedOIRagcfRW9A6djv6JnzvEVGrRq2Vfpjy4qsqjfD3AwbYC+WqZKeEKgDebwT5Lx3GuehFdGlEW
OCitfock50q92dslMw0vDGlAEplFUNFY3dPSPDAK11u/s3aJG5tbI5lekJCAX046hw6cUWwiJo2r
gX7uinR4XB2zx5AauxmpNwvMOHK+eYqWPWMjVMwZjd9GeRfCylhbhItulDVyKXwmLfjcvlVR8mRN
2lvnx/VJBbJZ61OfHlmuXrGWIZAD12z2+sWK9GJvV7d5od95U9NtCj+pd72mtpPfleuwC3VsglyM
I7qHsjefQAaXKxkxLlNAeLA088kNuECmcSXuq7CQ+6ZITMo82oNVIgjPsYr0Pao+2eUIFUrMlSqB
Oh75GNG79i4FE2i4qNqVnG5ikd+pktjjhK8sdzEohjD6YdeQ+OC6Z60Io2MJnv1gNRl0ZkjekDyY
+XXr0HWfqrQ5yyK6c+O6PZe99T5LKfQKlrcVw+EAgAGjg1pgBJfXkQC7Al0USCGDDz1Sj3Lic9To
06E+x9jAODbrMNp849fMYHvjQbfNkx0m1wkgqqGZ3VYgBdtW8Jg2GNA2Vl+8Z+VARGBNOGsEwYji
L04a2yNyoCda1Zhzdv32VoxNTnsO04Hp7hMP7bNdhr9Zc1DFh3fpvzRa8eBXYb/SrXikJFwBtgDC
XO6Hws2Qd8VMn4Twt6lh7io5PLDKZaDmrGsIFags26PsCaZZWaFAujI+stj7gR8vvRliMmbQCeQE
snA19y/RvAyZ8gcohVinRL/RvXS6jGZ1r8dCP2v05Gntn9ukI0yxqeRauHCQ8GdW937fUGv29O0U
oiEhy5c2fF2eKYmjvUqZ3bqs+bSfGq1SWtkK/hz+jnWZejuqTcVdGPvuLTwV1ZX+Ly5HoKqZzO/o
f/rbTCr92jfpuRHihIujhcIbEmDRF7Rgs5gODKHrI/rU0hgxTo3qzjVFvhVYaDfUwOM18bl0wWc0
kOUkyU6XBwNsCNFT5Xls0y90jjGNYLoIQhYfZWJ9xhpzrcxF5I3umKpxJoAnA5ZMB8iH+HCMsnK2
TiaP1SAi6Is6vAYuDVwQfXE/kJgZpTWBxp59xPux8bLB3zJN0uh2p/RaA8Y+u72mVtSw9kKYUvYU
KH0Xnbgm2ngPyWUDWqo5DnqT7E2nyehkE9GKeMZBwbPujNjZlXRuGDvepZMDrMi4KscGFgy7DW4S
ZBlMtKKvuL0kJHLnjK9MI0n8y6sH0/lB4JL+GDT6ZgiHdud7brU2041d169tT+FcdsazZTC5913z
HpP9Cyr2DQW8ex2qHeu+otsqfSJAh9x0dIXTQ2loPUY0ZL+CT3yM0JXrQYjfrZKHTJ17mSKKdwHa
WeoB0SlZHogiIRafXBmhRsmNu45G57oT6sMuvHHTewPiEMlNWqAFyLKmZ8+d1wWBQSTSLABB+INe
rP1F0FuMTXLqNm4lmMLQF0PwlUv0IcXIaDN02eOYN2rtxvmnWbjEZON1Yj0GzViPoaWWtXGq69/g
MDowRQEhqqk8xaN/KBv88o1LyTdF4HbQA3SHiVvBVPSTLascJN4SoIeZXzKHv5yVdrX2W+Rjg3kr
UEMw60q3qBoTrN5QNzAr/pJc+9cw3SZib53XpkskFzwPBSEuLp0gEkd1j8iB7y3IaKqeqDFgCloH
EzpsYnDMUb2NRc67M/yXPsc7JFyBKq52IPBiTUuikbQiOWwppJ3h9UWcqYjPWgpAuecfsQ7P79JY
hXZySx6B22MMa3PCgc59HL/b6N+x6aGkto3nIRm+GlzQGPTsHUEwv61xuubp/AWCBOA7Y9lmgU3N
m3E3EHsHoAcmTO6/pJO+r9z+t8zVkxGFBFtbe6b1b0Ea4Vj3mSwXvvMgoGISTPaYJmSuZFoHk1Lu
i9IeN8W0s1OBBRy31KoEprnpTXUpgdyWQYDW2H0j2xfv7BD626lC5x/jSH9GtNxinyv1GymMihZl
rc6ddaU1FG6ciXSWaMqfRBrwOcGH4ysjQDkbb1m7UAmyNVyA246rsE+5RnTyecLIeGWVYmBGADrH
R1aN+AeLxtrBRv+gb/sVSTwF7UThMUS6Dp7qiavEZ03zbFflsKf6sObEiMBq+Vy1A9sDvo+TpNd6
BtHQ2yR01ldhR2vBt/utr9XPTkhGzCbRQu+Bs2ewq5RVCkK90aOhl8WfYoqmlZvbr4hXiARGPpcS
d+rHc4gFRT9+k62LhlLRrl7FPS7/YoqBwlFMbJvyC8hAuo6iEZ3w+K4XnbEmr+MYBPMLEH1x0KNG
rohkIVngpwwJtWNwhactX8zO/NFg60ARfw8J69ZP+JbyJKSUmiOq9Mns7RifWMjXkpDnOI6eQhf7
dgXa0AxT7xSN3QwkiFghR+Gdb5T6PsrhOrIKZQYAC3ULjaBgBo7fEDIvnhxypFA+mZk/Yo9k9i5V
wQcSMERaotsMpQ3yN6R3E41w9cUI0T3G0nSTUmGIbS3lqj28QRkErE5YGmIwemQ4zLMheQZXEBn6
KyEQaBNbbDskBOODttZxr7dX6L9uptEoUc7FMF37PGOOkbqRawoFgnb/meoT7n9YXlgvRH3tsWVY
Uj7Fox1cGgLpPcR0Pcgf4KYN0rVeQr2mlJcyIo+Vu9M7IbZ9mn4R2UljshYkUhXhrjWjcBu5JHb4
5oAAbcQSnHc6lURSgzOwwjtpPxCt9SSHLz+i6u3oT4NdS1AQ3q9ZleQ6jHJmTzhP6R6CjNUifSIU
SVwB3JC/32RJvKb5dYwq92pXgojMMtRvCsD/5FUWzDYtZg6IRlVZxWsd2RtCXHede+1dpNEUrFOL
y0Ny50fVBmLEux6SmI57hrAVnSsfrzkyvXJb0zPXmY42vrjMa1R8ncFKD/SaE5K3pIR6kbLBogy3
N9EMA5mszfTbIUGwwvreCRJjhmwj/bDagih+wlT21eXl16wpsfP4ti9KfcVKJeA7buv4OUIzuTFi
D+Z8xuxc+4kJGxsxxsCLG39YWX5n55N9RNiEwJN5J7aUcWXU5kW02hPmZrrEDriIPhAr/TkPJPyp
sudiPBXwzKIPrQ/jXZ0eFKt7VLzVI4Pmxaymezfk55lvzfl7Av7hk7hu8h7BIKz72sAuH/JrgZ1O
RGBsEGdTMTfzH8xBfyVHFxcJ8hfTOVYJicmR6f4gMkARVHZJbSQGGQh7wEd31ONw6A4pwALap8gs
6nZ4dMbkMe6nB6Xi+zAej3FXXSEQ7mD+26nxWvIWAjjWbv1RQToJByIr8W+0pnajZq11Mbm7eWE6
kUjFicuENtRvSX1+MwLzCQcOsSyT3Muk/koit8GyUJ9geBOhqj15/niobHHpQXitmniWowW8Xcjp
uID7e4NvywysLQZtEJ8/vGl6rC2VHHRSuGhcMkFkVbp2kz7fdTm/mMYqyrVnN5tu8kF1N78m1/2F
npESgn4Rev4lW/+XKeV7UbwPbYB4mgZHTqQDbaT7WiPxzSm+DF5sNlVf5AX9yOzyseiR4VOxxNhR
uO8+v+d9m8rXggk2GVJckognSFcgst+ypDk2jfujiGkRWRmFAnW0xgJUYfXDton4I+TZ1dsfg5vv
IiR3m9IL7j2FrRcdx1fqpfd++DwQk2e02k3UJUcpso9K0FVqZourJndIRogdCcGdNn2d4yzG4WXo
9YsW31VT/Jp27e88vJqk/uyrigCKsPMuJdacUka3gY5gQTOx0NhfNqHn69Cai1WGCS3UKNf00Kgi
MdNGd46gExz8i2m1mM9+NirUjnk33msBS0EXB2QWP0zx/n8Eff81zBZVzv+voK/5HZbF/w3aWv7L
f8j5dN35l+U4PkJrz0HTZ/1DzmdY/7Id2wY3qTtc/mzn33I+y/mXASrJRgCIc882fV4DGoUu+t//
y4LB5fvQhAHvWoD6kOf9N0Bbuu/MKK0/rOzj58zIti2TlwBWShisQYXxF8g3beWUDtKP74oA6mTd
ngpKricHKAcF2RGwLdCOUhJoXwcnCtUd9fv0yVPxZyiido0RuFj7s7rhe+Mt4obEvFGOrW8yZYIF
Qhu0bBrarV1dUt9ybdamyKNpfXXzMKm0CzRrgx4lm9LFXDXliUHQK/qRvqmPjk4kXRchaU5gIuwd
NUHyCSPkRmk/sPzO04M0+3NgWh9JpgV3NXy2HZKP58LDPj7ZOIBosmCJasJhvJN1Hd+nXn4kpeqq
Kw8YZQuGUKbNkUvKeww8FBqkdg4t5DY1Oa67Wp8N1UsvqZk1IMveko7gGOq5GuaU4dKhllJUezuz
r2kvUjoqRG30LcVVFXyAOXJOKsPeWFZlCv7IoZ3pKZJo+tghTFHuCp2CUjVv/B5vmpm9DZhtzzWr
qk2DD3Ad8m60hGgwVAPmvKG0Vf45XPZITn1UKfXQYP4OitDRDhgWV6TnhOd0IgpyIndgVRC69d3w
8ilgHZhbrroUFsN6eXOCv4a7rsq2/dDFW8oCj4OZ3CSRIMdlNAj9KT0QCE3qnjwZ2Rtm4LesXGfT
NhZqFBS6hi5UhAZ0Ygq6mNtE39I1dEgLQxUvWZOf4s45hoHXUiovCMnTO2oGtnSMlRrc5hxMpgF6
pKY+GXo78tfdvXB7/Wj6//zo//omvr+dMk6tLbDVL9Mq9oKZ/IFGLmIqT1VbHIvoPeYNmqRm65X2
b4GHJlvJoT2FpG/uZW03J2c+GZa9742ao6ONjIgla7R3Jn/+tGyWN/TXIb2e+oQ4k9ghA9BFNKso
1uksAPizS1rf3ZCx3o5149Waew8U5ejrznvfh7jzuMNtoFwgIV2+eMaM//jOl8PvH8OyN42KfodN
yWk5I5eT0Z0KVrRLQNZy4/LrQJ3w08wpQC7t1eWj+95832ZG2NhA18LAKU7hfCJniz7CnOUPS2bX
ck82DfhxKlJ24llakP57o2axwHKe54vcoJ0zpm0X7IXR49BrzNlGqM8SsH8cZ+nOGbt7q0X0uvXm
VnJEK58lcfYWklh66voSpZfmIZUHbHQCIghzd94sh8vG8NFUWeQ8rlg+JYg2KNjvq75ID4jZCNRW
NDaoxSHaWTTIc0IxwqZiLPaF6s6kkb54JXWmktwVNyZbCcLd4+hN6PUXqd/yoqxtF8fZidhdLFXz
q9TnK+GyMf+9txz6IFbmPKS97iICG+f/gBuHOCFyfhggiP4s9GPaheXZyWmlaUILt5pZTrxvNkLT
RkyyQ7ybLPUzzhv/FIOoPVnTE59sCmyBzMNTYLLpI1/i16+5akc2TacuPDeu9Qh/AIr6/BIXOkSU
M/1UjkHY4Nz0X+7o4ySvf7rCr48j5in9qg/J4zh2MBN1Qd7ldE8UAU6cwcL71rfXZFLvXYNW2tQG
olj6G9gizWoe6cjCCj5jX8+OVAh1Qus6AlmaH5kn4gMElmdh1UBDBwx1hf+WE1i+mYb8nvwFv8lO
cS5uhjzOdkXNI+q4o1xfThs5QCpsx+xSeW6x95R6VcRP6yp9Da3SPxLLSes79yYqqhNzuvmnoNSt
2dAX1aV4DUYmWCV06LWS8hobpIiViZeiM5U0gvqYJAbeHZPjCrT76BBohu4pjYqbrJrIASv7+MaC
H4jSLLfD/DL7/Sg6TGfWnmh/rfg4dsZFrzHwRa3OQj5A1pi7c/APJMhRMr7ZnjrgkyOOcZCnypup
Wypqz346PquG5uyYEAXoRcVnCkiKpHb5oaGIOk2V7m5NLyPqvm2RK/X3gadFW8DeTzHL+32VjLda
4nXHcBz6HaQQVuHkp61ZfN+auOHObmvnxyL1CCZDjE4IIPqp3NnaQQpthb4dqBnCxMfyrDU+EZ5F
jS5BtfW+lbRkzTbotmQJGZtwuC1DdLO2VXdr00JP2ADBYn6cANeNaXCYLLyzxNO5hpcmXinT3Jmm
hMSQp79HfSId2x8fJQWYDDzLI9mZxhZiACIF0wV515msUibMWhSffd2gUpsE1a6ueNKxze468kNW
fPGK3KFUA08T8Z/Dz2jMnKuXadmGrE2KSUH+pKpObVM30XfIJX6VBLAwL9dOBOXMwMUuvBuz6gzZ
Wuwm+jya1mhXiaiMhRNdUZn3ALVtEmXRpLdwROUICR2tqCf1i1eBWsn1Fjs586T3DFnOQlNYxabM
sNEOxtrzzBcM4ZEE9yNwJxXGsYz6jRDxZxpGtHRQNoBlBMzdG2tC2cd1z3h+6BQnUF9ErxTmqo2Y
YA/2IFSOsJpGVlL+1kgd7cKL+XStEZCcoWuEnqO4nj71wrxz8+C+qNxLmvGZEtH6i37nKwq3VaD8
y1DmJ8vlvCXVHSVTEl4HM/IORuZSFOdUxZNBFB8onpUdyBuizO2nyQ203VhSAbFZWzggkNKR5Y6t
nWSjyOy0NLnJRLIz4LpvBgJTqXxEz6Xjf2RGwnAikFV7wtauxMbLvEz27pxfm+k5oUSDwGoFIx/V
tbzzZ31A79sOM4PhI5zz7NMsSA5ThrCmO5Iz8jK0wthUmvXKqv004EtBtvjUxVAKIDF9wQSz74vm
sRnnaIVQbd2wS48N0GGyRArjVJQ9LzcJDq2JlTmw0xx8+KHRDHU3Q6V4oXdxHMp1iyzhkszGwjE8
trnzOxnNn1MVGmsCam9MEXhbS5B4E5rVJo6sK1blbkenzocJIDWYX0K75MEANCqLz8KsvyrCrFZN
L6JdmTkkNulasTKpzFBWrLesQt9BL9wmml/vlKgvgCOSbdlHzlql+k0n1dUcacoD5bg3XNr5IoMr
3XePltyYxKTRtW/OETlxzRwJRdcIwULa66tUR+rFCtheNx6+Zy794Qo6DvyHijJar9qXIZ2IvL2N
S9KUKM8Q9jd7Zpw225up1Aicg75m/wK1FJybgDRRO4KeJDjriRalXZSmd4PLVEZYqGl0Zt5F+06V
P9u5NBinAli2LH5GYcxMfKKImyE4BhX7EnnIv2WMvnSyEJlEgzzIitxfBYLQt3z8aVr9WdBmPPJB
wLdLbiu7I1VCa+4mj+QkTNluYlNwx4cyVQxHGI8IKMbcNpRqhDIT+qfFQGpWRHkxYp9HmHxcnuSV
sTRcV/KuQW9BcyLWNkZh8MGOwFYdvVlRlyBBj0SgEcvqNkVpGCQz24l2A4uTeX6yHC97Yco9y+Ew
cydHjSnZvHxZNsxN0Y78+5AhsSCYrHhWFuXlPi+SLRt7Jeb0uGSeRC2bYZ4b/XVYSmUfQ4Xcnvme
yWiCAmz8YZoNGW9JhQFpaOOzK2nYVDUdwEU6Df4uY5VEzZuedrOPLGwPRfZklmLcaX47bjGHM7mh
B7qTWfSxiL/jWQG+6L6XTaIUM2CPaRAMz4BMkRz5uGUnM1aX5sNsfSjMoDtl80anobWPo/imsQB8
UFJ8S0Nt3Jo46uOB+Lrl5kaPacca/SEXzsos6/HkhOgvWWNguBB2t7FNguc0yI0nzzM+R+xRWw/R
O7PBuLKx5p8kTKR/bLp5Vm6EOUI008e28p/K6UU0nVfU5/wFc1CD41oE051F3uk2nI/9jOzXNHdv
Fxluvshrl91FbrvIcpdDnUjZEwaEeWY/pB0+bow09YlrF8IPwcRQDvsM2NuVbCNCSy39h22Wz7Sf
+wOjCJVKJcJL2NeXycqtRysM1oCfAE2V/LhLXbul4/8pIzPdzxYyupASZkOFai3oEnUF9qaucFx+
T5mT7RaiiDbk4Dgb1kdThGBpk/WEOUeB+BUXM4/A+YhDwAfWCBcLdby9tuefCGjwmlJt7pBqPh4C
IkjJmXXeJCT8m7pHMBPF4bXwK5amOYK0lIg75m30BNvGeFMsudyhLR9oZubVD60uwao0L3qXhI+O
p5EYX5H/xmpcW1mkvD/1aLJPDv0HfCpfI26GS6eTFQAkK9ym83pRmIa1tWw8TiRpNrfRnHQ7ODbz
T1GiEkjsM7882pgRl0wn1gvOynJyIBfY4cbSInUx/PFeZe2lcsorXwRNumzOo9N/U0pLr1Z9TIoJ
HmFUORsTcj6l6QwxxYQQPYfCumv9cQZGxuNtQgDETneCdZ/qACpKpciBNpEaKxLdhpz1Pz8YCrC0
Yqp6YTQSui4mDEth3hwVkKOgsJorMQRkzJcwkSoKs+hb4uTSOtgbxND8tkeKBn4Y7OEC1lOH6QpZ
qBqtuzb2SiDUA4JDjZVM3vLSbZMAQnjKxKcgBmZ+D2ZCTGeuCvC9AFTC7E5WsK4MOCLtZ21gJUug
dR9I9tlpfQQ5ocbsPcY9Z7k+3g3AWIGl30U0zo8j0hANBuR9oqJo56XqrfHDX1oxmnfdWPfXwqrW
UMO0C1Ezwd6XdL+xqu2Bh1lowoS8NwWdndFW9E6DiZw7Wh96kZ0Lu2c+560LbDzoOR3Sa83BpCbO
lSpB476Wpl7f5uga3fgWKf4NFjHrmhjaWSCjPFgq/+jIftiOM1In8pLkanh0QQqZAVaqw+LQM0gP
bFg1jzeuMk6CGcW2J/JtPTW6fmyyn6OXsDwp+V4zW9F8lVAJ5RAYm6gla7HjHQFca8kvTap+H0We
DxecV0NiBEXlqd2302iuaQ3yTrGc0QYpTwZFh4Osk5fSYSE7pd0N4ctaGtyjnnjAaq8feFoAciH0
UQ8cq6U14BrKlCDCetgCu0pvjRg+FFFLN16gTOiq1ol68j115uGmKdzhZtljiWKsUy0hvcVpin3G
inpVME1l3QPme6AFzarvokWg8UYkXsmsKglEcibrSGy0ktAvBiPCRxCaWWWMlxtDzGpOTd4lQJGS
od+Kmg644fgnKyexKk1l9IBsYvVSp/YeKc/sRBP7dF7jaGFyC4dKAR6iAN8/RSoQD6J4lR3nF7Dn
Xf1/2DuT7caRLNv+Sq6aIws9DIM3Yd+IVOuSPCZYcnkIgKHvm69/26DMUKRnVlbVvAaBAEknxQaA
md17zj59pl97tyDAMRfJOq9/GOhO19gsWrRvOt5SM5thxSnGQ0+2wzgY6W2D6OtWlDj+0ubHoIdK
LWzVR8hZ4VM5hydkv+JY1bxEKoufgwEzXbjAcolqy6A/oBmri6tuO3uJwG0VqXy0om3fvNSwbnzi
ewlzxJonDYdflSSMLbWO7uAU2s+u9Mj3tpGu6bn7nNRFj5BfPnatX1+NyFG5c+gf1DW2mZuHEGnC
UQud4WrIjOX9hAUEPiExpjVJrdl0svWUA6GLkG8LA6rsEF46x9xZRZPdRZYO9KT+3gRGfcrFeO8J
mhhxwRHYEubelXCBnJaYj8mmCoFWXltN6Qhf1fO/caFJj8BFjyyB30unTi9TiO6xdb1xF6Sttz/O
GOa2qA7EphjMk0ke9C4VIDYyXQDr4xrJEfOa4NhlitkiHDUNUqB8A0dfb22oGrsoLnE+aW6CainC
ZVia9e04D92DqqaOBxWP+966w54seuDfBs4EVwWyFzBo4qbYh/kPeyDpqKv6A6J/4zQaP5hiDIck
nzA0Og4c/YgQAVcAPeiaapcndOm1eNxj9Dv4qfe7ZNr+zWZ234ENXNNPdLGggszMqsOUT2/SSx0o
F5xKbg9B1qaxx7BiBt+SS+Y7Rxm76bVPCuee6TWkizqRBBgRFa1ADjRF/I+GAINV7rYtU10U557r
gFvWArEKCibYnZE/VRYxyzOoSRENyEVHU9CFQio5xrB4GpMJ7Owym18sNhXA6t1Qm9dlKkYXFFCp
Q5wMvqDnlv7uJqoL4+Q71jdSfE42WEbkhp1HqSEcVlUXJigjialRGGBnGOFNTxRjmKy3LXVrJxAF
egR0hCZsQDPQUIYQChR26ftYT/4mm3pA4eYzzO72bGn22ZddC6fErADV1ysPTsRRAB166vROaRDf
7GGOzkOKAKScjJ7LGP7dfgaYifbw4mcTk3oTEn0W4QsGDUJ77ZyDAbvQ7C570oAHN+h3MJCmRwL1
9kkDRJlSFIQOhJzboiENLorT6Jo6zL3JZ0x2PsvXKtZXtRGBcy6zj1rHRYa0dXhz6vIhTsps61RJ
j5snQOk5Bk/zlFiUNTW5SsBMXHya1VuHMENEMMFW94j3nZn+oBvwWbWaj6ykPvpZH2+8BkEyK8YG
vr354bcmZRPTOkKl3EJwiTdhAtYkEgUuqZZCR2eSpFQSmXXukGz5NZIteAX5N/Ri421nBbcunA4p
uxe7k4xsc0qWpGjeRZJGBpjK9qq1EZUockbOeTPtLN3u76saHbKGHokrjB3snaTWNnZZU/5sjIec
gS6sMv+GdJKXiUTA01ApJzpZv5hli+qc6SiDe1vDYZTOqnOaMB6O4L0idDE0+lKNxFW9X0m/qYkL
GQ6lgTg/VwesVQPhtcdt7pbjxfYbiLt5+apXor4pBhmdPd79qHnFGuWXiTupNA7pHLwRMVx+mzgR
457+4BL6o1WQgkstfJQBCBTIM5ssp/9hSARJcyOKvSMwPfotiUjZYG9SlrbbTA8dYux0uY0QnNOy
AK+V0OI+DH7en6ManwTDvLYJWsu8xCpaiDYm5nhjZiBFnLERtNmTTGJVbh3jyaKdvXHHZlgLmjUs
HyrkVfKhcHN/S+KQvRZ9YyJLYYaaVMVVhNcxrZ1zndQEFVZLoGR6b2j4fv2BH8DzoREOIcItetEM
ACyx12LSumNswoEPo/RCYWI/2KAaaMY3Z9x07c5uergDRBPQCvKMY+sW71iSYX33ot0Tigs02qck
kVZGeGBWtMOMzzcyoweOZ0Hp2OwJMS4E67WirjfUIPuNN5DgHuVavl++aCOCR2EY01WrkDRZgX72
SubBLM+Q4uzmPN7ZshKHFmJBEHv1vaGTBl2SBBsPDqWu3zTbr9a5KJ70VM7EeloqNQmZ7GS2lyIj
JzydDa6yaJ6D0aaimHUz+FrKqDdDk7zapH7uETtYN0GW+ftqyn60WVIjJfE9aFx6Sj0yp3Ni5Tex
y+QC0HkNL6GWZ6VO/cx8GulYHhNEdEcahWe/kLeMyeFZtEF6cTMbjVJSXFu93Vl8sn05xiwMnfAh
oLZ5yZFuxMNrnMfDjUjacuUGVrW1ReueUs9nkVZoD46U3nnZiLqXvFwt1yQbZrdOWcLpGGDbiZAp
ZJWJeh8PnndB45hf+Niii7VbW7rfHQd7Y6ButZ78PnI8nFnU9xTwuRYMhIhlnpZfsVMUiB1NoGhj
fZZxCzOQNevWS8ZtaU7DQ642o99s07x78HtWqtCt69sK2Jjnd2fbQRXG4sEk9RvVwlwhuU5SWZ3n
2JDHwk+GTZ4adyYCtkdEWRzrRAJs4nFG9mWrOBF+uHXUlN5R66RYx7q9Kx0alj0A0n0smLv6XLvW
VRdIYCDzLRYV41AU4w+7r+KDyY96zUlc0bIpvvhhJ9bosQ1etXsfRse+B4yx8RmSH3vQYVGqXzV0
b1fWvMeZgKebCrU6bh4m5+nRLpzm1ifpfleXKAXzprulQAi1C/EI9W07IduLaaND4TadENaLeoPw
gMGApSmE4mSTJ059LDMuwhkqvYs/smKh4nQnWg4iCz0u08ybrs6ri0fpMHYwuqWl9TQ45rmsK7HX
ZBgfQ4Fgz6xamieVn9wCrLoF7ddjOZf7JiEB2SZYE6xyTp0Gi/Rgo12V9FcbA58wDUx/RZgJReaM
Fg9xvfHWIOt8q6ywXD98zuseI7usf9elW+39XPwgqeQ0NH1GShO2skE2HYLbqts69XytAb0RToY+
OaI4vSrpD++ncWz3dspQL1k27QjrUwW3qtzFWrkXFZLRyAy758ypbzrNtY6WR795nrxyP2XIMvV0
iM5O2j7ooivXfdHyXkem6aXonsrAFzcUcElmZixB3EOvN0bP7Hbe0VMmhao8ukq3zJqbg6Nj9Uba
xz5zqO0acwXbycRe1lbiHv9ccRgcfAyaptn4ax1mPR0VpcpofrfCsTjnlUeci1McYplvLUUNabrm
JXeL72jk4DxPw1tHCuMoRrldPkcniOW0Zo/E8ZwDOA7Tw2B03yLRd1ty5wErtLdz8OyOdoj6v5q5
BLoUiH06t4hp0dC39lOZnAkEHl+RmMebobYhbDndZ49v6fYtzb+vvt/XfbD8nqIKODHVXIq9maol
laoR2zXFtgtojRaRvZ4FXlqaT/lG87uUKwFmmQUUYeR6tk49pUFYbsumAQWXhUeKh/BUfWSPFsm/
G2OImL7b9nhCsJ5uYzuGjKKH9yEqs1UbyXiz9O1b1cZnDjUcENyiAY+RJujZW2YJIux17eDXt7JG
qhAqD/CgeArwgD2Y1CW5I64xnEIzh1xKztBKSlxzyyZK5TVoiYrVKNWcmgl4hz1ycGd0sUhBgcfN
lOaek4XUTLd6dgB2sWaJ0YuxlinOMjXAAmYQUXVfUMZwjbIkkmpawaScjqmC3IbWXKylcvp7ml6f
/EXgNmOzog76zZAaKQcSZawPNodMJpggcYRHlSUIuAv1SZaNr56aqiLf132aZcpdMhXffulDBxaz
pITViKNgAcsnX/aKEhv6181lzysnuaktOkksD5kFK5LFsif+2FtuRuoLK0zzaW6ra1Rl1jorR/gJ
YZ9uJyfCdag2PuR+THBABXu77k7LxmH0Os44M4RyV8/AsDDKq90Sm9DnZrk5m0xGpSx8aNrjTS+S
6dyEs848gC9DvTfctRx9m0WGkSwihYSrM1V1msZ0K5jwSkuliYho35T6qzFZBCOroils7OaULPVS
5iDNyfecZ2gSJJbQWT5lCpOy7CVqL8pTBwaFvF3uopE4HiPvuVUfp4jl3zbtwnPpsfv1qiK8KGVC
V5wg3JPHoJX+anYJNhMUzcgbxVGChwXb2983vVXcdEDk932UoBpx+ph1laoI0xw0tr4lEyLJXMqI
VDLj0b6zRWLs/k8g9j8SiDmu+W+Jb3e/56wd0v4tj/+R+vb5xL/JxDz7r64PRdtHs4yR7c/UtyWq
EWcGD1O0cSzjT3mMJjIx38U9+ndY3B8yMcv/q8eFxCWJERK9q1hx/xuZmKl7/ygTs4Vn07L1mKLa
HqI2Xu8vfw7wSwGGz1mpT4cxLemOIssIMvlIjFsBjpWypevvQo0MP9gsO1N3Cd4x7WaXCX3dcAYc
/MpLH0oaCY3S4reDvffntt66MTSOzCXBwBuRiLqkst0UXnM/+LDWM60FrBWRACAYFaKbrHcFkUm4
G7KO/yyI7qE1PowDbRvfeMkDQGlBPDPCop3ktYB7CksjyzVqT/a1Sp3grvgh6z6mQ4gl02HNOw9+
dOD66G5xc0cgJm25aaqk3NgwSPcT4bbESoQvvpUyGVODXOfjm6oHV57xGX6T0QOTEKYEPmXGVlIt
Mb3vESa7vcGMb2rCj6HBq2mhPUC3znyr9G/sAqYplwZtpaUpWpoI16+aB2R9qqNRs6jCg6xa6XlA
VEdMtyoF2UxKkUEYOQaStU7f7OiZ9Q/adB8R/b1NYWnfCJyCFyBZWnYTMRF9Ko4ZBWKq6OaFLBwS
aaSQx9huLol1GUb8+Akm8zyC7Wbl/kAxZh431M7EcUwgQjMlro6zqdNG85P4OkXkdUlA7YXbXyAe
tGfD/dFETXJj9fbF0iwPEQsU/ZFp17Zmar+HdQrm3K1YqY5eslO0eZu6w9qbkA9MZQqyt8XL2+s2
iFtljrVk/GKb1PSicWpJbZQsUcuo2RQzAbWz1zzR+jv39UDcLC3cCEisoHKqa+17YJDjC60H/JdL
OdNjcWHjB/FchPSaItS3TXuZ01Q7Qii9dQrk8l4cmVef0IGxsL97RtbeMqjfQEIqzxpZ1xhTjQNX
eRKgCLa2Cm16CjpG6GaUa2DT/nmaHY+8qfpI7DhMiy74xrokW7vEiW4bMCTbiUv5jmwB5OAJPVST
gC4WOhUqGtemISbM8dClBYsfb3D2VfSzhmNLw5ISX9b0aISynZNrvyPBb9bJOCukJw+FofWAMjsa
NO8oWY2C3MdH3xBLFwzUFnU3NW54Cl7fluMES8Cw9jRW+aCy77oenO0wmt1xLnv87L33W4tV8KAT
v8ys3w23TdWCFmz11xEBGiGSJmsQ+iLYqX8OecBTxubRdwui4ZvgN/haSLPzxzkyOOLy+GILvJ8D
7eg8SdwtKlN9Y/TWK4Kex2ZGPQSUDQ1PgwQ70Pioadnsi8m9FG/x7E6rfhzz1WQ+koCdHcJ8uPc1
uilGdUAOaG6aKQv3aRw8IW7/XcQ+gYgjOTaWMx0Nae69KnmcXHAZWaurXKL8I4N5PzdY/KM5sDhe
0Prr3k4YYX3jwI9YCdI71nnDdQuk2pk3a93zLf+IJVOSPDbWjLHdNjW9H5VX7DHcVbeW7z/VRn3T
oGvZoKaVG2oH7blNvvlJfTME+t4u0Qa17pzdK6J+/zOBlbGaR4gMk4siJNa11VC2YELo7yoPGaFX
8yxfg8qAHA4PHfJBPpc7MsXpF5sBxAf7HAjiS7AQG6sxYQE6VfYPC2HuyYBYlo99tR8oNMAAJmbQ
Mf2nHL4iSroYpkhCd16nZI2yBngF8eNxZUALUVoH0tB3VGyIz4B3V45RdiB+QKN75+2HOT40tBPC
aY8Z18+/pWbjH4uswuJ7TrpqH2HS1XSuD46/tyFwH2pz3sRMmraZqF4dMSDvTK1qX+RAG3TrpUiR
ubdTF+MYnqLDAJiaPD2HRsuYAPjtgw3NbEonuPC3fXOcqtyjWeA0zwSbrPWhfWodl6DfQYQHXMsS
i2p07isjWLuWYhba915v7oZimNZliPm8kBPZhyiEYcCLh9c5JXMngXm5ncVx6lukpHRIR52ooREf
w2TpCa7ak6VASrkPHcs6DUOCsXdqMY0h6bwkbuzSTnonQAPLVGdt/ImgIj/z3jXfAUiVBXvNpOLa
17q5bVqbUMOE7DZ0vZpL78BzftqZ8aADVFgxtdS2NctK153BARfxj7klA6OL85cWFaFJbLoHpzo0
5AbW36YNYDgGBw/jjd7H1ba1oj2wNfBC1A3CAqCyTwKkRrFu5ciZK0y7sULro3Lz58ThgkFfC2dH
jXmSxu3OEKxROkfHve2nl2BOHsxi4lBoTX8d1NajZcb0PlmxT1XVHTRyAFZMRPa9TkBdnIebsrGk
kg7vHHJkJ0u5Qan3lIBUi2KyAGZe2z6gdErjHIHL2vI5iFSEo298r8A5bMdminYIoBSeuT+2UHJO
kQn4waE2OKTiUS+MFp+3iQ+wVXY2vT/OaAJ2VukxFKc2Fhe0pfhVY7QJq9At9hXrlLUbhPe1MR9z
M9oSnkeTeD7SSjNWE93EdRTEv/U0Ky7UDUELJHwUp4PiDdtgVVHUIBD9mvk50ToJ/FjDIGvAZ3nu
t2JY+cPwLvoK2ITYo0R7Awn/zZ98gH8VBmInG086Vpqkmt4TTYSb1gpZ8BHQZvj2pg0TaPbekTqt
u66cl3gS706UGZuufm6EBuGgvTPs4SWERrWRVYN874aLQqC0MufWxabJG2xzSPV2d9FsJcR2Fc0/
cY9xyiDr9e0251qw7gJQEk07bdsAOjWzjX1aBse4Pzp15YMgRbkupuYHPqMspoKQoGnHqX1jlBXT
EZb3nUkKdNYSSNr3z8lE6Fo8CmCqHFx0aEnWgqcvoRmtUQAdw6J4qTsqNDVXt7UHqz42mm++T8HW
mpKftNDFbtSs2zLvv80sm9E8oUv1qQwPo2eew5YMG+hmIgqJCilLfveO+UoFiCdNH3IMhHlVwYNx
EWnkI0BEF70gKYGpeLLJk1pxzu0Dfdq6EQpjK+Los5MauSOxuDQnLYSnmQMrqHPR+mOzP+m0AUKh
D9aBkR3DpkJjLZuhdbJVB9F8m8CKLandY6TF5Usw9TCearWk/dos9y2IvOU+DgCmnG6fcAGnVpH+
sVmkI7XOKauFu+kPUU+8eByW25yc6RGDN41o1tyBWn3PvQuFsARwG8TFdJTlY5Z0NuFyuOUW1uZC
3Vw2SQOX7wvC6ZSDu1k+iLZokYPFf6E0xQuUdGrzoyLo7Jf7hXpw2Vs2y79ouuodYnCz/bpr2fPV
a3y+5rK7/GOjDBglyykpj7L6sYAZi/4xjHX/6IIB2NMlv0bwYFjCI4g5Lf/AmyedsieZmI6N8nwR
KYlFhP75J9TfCTqJ+44xa02cRH6qlZOhzjzQe8vucufX5pf7llf85b4A+lrWWPXhl/u/boqAwBwp
aWETn5kgeySSsFQSpkWwtAi8SpeIM+Sr3Gmzrk/Lyd8uMq2vn3WB26UYfWHnLXr4UfFvl8fdcXjO
0DBu8+U+3QuLQ2MTIvjHMbHs/fKCtZLEu0oSvyDovjaLqmwh1C33xUh5Maen0+qLr5csx9jygp+7
hBa/qET37QIk7FSNa9lLFtV+2hJo31rdz09qIo0wtNcDZ6ub4x6elBjcLdJjaDTSWXkS1eTnzxaG
0Bz+tr9899Llak7jBxRAPvJNLJDLRYm17H2ps4b2QoNQP5qzrVivys7wubvoslIR7h3Yznys9mU5
jZaN50l+hVKdUXRip42gVQjCg7AnKn01sFhOommimLXcXPZoe9QQQ2Wlr5fbfi/JoNDbbZATMWCV
xXfNFwhziblbjdwD96i+427En2X9RGs2r7mUmC1ZDVWAPmIeH4zmxp7q5EHEzt6pg9c6QJ/uaUO8
rZhKE/JU1bvSC2hOt3A57PIpLywiBEV2n1uQThyYavuomBguOxRfXC9ZzJF7si1mNfMwcbTaDtzB
CDPSqhKpPDSz+24ahjz0HVommFjUgz1oIxK1QZcaGz+2xJo8H3k0RmYRYaIdRdPFVCOb5Dwo66/R
B9nVNAtGSBI0N2guOmIWUGgFHs5XJyxvdRQ9rqOb527sv/emalKVRHBGYd1sZWpamyqcEHQN+Qdn
+BNq7/JY+6zLNC2ODp2up7sMosEmJWYVSc5d29DyDFw3PE4aIb++CNb41/Bph318NS1mhKjXaJEu
hMHEbCtiU1hqlgowmKmrMhIlqIMLT3DZ/brzl3+zPOorC8PXvysaiAo1oiNKjpflMfri8AmX3bmn
kFvgsglUQOcs8NUYarPc/NywLIHInjDOd2g90YeR7pnOQIgj0mXLEQur3/mbJSJK6/27UcWDLi/U
DMqWo16tVslPiQoUdUf0qtyzPBao0NFeSwaop9xXqSW+Tjbp8mCnnv31El838wYBmqmiTlFdMpQl
KgBVESOXlK9yif9adr82KUqn/eAOR5kis0WSB9JXnQoc7JwjKQVUlqCkfKr7vh74uunWPsyZGpbS
vsu9z3+yPBom05vZkAb+9W/LprTXBvM8UOp8X8v3QmRGvId7inFesX5t176BYil2pC/DwlYbZCI8
sPyuYVb403rZNdW4pFvOi2GBEACrT/qd2kzYB05mFIVQBWex7n0v2HQZH612QvM0yNJEdjttFq8T
8/K/OaF8xIGfPriv+2zymiB3mSQ5F0hal0J3roZff1g+MpigilQ8uQ3m+yKL46NG6E6Jtvw4TBcz
h7G5OJKWvT4jIS/VhkOoXF3wMKa905sHFq7htubUWLHIQWL76cBaLoiLS2t5M/Vgm4oMHG2Wvz7S
+9kVpXVd/GL0opqj6H+blC1k6Caswbq5XwxaKH3qnS3E/ZfTr5Zg787L7VHJUIndhQEhxzAmghfM
C9Z/1LU21OijSAiW4eK/bOiD2NmhUxYuHTUnuZZyKkhBTk+LeWvZNC3os9rj615cXcvzlgc6RyrA
wjJ+yGWLTXLaRBnH1p/+lXrxr7+4/K3l6f/lfWJh9n69wrK3PO/rvq+bXy/z9fa+7pMVJ2sQUjNr
PPkcfL3y8o+9BeL9+d6/nhOlIjrMBur2r+9p+Xia6VE1WRRApUWjQBFc0T+5u7JG5bfweScv3nYM
vSzxOZWx9qEgdPyoOHw594p5JDuaIHNbSvcwD3j0lT68CImKsQG6r+g4ccgsR+5ynHxtRk9cyYY3
d/UsS3073EuLds/S8IgFw/8wg5yd8wyRel6gsmnVOFyiqmL9r97P8ib0un8cTOCWAsdpGMNRJ58V
UTdWEbIVQAMIGpknPkJRt+3JysgmjOxaemvUpfK4tDFI7LzD6uDHa4bsVWuQ1bG8BqM4Zrlhdtp9
baQ0XaKewEqEQehpVv/XWPgfNRbIcKHG/p9/r9r/U5TMQ1T8/P0vxyZ9y3/+g//884l/bywYfzVU
WIxr0SgwBbkqf8TJeMZfhW/bus+60hWe8+U+N//KM8iXcYXh2rpr8tCX+9ywHd1Y+hDO/6algInx
146CwA6l2xbvgfdlefQ1/txRqOqwqzPfR83skWsAMvA3qgIuomfRmns9KO4gMrTbyap7XFIkxAz+
CP4ql0xHDAMfg3eV6y7M7kTVP4kCK57pvCImIS8kvhGNYkQaqyZJ3rIguXiFvhs0G1XwhdDDY1Nc
LSe+p9xE1K9frlHt7XvsIL6PSr0qhNijBH0g/kOcjPKebsUO/X+CBmgAfUz6XpilVwwj7aYVBVpb
i1V5lVCFSTv9uZsvxOFSeSf7cF1p9imxUhRlEly9bmHDMZyPttLPuQbyMgLZEOnPmnSvft7OiNYJ
g1DKNhmDXOwpUuWm/JDTSDul8a5lytLTHI27JCUW3fZ+9pS4a18t3BvcZ25jH3wruyhxY2LahGQN
+6runlr0lSt00ZTGfx+m6UGjhjFH4e8kXXvo6PBFVSunG+Dfa48e/XPo1f0lCYpziKqdxoxG5HF/
j3PrErfppcjtQ5cXPIXSTIWEFjd9XHtXMu/OMeJ1nG93fqA/R5pzsPLpDhEGCXy7OjOeaw1PXVJj
OJ6AwSLaauMPA/oZeXkvQTM9xIgnzMh57RKaQqcmaLZeIa6eNe6zMbm4iXwznPk8DXzMJL8MRv8Q
6cHRDI9+gtwr7nbgyy6MGHe2nM4SfatfJ6fBj0+1JM1hlpeYdpRjxJfSgN4LHBRWT2ujYaElYKbD
3iEfGETldQBBVnjua0UGt6dNd/rsXtrpRU8pX/p29IFvhZmhW5xHJzoGrnEOKvsw5OF2QoxA7jCB
ljiSD0AVCGTH8ZeOxgZsC4AZ6zXpsTA76U04bMkqvSsj51C20UlSMQWbedLr5KJ+YSMYnrsGb8ac
/GDd9OGE0UfVjg/qayy1+bkSHNT2/GRUeyag75PeMfcnYkgf95PKzxGAF/LkWCXdOrSGBz8nmK4u
cJ+6JQU0wtMby0fWO9zRNGFeEJ+I2kwM51rMztWM+AbL8WxE9iEMp3McpR8iRA+rg3qJR5yadnKx
HOhsHJNz5Rx0XV/bxCUEzvguSvMixHZMxic3mh6G0n7F7nKaB2NtlcmlruTb8jemjkRBvAgNHibq
+um6q8KPoBHuKs3HfTimb54+nl272dr8KhG10YSwZJvjr53uelXj1eNXp5MfddJwkWh3GbhSHX8w
3GP84PKCkuoQFADLawy2UFyyHoCpnO/iObkkA9g3ybGq1Y8JIi057uuqf7DT7qnWMrwgXA7EjzGa
n/25e0D0WYTjg8lPUrvpW9N/9yfoZcP87FXzs/oFO306a2kCRDN7U1+MOh6NcHjw4gHN/vzcECrd
gx7qSWdTHymwOozX9cry7ANKkHyF0OYOq+Ndaw4EYO7MMTuGVs3r1TjkkhPhvFv6d6thcF6bsdnC
DT+AXv5B3PQccU1AbPzYadFGHdtJMp7Ve0tDrmUDrsHYGAl9MvdS5hcZcylA0n52nW4zB6rOnXXY
ZNKP0ba3cfw6QOo14vGJ6uxOHUyEyuwIwXkOWhCq2TPi+b3Ve69jCb8JMtyzThK95j+GZbOrHXnS
ZL0rLFZd+Xzn1eNd5IxP5FFv2nxbZuOd1k3Pnhz2IoevRYTumwi1F5wN9zfN6FztWn+PoPTGQbjp
zZDOpO5eLW9890nHzCHsUgj8aPPpDLVoXXEwa2G8bSdmVABYtzj974KhuLEKEnQHY4eI8lDNieJz
YbQBe17pd+Agq1HtOoSazGcSaGVyrxfy1NbWoTLTS1YtK0aMkRGHBN+0S1O2/o2i0m3XzWe/bJ9w
YcNdJIgkGM+UNDB6JRctjncFgWgWh9cIKN0JjXPldO9NMN6NKj3F7p4qlJgraZf7IIJj4MEu5WIV
N5xWM4kzKPPSExSEJ3XBRqRJUKi89RnZWjk/Y1B4a6vqmxk8g9h7QnAE2NYe383o9yb2MQu6+CUS
YlWTi+57V7Q1O3USNSbnmGHAPO1D8dp1ZQUkiZHGt1+rzjkwJkarXm8fXJtzngvVKunv6GK/tfyN
NOfqhjowolSiVJacatmb9AfOj+imjq7qb2Wmd13OOGME+YubOtDs31pNg4YbKAxndEstEwycZH0Z
TYo2RZM2JM7lNGqgykjhAROJQw4v4IuQ1RvkRhwb0niXIeWEisRijwrtDSbykWWce5JcYm9ACqLo
mvD1wXizEs/FEdh+S+N5Osie+l9UNTAkEwI6xzsfn+t5gtvfGs1vqIjslRWIlsIvbtwAb3XOONtq
69wZEQmBDDim+tM4RP3JUIuxJZBi2Vvum+Z42g9Ze+w89z6OpLlbKp1fNc/lpmbXfyuBoqbgbdPH
VwtOtRb/XHx74Qt5oOOmt9obOJjBSSf0Dm1BGqxZTsTW2q9nvAZqM6iUrUza7S6YWSYj2mYlEpwC
gX6uSF+imAJu2CLJElBiafcnkPX6ajfp8bPhGdFxwn8ioplLSKcfqtalDaRt57zf9HNCLry2he2/
YgxYFdqraD7cmuI7wThT7qzl1G5QGZLiRE7ldmqRxeLbxbRGjb3qNFUOLtrPTWfiiuTNzQe69FeP
FuGOSRFrEsj8EWTXVIvu8sIutsy/nsXKT5232fEPEaPAtorEW50bAopcL05x3v1GB2KdazLaklmy
wqYCoNUdGY1T+9kdPfD25O2iiHKB3DoQ3Fj4kOHEgT1L8z3VklOfO1dhl6CzQVMntTgU5fTalcp6
zWkuay4enAL51D1k/vwQ1hNNbpK1AiY6qBm/pzpaAETwCFQh2uNH5fI3mqi7pwRrneZenWx4Muvp
KbGLa+rS7wvEfnbit9jGlFefbSptf5rU332CmP6Sd9ldEVMu+3//YfzzNNk3gai79FNpLHsGE/g/
T5OJusW9MGD6o/nyUSXAYdMn3GRPgRivcEJnbTpXzKNGr9r+N38ZyNSfyVBUFnwT1gI1GDx/QF5/
IUP59tDliChyWijGHTBgWvSpe0w3LtBUKlGrGInwiLRE892rmir9N3/+FzCV+vMWRCqPd6DjPdF/
+fOIwUcLCERxMFsm8Vxr8qjdaVVJ2eIhMYYH14rfmuLYjvexQwqizVWNiW0kp0/22WdC57/6BVSg
5Z8IWZ9vRJiey6TNV///x18gRCATiQYvhfrxnbF/cJiZpNpZQFubSiYGyIA9AO4oa9edUW/ztHug
QbfNDUaflAmrbxNdZm9L7+Xff0VqjfbP78ynWush9jI8+5cozjIhplBOIj/4HUsoPT9bkXWvNRDu
IEowCXXQNSXdj+Xwxll6jtPpnZnYU9jcAd9/0/3x3Yq4ACzTQ+HMd+HedLUXAuueW4Yu0gzW7sQ0
hLmdS/3Lq8a9moK4/rBPyDaKOAHULF0HpSrS8SGL5Elk+t1sOYea32IIxQbaKgjS/kF29dawXzEv
7CoGv0CA66DaVYvmoZqGQ9o6kKEhRyKvinrI+m6906l7Vhbd4yx81kJarbP+4o42/lviyZFmCqN7
CLAjVX7Hy8u3GkYxY9gaBRuMS46aVaqTvpSy/ssKykPd0D/h5Mo/KxT/5fHxrw4PG12cY7iG7pi/
AtRMslaywrSJHDYbPJn6HRqxU5b+WGbW47PR1sd//7Mb1r/63REKqlW7AN/2awSrP8Cx4sH8ELqo
WlP5KAndktazLIaHhoFvJ+zkbRq5qM0KpNz1Tyx3T5Wdnf4/Y2e22zqWZulXKdR1M5vDJjcJdNeF
RGq0JFu2ZfvcEB45zzOfvj+ezmx0REVlViIygIOwdWyJ3PyHtb5lUNenvbnX5sewIQm7AG/fXx2H
TZyeX9D/cTGoFKRpP90bg08joV8a/Ri1mA2tHElLx6NjyO9mzkMwCsfldQe73ACBNntrJyhAl64g
5UpwQnhI+njEt7DGyHzr6aqQ03soZddT9suCk6Pgpqe/35JldcpxMUfNB3Y9ypSkcx2L3f+oJa4u
y1006Sy0BsDa+D4XQxYRmwiidEhEdYqJ3PZPvo3xkl7/U2tJL6eS0kkaybrgkifjbZD+UxR1654W
jArceNVTquO68FLTeKtpR4s0el+K1rYctrGZnrOpYd09ffY65Vge0bKH16reR6CrumDP2BfefnxK
1OwU2uJVLwj66g+ZmO5GJf5R9HKnB6ZrB90Grdu7lvoHCcrOuB9LYxdOJuGX05F091erx1NCu0fF
cpw8hdsVI+PvPqmwdno3c+yGhyp/GHUeWvwe7PTPjrUwXArkAp0rtf442Oqnb4uz1BgT/PMr7U9R
v79PPjR/yN1wlurQAf948s1SKSrI/jnTSw02yQhbTr5qN+mXL8uvjFVtl/+L0/avTn1TpeS0bcyw
pr7898/3KyqT5eH4P2qWHzKFy7kzExqyhsa0+NeP1L+4ZaUFRhgrrKYD+frTXxKFS2CmCvRf2D3+
dbNhiJPOT/UIlwEfD5iCFb7t6jrP1AZ2A/ccDHCY/CxVdu3Mx5ighshwPMfUlknLzlH0c0Lb0+vi
VXIQyjw9wMojy7ZeN3H8YVv8NVWfnKCxMJ1PiY3lOMvGWxeQFRJzVNd1QuDr7JVTBkvAYUPZXQ0+
/85P3uEfHNsWF3TOj0lfJo35FjrinJSCTDRKcsDaprzOw7gzaXSWH9KkDmERdp4M6wnUIJeM19vl
c8mEATP8HBFmasQnZ+ieNGm+Btl4tK34lNfGCdeLpzTTcWmb2jA6qbMkx7i+4/I4zsHF9hl9NMwL
9JohAtO91dgXL1qHwskPSSMDv7RS9ejH5HGhTPQkUXLqRzhbsHJSPkk7NcBOQ07hr1NrDpo+Nl9z
q3vKmtpLKvlK6Ceq0PbqjJBg+Fl8H1gUJ7igX/vnF7em/kWBwyXmCJuuSBXC/NMEMtdhRbGeBYSd
8vjMs35dVPAjopa+CWiaxeZMPRaYoNZayGekjNF2aMh0HJVHhFOpCwX3XNPmYX0/dsI6d8ImSOhm
spep6NCX1q3v75tsvIZKcNfY+l1lx2/OIp3KWYSy1WXB/jLZyXus8/pS5y0d8m4viOspGPzlJlZy
nTOvYgTQc+dTjS5FBRima+eb5+VUreb+k2w5ZHnNMfKHT8nJDzn8XRrFSZT8TZN9UIRJ8TFuNYYL
TO98Zbw6dn/Vus7tzHGTFb+WJlUC+auVcWvO7aZkONIYiyeJaof5C7vQWxWq9zR4I+5NMBbbpRrz
k94NaOaAEJ1xXAZadxB1c82gOU0dbnCKILNZRhYoQQn7sAz+78ttVww3sqIxWAfcEob/UDKia+2P
xCQspGxb959/0H9xilG4Lf9DCs9k+08f8xCgPW8HeOcDLrrG6VeilMw1B0guXORGO94L6+CXwb+4
vjAb/+fyzKZ85gmtaTq6hT8dn5UwyA4SXb5rQ/OW1elpec5hLe3TzhtUPow0O/lDCx+MXiXuXdil
u5qCp5wYvDDh1LlRjMYEYK/js2dkRZGdMNas4XYttRgibItBiijq1VIv2QxKJTtophvw3l57p9kM
VXxYjowhOnWKsm16a4sGSYIAI5WEKiybPtGLnEPW/oLhXjzViLPSk5mpt+Xcjbno4pwRYj4AuTJx
83tNnJ2wDbrYea4BRQ/1RFHNRNPyMMr5NGNxZ2EOQG15ysmPIPb0OqbTMZOcG8s9HBjJ+/I7G7N6
mzX1FmOTrjDUN8mHItPTJGj7+N4kIsJI1p5ucfqiulgKHSwCx5bLvqFzncmFrNJzizfA9F+ZBy6q
Ift1mVAEvYrJK+RxK87A+36WcYjdk21EZf5VVM62z8YTtFFsYj9A0km1y06WoOqY5vkT2o7hcxIl
ytrK1yANgJhxVy5l3Wzm7zOIH6i4lyD0LU4/DGdhpa1mAN8N7S6JyocJfEpoq6cyZRIbyzNK1/du
kudlaq0xr1umTRN0RsQS3jKEo/f6XH5p7FpPeqLdV0p0UCXTtLi7Lk/4iHtj6M1z4E/3y58xswJS
AbKZHuouOuWMk3vQ9Wjx0Vjgbo4SxE0+poI2Fbvl9F0ma6Q3PYm2v4DF+t3ETt2TPQ2fWhE/zgxn
ACQ+Kofl1O0Ykqt+fNJZHRDv/S5A22h5R7MZvgv8HLVickIzfc161EJ+jNolOJqm+bpM2jIIYDV3
b66arzzC8bLx+KC6LMPHuLIwvvNa6XRDz/kaB6FXEOsBn+CzD3nUUU30eXZQ+vgQOswRHcLBwaUG
ktTkYLPM2to2ZbxYwaLdUd0eynI6/r7gWXosZSRO8N048H5yegmmAiLPcRzQgEG/d9C3MEMEVjLs
l4dPLlo6SPPcN72bB5+qwlx/ueCW6WvMQ7Uc6R0acHl4X1lBMF5oZH9LZzY8IekPfcXhP/cEyzF1
5jhe5oRz6X//81NLM/6T5cZeuk0TMIJpcYiof+ru0skg/kiYxM3K6TNveCPnYW/4z8y5GHh0AsQI
zajdZSS+Y9vlHk24kZbZ83JhNXg2V5ix0YhCBgPbmV5TCDDLsf37BaT+UcUUuHX0gybjM7YVVjrj
mYf3o5M4LtKrYIWJo75jHjR4cGyQ7q7UgryACJWG6Hnm5NA/PTUF7DR2086oSoCRXXefSZr0QEd0
b5aUzPZ8yosI/xxTJGvmNhmtrN5oevVe1k7oBmy4V5KhRl0wC20LZpuqUQ6rc06PvragJo46kUck
KzlMuUl9vzmQHPv+R62Nkqy07Gc5X8KZGKA4xl6vkpBgnS3RHj2dw2k5cx5RAJ/VqmbTHb6rUD/t
friBN7qOsdi1JWRc7dBDRlme4WnUcg43m8X1Wg2Uestzt0tPaJo2y/3XSOdRMx579hpprN4vr7aU
SYG+tMbRIbnABfIKdgLLVZFIfEe8iMO8v2a8vEwGFNYJ2H8OS6cBouBJSyzoNdPnlPEDMLfPJlB7
jrbZ1SVVUNFd1buoghCrTcO2R6ls5QQoVs1P2nZPBpKj5YZu5T9K///5h7a2+b1d/mQGVgNkaP/0
x/94KjL++V/L9/y/r/njd/zHKfqsi6b4af/pV22/i/N79t38+Yv+8Mr87X//6ZZd9x/+4P3emD90
3/V0/W4Ad///W/H/7n/8t+//zt7dwK7Pc/q/3rs/Lhz2f1szTUij/A+Wvr9/6z827/bfTF6KbTwY
Tcx+9PDDd9P+739XbONvhimZ6BnM9WzdXgqSHJEFdHfD/Juu4oAA7G9Y2J0k9/zfV+8GW3kqVZMD
wdKgnkCS/8e78Pch1v/9+ILv4i+GWrqh/7kswpaqmqpgaqRaBq7DP1UnXaQneR1jMOfGC0ig7SUX
GoW4wPkjx5eaVdCVk4ZwzrHv3VBo5h1r1Z44PKwElr0FK+AUG4HR/yyrB58kRtfBhrwtFO1gsDBz
Rej7nj+dp7qsd6RhfMYxexMOW9wz0IKgyMbsMZaN1GCNhRucIVzHHD6qxwTCeJ58qHDZCCNWmzvf
HS38AnBlti1pfa4Z2PY6rXk2CNIuwQYQ+KpKhpKowOOdXvBELkdnQ9IKWAtz2bpV3HWa5pG0C7Cz
DQvPQdO9L/zoAEx4dGt1wLhQB842LyMv4ZG8YefFrpSOuyHTr2nK9JFjCqE5cZE71v27SOkLt4q0
8qiOBLxVA547gGlbPRyfmRgSgUjmxJ1ibrvRjo4lPfwaj3rzphjjSD6PsQ3i2CEtNBI4xjEe+1wv
i/Dyq05YTeQsOt2+0DV4CZ25UjSsPBoRA56Imte0iO6mXgnBE+W7OEbeb0SVwbbO2etcVSSaS+2Q
DsZHTXjN2m6qfK8Fexlp5hNNBNy4qMI1QbRRnoXZXUBGWEeq5UETJIn4HtOy6X0mmzUznk0aKLBE
IHdif7gaRC2DZ+XRg27bJq1iFfQyYlaTXf0W8GiiNOIyTCLbN06AfDGEfu4HUj2anXIEy5oeQqCK
57h3IOs55XNP0PzG6KbKnaPQBLZcTCTYkfxGmKjf1CidfKQPBti+GvLew1xg8yzn6k6t5W0scHgZ
JqOiyVflFVsFdEQFO2rVTfDyLKLVOpgjsKzDtUWEIXEg5s3veMYQfUJmXXDFJmpsqjRe21UZelWW
36vkpx0Nq+Ipp0cJmWYW49tkLle4kh5qaQBjbQhYchY9VzM8lYqTrhsHmYqSEtSU9rHlzuWA6ygp
hrWSBAbJwl8av+6KsbK8FwTHrArjrcy08n1aQ9RP/T5/UPpwiTlqekjxvcVih2lSzJQoL9XcLWR6
kWTlQSctA657C5ZBNZ2yUJL00j+RIFUewzG72rnuRV37KBx9Pkx1uFgtQsIErDun8Q144YO5q6Qh
H3wANKUONUHLgx3kvPouGnl8GK0w9iHkFXSkndfaSCUANwCgMrvm2CrzQ1X0yW52EpgoXzFb7YOM
VPrRLHskwQyXbTQ9FIH/lXV2xsxOVflcc3vJW843YeVQHWfWAsdhCQrokOwbfXSVMh92Co37UfeP
mvJLTs5TFdXVJYFAGgOq4IMCF2u7U2zfATIdQHg3yoptmoPkNnlWQaoopuPcoXO9qIti0za6y6iP
6SXfBmewU8fCGuPjaNjKOgoIYhKxDlHUZnSjYLQk22jY4Ag9+CP46KRn79SMsNIGwi+ctto4Rh4+
1fqN8L91ZhMBmqtadA4Cqa1jB5S4pshFXPzEESTvh6H7CRsDDWbuw6UosJgwNLfulvhkuM6G53RI
tUNVWNu4IsvBTgrY5FZ1Rr0p74qWOOvUVob1FAFG7Fp4vMJmTVVWwwEgWujaLCzXMIoMjzKYLLPS
iXh/9F/sBQQUo8TZqmH31bAaC9JA3ypBmuxig8FGK+pv2bE2HckPdlsWs94Q29m9SxKxfYSv9JzG
vr6JjAQTVok6MbcgnBRTAdsyUO5nVirePIa9R+DTj3D8W22E2WK0NFaRYolt8QIGAZOwDW84rnyf
n3u88Nbiepyya5V/Z9Qqz3WnLdluRCnTeKoi7rwFqK6BhxvtYd0Gcb+vNT3zFJ/koIEVi0uILohf
HgKEfqeunL79MifepyLQAhTZvGmb6iU2NTLY+9pyVb4GXsQrDCkIjRgv1qQRPedSJVJrxO/cmP5d
uEjwybP+nO3q0GE6c0Fsf2ZakK31hM1uDb9KToQTFmnqGZpsIAxqW2b/5JERV76OYA77WgtEJJg2
TCq5KZFv0a7TcxkLAG0G1bIohDf86LvRCffsyeWdEMrItiLEAjqDEbUg20qQIPnMwUF0MBuOYMg4
5glYnkU2eY3yIqLgecII7pmlY+wnB2PrNHyYYzbifbQZD1hNtodp/qYHMzPz1H+oawToor+iNWFb
aT7Y+D+J19RwDbQ9OCsrNknt4JdoRPRQh6gCxolbs8ZH73az4uUJTm5/hH+eS2ejJcEiqmdEbyTO
IdVaDIdAybw5hfmjqie7N+cFyEQkSZmrOzuPP+YZYOvAeH41E73BSbctVBtVGeDfoDHzcyawJrdZ
NrOxXRyjWHsRo4L7NfPY9LCYIy6dK8+HcY6+C8L8bNQvBg3MTm9BHmp5lHvxkL+TxodJFA/EPCfm
Yrk1Xd0cuUq4wNKKOSMAAVyr5b1lxcHzmCm7bMQbHwYz/grxNUkZnuY4NACLmBw+7c+U2dpT3uzU
InvV5FAyvwpelqEGwOPAI5yWDNopAvkHWKmCrk9KfUyOq68oB62r32wrqXZVGgyuA7fU9cFdrWUj
ra0j5+xR09t94ivkZ3N+L1mT2BH4BQwUWg+OZXlxrkSvU7LHXu3vsNQmns40fiPy0T+YVtC+JD3Z
WtH40ORa+NrruJNNEvDKuDOfbF955lhixhe2L1KDhy/6Zm0lCXv4iH2bQwVDcm+h7hIYyG7Sdukj
puCCZFICfiuVM0+tjGwdh43/iiz9lz617VljV+k68Z0V6OK9V9nhDXLwcSZqZxsM4DEMB3WFIU2+
m6H96pf+ewiyfq8uwGPgRGDuAlKqw3oWT72sUTuo3C9a0KNDroKryfJwVYfYjucp1XC+EiDBbJKh
pjleRdb3JxBTuavPSrmzUFrOfvhN+Be5aFYdPyY+257ehgLrd4Z5iQfeD1MUFvA/PaQDDfdlMogf
8AEcjendoE/fDGPuZCjLPUG+dLjE0M1VGWyHEAY6GZ3+tiZG+6AQFSenDuprfk2yGqxjWB4cPBNP
zuIHJamp/xwLawmuQ6bYoOz01WZProyHjf+Rt4odVxORkom3amP5c3ZnpDUgNeRuUSCtNRy4jg/F
RI6mVa45RuGTBWOVOqvPAGak+B1liPDCyapnnr0bqw6gPFQRE1rVvHZlc68Pe7+o7V+2z9C9ISrv
Eb2FAbNpzk/RMkEKg3YxrxBoH/lkfgbhWoBgc0uiD1xluXCQQ8ReUmDAVOTi8M2Nn7gZTJClwtpl
uXpvA4CamxcxmPWX0Tlvvl5GryqMiXVPkuH9EAtSQMxhYzBesoLiNmI9YYBS6msVAqLXZHGBrG0O
3/z73IhOvhzG7wCoUSjC+W1qjEdFmh+NkxfX3OhJk+5OnEecILZBxreoGBza0UXjslyN3dBureHV
ZNOJs5OqtFg7JcYprf72F5G5bGAH2r04zmGmoDX6MSA0HCuEZW6sxgvHitjesWF6qMmEBE9FoM5l
yE5Aph/dW8LNgki52Z0AGjaELitM9VL4gCkJjf8q7SRxm0GbdoU/vlToQKpSwSg0zc5b0tcnv+LH
j6VUdyaG+DESN98GSiVV/QeB0AgQwSaZtiOnxoiSHFJz8WWQtJxYegdoskcUtIRM6np0++3Co/WA
91EAnjCX7/n9jYMAEBQKAOlFxtdSoT+Wg9IgQQaNRo8VoyvAeXWD7ClBv41fNikdXqwXcKSQ+qwG
G4aXqgBMXBwMXUCW6u9/cT7jbSofMHmqbpHOjNuivS254nREyIXW91sKsBOgCFYvJfRpYndIqVr+
hZB2PET98KZBnSYoEFCVoWIMY8Ei11PtwQkeyP2xGI71ekYUNOOyfApmV5UgHbnnJfj8heqVlKXB
mDl+0Sbooh0AKKXBQ6SZY04cBayqSC9xFzTdMZAdtpZQNHScFY44UiMO0KKnw0Bt6SHDXcpm66Ot
RoVVL9YFJyVBtvfbp2qEQ9XYET3dHGzIoQKkMMnebafwoTKlhUSvs1FIXedKXgvYZzL8sJI+uWu/
QgSJ9A/xJTM7mJjRgEdeI0h8TIM92EhxN/YHZjQwlFsL8V0pwpOm+BAZEpIrTDu+oAtBWRbGXpDF
EqS+dE6w+W5FiGh6yYq5JkO61SprDcySAjlM4quGvbk0q2+HBMlHJfYLCHZKAquQ8V3ix8RZzP2b
MiikCs65ytDVfs11lLPFb5IOGwKIZ2wam0VIzMBvMNrHOXacNcGyb/FY7Ka6D3dqnr4im3+Dqrht
S+1ODuFHaDrkv2biRalPoUDy1RKlCJQCFUXMQ6v350vXTm8A+TZgPFbqkAa0H1AwA8sH5c/JFqrT
kia7pzE5JnnMepMZmrnyCdmuUt3FTYBsjq64Zma3y+Gk7DpF3zaTjZKNZxaQW+zdHT3gCswvWuSq
XKehtSRwqxeB5gtV8V0PMvRgdNV7H8/duovMq9LgAydjRSXIJkuQKN+SwSZK2bjn3r3Pu+TFN0rr
4LRoEEb1LCxGdxT2v18IY462q8pkV/k4RpuSB0dpaJ6vwlKQ8wsJA/rRL7iPw9qmLewBDw9FiZ9g
ufy6JBvoghgfgFI4+o6j732iGYrFHzZlKBqr1DrUg5Nu2SFcUBKvWzMXe8ARlScXGxuTQnloesCD
Wqr3buSQSa1O3SMHz0PUGdQ4GUVk5uukICOVHz1jIFF1yMhXw7AWxMVqupRjrO2BMpDIsiS74Yzz
90r7pZCyva4d2a2xaCo0gfXZHid7EyVEiE/Z2EIF5o2EDd3R9dhPdFbmQRiVifNxNhFsdMbW5PXK
UgB/QaW+VjWSYKflTHO64VHM2VtqtRe9i9p1NwyTWyjUUdQy6NCLbJc7YMjVgBUw6IBPqqGauj4g
tzs0t+hnnofRB6HRK9ecWATEO7CrEi9p2d30MgPSkZ7VuZ29YC7jNY/Xm2pNcAus8BTI9CuzYTCx
rhcbRd0CghaU7CnWAqQmK5aeeDDZOIoesoBKZqgcotCFmfQ95G8NtIdHXf+2ZueWjRHy6sReDURk
MS83CAedbH2bhpdsGvBeQlInWgZWeNq4fjhqx1i2H1ql7Rick8Shy22r2/dxoP3qNLfJO3MvOvWt
ZQZ4KMhYMqcZDEzXxbsC56ffBG4YM/w1tHeHicTKrFqg25PpkdBLFzNV4Pz071KpnNO5mxznl86k
jCCiapFlD0zGAjs4Wo2NTawhuLfS201hTirCykC4ATvkLjGGSwvhH+QoklRg09sxyuI7nVJ/3dZN
wHweKWvflIdCeATqrsQEJnsyta9hTENGaEsPwGSE69I6+kogkfXZcKANrboMfFVsFs9q2cYezgEw
rebsNiPhV0PSj+tUQ5euiCC8yIa8bJstnNt3pAMSExutkoIcKCWaQBHSAVdc1rs6hcY6p/dJXqHb
K74ret3VGAa7SPb2WknHS/kcynY7jOj1w/rmIKfFIZPeN07aeE30Sw+VgrVCip10TrZmJp/DlgOt
YBQy62fuayj4Jclf2XfZcjnoRnUUPjFLZj2QPd4TF+cD69ZBafVTyh44f1fRLVdw8is1BhnCoijx
l0QIQT4a8U9Er4+73uAp5xgNduaZ84o2Dt64p7QYfaTJc6GgZjHmVUH/EYkvOw6/mBs6Yfw4Blnn
JYbBB1S/Jlbyhk2XEfFe1HxyGqxRIbut6ZsPYcAvXLPKA7aOXII9SA6gJPUHNwmVPSroXaDmXzY0
8bEYcw+x3AEmA1wOJBeCShkyvIVLqlX3YlFM01Qd1Vi5L8lwYtpzCer4KepLssnAE3PCb2LqG4qj
K/cIiWcPSK++LT2LKSstsCTjubB4cxhRkJ9wZcB0iHTlI/INa8XublOiE4B6qlICcNW0wc5XvUar
sg2HmrJikXVftxa825ETtxcYZIqX2anRHYpvyAvPmYA5T1RTbA+3xrfAb4+fkZ+QWVhPCOmND2Ws
2Epm6z6OvnpVu8p5AIYJESbJISJr0GgL5kdmQuZYl76PCusjZxi/2OhiXGq5ffgcaFTOQmdsSpuw
dyKrWCHJfzYscz+VyT6I8Bw1kB7L9q2ozKeBLmAo4k3KYY5IZdf0SBwCeDChss0y6YayYOqK3hGl
tMEHCq0hKbUYHL3xZYcOFg9tXrWSVKKuTW9AavkZ/eYq6ULUvuI/sVsjk65xJ7v8YAx8H+5Fxira
IGKzPhk1wVGqmhSreQCGz+YUj0v10eoAoEBcFQPQVzAsN9z7pDdrBBsn1GWtuoRwpt+T2OeKzxWe
Lt2Nne0msR01+6v2hzfRmyAqNOrHIrc9q8wv1QzhzLhPCS4kfT7ndy+g0ThcUwHp1lXk+hUGuBk8
dZD4OpFgG7HkWrfkPBODTOZ9Q16kJWVBRHoarqq6Id2go7YOTeUxD+mC/FjcEuM5IQTewR1VFXz7
zAy6zUkkCOrxpxTAycrEeWZ5OK2Iw3gLbRxspm/MeyNWAawxbXGG8KfJjXNrQqWomGp3dgeboQOO
FOYIBorviTnYsgqLkLyiJCVFzequ1ZyJvZqtQmYc2KGTyRPD8ol012bRE6V27+9bJzz5SRPSlZOx
M/u5h3vjkvU+hSnDnLyKFgYwRy+KW3KLcuQWvWqwNyb/a/bHDyghv+AEr+oIJnu4hEn7DFU0YGv2
VC/hFh3aKUqYnSgrdsSqn9MrBi5I1mir1IylRMldp3T6WlfjDuYQTzy7ocesQ9jEEVmBaGqL6U7h
ttKJygBQSsJNCiaskaXYIwslITXrKDyBvCp5/G6FwbAf1SpZZxh1FS599rgExiMejVZ6ZFp3yNqM
0V7NuqIwMM8Y8MtDFtnUQB36+t58DjTe5eFsmdp7nn5Wfm882yEbgrrpVjpQ+CPB6ViNpAlloAhy
IjqgtigpG9Gur8HXEK5AnBSBlcILcyqtvI+NTaMTRB13BeNyQTxhxfCzQuPp1AEcVR/sTW2WoFrq
7mxe5u5TLQ2xHubC5ik3UTaG2kZXpsId+v5p0tUFQHGdS8DvjWQkoUonROsNSRFyF4sddt/Q/VZR
mWAea7Hj6WOHTrRNsD2agKMMP79NTOHqIHgq8SCsoAC/JC25SuYgLj2HlqNVOq5E516txJMWInXV
iZY4WXWoL2oLY9325rVsSBGfQkHbkvQfdRg8tRYUJtEEnDtoGoZCrz21aR7ttLU5DRzpSpdszxXN
5L6d8oAAdO6ruOQJUTKox+DN3Wk7MO0aoVKLGKFzL9BRmBrV2hRUXCm+eofmsMfqoe8S7E/8XPZP
HjvZmviZnTVrOYoEaxdWxeRF8Us9KeW9CMjUq7kMW1yJXUowDcYGL+yLdeSoNwrcei1LiSyPmQgV
SPrZFQqMAv05SGS1TxyaMNPJjIsazL8aM7O4ro3i3If1Jkur58xHoGKQcbk2p5QmbyhdJfPfy26G
mKghl+kNVFbllG71lJdFuibcqr8x7Qew3xEOMh1GI/sa2t5tdOSJs2K9CSu/zBA9raLcVgBtV3E/
v+ZNAhjHyR9HyQ+lPtiS0FYcSVS8A/XwL10Oj3bOCMPRBtUrTQYKAaZZJZ+rDV1FBQkcrLDlChbr
0Hkt+AaTWq7UaBOLPN1pY7Njp8+NrxBm1ZI2M/ngVR59RjrRyMEtwdcjZ2whlfgErMvHhlAJygJG
/2TYM8aEQEnuqOQedxp9oNeELQ0rnmG90V2nWgCLk8zSGzV9D/limJs/2fRloqmXKnFFWsnaD5rD
VQdw7sQU32KbTfG5zOpf9dByxaZvJuWuNY53UEqJMWHurkBsNAlX4lTu75OlNzDQW+F8bLMXa2Rz
CCWUmkutiBHraVMyuhTGXcZ2CXXSx+GF7SJOHgNFgkRo0/3MvCW9Kb7tMSUypORVhmCXce1FxruB
vF9Psi/wZWPgPMBsHNeaDl3TGe501WL7SkAoYNaHGpPf3CRrJ0g8aQUIP5tfjUw81AM3qjyxiTob
MZQ8KVbsBjX815WK6KPv2tfS9A/La9UmmrFCHKlYtzhlK6fGxrCsnMaDxrM1EsMWftORdKFK5q+O
TuCVal2xPkDL20LYfNV1eccnCdzD1cnxJTTFbQB1ks4aVAa+Jm2rc0SuRiqTujC9lEOqbpf+RCVo
pZhpdcrphELeJptbe7Sn+Slq8teRQUcL/26U/V1mER46FM+peOJdw2857iMV3Qb7kHp0LubQXZbP
q1MY6Gbxhb/yDOpHLawHv21+DSVTrTnu+5XV0WuPyKgKMa8Uf+cPww6ea4wMuebRgpB8JZitAzYj
WGeqHqy0eyEJhLe74QmgX3XLXimtuYqt+Z7Aag/C/YZ19ltsGg0YxOqhcR5ybbHlhPvanjZWmG5z
yuLVUJm3qNM3eEoAcOUn7IbGqkyUpzGv0fFAmoiZVCkSemAR1vE2TePbqIxfbBXXadYQjEaEqtEl
cO+xGWNI340ttqeUvUEDoT5cMrXKXlwqHdVWF34VKQvXsCKYcYxuzJ4RuGr1b3cGfnVCw62zL34x
2DqmU4/IES8W3Kad6gTbfNB3BV1yNrsDx6Po7gNr9FquEUWbTpHQtlEc7rs4fNJjCm/F2MztRJxN
ufOJL8VmDtOWrUsJaKwc2SppLg4BJE1m9+gzBG7hDHLsbkcBCphD8U4vIi+L8sflwm8VXMopUw+e
aUV/HmAN9kbl1oZ8hSp8rBXnjJbKa1r7mUX7K+4sNzbHIx02x1Wlvmg4FVbq9JMbiKjGrHmYuOVX
mgWqtegHZT1o+ZHSgzA+sdfVeps1GupI/0ln+lBSvxSZfiao6JzH5Tvr67dmtHca0qdVqGdbOXzm
Indz1p5Cmd2awgXB9sFulY9Za766TDxPuv3chMzdGUZ85a31NAFlVRRi5Nrqxh7zF2G4Zuf/Uk3y
zebmJ6ng7+XJJjGTB3bO+4FclGRi0Yq+wsnji9pvcQJg6O5cllSbyEk/dJU9sGU85nhw4Sp+MobZ
zcBOu+S9VtRrnTZvGXe9kpd3XRi/6uXwNrQKKU0AVPtE7pIsu59ZwRLNwHhTrzdVwgNoyQPJHOze
kJwlXBwreNYN7b7gMzFs+4ufdVUNIUEbNVzWZ5VNmsXzs9Ky+3h8Yr/07U/2uQr0c5Mmv9KSZZyM
d2kY3EUz8YoEiBoK6SKGOKId+45wTNZJfzSV7tXgprKA7FmTlrkRO9NEfUib6C3PAK3XOvM8GtyO
w4Qb7MVUzDszikjqjValRI0WledQOjujZ5mitsPFmMvLoNeHdjb+D3tn0ty2km7b//LmOJHogcGb
EOwpWb0saYKQbRl93+PX35Up11G9qop3487vBAGSIm0SQCLz+/Ze+5tW4EUGfMCpANIguyLU8pHi
0kPLPWWz0hGp9Bzi6rrrK05tRk9bF5sFLmlYGLfgAU/hPQI8bdMHUUEp0hn6i1PJ1Vfb7ogeX90b
ezEaBnDEL365xIE8WUKjuA0jKALtPq4hyibUrxhnQMW4XZsHYUnRCnhMWJgL6ol6T8JNuYlurDE/
+n35CBtkN5qAqSvbRJIHMU7UN/Dmd4P7YKbTyca6i0zmOoyMF3spTfgMlIDc5cF1ZDVmAtxotzfr
aF2ni3Hra80Pc46PEaTsuFivQrqo3bp+K7LurRiSe1RofhzDkXRdxPBvob+cZkgClVbTSdGNb32X
3YeBJ3E6evM+YbNoOxJwupfYWl7dQd8Vmf8ce1xypbXJra7/ucAztaiC0xY51MBFcRIwnTLb6jT3
Brnx0TFzXSIKezob6GLQxl0mn1pcQTM6q67TeD2EGXMkRowduT4szMDluDi7N2hujB1xTWixNfIT
rQddW3Cru/oT3a1rvzQ2qAPOrHGOiZU/WyOX/bRGfPp6EZQfarM7lnrL6UfhybZumfN+LLwe4oH1
/WU/6zdOgygvbw+ReTevyXcoYQ+ObQM4Z6ouBsrlcVDVEj1Y7zUtpkBtkyyiW7/lv0uq350w/Uvc
xNcxEJdNayDVkf9gYekPbmETExX7V3NEBE5MZH3HmRInT0Zh7PuxenYDaKrXtk6KCIFDrEPA+hAD
dtFi+s/yj+ai+T64Ecu95MPoYiwLBf4So74b4j1hgCb5pFX54CEpsUgDzAr/h9GBZMLmeS9WDMK+
v11ZwGH9T6kMzx1txPXZXAcsV4RpagQzJl7gWBRFtJYiN5MdoCgGBeYu0+B9FCBXwUhP83Rs3fEG
SChlQusUTt3NornXS2SeUDkeUrSg1ss4UMReHsc12c7JcvS84cZKXiNZypyqj3TyflBtJd2aHmgs
Nk4E7dl/okVzjML8I7S86zAO02BxmpMnuvc1dO4B3u+mIT55JRUcks35B8D2dgQ1rgyRdZEdKOEF
iL3fIDOJrU2HPM+rs55N/JSgPXcrd63ALV0CrWirBmlfIF1ANkAHqgwskwrAXBivcsiMuvnFKZoy
oPvjBFp343g91vBUNGecwL7B8Ihq4toGqgx2fjyX2qfz63/ln49L/fF//8/7L27lW+gKbfKz/2d6
ktRworn87+Sf2/es6v9N/Mkb/4g/fecvy/KQ4+Fhtm3LkQ7NP+pPXVh/4W/zTEs2xgzHxk78R/1p
2X8BQxI0hDxDd13XxJf2R/1pGX9ZnsxzcExfp5jMu/4H6k/ddKW6859MzcLnMwwhiHIgWQLJqRSf
/5PPzhdd2Ydho11SLZGh3ARpllwjwYDjAuFXdurwOHB2dy+sWCX1OTwjUXhZC+02X0KXhjbZRunU
bqwR4IUxrvBnjksG+d6SmV7TbURIvJus2xBQYNh6VDoENnqzpBmNA25fxRFpKinlah/k4eADjK6K
+87hVrx2hwhFAYWl8ls8l4em8W51eXUImAEns9VldGQoq8+vonUfQEg90b/4NkHEYLrHFM9imCyW
i1UyKwpnCQu6sjMdd2hM3KB0Dwsju6/65IeZrjDvuZUBAW5Ed5/R/9kYTeLu6oHIid6uKIHmoOBn
+wrQfd1x0/cKXB+jVv6O8/wgrPmSVPuyHndrN9wS9UdAZ95hEPXabVj9nmL+OMmTGhGW9TRMFuvf
7FlzKS6WJt/ZDglimDqEjdT2IKw7rJ+Mn6tuwVyYUKw2xn2To1d37AdCWgFegJDfpCApvVZ76zH7
1U353qOU6iFGLmBB07YNDBNUa1atO21un3SBkF1MLM64gdgIIgMnmeBmOdea6/bg4p5FOl6PFZQm
DSOMXfB1M34FqKglmpvxFr1LFZDNyWoEAGgmTg5F4Z6yuLciFNaH7Gpl7ht4EwF1mpG8s+QYN9pC
hMXqZcz/b7PIvqHb+mAN0d7hM/aZJJEMSdJuJ5rQhlmnqEgjoMqgQ0Kgp0Fizz/aIrvSYkAdpAEm
e1gNeXJfOz8FXpepzqdzz4+w1NV8v8woYJcx2/k/vCy5AHMVJL6Hj/a83kIdCQzoyodJUrFFBsF2
btyTboGmRqG0a3UAWnEePw3mRKhEK1G1Rn2pcQ+DWCfNNx8Az9vZfnSZ2dsd2RwczM3YZZzKqf69
yGfiAEzVp8muHNyDe70Nagu1Drk/R7uLv5mjXjOz4VYVj+VL4dUvGcqTTSmeLTf7Xmc1+OPRGjeo
fp6zsvy5jDBcymujyMhspu/TWNDcdcdF1DXv6756qCbnfi28E0lZUCfr6dwSDNw5xUDJOrx1bNoU
5TcXNM5Wp08KKHCGlXO0VzDMttkOO8Et1ayIupolkqk3QTn9venIY9lWJV+x8CJf0tNKLuhpeaFJ
CZ+KHqnXf9ByQsvgQSlbc4SyS1M81TWHCOnqjnZfoK/WayMLQH2M7qxE1rKtCRgvR/Mu70eQUkJj
xUXpvBnbdEt4/NZvmeXaPY0o3J9oJhCwYtheP/e+ntMaFqW0RXKvhKvAZrCy6nOvk3tyMN7Nlvfy
50VJrWwUMnWwvva1tba3Bei5P6/908cV3IutWkAZMazhPE89qP0R+r18lLX8TDs9oRdvGhL6Noc0
SZrCJfLC7v3AYrJ0JrTwpytYptYDdpMjeVOoBCkFFyWRKkkI9SSVs31agSRP+VV/jtb5z95k1rfL
Qi7T11PqL1JiaZM5cfdff89a5s87F+4l29UuCgjbkkDpQZqtzfVQrK5xaBVBVj0n5AvqT9SmjEL7
FNFFlW/6eqf6K1CtcGcBkpcMbjqNHt75+UmEFPCKemIkyzPyRyyHLWe3PVYP3UCvICsT63EqtMsC
xnQC18ay36XvwXDjma+UTcKV3ozfJN6hqdzmVpeTw6mfrQu6r8PQ9OllGqtHGHXt9WDExtHRy2+O
hGYiEolo15TJCeZIybQLfdP6jiaV9NktdVTKhNTF9kAsqX03RDgUITqNZXwsEq3alWPlbEJ31ZCV
5d65dY3maETVUyfltq4pgNvUSJ4h2e5ycLB93F+GlboPZQcA+ugU1hcm7Cz/tNfV9AT1ynY9zDOx
B1XWnTJDVOd67d6bTnePGq7HY7FUP6wZeHZvN/ExJsv9KfHDoHDc7IjizdnVmlecSA54bZbho4yH
7t6RxEODOA+T7quMbXlcyyE5r1V5O4SztkFjXVHey3bFEt8XaUwAfOdgFY2ddNe54mXsWbRkUeMB
C+OG2xFwH5OIPbfg3O5azi4iDsmIIzO9O+sl4pilHJptGPWkYSQbLmMsV2OEKpzQl/jgoMe25CWW
SsB53GIgOKrH3hik5uifYDEQ1aLkS2qDuP5mHGn/M5sozrNCAfd9hxPUs2SFacR+Z3UdV6Trjvop
T8/OLNNXFeB9HYjZAMKESEgCfdUmlEjV1Jcn49fjpYaNW4MNiWf6SoExtzB65QYHsjeSoW6ASXW6
pTnPHRYFTStPNW2YsyK7t3/vqee+Hrpr/ayVSIiEy2eYUka+lNzdiZGYdglzBfzhbkiJSTcIS+JV
q65SRErwnYo+MbFk6d2mLpfk9JUIYOumhxpPJgQooLkH6NhxRm+3JENztpkVGNaIKaOJ+jNFgP5M
/4QD8/dDDOeFdE6M6M4dgvxmGTT3ucvCDpKzfKxNpAumWf3TitaOFDyW9ykofc5IfgZyJ2GX5Yu7
HEkxCnopv6oWvAl+OgJ4ksd1LQpMGrHctevCARnu79VRjlOy3FnXHUcJ9f06yoom30lartpTL+RL
9oEkAUEM9cXzV9CCOhG+Hqq9FWtG0NczSVsS+a9A8mqTyIfquVolAIStE+0Lp3lSx97SV3QCaldn
3kC5ROteaIDbOzR49UkkPzpEJ+dQhAgUo5JGqvod5U+0yk2PcWM3lDRq1EO1Ub93lHb6wZ57LPFQ
5b82muAn/nqo9tRzq/PaVGl/8vqJ1pH6TdXppvbQjTqotTAmqfPta/N1Dn6diEAuToIL6zBqouAb
5d5NVlbr3pPDndog4ue4qKBL9XhK6prxqflQsP/PY/d5jaooArULY4qhLcM49PeBcyPNQ2Ajeetq
83UMkXgyg3cHpCpw2Ed1zX5euZ/7dlr/dFMgY+rAfB0idcT+5Tm39MegATmJhYVLWF29nxkA6tip
x+oVg8wauF/iWZcc5c+Lt+34BdTjTjGME+RAJ6Z9ZM8gp9qoS0ZdSrGEb6u9r+f0SD+4nUHXO6pa
Kmy4K0l5sd0OAJ4+IfBqST1Ur33+gXyuiuDJjvbgbmmTEOupxXCR/977l+e0tom2WIytjeV5YI8T
Vg57N0+o7AJXu/jJejDUwDGy0lF78KL0HZqHN3UIdeVLkYdVPSyskDFNHdE6KZ1jl2qfl6C6JKsu
jsUuinRGSjvzdrQZo2Ore+6fQ7h+86WnXx1J03FNqkspPSt5STokj230Lo936hA7VAv/vAl12x2S
e9CM8kCXjSLky6tVXbKhwrO3DY72bKA3rxI6/K/cjn96DJ6TpmpOUh+6GGpQXykPKvnhMwmiGHuy
y0kd+sx6kMOzTaTYWT1Ue2qjDr16LiRrOSwb//g1XObhigRUjZyfu3z+a+lHWDOyztr78iZTyC/j
LBnCM099hdmc/4H+L4yoXXfqL2ad+dFR7aq3KS7918OIKMQlgHr1Y6zJYvkR9llxiJK6Oo847s5q
72vzn54rNaw2RPXxls9NIX8atfsvfz6zVtlBEv6tns/V+8JIYKA3kwMQln+87T+991+ey2LSHdbO
5HT8+x8WufvuTpi11d9Wcx84XQV1tu1/6ZO8HZW6ZNdH3IDUZuy4O309N2H8yqm2aXtBZ/AwT/ml
0IbiYDryWKh3REvCrnqLevN/+hj1wj+9x1/cnZ2aV6X88nFrftdjg+qy/Lc/P+7zb8capuHG49fQ
zTE7qNfVhiy25vz56rhaG1FwomhEVuSUzTi1al2IlbtbM506qPy7cajK9jjq/0CVJzFgQRD+h1Ve
oxA26/Osbu61mTLq4DcHTvtQybmBlsYNkCw5XyCtgkMYFi+tgJ2iaPx4LMK9V080bSI5wBnoh4ok
LK8WLWw3DDLl+Ysjrx56auRVT9KtJ8RNJg+rbNfPjRq21W5NgBRffunvMOtC6yCfpbBq6Bdy6FC+
NoWOVw+tz+jj8slzwUkjN6y2lhx5cGqU/GwhOj++gXpKfSG1iVLdgXuRH3rfnutjJycDsZwlJPLW
CD8yBsLMLVBlJGjcGKQclnsgojioknO5BLGXMPap/FsVeqv2ur6Iz0SVrHIAtXPxagPm2A2NzUAs
N2pPt8ctntXh2Muhd5Z/qvZagniJXFmPJK3xH5FDezYZnIKfObXy8WTlFJVQFVm9Lci4ltMpkGgo
/AzbYpQMX/pxndZA8fe/SPyrsKOzdFsV5opvVX5PQI7tWe1h3EAAtw7XaWNTyzdkE4MrV06q1MYZ
6HKVIegdMuXo/JeC7y3khKJiLY/xQ4YGeUNYbFNMMOcp1vYxFcDDmk8RamR5NS5adNvY1bxXJ46v
E3SBbJvRWO2GCEhlt++q8aP1tNrEnwjqWUugdlUydUnN+1AiIjXlHFylKKg9jhH3ha8nxRhr26Ft
kMHIL/G1KbzUPaydSxH9H8/b8g7UR0hQ+i6kRGLZ7X7WtDv1aSp2WO19bSI5L4Sc+n0oIm+nPihX
9y6168wFP7wFZt1sRxsaOYuxSzhGwzGmU2rLObjaNOpUs+MtMXvzUWQaB1i9oFXIFry+eVcZ1eps
8/wCO5h6jGaa3Rg3DQfXfDdG41IWEZpNdfKpDbBxyHJFGf2m2Nfs4HwJPhr/14qG69TUJHn5EZle
QlgE6Xw9psE7HWWctQqnVqHdFYnjeBEb5Fwb9WySJPzn7PInKS6kWPvLeAbAQp1dPvy359I20DB2
k2tyRaBOddMgs/42hK216UCc5IJCEZHMeNrC/VpMSdA72sPo4b1IROjuY8NxAs+vyoNLoCD62EIy
XNdk1wpvvdWL+0WULrkShFLXzUPdrd4FSf/jaoXhsUsQB/am82roS3wlnc4t4UK3w6BXV3l0rEPv
mul2ej0swrzMOqK2FJI0rP0dgqR+l+g4Rz20T1Rznz0E5qdsrGHxjO59iv6FKkxPJLVwz1NGoXJO
x/DYEpaShbC1m86FADuNV6PphMepkSlfk73HZTtvV0e7HlyWH0uXNkeSrSJCJZDV+nNHa6bLv5Wh
ru0w9JYHa+GMdhpnOKGaPvoRgrqoseHduOtVmgwapeDl+0SgeDC50xJAPiVBXSPx18DKdYLYckNl
q7m0KVJftUfc5UdnFuPebjrgwbGa5JIvnmkzsBHqnMFaS7nbQK4AVjpynyJSIbUQhaOdW8k3IvYo
fLIa3xcETuYYq4RpVceULvKxRFG/ji6NJMzf5pB4UKZh/xOwgFGmFNMhyhHq06MKYqOVZZCo2xLe
hLbXnfeLGQ1Xhif5ZvUwbk3LSAPctujjPO/aBNC+d2lkb2JqM1aK2MKr7+xae8x9sz94xI3gO7Vv
CpNWe1JdTN+YdpRaD0NOT5xuGyGwfVxszdnfWeH4q9IBCCw6XVPEWU1oPtrIP67DOkmPlr08zYLI
xCYFKDdLD0Adrx4RicNbBQ0X+xIk+ZbK+pKKH05HEbccf6FY0zc1wVW7xT+uJBQHpjNcl52FasSU
fH/SNK/WPL1vHILIceJBB5NmaODK4q6zuFlOZb5dRWlsYSs2e487RZDRCR77yJAwqt1IETyYG6wi
tgblQENH7hJYtanEYpIKWK1X0RING4ep/96EbXyqV4MsoTmiPYtSmEQEkI4mU9irVUs/hB7FwM2p
cQq9lK1M4nvdoro2TS2l1MQ/XNtAK/NFj7+hIV6Yy7oYSU0CbvuBZkbiNR+9LeebJn3OjAUmpuJq
O2QdN3sj4m7ei54KRHFIzL4ntFY/hDjRt2aF6SVM9J3ZdP6WdvNE0qx3E4ri4oMthgDXH0VeF6cs
a37UqE+CSjf/EM/+t3v333XvTGwk/7/u3eNHWX503Qcspk8azOkX0JXPd/1p3Xn6X45N3cA1dMBt
3Lnhpvxp3fniL1O3TdeB2eKaktzyd+vOdP5yPHopYAsoi6r+3D9ad6b1l+8Rv+LT1rM9k4j3/0nr
zhD/Bm7xDN+na2cJ3XSED0Lm/23duUtravFkl6dYd7VATXtU6s9kmT3hqs9q1lWZKImCFQd2oDUV
ru+/52PqZa1YqCqpeZh6rKZlak9tvqZq5YBKZh7APMt2kZredHICLKKI5Yp6/Lnrme3JyP3+UDqo
+pkpoAtlgebK2Y/aU5tBVRnwxyygnM0bWa4666ouqHansPJXrAE8q6bZmZVSJNRNkuMrqQmAzIEt
ctJOjeVEXH3IZSwve7ZlzFmD1HNjS97VepmY1c4FFkoAPfmIEWeawEiVOtLE8pKs3AiLrsFVB0oq
Rdq2z+LoHcUthOu5fiIdekIARMjvjWmJVxgO8bcFar0N+HGfWWt4jFmA4LECiFbX+U0vxtvJirHr
LVMVLDoc2kVrtziwN/kQmTR+mBgOiOkEoQZH22KyG83Jpe/dPQROGaAYv9SteVnmKIWnQzKUVeEt
iXK6WeZAqm13SJgAB5Q4mpWOwvSUxWO8L+wa39/Mkmiq9wYWPgLAH7sJObkT+iwLc2zr5ewiTS/u
8CZnCKeJuLe02t57/oMX6SPTYIPboe69lDSZ6rqdcdOhZ10ERI1RwFcv0NWLpSLhEP5NULEu2E+t
zDhpKJOjtKjE+qTF91OfvuYs78pkXfGIINJCYrfNmC/TuRumretbmMwRnU2eRhCxi3Y0sh8KV7eO
ImkRNCcQPwZrD18HsC8Erhwi55Y4I+mj9K7x6M1Hy9J/a6XmbMvE8M9NXt+aWdvcGdnZHkFuLRLT
ueBRioRr7WnStoiqCMEpdX1AM7veu36HGKpD7r8QwpvkPpm0VHXnljnfYM6vRkJkY1YlOiIcr2EF
4PyY5Kc4y3WWzi8lzohjnaDdZCX9lmDPA6fPwlOuadaHLq+K7WLMt6KkbcqkDClkMpmBFVs/o94h
+cN0M/rhnDZhWp9AGRi4BdtDNyCi7g0H8k52aIscx6YgrUVIW3ETSn6jxy00WqRedz/Hvb91Mi+j
K2UydXZYn43JHm/TacX4V7cOKmEaC9vwzjeyk+1Bt/PGMXBa+8FIxh/5oFH2X6u7vheQR4AFagM3
WoY1gs2M5RRjFNehL+lhjW2WXi49q+6+bCecJnMSgNAmiti2txhDuRB78L+E1pCEq5MyDvqnbnQS
ObLHVmBipFh+EeuxsaxfiTHg5soK++hU4opZjNK6x5s5GRc8Y9UPzg7EZ8OU7ETimKjeK5mUtxAW
DTbHXHzMUO6WdvELFbuItsRBLfd00u7CrLQuuphQ2i/THvAzDcKKvGMbl2gppU+stHadFh2SleoS
/RitQjkIusgH+1PfVQCG6mV56Saf+YllGrvFIhOjQYQcDGbUb4FGdCewBoXuvGVQj/f6PrHFdmok
vhqYI0gGeNnh6G3M/cTUwv1AItgfHQ90YS2FmZZhkXafdd9zTrOja4JnANnOCMXiRisFymxSFTpc
ebV/rVuCw1Ns/FFqlOzykAq08LHvd1vkaylhRlOOtk7/1SynqMBQFmFP1iljYOyN8c9zaYBVAFxQ
3jjyH6ma4rCiNj3EhDptQ3EtzZyBObf27SCsXzlUrApA9QAMeB6T/hvKjSUY2zaC3fQQzn703Lk2
NoUlmY+YDE4t55gYFof0k6XexAa8wCUhKn5EI78iH7R9sIHTKH4aGY8KEb1HWtAmFpO6DGORJN4U
OXyM+H6JQg1KFiMnCeNBbUOQ6vNd1NWcjbFJOnqYBL7lPJszkgdwg+VmjqI8mEEcIR2XVaKhQOTv
RvC9sGatU4OwFTECxDBqxg2wCjwbY4nsyp4WZzdO3gd0U2s/AqA6LoRlBPVpQDLwljs0iELuVF5b
vNjWb61oYP1q9gg9M8G4lsAdqH97VWmcs3A8aq0+HKMpf5yLMKUl07aHkjynLWsD55aI74AUJ0Cm
WnhadcbN4VfdAB0JV/OZIti4nTNdYyY5wXQqfYOIYHfcGwxTtUV6Tb6cXFZdHis4LRwCEBddMGFy
4xTWplO54G4r9GJEbPEDFwyfY/b2BYEaGJW3cWzeTFZAG0tHDN8MKDcFxkE6PeUPDNfv87KvoQgE
gzZjdKqxowofPnXTsYy4Ea6OpbjM8pNrhK9tJaaTFw/cZWIgG0V8sG0DpERfukFurvlRQ/1zaOlp
T7YlUKusxa1GNxNTprUJhSG9RVV3iheH/mMvCZqXTueSpDQbbts4vVtYRQbdcwtjBQYqP1699iMW
hgUh0Dxj9m4KUD1oaVPUfmQHZFBgbkqJHCEu7bEpuBetxgQqSRRdkJUMGlP2245GCquTmbPgXNAm
icE4dZBH6qM/Ltf1wPTeoyftrPl3sDh2UDeIkyxXzl/K36XvaIFvI6ctY+xWJTeVqFtuwH49tk7X
Q9xNl6sRjj7Thiagb2TdR3qyS7XVvlCGvTBOf0ucOtrbZvPcEud4WMgt0tI95cv5oHXiJkkJ6uhx
Au7g4mlBV2IFcyznXtPso2+zci4rYy+nLzTowq0TFZdUF9/c0n7gynkREnjQ1DWBRFl89pnPfG4y
JhJZl3o717ivbQ9ZFSZKO56YPow2Tv646oiXN0gcn6pTsfriXMmNGRtv9KfTrWDZORP5urMzBvU1
y+9i2uABhsY3qiHFrkZpOEe2eaBEPTPWWY30RdiPYiQEJg6XV+GBV5tIt9a8GKMhwnUDG2H5ziJz
QJvB7GvMNCrUfVHcC/jGJKOnQZSS7ZPU9pGF0IbiZbMP/V8hK0J0zyBFE3SuuD6A2jCfOE6a9oMx
v9sjIb6J+tHeR4BsyKC0zMCZfNqIjsU9yycSs208rHULDAiooYORLFJTirM124aFlp8grAt7XAMh
x+8UO/9nO9EoCcyhNHhvyg7FROM036BFwMBOYXQ7mRSYM/MedBIdINltUU1jiCjRqeTf7KRcpegr
MBRY6ruDI11Jotu6JmVL1SCjdvtoUnvFZ51cK4CGaxrjYe5SiMaxvZ/m+GY24WYsFnJjSjKEZRDC
fKygIKieIlWwBjyMd192Pf7I5GGJn7Hzoj0fMHOp/47jw0PKkvjk+gVxOyOaCr2Zt/EcAnBujaCU
oCWE4Qm5OXSwC9/I91pfP3421xdm0vth1q4pntinYlCYGQtcLHP3SIbTi6XIdnqqfzS2RnZS4WDq
BI3cuA0Yx0YPsSkjNO6TsdmKpENOFQ71Z8tOdeuK8M3qYNauTJYpA0RbLhJhevdFT1D7RB/QNJxu
D1JrjKlUTl1O2u8yFBvQqf0RSMBuRdmw71uHbMdOnDsKQFvg9+OmzaP1XAnh7FyveCsSWqlrXn42
fF3mUT3ABRK435rxoUi9jylhvIhFhadC1w6VkZ/9xnyaWdZnTfaYNJpBWUaiUjqJBEiddz+hzrva
JDT5VNr5GUIMUVPN3JzLSY/y59UfsJHglIsK/4V5YIwEKr2qSifZZ8RNAnf4GCE/kbh0DqMMrpuI
f/dzftGHyjzX4rEGAnqKepO8XrmIwMS+j53OpiBXt8FQLSOzUeEGpV81G04jbGfRrhTMwURNgms5
Z3daYzeY4Med7Ynm+Nm0zqsuYNJXB3XZLafCv28XB0G63EzRz9z1ltMKnmhvNOWzCRa02IhV9w9w
V+BZkiqhRXELD9HuDiYLNwvfGL3O+pUZhb+xCwYb19r2EOUoqIqVDsjqQYAvnxoG271jbuN6GS9J
0jyME5ajanDHi+bNwbJ6+mkZju6aa+cu6d+ZPTyTVw1L0ekutg9ub0hJ2cz2ApLJ2XB8sUHH0mwH
auvngZpQ0lA+7uxh3mEwTTd1kRtnLavck1t9R1Ezk+SBbUO1mK2puDMaA0+elJSkspFANa45O1aV
HVBoLgQFV/reHd9cUIQnImTMoBBaG0RDfpXPuIhSR/MZVgxoHcXM1e1B6WJFiNWdes7GX/DOtn6E
iqyARwdjG/B+cl5uCzsfgqnn41wzeqwWEoP7tI8vQ7E6p542AnZdfB0OaS1+7D5HLny12F0liY2T
xG4uTklRGNU3Cjz+7YG4un5A1RmFtH+rzn8GNsp8QSpFlIZhiQHNMPCgfXRe3cR4izPy7GE1XaWG
fnFMcwAvt17yyGYiZGOSqgkDU6iPVjCldm2KfbKhleXjKbbeihJvuVEV47bxfiuCiNoIIWWYoW3e
YQviHJVrV4sQ489NXg/PY9XN+wkE1OdTjYOFyYzHeqc2oePCp88pfgphqEn6bqUh/SV4oWang1No
3snkA7SQoHjHcgZsmnzhLSHT42cUW77GHkhRpyJqJQucgly0OAegkWvNuO+/JwxGKLWEdU7AVHzu
ZZODFqNhtOY+RDaQTchEVNK+LjW81nhSNPgH03DsGgzxU8uy0mpuoVXEB+E07nGFOeQ2vn8e5Wtf
G/VcntKCjLS53kFd5Z1VEZ6dNL3Hdufu5wV6vpncGRLnF5Xh8tOirhIsstiaVug8N5Xjf2u0KDrE
juDOLFPO+4aeIja8Hs0CEZpIGl8m2cfExUL0YxVngZ6Ij5qqPgTRgVpBkXmYKfIWqzQEpzuWYv9Q
G8keWSjvknrMbDdt+vWsNmh9kTsPxtZEMcqwUTGNlUpLtZGMT1NzTuq29vW0genP5hpaCjyDQm7W
oX4se8tHGIKGbEms97DLor0eGgSMupxUKT2M3co5SlJuJTl906V0xqLaD2VKEuScNyzVc6xlYIPw
pIeGv2cMENxdYiz3cWHdqk2hiR9iqB7s3u2C3tefGkDa3DjDXdL6QA7T5FK1NkoOo68PbWcg2bSt
Q5fmB5dAzWsY/bCx9KjcmpluXYnU7TbYGTMK8a9zeY9ailAFFANlFW1jbLrv1jhAtsvt7hKu4V1c
tu5DXTM1EF5Qg844wPi3b0M/YVyN8199qx1CX+bW1QMaW2uttrBGlx38vQrOIbb1ITYvtovVO8PS
DXakAtVjvK2iIJzdH17LLh3xA26qOjW/d3VqEEIYig26weqSiYYfK8qCKe2Qa3tiPtmW/dEP+WMs
Cv8IKQy3kOke4onlWRgjhF5JsF/L8j0sCv1n2SDvcqbvi1GYmPEcyLEpWD+D6Nfz5I3IcqP5W500
v4TvrdClWFpWPRwvCjskClX+ye4N95pIgGrvFwvcFG/yr5L6hz7l5qW+mfPCumcFYmCkLYDzJj60
Z0bEalnrU4pYfBvVumSADfjWo8raLE5JjwCx0YHV7bZtyuaYhW17NYVzeBVZ6b09vS9znL0Z1gzb
gnyddDYfybR+977nkY7f0oN+2/a2/ghqYlP0oDpm9KCbOi6Xq54myH7VfPvgLp1/FVeZReBxrwfQ
Lbd+BFxrjGciA2x9O9YZQWbm7zYu15NjE0a6Mh1hAUI2Yt6Fj9W6MIsVTDBS15qvG7KKd0AoAWB7
049cS7obu+y+x8jDAyXEU9qwwY/cLVVL5oGya67JZvOSZAVa525P2CuOBRzqAVZKIYNc1rPXEudB
cvujeoq50HK+bXJ/oK7FZpGB8+lkNiDrVrHFMdieR1m/7eVGo0Xho33LPAI+TBBqdBA4AXNdVNja
o6dsgP3UjoC2IjPeK7GWkvAsRnvLqh6JZjWWZ0MVXWvDeepn4iiUbkltlAjSc5o9EBKIp/KO08S3
HYrgk3rdlGKDToknypi5QiHmOnCMjsm1kuoqkZPaGDPEk5DTVwiE4IMTo7lWDC016aE7BBhUfvNc
T3O0w/qzWulULGvcItYR2OrlceZEcXT9l9548QFqHjGXDvoPp/YvRgR1tRopGPqUVTAKUm5ZgH/X
EQdvnHOHWa6P6mBmRdkMBy6YkvSZmPFDu531zPwv9s5ruXVlu6JfBBe6ERp4ZaZIipSo/IKStLeQ
c8bXe4CnfPe5x65y+d0vLCaRIgl0WGvOMZdw4gTcadiS5mD/7kZgT6PpHBwnEpT/ZtFL34J3fAx8
KHmCfC9evYXsEj/ZkxGxeaF6HM7YHAJZ41WRl+eo5L260hRcWBdf+t6682wQdmPvnThaaeGOOUNk
LlcBiFRavM4UnIkkLfqs2+a0MH0nwT6DhoDy0QwUnYca/9Ia6hJ1JiLG2AcnIeVeReox9qMfilrY
zrS7eMAdEGBFB4BHvFrRPccRQC6zJJTamWNg52ZXxU+wqIhlIkAVWrRTi3FTRc9JaPxuxyxjc4TJ
pvfJSJDeufWHbezGVHpqjwRbN1pKiosMj91mKJmiEdgR17elqGGQf6XDcNOg50KFGGhHggskWZKx
3BlR/4d82Woq05WqoRc2xtzAsxZm7xxj8H2rdlJfWexCZkmOKWGAtDT4+O70avXqLorXpRzic+km
1Ogg46+KGtINVN+CIu+Kd2ZxEwPia9p5DJtIYhpFvFXtdB0EPhgWr9Ga2ONiWRtYg0qjOMIzoLSp
ReJMh3SVSo0D1AlpFVPsFSZDuS37De0MGDhuebKplSY0FAedmm7vlsjKKaMbVfoBGdDaydQbF3pC
a7OZ7kVN09dwoBs22pVC/3VdevRfCvHW1ZR952Vs1n/q7K4XkcRvlE7hG1Rq+VgXfOyaSGowFCkF
Z5aDYeJf2QhEBtHjYCD9MLjWU6EtTY8ZD6nIMivSJ1v6J8WaGP1GcBrmH7oczfKoouVAKjLQX/mt
SmfaqOYlcxOytSFm0fp5scxarIPWNLeqSU69ohTi2qCxKDdjn3Yg/MMaZMoQEfs5ta8DIXf07E9J
xGyWabG3bHXE/8NrG4VqjyH/yXGSjbBHd1UwZjGrVeikrBWIYbQWxtBQzBfFphV4t8Eb7hLLfpSS
hkDYud5aJwx9EvbJphRX12D4krSo7tIatEgK2Tj20C9oGMhkJdY6XRPdg7M72pjgR62kENBD4yIu
jk5vszR9Wj2pa7j0cn9rbvPLkAGOmLxY+lqesDB+94NL0ALMG30sKhKDvs7yYEHhhAIWBm/Hsukq
1/1RpIZcCpjjCs0G5uGp5MvSGVQAH2rVh1WZP8N3RpdwkfjZSRt165j6wWsWfbNTDSjeNfEadX07
AabWbcmWDYdHiI9gcqlamdoGMEDxVJscIGq6lpbusF8ih4lUpUMbfuRtw5nW295yst8i0feUBwyY
1yMA9divVi2cwSKGe13k46brKQmYASgYXzcgHVBmmSnYVhpB+XgjGKVbRVCZzEZ+hQbUpLJHKxNM
+UuWUipHVB0vQgHYoK3yTTMMLJWpJmajeKITXlbjxvc454rWfPJCt9p5MwkjjwnBbU1MqVO2sklC
sFPX2QQRDnRJcIYvaO0XFrp+SMBEGobdUpSPisJIz6qnbox+Y2dQOeFcxybtobDYTRnR3Y7SHgH4
NdfAlK/56L5ncTFQdQvcbcOQXgf2PY6uHz9CIzH2vrHA8jdv0CJ6RhmzUcAKKvJRw9czVUolrD3q
MbhDFrvKIJlo+7anbuzi3lrbBmk2Wm5h0Rauv2BiixZJqH3VGJEtD1OkqIFYzKprNeDIcyoMV6rb
sv745mRfBZXOz5gNMwJTsrkOtKWSZyM9dIIzrYyekWdgLIYNDwibZkXtixeCyELcOc5+cjD5Zig9
CDymgAdAghSvY+xOwO+SDWsaUjeddZUAnteNoOZlThO7O76I+FoWxo+ssFPTMuHYAayg4Jt7gdvu
0zI5BU/43BgND7ZF1jNqX74Gl5fogqI8eVq/qLXkAy8ci5WweaWJYC1LQ54jioPQnTSCy/G6mRNA
PoPQjCRpzuAFidjophRSaK42pBQiQVkUptQgSW+qKrCXjcrwXkGE18oyh37ufjceuORgKuyTH037
bj6hampEngbgxCVWoCzYDlgFpwjzRI13jo4Ng4s1ayvqgT3o2NbsgXS1dmwQ1JkH3tam51BkxFyr
D6qb3yVSz42JuXLo90q4+lOYK9pBeDCNeZHoG9/h2BziMdf3jDWraUj3tj47kJS/dn6prchSHBIZ
Fi4tmktGHTV2sKKBrp8TGX3SYSs3YQN2g+q9tTK16FrlsQ0kNH7sRg4xfaBhl3FK466EqZMUGb7L
jEAKu4ZGofK7NK2ijVMSL4JU/FEFhb6CoVJxdgUMqsrJN3hfQygEE32jO79SG4wmWGpH3Ac6y/Vy
SHesft/KBJpRIuEXlZ04hTQ4+yT7NL8jKzHuZQEatq1CeFq5ucdwtJx6Za+RJNiLIKvzNXB0e9GS
8M0Yo5alrojYHrpD49NdGBgztmIOcwqmdg174wvO7UFNtIIx91LtAafhweYRc+kw78w8cbYNVL+t
N69x/1yoWT1601f+474/N7VJNIg7ZwVimdUClyf6wuymfP2bHpYqQrmkhVOQETu7U5jZ8rubKPFv
z688Sf87TZ6L25/fnvO3q3+93Pzy+VxMsCWnh5iVlFCZzmISE108Hrxd3P72z83wJsr9835/e+l/
PP2v9xt7ELS+mBiqvQgA1L/0mjf1ZG9FqNtuby3sQOzSieg2Ymuf9QnFtwLqCF+v+aYoNu5agqiw
xTn5LmN1vS4i+xtx+67rXsMSfWxqkB0xBjmhFnh7SlA/0AI/goRhOlDq6MgWmL2cqFjNSla3B4L0
365mZVrflQ4bHLR2HzfJ5U31e7uIbj6j29W/BMC3q4F0S9o8869b6yq6Sy3qvVBr8lnOxJ1/e/z2
euqm27w9lMzvdrt2u7AlIsO/XumvO01iVdBZs3JmDv7zvD//1l+v9ef2//Sc/+k+U2ucvaq3N+mp
NStRe0qNQGJH4y9h6k35fNNA3x79o4b+c/N23+0Fbtf+PPkff/uPm7fnpS3hL5HBb1HNzZF/qMr/
iLL/JjW/3WkUFXuOP4/ns5A7vEnRb3febt+u2SW7n9bZ93ProGo5pOlXc9XLFZq/29XbQ7cLoB+U
yLT9nz//x1vcbho6wsqbtOr/VWj/qwpNmP+LCm34rP9dgXb7i/+CRxj/wWKPgB12M+R8GXPs+7/g
EejMDCmV7gh5Cw/7uwLNdG3TRa4BnevfFGjS+g/8hZbpmGxkiHPW/0/wCOpK/wjOFQJ5PeobJZG6
2QhV52ixv8Ej9EbTujJnWjWjqtvZdXctuxohss8yJ1cs5F2gOdIjScNnOnOnESStS5UJkefIU2SC
MNebchiDzsZy6L5Z6WdVIwzRdLUrcMEFevfkmkCxDDd4oLl5xYt9hNlGC3myll5HKmA2mc+xZufL
WJf1EWv7ZwYSVWPJUhInNYSwxQQLgVDciYgOSlugXWa1AlH+dcoIDjGD7IgKPEJvblH3rO9h+TvL
POvZ27gDUpESTmpLgEBWT9veiTf4BA+ybfyVP0006b/hqwM0iKVa9JWCLYEpWQm56vOQRZOAZ632
MELJNiQhbO3E07YV7UtK8XmCCMMHy7aaFj7VLrvJXpnUGkhDm0pScanoya3uj2AM0o3j1R+lIzZt
ZR7bG3hVBnsg1RS3jF51dwI3W6dGtotlesh7jX9AYsIvOl+eYJLrBxVRvZxvYeyVp9s1UdnGnvzr
k6NMcT+xX6YGGpLXQmAVn8KsjwBDaNxrho3yZxIr+jHaObNy/+KBQL7kpbbN8n46TkRUskilokcb
W7/4k4VqnuHvr5tt7pWX0VzEeuhuDDkGgMIwiKuOSm2uOpN+UheAnvBefS/TzkDf2CH6bBSU5njn
2wXsOu1cyPzaGV+pOyjEFKqBNJ3Y4KP8nDiFFEOwmXKfXpVQ3viVo1CL4PemkMCnuM5XhpUbrOMl
+5siU1QiOLyXjRY7x56l37EagYFSxj9Y3aCOsIEqhkuvWIVJF1yGSoX3YZ8QANMmDobPtl1Wuhy2
SZ9dXAIWTnYMu51A7GA7+mG9apXVXLPKMh/o4OOTDkxRPetazoX+4RuTd73dkJgvzD7vLsrCs9dH
9nOXOotbFgzL1+Rg6JTTwDhGb1MBZ5C9JQXR2ngb8np88ozmpcNa8hX1KYkCk2k+dICy7vIyGyCr
6j16Tb2lEEEMjOZrv0tb4wAeivuuFCbhw06+1jEL3bnQy5+kbZAoj5Xd1nuSnyp5hX4+/nLKdO/3
dBlAB1PmAcL+nvec4omLCoE2LiAN+zHA4/8hkPKzgcod5OIs55HfBZu6t92Fk3UTRm8A0SW/8wOk
3W4Zxo714Uz+vqA1+kXdfkkY9dkdmv65Vvm0C2aJpVMb9Vs85WtSUeSZglKLxJG4vEGziBhk0/cC
XRgONfDEtTPrlNLYwFFm+Tr7Oh51e7kVsCGWkakcnB7t+Kpq8TrGWn6pTapAQwXfxvEsgJp13f1K
PzVReI8xdjo0RuUhSTv3vh5QZfnCdrfJEDokRyGHo4pfPAU2eKqIt05qPAyUbDpyeKr6zu7ksyvN
E81c/zPVwnJR+eZ0yYU+noI4QCueotV0ONkObODU3eAAnUwSd7jmWj9cMyl3rUWcXF9nCDPn+/uA
UMMmHMX69gzIbS68XGAjyDOWWGTHhxhfwYNlNv0pC8O7P3fxW8YYJ8JDaNt0NIaseNULAzmYk2tE
CnBzRKxI7XzOxE3pSvRd8kqS1tkDaPCAei5+Hknis+P+w6Z8dMJYkj3VWXIfZrV/vt0a/N5foeEC
pcY5gbPReWIEYo2ajv6R2rf+igIMTI1lPY1D314qy32xEIWCx0hA3snkocHxkvU14iIbID5Os/Rk
VkNy0qjk5EbLxsmXdGcK+iEHTz6Z0uhZzztqkyvPuhamXS3GxCt/Uxlo6Vocu1LJla0VLq4NwrMz
Nihnfj/2gV0X0BjwMriS+YtvavVVy0R6aJkuV6kH71kBMNkVtnH2EVT+chxxdhJd+x4oWNn7RPnj
q2Zm1l3rzo76+eYq7wJzVbWl3Fe1CRVyri0GIn41SSFn+4SCjO2L8wb3DUw7h9cC6YCB+tjP3wg+
M1T1hnvJO2DnLtHwNT+dxvkkbXEu+rR7sTVSL/VQpPuq82C/uTX+El/zYHpaM7qcPr3XKLVyutK8
VGOdLTudU7jMHLrGbpqturbydrYZFC8KgtgyBV9zGMLs3ssLl3Q75HOBr/w7/uXoWVkJC/FkfJPe
nHFr+uE11fP2wenSRYge8lr2JmO1Zxfk1FJCk1FzjEunuxC6gELTidrXytIolOR4kAmCex7qql+a
Kqv3RRlCl6tKCs46n+j2KD0bFWusCNJp7/s6+eX0h6eLZbcPwp/IfLndN9+EIp2vC6LICaJpTs58
cbvWZ/w/fWcF62YA3zgoyWZ2vkamAhJe7D0rykAEZ/jMvkPG8KRXtb1yQmIyQykLSmEUYFM3LS+J
6Hcqrn8wkYqt27Vkj5iwhxG4Mw3ayV2YefQ10S3iMTERK7vOzkDuseTAB1Jevhu26Pdx6O+CRKf6
koegHiMm9h5ttqyUdyygIomsie4lxbrqkiJLedAYZRetD+tFs3+LiQWRyaSwTfVpBGVdl4dupgLZ
oX7tvTBaisgTu8nw6EU7lbvJ42JvGOW776ZbUrXkeujifmf11ReD8LQYS809+yOROVAiX0sVR6fO
HD5NMqvNFnkXobD0E2M6o8V4DTsY3rKD2YqHhbdFdkyYYHNnqG81Rk9TRATiSA9SC6jJVMODsAhA
qKvyB4PLsm0rfUWvv6GaJy6URemoy+6XMYz7hPDjBfLucNNoVrnITVxgOBJxWJkgxBDbQj63mEgT
uVH2UBJPX3jkfkarwi2+/TrG5udlLwBuJ4iJa9cyEOb76doN3RejlN8i1U6N0u813RuWrfnuFMG2
F85Dm2MujJL+t2oVdcsSJhL7/2e/rV9iZW1rjAnbsgWNXoy/46KmkpNoy7YZXi2v+IYR0y1dWIws
NZTRi5U+6quGZnYfBA/+lAO/3+i93q29zvvIiY9cZL/glnAwN+2SLFmgZa1HDboSJISQONVTCLXo
JS+70J8lsRHWZeuhoP9RJt8oAt8mE9Vd0m2zsSLGJEyPnkjuypk0OVniNW/0K7KPRzT3LiQMzif9
pyfXqR9fvNFYF5J9s28B+tTu/K45exM9P2BWHE2kKwA16y5D7SzRtWJuD7THztA+Z9CY7uv7mgpV
pNm7UeW7mJF44cjhCTESYletIF0AB/UCJA0AlWlJji/87uQR2dWTDKd0hZBn9nKWK85+ZMoOVQqi
VjaO5JSson0prXphgPFHNsOZbdioSwgLMstn0lpJImeuJ4u0KM/l3KWrgvrI+okkD7bnSAoXgxgo
1vcu6sy+XuHQww0nYVl7JUJoda5dWFqVgQsw8w6y5Nq87A5h369T/w2ibXafuN27SssDsWjfWaMX
21obn3TOx1VT9RFfo7FL5XTsi5JaY8mJ6OpiyUZsFlqNF0K2df79OFs2Dsmz8I3JLWqvY5weUh3a
fObo1XI00Ph7ldhwqOMxc8jmnHz9Rc+Ne8qV1NRcI1yXVvQ+lQbOM/LRm9rxly5oocmVFNbq7qVO
jXfscch3hPWOpvneaOkUjQ4go5HAO5NzxNDK764Iqde26CbtZ5W6H8oRX5HzixngQvecf7Ugg4MG
JhazHycdv2j4HGUDplnP0or8zfYS11bPPGmvQo2sOcN5GYX5uyOHZAzLo1lglkLGm+bp0cyCvVXz
k5Mk8R1Y4QO5PKiOrOJTgIkiQm9k+kL4rTMXdWHxAQYO8n7pbB1r2OVBcGLB/EaXdK4ow/Gz753C
fUiAdBMDM2cIDe+6A58d3IYJdZClEfLzKviFj5xGBQcgzGu0hHm96dqoWlA3PlexDYcJ/YwF2oYq
m0pWuVNfvAwNXF9lHCQTLm2DRl2v9RdNRJeoMD8sPbz4zL+2RhJWPkxUo+sWoKa5KzuDfFeCL9HZ
R1V66Tqv2NJ8RKYAC7dK07NvtwxZASVtIpi0NvCJgA+oT32YMUoyzDe/W6cn8QLDaY3EFx5oEHne
kkUD6QqTHe+MPjzXiSS7TnQXhyROSK4Abdt9rim8PZ0olwkUuWwIT23ZgbNuhNjaob8SZqnvxhKm
tJZ/oiFs9yZNBzBxmnXPfp8yYVGx3sglqyX2x8LhO3AJZT2ZESg6tw4uqvKof1c/8ViDquoIpDGS
jQel8tt/jK5Oa1xtNwuf4tx49TymduT22krz+rvOqtMNq6x6b7kcUpnboveX2dksG1gNJimKpBIj
iB3hQ5OpV63IZwho+fYnGpb6o5Y8hVhiFtIqzFVigE1sO6L0SvKJRkYTvxvGVemGd+YYECtqO96y
7CJrqw1I3VtE/kETUqJ2srOKRzTTLgp2XNGHmF/toPFJ6WzuR6Pz14WenDWtl6vScs5979SoK9KN
HblA98yKxiNkO9pHLQgtbfiwK9Xu2SfuLdDCZEs56Q6+/HsY5fKuStnFZ7X+SzQVCrhEo7/gQpYr
SCRnQTxuyDst32qAKU0FsYmN/5WW8Wwjsz+lYfRLP2fs+8CmaiKXNqdd47BvtvnxF6WBKjIP1UMw
enTNMmdZVs4jLBY2E5Xxokub6bJK4MbCCvIb50wy6sPoMcBjlz7Vrdats8hzKK4SzKuvKMg3iEVM
NujFqD3XUAK0zg1XlRu+WQkYzcrqT32m/0A6TJjKwmxXxKm/FqXJxtp3N3WLWqOyoV5gUpiZGf+6
fbvTcO3XWE5qfbu/T8FN2PX43593ezjSwzt2Y+X29qcV4Vt5SDHiHy95e1D3WBGag368veTtrr7E
AVFClpwoNC89w88OkFcwECHpX4L2rw1r31f5fTRSSMr630HKYrYZ9bdBMrbsa434Oak1+7xuzmZT
QeWVyMUbpEyt/WZhb4qL6beKxt+lgUWkRUhfk5xr9P3vKYb8lOfBE5PYIQ2WpdsMCLRmEAE5T6TV
yt8jWaCI6VZVIU75GCKi/DVNtLoSMpgABYljWZAiEaKRoEWrLxUhMsvaKQQjJ3I9WLHNXTci1btd
mxIStrq+VEvZqnbX9jo4Jh68XQRNk26m3nouY4hjHcBMtGT2HenFu643UUUVCuk7ep5BNi5RR6Sl
6iaER3pV1O4lhFGo7DCtbrcL9vh3RUssSPKQW0JH+4bwjp5Pv/CoJo1gte9iOyEq0WJ1Nsn0NTGn
YDOp2V+Jp4feQfQxORicO8OXB70zcG3NF/Jf12zqfyylfE7igaA9p8NZRtNjkcnomsx5drVxrynr
l7SpwenXRvovSe8f6jhdkdp7wlfxjYDkWaFSIzbJksN9aq/6OD3CA1hLDYmxQBMWTSdD9PnCNuXR
18q1SftOtvoqzLstSRzsZ1YJ4aQexwablBmSSkIfjaTZMkSucIxT7eEm3x7h+Nlq3bjaRyl8ZgaV
gU90fxWjsw9rdA0sESyyZRaVhysxeWiFdVDZrKx6gIqNRocwShLiIAXBAACxigiH2h9LfMTkSPXK
NvgQk34ySlpZ9eR3M2qUakrVUGzQL07mlqvgMYultzPa/t7Fc7rQTBZSyWaqzQMZuDbBz7FWHDF7
bdMBRVRbCuZ9eZZedI7nHLAhau1FRe5Qx4aaHm3Mx1QcwVmZPOUthcs8ubPYRTnJ0zjSskY0+Cq0
bgvdnf0F0At5NlVFEF/SfHkO/acq8qwV4J6LjPaG3uAPMYqfuCDQFDG2Mzr1QTYtYcNUBBzgad3g
5vcFA/9iYNWCRnQvs2FcJEVX7MmCWQ9OgVq3PZap95wXtr6Cr4HySeFkL86jmTnbynwfPe+qJWCt
mZru8ujSWihVm7pQy8AKLNaNAhVps00zXIiYWDZ9nr56rbMehIECPgyosAbhU2Fu21TNkip2ASw4
OPRJJCqq68Ryf+G4jVxWNhqA2hyfEYozjnQVTo3yPaDs4ExkSTvVIq3qbzNXdw3+GJRA0XeUpw4+
Slas8divZH8y4+Rj8Nrqzqg5ODO/Ijaq2JE8HZCHjpE594Jf42i096HJ6hGowRAzjSWO+xrFqAe8
tn2KSDZSdgsRJetp14bLqEl+93b9Kkzk5PH03aASRiIV0/KVipHB6/HkXBNZSRhkLbKegQwvXYPq
g4vODIAujq0EgWwd9JAUjvAxVfoZufEia8aHzi+0vWjeTLPeac1rq0JsPcW6b8u9npiPUUZgha7E
fY+yYwmkdbYEWD+VZpCd4a3B1J7zclywQj8lkCIXkzEa1FAITeh+lxOQ9OhiiPIV7USBaAUovp7Z
GBxtRjTLahCbBEe38/z3tsi/hR3vjVo7DmZ79vwXQBUPRscqxCGpqXC8B4EIf+WzFAGSeC1r/dW0
ogNJr1dfgixOMJsl8WFCaVhXCqNGtTeb/DMuR5J1QogTuYEmvYnb98B0EQBO5pcX2bD4CWdZplb+
FATxNZ2Kn4CBQk7lT4EgCPXIQzJnQCpxHGrAJXn2NYXDl8egIET647ji1LRAHpX6GKPioyXLh3Fq
VZsZpOOc2n8n8nSD9nqp4gllDDFa75U5RDt3mp5qR1zRL5ueCQ1Xe8Yv95A4zkdB5uGynv3BPS5p
/sHp5Aywp8fnNm2cjT/S656XqmTY/zRagxccIYLhGRAOw8/WF2fTpWGI2nkhxmyTT2oDawuZ2OSf
mPo2VNseEiQ1mvUtmcIKLIIcwe+GuG9Zvdljdp9PPZmK/gMK70fbZFE2USmGzeRY5cru4wu+lZ6P
op0HMlFrCwGja55CgcMyNNS1jOxoWY17C4Y/FV+H6rR473X3MQCc4TuhXCvWhvocBteXmBZVwscl
P5hvm6T3pRxZQSdr22fBM+XDw/wVt2nx5CYu4lBGhNgONrIJvjX2ZTO3mWUOHyGgi01oOxyYFelL
GKoi91kO4tTb3MiI5K4mIDo2EbF7K0kvTvjd1dZ4MsMAM4qlvSVh8m4QGcDWCiT2FL9UPgau/rnP
csGfhefbidQkHPrFD4uP5zTEL+oPWDYbxDtwxUubFL5+dKm2a1IuFckw1M60xagPr7AC4KF5rNk1
UpaoSDFNxtNJCvZFkDxoj/FaHTHyHDHM6OUS/Uq1DVr9ywvArsXBJezFF5YbBnm3vPii4bxHTzbm
BWel5AusIirY83Ybtw+SRl8c7QJajIjde379PUa7cOkQFbrQBnzJvknZaAai+o61G5k7luDiwYxb
z1ZpfwwWaBslnr2AAkfX/7DGfWmTq4VPbBOO0I56IuA5tgAsGQSd0nZiXgkd+FEEcLKOHKG0EzvE
pu/H6m0diZiziYfx0S94/6Tt2g36LyZUKb/gkJbQ1+6i0fJOVts+9wko1Fov7ydkmrsGSwzeuINM
oAEkNhvtWYyQ4uKh5Mq6tKb4pDuLoBM03aYlCtwcJ4ekdZj5ERU68T6JT4Q4LyMtmEUaoyh15xGy
rN+xhXzaBvgspw/WdtqJo5OwDk0c0lk4VKrFkFsN42izGjzm1m7IqLtLE83dhNKmqZG/KKA4CGjs
Fh56hSiehgj2EwrckKsjzPNFg/aYsK2L0gIboWwzl15JM2wCB9WNEosoDJ6JfxgYsSryo9zXCViX
0TffbemY5CJOI+ecf1aJ+1BLqqSNcW3K4bUw3PvOp5eRlNobFVtLz8g5D/Jshy0Pvi853DJjQgvD
8SsMxl04kejHNu9nsieMTR17Vvp8y3GQYIUVE0HvRmjSLHfvhV+U7RWnEEgdk4hzQ77XczWFaePX
4OhrM1X8cEEcr6di2flCPS7sGnUhjruXwGzXecM/0AU68SYVVWWMbWuR5v5Rw1WKtL1biHzubnak
8JSpsS3xl24a4X6zvHn2J3a59aSt/HbqWJOMP0PQfKeVuWlCxdrVDeXCE2jQPG+jZ4TI4dJ/ES77
p7Y+DynZLd6BoExsJHl/1vLAWLXdTAhoXYwt8bMi9XMRrFgstea9ssvh0OnEjyUYuI7IaNk+IE18
0QtJ1lHvu2s6bDjo609zsgm260hT97pTNpioIx3SeppgoLxWbxiex5VFGhddGzZYNbwMbXjS4wLs
BmOem7NBiwMs2W7xaUraSYG/b9KBIlb32yl0cgLZN4lILrBJPg99PG7CEp1wF0Qby4bvEOvTOhfj
/ZjXvzNsesCajY1JnV8UL6KhL22HimJeGH4Vh6FOIYd34Lhx+1vR2U5JQopH53dbO9T/6etlM+Bb
m0eA1KQF3a/519JNWqbVoutSsJ0ZmsfCx9YkXRjRfOOV331m7RgChVq7YnYfG62OWp6k1lo9sKF9
Crz+kxxktRgbZ20QWL9tdOO9StW49ZrWX3ZD9VEn1LdESOpmMCA+x2nG5CRIOQtXlqcXMAEZ+QyN
2CL4790QmBTVo3VMN2UtPaZ0luywBhXgO9gULEETZwcn+25srWGVdjNFwv7Vmzo7GAVrpDVIXNaF
vYoQ/K8QTP8qaZkt+yx6UqROLySVgGVFjOgCXXnFO0s6AivYKgS8aPWHRZIN3hkWxiTrrV3lhEtR
TS/4izzGHhiCvYNc0s6ccdXqw3eruMsiYslpgTw5A2bXPl1RGOPe4bGx2olIeGQGQX7o3Ho369EX
HiksSyEqKA2o6QupoWnNp0csJ95qFBOk+DJr1tKx01Uf6rOogMWk9eop48EcABh4IVVCR2DfUNl7
7gM5aF/aiPzBIHfHHc5dcTAqVImq3BBey9r2SRXohjsGmLt0gprWyE1IW5/QtIQzmc6TsYuUZi00
39TxmXQGTl4mmcKuRuYf8Ttk87cMBiZa19pUOQohoBp9muzjcTwGfd3v0mQi8MG0973LFBdl1Z61
9EPe0uyJ+uCkGXQbwmTYhzGELj3R934iUJ46LENs00TwOi0Ht/a2WhsjFzfCTVazRDCrYeNA4mSC
aZCw22zIp1p7yyuFOc+Loeas6jI/EBU+LHWfgopROWKNe1vedUmH+zqeGIty/C1jM34B8ZhOid7h
jM+RUqeP4HOmZUnij9fGA01aTgwIO3kexcfMC69e27PwAM5CeXYOULBwLcBjCIN4E9GdXDRV+8g+
dtPquouzmU5tl6nkrsvy7RTe1TK7WBmNhYJ99kJzkse+891XD9RjiFXL0n5RnVtPjb1NOvThI9OM
6dZnT4JbwQERbnm/T8yPjJoE5jaIx5cDwPCN0WVfBDav8jryAYsoxljNaNYjFRHTj+4tGBNMoY+F
svcdIMCV1bQwUkwCLyOb9aYHMGDJX1FsU9/ofzIsYGnMqA4AQDBH2TmswVx6NB2o+PT0I30lvjLN
rw9toZ1LsuPRCT47I9Qyz0visxYtrSrZFHyknZ/7Ae4edSCahZgin3II0og98SNLJEcTQIX0MrbT
0VBhsqK5s9Cb+pJWMa0OsiAEviBmB7IgVNf4NJfYMVVqWk9xcDWczFiWPilLhKAQ4On5tBI147l0
88cuaLDlwClgFDOeQ6/cTOYMs6PpuCc1A3u7iy+Amv9Gr1MIJtl0SbR71H2QEiUFg1i7R1SA8mOG
3E8ddQn2cIh3QtCTk/ZZBtGz80ZB/5BoL7057g3w56vet/6TsPPabRzYouwXEWAOr5KoYAXn+EI4
tJnJIlkshq+fRTdwfadxB/Ni2LJEJYZT5+y9trs2Ay49+h9rIJJLdgXBG9CW6QUxceixZ0AYECiE
kDfcKgUqIMj5JmdrpHL1Sze0XULImUY/K9Nn/FZZW1xvDeKWeU/6+K2aANolcUCsaAnJxapdnz6S
f1lc69tOp9ozq+RctoV30XLvGGcOIigLjFHUv6aoh3YTiW3s5hGNijNo6le6g6xEJEHlrrnOzd5f
saIgMKpNQiYf9qVQuI5J7oHOvPfKEos/w2UNG4siGdOkk83l9oiQ1ViLTn24ta2tHLvBFaleOLcL
5pP4qzq/WWdeRvKHpfthGfTncudHajO0CXR0QD9jTv2b92oXFATCNZSxfcqSiqZ8Y8FlYWaJ6c9k
NrpwLkMj54ztQLlpFY1vx0Vf30TRdLEq1NkZhItRwJ/KeyShSE32ttd9x0ZGmyv/RgjvbxYpta9c
K3Sb9Aq9N7oI+IiJ/TGlw3XgaFemkYXRhC/aT9WjrLP7jFQhvrIM5+/wOPFuTCXfpvRdOhJsOjqU
EJn+JnE9NLdVVYT1pLOrK2gseZndSat0dyX6H3BRWDyDTcW3xnK/vM/tUQI+xM2uag94ap1/mQlT
Ht2tHyLShZBNvPaM30lL4UQUNGSFZcmeSlr3Zg/1NuRPUmu/GVQ9oRLmVM7z07XFg94/ecZ47iY/
2kYT7bpBIUevajgtafHuTrhPMtc8gjX9ityKipban/rWf1DuLgG6ua2zgciQ5hIEkqi7NCGRJ+7D
iCbueqjNbufn3VduDDmLTyrgQvea276xj3AOg7CU+bbxtAjznXkvSU1nqsKgUAc8mUTPDKbaLc0K
vhtJunFN3ljeYUYquXjadDTW6QgByfdkWC+XJT8ZOe+DlOE6jjg/24lSdaHGFdMZWU8KF+F6XXZ/
GMWR0W4hvIorhkj06aopKMDuWksaBHRyhl10NO21q9jh2DRnhqyzd+3R9Ro6HXZwryWFg/ii+0La
xSIKO8XKdCe5mywLm10H/c0xwTukFJuG8TTr2lcbj/ZVJ+pDqwf5nX8iqHBMqmMXY/qsM5d+Z3zv
Wn/cIutu6my+jckhWQMmiMZkvIzzikOEFVdHnqgFjwcj6wxdByPFXKpzLcFJ+RagvRRy9apxJWCM
rn6Gx6C/wHK4ay3no3byl7gkYt7OJn3LWU15dw4N1p1FugXJJzhrWPozDaukc3ZLTpC5TRg7auCN
7gH5iB0fq+tz3s0jrALwJ7rTfNR4Ka5KQQhd1N9IYUlODJSYdU/DR7QaibBSbOLY2SUSieTUiThs
GntVacUlgrh6MNQ0XRteBiUWSk+UtuQ6zfo1jQN62Nm8a0k0bTgZ60nfAPcFRpSmg76Y5LmoLxlN
8dBRYA/dqU6z6CspGbGNjcCiEew0NyqAxnRio5ta2DfjsKE5shud6ALynGuWxW7gq+wyTe69UUfW
nV3Uh2AgFHiMjfuUWdR+1AnymrBa1Y5rEF1LeAGD/SvDD8itMmHmjcajQYfQsdW8zSNdW1hAxpVp
+e8ZluA12cvFFsc6w0McG7WhWLVAxjPsXnK84yFB35UfAz19MuYuIRpWvnewXmFlFQBT8L5NLR2y
KJE73Gvd2ihsNGtwElYOkIQDOhCdU8kbSWNwAIdK2zJ7J/gpZQzEb4T3pvpN15TAZwCQzn3xrpzG
uCYtPRzKj0h38qciKm7TwvpwClKTRAmBqMB+0kZh3gTbPhnuCnYFFLWyJT99Wf1qJKK6mM7ls9b0
QZi61Tby4H0VtensGq7Lumi/YAdRmAbY5W0prgdpcqVUV0MtSIgGg8B5itVUlTwPmcbZ10LaVwbR
blxWnF+pL6uLnaavoua6XNKuhrwFXqDLr0p26r3l24CqNWYqDbX1UC8pyqFnUT5NpIRbLIYBWq1d
gWNTr5lipPIlMts0DHL52plttI5o4WH9kH+GVhQk9RKKFJARs4G0guWjokDuB7ypnrctNfbXeejJ
QUdIUugtL9asgnUMBY7XnzGG8I6Ck4235CerRn/Wqe43Hp57PSbHuFnaxHaN37avJRlAgcQ45070
nBwsAEk/4YjicVkeXU0OUY1ZR/6t6ZRrswZXJkxLrdtZq7Y68n4knUkTxtb03sryW+ajQCjl3dSQ
4XduMDvbQnB3hCtPeUoJOMzVUz/wudkWEZiFR2q63tDjNWcy0sTwoCsIDM2GPO2JTHkfGULn5GtG
VAf88yNv1E6OwZLNoC9g8J/f6Kcg1vz/32ayeocx/p87TssWfjcjKIXWLmDe6mhkVbP+uePPfUTz
n0QI+vg+ES3/ecYoF2jwfv5Op4R//Tzgv3793f7f/wC5wLl2+H++ir8v8u8zcr3r5vC/b4kBjG+8
BurR0W0t9o/lzfw8+98X8vNsJpaIcv/7xELLKSF+7trk7hLJsTzq78Z/fv3dys9vujcSDqHYSQ+B
eotd0r38sqsPEJLNg1xSH4wl9ernN0xsCwT9/7rNn5c4mt/7ZIis6Kr9554/v8XLmfr3tg7OIw4h
0s+W2/9u4ee/fx/8+1y/j/tnMw6wEFidsbE2XProYdobBnVDfP37QhpTYwLxs63/+rXu2FfJMOB5
fzYOaRq//+g85uVPQkgOScLvoZQtEQY/P7IFR5MsP/657ffPn98q6Z28vAq2/9z+8/if23428vvn
TBXK2gfs9M9/f//x+2S/t/3cpaCRRQd+eWn/bOvntn828/NnIBsIWJ2TrOmA7H639/ft/vz9s6mq
F9m8/mczf+/0vzb785h8Dq6Crhc7d4lw6yrKMsMmzu7nTy8CTussP/75Ux8lGLR//j3o4Ff9bRYs
HRcdWNrPg35//HObXisSkkfgdb/P8M/T/D72n6f6X/czgojX9Lst9IXNFSjTn5t/HmAL4hf+vrPf
DfzX//95kp8///23FpRiP2V9+D8/gt/N/r6O/7mZnzv+c5+f2xIUZOHgwS9IsSKj80VG+BOWUw2S
0QcW7lbexHJIt39PF4P1pDkwxoDDmOLx52xQL6Qzcvnqg23lHsyypftQYhXONVqKLNlcS1suYsAX
DONd4jrYMf1tjxMypKOz/Ea3rrVZYrsiJHfE2fGeL2ZO60z3ywc9avV9kGS7fFQPTZ/SctRoaXok
e6xG8s9RL8RbEanrzqjPpESgLOupmbtyupmE+gLyv8kT9ARWJll7MIelB0jieDFNAPwIfiAqItqV
hv4VFOODIYJ8mzSIIsqxRlzUOitwxGlollRJcX4u6yZZtXgccc+I5OSigjrHyxymtjqmIOWlNNAC
MMR2NgHAlqNOKcwUXeDDldGtaPrDqE8eENJZJ6mErOSZPDHLZbk6es+UJixtJNGaQ0ehY/q4p1OY
vC10V02VLPX5TDc1axVWete2CRWPmY8WRtj1KAeRguJ90Yf50bKLQyXEGZUuhueONMmB6LJ6AjDQ
qzR0uLZToZySmIkUVOF4w4q93nTVYUr6E10J1hgZbUBNB4AYZwb+fqYAkbTT7dDw2TnS2kd+kjwQ
uk4WgIn/PvK7jWBh3vnTda7G787jg/FV8MpMnfGoCkDP50S+FWxnYbgYAhojs7OTqfQE0VPGuqVN
nhv1nUUUkLpORTDOjr+L5pWnCbmXJuNvrfUBObt80jbtdNENdkht/EQtOW67Rq/Xhey+vPSmjBfT
KFrbFb2gKt9Z2jTdmUvIEFQGKvNiXntR/tapIAkZ35d74mtzhAgJeYyzMexsWWx9NBqhafPGY3SN
wAhvx8W5D/JDP40zms8YKwDRMnzRxCYmuJ+ZQWKmj32dsQHHkjRZ2Sfat4zKedOO52UPMjNXnotk
/sMImzK5YzzQ2G9S86JLbfafTWmOa5PDb40MUK3GCalcknhibeuZzXrKOzGmGDYt3hCiAMcNCM+t
Zefabs519M5yYihSMltE+fIcpTlifhI20awp1IMGL5jnclGSbSo5K0Jp1IT10UFHp23LuItuJwOg
ZON/EDZqQ4GO3yelbaUPX2owqMsM60w/ITkmFVauIPnC0AwvBORQaIzzS9BMePXtvaH98QJgb2Zq
pQfL0MsldPt2lhFu+KkAXqseJgPMAYTs3qf6rjU6r7mCkaPln3lj9Nu5oTCm8Si2mv8EOQ0wbkas
R1tUPUE9Fb0QrT7NHNLrQQ40xQ3jOiZKMiyZvvb6u9PYlD0YziGG33d584iYvlgHdCrdQLwaUl2Y
oZVr35Jb0lSfaj2CMt1ldMaJGKBJo1hvGCNRG3EdIZ9i3JF5yd6xNZ062QBlaT8BvmpsbGtFwRqp
Kxt9U2XkHvpGHOoAbg0LwWVRTM9wdd6juGmZGtdf2fwym1AMPdShepowuzcf/SZ5xAhfHatUAgY/
QgfXXRW8y7H3N7SroH8AY60pyN3I/K4K9NS6+5oNzgVd5jOQgBPUy3hdGrCTdfR3crazcKEwSNGd
yAolnriadnmSuKt0rpL99OGqnYqKh7zq34y+Yi4kpxs700hVxjPo0knEJMG522YQ1gA5MqqeBms7
bGL2CaJRetRx2TuR6+h/BEIYbBYHMWLBwqbVrCVrxESnZvfw+3RkbIhtWzrRLWoUGQ4RBJxlhOyO
pGxUPScCjY5DUbwMYAM3RlAsynjaEV1XPgviH9eOnDYFYM4N8Md547Y6DZmRiRgq+xAEw5Obmbdq
XJrTz8pl6tukOVZKBBGp+VVr+VeZmp9dg+2bhuu61wl66b0Sx0xPuVZGOSgIhDQ+vJ9VMsUvBiqF
sUTXOUz1vZ41l6YDYwIbS/Q0OjsaVubAC07MbdBhvdOl2Yaj5i6x3OKauRWxdq69sbyYdWs8HmrI
hHwjVe6KLXoR2qMS4H5mHMi8uvY6D/NQUV/KnMaW5R2axn3vUhHWo30DpK/c2HqxTwyvWcWRlJue
bOit6w9XINNWsbuADbjqhr2VoWsH5rdxNWY3iPsm9A3VuIks7dNvGPBFatxZqcVkYECj5EHWHdsH
0iABsZT2rrbNnTMP5zypHqtR39pGgRA9QR4yNcVrSohMrdUvgV6Tl7eOE3/liOYODfADnManacGy
2G33AJ7ksx7dZ7NGV0NrmNTJrRuPZ8CWXk7D1eiQshque64FMpq6Y5JaM5RxbZJfIxQqqbsbUkAY
KUq1V6b2b0FcPLiiP42us8r0AYFrse/s4jUf2Scy2W3NntrAUqdkRkQEjz3UW5paJE/fpMQGWC3H
Z46cttiz6kZ9WDDrSwcXiX09kfHsvE1yfIs7ZoJegSTUr2kTpEx8y/xz8NJHqxlfQQ3/yRjSqtgC
AZ4eert8YL7KRE6v7wSu0j7VmI7nBj+s5N6eEaTUc6pCYE49iIp5Zwfxe+d3h7jHlkN3k3D4EumH
9P50djdvJFdYoOtIGCqb8ZOO3EKzB8jpekXsOR4hWd3mMYwZA2FEiClqN4Joei27bGmQEV49MqbH
pBavtcmuV0nKtVkzj03Rs16OFiKXZ+4XHXUjomolPOKqnU+9xHikDy89L+qgi+dU5ICgpuIpIGuH
M9992kZEIvQeH318MQRlgmPuZDbsxzradnvI21uQew4nCaQSKZar1cCY8C2ZGAz2nrik/qJekF2o
d5O7GYNTXtf3RQ8QlqEQJhWO3sGP/hQFoOZ8gMA0ts+oQk5mIG96v1h7/XArZPzmEErFHII2VDYU
r14QoD/A7LnuZppalk1veGbfWNhXZO1QNrTGQEUzguzQTxySO7uf5gPMx6guL3gDUNtgBsIzw+HS
P7uSthwxxiNAmfq6yGiQ4PLh07TRc1ol3FG3+CMW40opiwHpdf+Y0ojftwlTFQQ9Hq4FPAbozqtY
HZFuJYB9ojdsMBtOuebWJX7K69TZaoOzrAVMqAgtfZHi+WK0bmnoCrBQlznqVD/2tJU1OzT5LT5k
j4/R83AQlKisNr3pkSCOh50+C5PV8h49tWCfQ8yEhnrldG16J1UoI1c+cIGjkrwNvvSx709gkNdQ
P5y9H8kHzZ5YzQX9G5rf1TRpKXbZ/q3tgm2sfKYa6cR/kcwVNGlapiJFXRPeoGscPBRhDZrAJmZ8
xqwPQWqZg+BQ/oEYz2cSlYi9Q5qjBDpwamMIXPg6IeZk6cnGj6Xi4XoMMnaXJr0zOP1sup5jLYpy
xoTNKU7rb69LaY8bjMtz6zHq/AuCkw9jRJUytx2lNyahiJAoxr3nPgbvSrEY02RTQXyhBFllrXM2
0/yJWvvJdy2xdiCJINMdP+lKMWzx1XjxAy417rQBtfkei5SruXurkVsLQLRBut1wdAwkPNC7dVTJ
tMktyJbzqcHcwt5mcfqttoEtj05tEOzkECRtjMOjUw+hYQIJn0qNa6vHOtjtb7ChMuzV8huL3jgz
1w9aYtWOMdt108xMMedEEc20skCHbgy/ekRB9MFKuVk7eYPs1WDi77HTaN9mZL6ndX6IXKaDaUJM
mH0phQ4rKkFMXJQUorMDwqrL/XWAKSebnXPbBw/ETf5htGMF9ikdoxDJO5kaCCyxGoVSxQsCz0ZE
0ryObXbVV/PdbNGcUeKtsTXUqgGiMfAtj8JGMjqK6NEnqGHV6DF1J6Z8tLIYwH20HDoIAcQpjFfm
PZkAxMw671lfJitFwpgdu+bWtqYHU8e8lHEEJnzCuZ3Gi+Tsj4OgZFMAlGGNmBCqmLrjG7w65j6P
hcdRWpZDE5YGn5M92Jd4LM+A5HHGub5JOdadu9x51mAMENLFD6VezO6oGVtXHxkDONq9XZNTYLMc
4yRVYwz08YFOT/7i3R0Ih8tzTmyadYQJ9aoS64Pg0mkbmeoePnU4SQMoVlyAbWypCJ2Avb/WpiCk
MIEbmOQUVBYXCyR9dW59W4wrVu7Y/2Go/XPeJDvBMdfkLd6mqOtXSeNt8oDZvUZy1cpzzHfH9/+k
zJewCtYHyxz2ajIDJg/GXeMESKeMAFEx/DE9J9KVB4RpCsIXAdZ+9HMG4+R1GYgiPUP51AGZWBsB
Eh7EHQDOmkMbyaOGQBHcDdCuQjxmRXVOdPdKtcCbaurnQQbM4A2zWbnFYvnLNqu6my+0Al6E/TUh
SRLlnIHSQkxmdf2tVw2vXjd8pqXczwy1XdN4Q98JQ9Aa8nUFfy4aW2x988BAgJ1H2Pcq9257hqGr
KSvPCseSxoxyVWfBa+agP0H/9BDJu97WGYSydIfXC5RYh97LUOlcOPbJNph85rEMXVLSNq3uXQtW
HQqwBJEw+k1gD4+m0h71oK+2cTLd4XBTG9AGtyWpPUplEYjL+cUP7sjaJTjdLD0oeIthQWYU2BSY
S5zeJjPrzTQ4V8jGVqrtd9JL0A/hei4eGxygBHdGe/bJdSsSKxwzAsqR23FX0GyhZrp0nq+INEPk
3uHziwk7DHq8p4QBDI3+ohXFFYRScxeN064eo22tCkwvjdcjqZKfSQPX07EO1Bd4wikwlqANqkpW
X8O1nh+opJ2DtihPVBqgkFEuT0MMRxGA+rWCl6qx0OD52dfkJS+JTEJ4p+R5qN5aZ4GJ6Gp6ru20
CCOTVBPTX1UKwluHq8XNGO3Z/UteMWGPmHZuooxvLXBbtDDBgNvRwMLp7blbtoiv3PxxHLl6OzWC
VgGQb61cuQ78ToD76ytEQsGVXX+JyItXeSIuMk62Vu6kmF7Ho8hNeK8RbN2sZ9GGHrmRn+kwPeao
2GCoBsGq4YgPAw2elhVwKA1Dd6mmbQBpeiIZBa2nhHeWx4xC6wjoVRTahRKAaV0GAxG9kDT9qqPi
pHtomliCOSzrHbGa026fjLUkb67zVm1tfg0Wpo7iEbB0tUP49uahZvFmwHNTQI6cJb5qZkBbry6+
yNh8p6Ietg3UwzlGqNrwY0mcWI36fN0mwd4DAtu/cSgSUVG9p2a0NR31DZLlEgX4vFLOUYbXhqXy
ngJjPE6thpKjYRVfE8ShWhtdGdM/j+lVHpg7bWmFJ2I6FY4uSSev+m2KgNFl2Eyg1PDEMYoaxBCI
XAbbDVvyYnjcCupgvIGCdiAd8xEPqrZJmf492SbakaGJbmXyFYzPjW89o5958MqeahPqioPOYt1F
UbpC1IEiCS2lx2qBgpdjE81u3eya1t1arzqpKI1hPY1lr/GBtnc1H96qGqxbrcinjbStFwX3w4gB
SZIeiESyCOITFoKHeHb3xqJ7s+OkoxQmRAXBiM8aFpMi/q7eKunD4XpU5k2QxLfiDyfeCNbm0Fgn
MlBvC5uVmtvCb88G8HG2/pKApl5NZn1xiuFhRKewJYzhJgOiSKyltvKZydqMYTcsAuEhU3hO1r3x
jpT63cO53OnsmLnz5CXuvenCuI3TcxLMu1xiQSEZpGs5WmKs0z58fEt/6aXzoXlIQnhfB0xVW9y4
NGMyrv+g5gkyMNWh6S954547TgCBTTBMK43XaFm8+lp8mlu0GuSH5qY707jrPkUzLlqBp6Jv0DIk
yLUGgDq67iAWidhbqGL6qiYVUsdN5TBBriP5UdnqViQ9UbmZw5qmvyfw/ojIolszpKCmQmrvM7Hk
hWlEipfZHwoAg6GMKVd2Vn8mZbLPnPyqxVus585X4rf0qdpWED9uxNsx3ZmTuORuPq7bpjgINeIn
0QFb1s57bnRXrckkNnCIacnx32bS+kii6rZNnZCXcOyTaw8aQjcPp0qDfpO7SDdS8BeDdRdJDXdG
9D1X2oO5eNZw7Dxo+ZtC4+DMJgEJuqDmMtF2lmJjSePT6+XBDNJ7iDjxoa7yLxktH3ZSvE2GegZs
zCnMwmnc1bzndLhM+XCus/QeC8U7JcS7vsicvZrEUjG99SIeVr7OhVwrgxyAIllUs+khb+5/OpXj
buSUubEmWrN6al6hWqebkLwRGJUuM9VTWcRHVNB3ELvtladrr3M8nPQmuEqC6mxyCgeKspN1jcRg
MFHVkAI7pC9p0drr78YRn45VfERCEMNh1rel1qyQsHFycXHHRJg/QI/N1RBG2F5dOnpFboijVZT3
iCFXlYeGpEL9Mg1YmBIjes4yVLFOD/kFJiHBe7bFmBoxvVbHO7epQEOv5TxmK89L8+0ce8eirt5d
u3lDOn6tysgPU/ZTjpBn3A5eqPWboKrPae/HO7PN1t5AJoanVWsrmy9aRNBgoeZd41ih00P64ZKn
hU6x9k2OLlSUau8oFOaLnnr0sdgtb0pYwd3o0bwB08SqnIqOvbg6W8UTBJlNUtQ3bSJfEoX2ddkF
56kxVxXl0TZ22VHo5V+w++3oiL9EnrzQub2OiFdmlUBQRNEYoZOJY2GX9zIxX8vRJVlFJpS1g9j5
JB0mNqRzVaX3qBe4Dus0ZWgeiz2rsXuwvy9CZp+sfh8GX8qDhx/EquYlKKB4ccSpFdEr5UF/SBJK
lIhG/Unz7bBFR7VGbE+ud2nuW82mrZeBvsvMJj6Vk3aqPaFdWGs+jyW93bn3tq1ICaVy3CVIDSEO
hho643aRE3h7rmqNAQEbgGGlfbLuXU29erDTyN+Ps3YRrMqJI8tpYvrxlUoHFo0ENVpTp61Fhuhe
QD2eutK40gq0zM0MbDzOPRZqfqLvysjYTVPQHBzNR44/Bf4aB1h5p00dmhrIHLufP//eFpX7jONy
iYjxCvIM20qYXKukwzK+rHdFQhRJNb74dnpm8NNvXQ9PVRNMh9orcxwH3ptLH9nAQL3yrF7b8362
s0Gh2hPM3Jbw6lnaPM1F2+0UFXo7cA1TLQ3IVN6TTv/eSxBQqcvVZyaSyzZUsPOib88jqWUqGA01
9I3nrlHIJVERdHhTtH6SWJgo7d3B+IMbmIOGCruMog8rs8HmuLTQoSrZARZ5wjx4Ty6nJR/s37CU
bImGaNPfe5H3mQQm5hew9hMn4aiPDtacnsDUg14NzOcgv/RIEfAIn5vl6dJlAmO55FwOydsQ+E++
DRHDr/YkSyJTn7LTrLt3pbgWGRgGlDX3VYzDHSPToRU2LU3vGg/jqvX8r3YEimzHkLyc4pbASFry
WknbcGyPNuBmXBAWR0RQTWGvy6teoXtsYuJ16wnJGkI3DmvrUCn7T0BE2FaHn4JOvMkTOqFu1K8M
T3TsWZa3MieMdyCkrttMvcBGphwaM2yNVvk9pHN3lrncxbS3dYeVshUHXGBhIQe4qsIg0V/SyTsH
8TcqqOyot4sXgQWnSP2K02N2Xw5PkYUtRfms0ZIYeWyN9XuUNSrhGmVGkLF29pDlwZDZZaluPOcB
Z+tcAqnLabFAg3J2BgEnS9Kyq+wLa+wHVy+fu9IvQg008EYZIChiDVaYb+7SRQqXocjkS4xZtOt7
m84hTSp0mrQ9Mf7OBbMSLM2CZJpZcy+jk+c7lEE8yjxazMK2uu++zxgSy4FWZaQYrqiYR3UL402O
rOE0C8JSVfjr3HWNMJrVg1HUFKpWg7MY0s/KomHliK88a27aoBr2xbS4iwo8I6Z9kKUkqDRmMNXN
NJ88L3/vafJxtak1zKZ0zIo6OcSZWgpo89Vx8b/SrYx33Lu90Us0S4OJvG0ZPUVvDR0WjEsatas8
YRzANIihMi6g6VGM3EZgXoDM0ezsdS3YqYsiT2styp74lMppqfkZe7hq8A99Q8cvnfuBeRk7TGDF
JGMm5NZQ3q3GNu9vm5IhUOd0fDVDTYRido4duAqgyE9jgRx5oK1JLUUQhcJCw2pqlzQ22AGyZ8+S
sTuOUk5inunhsUnPla1fB8K2drbeN1s1kVfSZBg08ipMTCIk55iLQxzb3XGg3577WBqyfHxyK3yg
unxkasb3X83A5ujIRinJXkVNW511a4nx1T22ltpWutWuh6ZKT9Jjftq0NO2FNWrHlr0YBhiwQInc
kwXESxAQo+os9WctneOsDk7OmbRIQXWTOrDHc5ZxCqunK7tbZkKtrq16o8S35eUtdW3hrBZwODmK
7BbaYJtH5o2l5EBjmeU6T2WBbcwzqmhNgEVlQolwBoFvlkO0E6T4udF1MfIU+cQhbBUtqbO2baGi
a074a5+ly2cbGdKFspejoeGw35TjU+vyjhuHpzRzDGZjDLG5YyTj+urZCRwDKXh58mlKHuP6VqeF
wh7FoJtvJUzyDsojSIQw4rkNMW2thlOosVRZHrOe0CUNYZ3Fam+zcF/pWqmFZm9XO4bFUJ6rbYAM
M0kUz9e8664t70pCCFU2PYNjOAnlKagJWY2eEmsFKWjY4AEIjOnMnbRvuyTky3HiD2ERWOj5pMsw
Q6VxGJhBC8CCtrkrvkxZ8BFN2Y1anLp+5D8VifL3+JRINyGZbyXRoG7Mptn31bGt2JOdCNcUBxJk
FnG2J+LN6rEitcHE2UlZ4bDP2cL4Il7vXTe/1Th/9VVzGxBV4DjNzdy5JJ2lGMu76B3tHo+2TRdD
90MEWWozCk6ZBRWPqw3qMjBjdvFPZYkKu0R7DVrbR6rQ6mvOd0gKbM0jFML/THKbmQ5jLzD5VDqs
c0hloWJlXbsza86V5TjlGy7bh8yKpisXK84qZeljVz3FbFyPW3Ied4VI76VW6NvWvzFtjcJQn57U
CKCq0+kKj+2jVExE3AHfXVx1YICISXXHYubVx+ekk6+w0bsOgLlKb3xW+yyCuSoqNT7bJsuBHr/a
Kgk0avZ9WzvJdQzSW6stxgbUKkOHnrdWr8Aj0HRH57zPFWkTX4NPQ19ktOBVrD1ImgIEvAWr2Kxc
mh/WI0kfdFsLWYZoQd41lu5t4k2Qw1L7UGbZLXHOCy0fuo03C2InA/rXhmLNBzWO5r+o/ujW8CGV
TsXiDnuDc88ur2pYn8UHjvKIx2Iu0XxWxqbX3vGOMvYqfEWtcIpdYoHxhD+ea9m+1GELtZF103RB
dlWjS15bDXwkvICTINMEJy+cfLw2iRyGi8CaZbcIWUbQWUn/Pk31NVfYjCqYsE9RpzBRK3QgYjtl
dUe2LusOLFjiRp/FV9ahBZFJdm/qQbROGlqvSe1A6GtonGCg668rd52W2ie99uFNi/dMX5Gxa/ZF
dYzZ5rH69Dz4oJ7N0qjtLs3izCGYct7FUO2u0+WHQ/et1ALY5ctf+FQ+lUPnYckl4FLgPwAuGPcl
AvFVjgSCBlG+9bUAsmCrpo1oOA9HwnjI+jRjP9CfO5EMG8M0vXVs7X0Xz5g9B89EXwCVaelp1105
hG3EQqYcZmqhVTvWzaEZuwfliXlnYkAKFTClMbdjZsdM52CBNDsOHlzEPhYl6eP9NZjEUcJxjnVR
2bPyyuvQarv+ooR/V1R8oNWMX1UY7UUGkoDAFCQlj0cAr0nGG82QXbfRRJOfNiOOwo+hN2CSeozl
s954stzGQ93xJpoq2iUjBusadFnrXZdMxIg7tZETo5yPhLZVjFiNQus2NdCyDNNW5Cqs4fVV3vYj
gPMGeFh0AUp2jl3WKizL0MEKeLEaUQC1gR46ECT9peMfTrnA2Dz/xrDa26bPacO4kDgm5p8216W4
kKwE8GZG6iaLcI2njqU2sioJYS3AvzWG/+05Cu+hfBolSjObJL21N6Gw7bDiW9b8ZY+E3lnQWbNv
z2UHncviswEfT/NTUvtpqP6rKSZ5XTy2OWIKyc5ldg9j3h2DFoUPPs0Qnfmjkf8f9s5suVF07dK3
8kcdNzuYh47efSBAsyzJs32isDNt5nnm6vsBV5eyvGvX7j7/MyMUSEIII/iA913rWXANiHz+obYl
PnlFAi1nyQohYAap4Pkipv/itp6+sZD8bPOwf5BGLHwe0SdanLEBDPUn3IBVQ94CTpEY8LoZOl0Y
30OIoG9q4ORHRo6cbji2Ct0DTb28+CcUKIwq9qUb3UauHaEtD4DH4hWyjM3QXo55RYPYoBYRScRf
UNMLGf6HpyTVPsqxP6jgDbhKJQ3F32FIThfsnQKCoGoZqfi0ounqjD7KUQ99LN1RhWGzVdaFVm8k
iElN0t8JwygdGrRAcq5xGgjWcCk0Lt6VDzlSwBnDihCyeqTOFXEyYLvJpGYXiJ5K09/V9NKoub3J
al3v0X8y2pvDUqhry6ngKFvqhMMPzjHx5bbHWJ8RLa5KG72NOZUDSHZjKSftOMBa12NXkoUPT2ve
IjV6ryEqs/fLq67gd1GDzsYHFS31sQJXSxEyDBNXEEI6aAp+PjkDCaLiYqPCQMdWYzO3aJYRPjHC
bsM6fOD3vzXeS/ySjke9gDItRf/KEvEdcluleR991d9WsvGRx/WTOVR3dCGgkIYCofJGTd8Zd1lx
4XZAlSb1Dn1UAc+1roI3En3LXJClWHDLT+oPsiNllxfSu3TpwCyl6MSmblZakyLBnRqwsDTftL2+
awnjIl/Y4AhKUe8lDNwXXXhWmuCzlHFiw7LuiehA1nbBPV9+pEb1REg01eg0OxYquXacORnTSbK1
1onaHnqAEnhnO5onbmMGSOpE0i89LlSL3IhdbbK5MPj8NOQPGpqm64/WoUeS5qSS+iNOvDNmYX8L
Q2jba+NsKD/kAMK4cE/2OqDAKCW6ux400UU2R7YqhZ8m1VdS13v7qs6LpVcVt/jAXFEj1yaP1G3J
TalXF0Q+N6AHEquoGeExkoUfPsQ1TAv1RkkF/m5wiqpOFYfLW27CdM8Vhg4LhG/tqGzYfZVO58GA
RHcjvffz8qSQSNMDdWA1AqfDR+uYVMvtkpqfDjB3UdAut4MBhp6hRPtQL84erNuF3Od0rHqaGD0R
NCinViQiASjJj/UoSlCb2yWuCfBqERdlebXOUlAfDTXhIIW8U/epa/rjIYBfbZM8k7piXm89M9wQ
RYzCHcWRBIDRhV/zFHCzGPf4XdqKS4DagwPHRT8AiJ8eDb0iBKxgeULgCIP8ptfFURXrdUJgsFtL
XO/GNe4QrqsFIjczWNvdqfaU91zdeQqjZh90Bu2wTwuNQ6ZqECtb68MY6jeKX2phPtJBWfWpR68k
2inclPoelxG9Jx+NsD8SWX0MOoK0G2mTe3GylCgP6Il+6mXMcJSnylVeiGS9KaDNSvmp6uHdFBRM
tQTMSt2GtpXqN+mo3F2U8FZlTFmaxOdF5biycpIuOZOrZmg3GQ0yclHcMKQaiQUuxCIhF73iIKPk
melxsZOji5lS5sU62QQZqOqWxMi65qqEYqOV9kgAhHiv9uXPS9j+jCp6FURRScVtXDQNB82AFSZ7
Rnf/M+i1j6bNXOLWHEWM85Uo9PTLiFaTCu7adf+dkiwNewxkFM+Eo5KNBPYZj6HRr0XybjFlFo5Q
y/uAgCnwsmh0Gk6IWoXXdv+JltotxJwTRlXaraUutYIzrNi9I1k/xdG7qkyAg2hDUfeMJUzm98ue
xovllKAPsDpJD1ZWokayXvwG1zmdzr0AJmGB0K5BONvvtcS8w2tFgTsxH8Sy3TeX7PjfqQdpHdTD
f0o9gC2pz5vqR/8/vY/Meavf/utj/uTNW/Lxz98e6jf/T6EHXx/4PfRAEq1/iJp4jT1Qr6EHkvoP
URdlbhRF8g1E1fgj9ECV/yFKsq6bOl0+yZJUkgoqbnD9f/6mGP8Q+aeImmRocDFl7bf//b++Vu2U
xYOXpdW35/9F5+qUBWld/fM3WTOV3/4r/5px8/Ofv7FqVOEUUUGVMyUe6Ap/7K+hBxlpxX42mMNB
l9DMxBFmdHrcZr79ZVI3Gu5/26Aptl+T32dQ4xWlPqNZdhUqczszxlPgTxpAK6tXJBvb3F9Yj21G
3azJVGTHRcBdq3DyDUjFZWPuy1LotsCHTFeQxs8+E4JTOoxTdvhAQGkfhcusFHRbgPPG6ckDhljK
uCAM7ybBULXFL/7iC+Mz4GcEoMQWr3MVtXHU9Ss5of6RcGXG5YRUreJCj5wEWu6iCjowLfNfAo+Q
c+I8KYB8H+/mSRU4Qbszx6xzuNOibinkXCbPbwVTJu3XpvhlMfNbv2ylea75RRFYUFCN0oo0hFZ0
jfGCG4deVfs8T2Ltj5eq6t9r0xvzS/ND5BEeTth6/pevqV2NQWeeMcZg9PukKrSQbeZPzm/NH78+
nV+7fk06f3B+/i+Tf//t1xWcp7wg1zZDUPabuivzrThbjaapdnqYX7u+UUXi769d5/O0nIF9nuf6
kevb80fmp/AefXpEMMv/amZJ0+mozu/8ssSvV+ePa1xwIm2Y1i+AxjAW/tfKflun6/fNy/r2VfNT
f9opgGVSpPnj78khioDQm56jhSalPueuIx+m++10fgwm/1GHuBf7zzSJhT7dIk7bxl6ZreaXvmak
AIpR6Y9ZvpYxz/010/T29ekvb0ezt4g2D/db8+Q817fFzU///dvzV/yyll598ahfBFR+0AEUi3By
LkXTys1zFp4AvMjqhNyh5wpPcH6eTXa7eaZ59vnpKPjhtrudX51fuC5p1GsWMj8n2CfdzlPXT6az
rev6GVOgGdckMnfLPifkqd5cE5WH+ec6CRaRiCmENdv5/T7FupprXLV3k+sMi7vitI2hOp0gtE6k
nhNN0zYzgvIywSjToNrTBhG4qCDJCtaanY8pJ2AzuCTbr0kkgUScszWpT0/5s1+T86t+bezUkNDt
+dn8MH9wnu/69JdFzi/Ob88zXj83v3aRpwSBMPWXhTeiziF4+r0dCijNl3I3NpnCSBFTENAMOilx
/WpOg/j8oFQ9gzoxKDzSmsm3EppFsDkluZJN3207K+i3qnHR1ym5vNRIb0a1uM+0mOpf+4f5Utf2
ZVING9jAyRYPEta1aer6ML8GUi93MrgVNEPZHmNJa48bPnAeQqk8qWFB3qkh6Wu/LJSV53f99uLx
ENPUWQajdB98JdN7FYny7YWbX+1MyZBr4ClAvA5KhciBInDmpwlhkOgnqcm1DQqxPiIOXO5qLsBM
iQCdNoQmF0yhszJGR6MsLEo8DQCnottIzSOlgjfFbKRlUiFiROLBBVpVRjbcAc4QonJZ9tJ4d6H6
i+xZXCMWJPdLBPSsCcbvU5VZqtSuG1uZxmgzAF2h6RWaPGpPHNAM3lSfUZLMk9cXg1Y8Kp0/kqfO
ETQ/+FNy2/XpPFUOKOiUZCpccSDNDxGii5WRShsAFQO9NV0Ut4J3LMRaWOmlnjtC3nEIDElFedKr
KluAL5OWzUm22u5rR1SmX+66+81T82tFXGIgblVQKIZIcTKLV6Biqu1MY9WAlvyOaJ2fz+98cVsH
qxzWphI7yDP6LaDX6RdWcgY8MKxuMD/30Xxu++LCr9LJLepqo1bd6jLFrFOVWoCfFuiAjWq//Zqs
izXEZHnjj+Py0pUqIYImqvscaTH3owvy4S0M/ZL59YCBS+0GTshNCNCsrBCBKaPq0CQr6UsrOIz6
EWgRAZkCvW8SFDiQe4psXNGspeEMp3O4w0GuAP29619JZCa9wSTDM7XHx3gtfHJr4SkwwmzUg+yK
0c+Am9kTyvjce6Y2mpP8DeW6eXZ/KOTMUrqt1jImDt9te9l2DcxdcuVqHgHGxpqbzmC88cSTNLiF
+rO5vLXJtOgQEAOqMuIWe6d+BM9dCq7ovyXKvgGAhXCt3zXmOvYI0XSgAurZMxyvZPxAJxHS38t9
eqtLzdvQOZ2oAVAgIrs1uR9VH/D/qBrhCrvWezI+9Cmw9wFWRtbQU1+X4SGDVg3+LN5TykLOmQw7
FeKQfwCekItrE0ErQIzWJh0R8N0IaSBXVhWbUxaQM6oLldWiNU0pxdoIaMZGW/jsQWQbQGK75rns
HYiHLPGSH9ElJykuI1to9oN5i8qua54S5MSNd8rrn9hgyq25MxBnw0RFlRvA4qNd6qTxxhc0xHVr
TM1wHr3o1sA2ptoX8cZrt7q5rhKbzr3y1nkj/biV2JBLsZGjfVJt2sLORDA1NlI+n+2rwBqiHb6A
/UMtAf2KRWlyUaMVs8Xn8tEUtj3t3M8QeR/Xa0fpkFSOEK8vmqsT9YTsi+yc0W4fw11vud3RCxzp
oT4EDmE9HrwKZIUKZeHNoG96ZZX7VOIXWvkBv2qM6RMdzMiWgjXKfX0k3vA9HLmOZJicaHN70Tpn
gpPpKxPg4rgtjVPU7EIicEaOC2XRU/YKo8/Me1Srg8d+tCMVhu3NTa3orUL+Nn0hfCLGNzSHMUxg
N+39be5RdnaBU6vtaiQP6hPWsor0CJlG7+DhN+ut9JmV5zTaoI9QkNMXNttJwIUJHYq9k45iYW5C
wQWZCv4U6B0Lq1+JqdKoDvbLLIVnZSOp0YgNDZGxuDANOiha5o6qhNQ74j6/1QQoFfCrtiM9Y9+p
NmhXL5Q0gdZlu3h0Ozjw9R7BCXYj0CrwGRbqfoyGhdu/9g9+SeNEstxYO9fypvPh+rV7ZDug1XEs
hqhukTHH6Es23bjTuWv/CF8pZOqAkKjPySLpYbddsjfoNt2jylOFF8QwgXEMnlGLKyO8vK2kcwVu
Jy+WQqru/uLhPj3lU7xFcEvCKjhtXFjiiSwIMSB02ccgvVQbOik2vqAOH4/nYMGgNF9GW6YlkAJQ
TCBlCfuwfK+TVeRR2ZfuG/NI27ukZWItQK7oP1G/WA8A2DRXuYHzAhF5EiVaJDFwBenmZKK+IE7R
DSzf2CqWUwGqtLNnXB6wHhoEwWQlFw5LqZCH4rGLHbb5DTszuoEbZYe1ap0h1ayXE1SoWcDegEdK
iKzdGzZrEqB8z9y2fuDGCflAvmueNeW5aNZU/Op1cyv/vChuVK5ZNZBeOUV1mE9lvmKdLrB4kr2s
LHT0Crb3kD9R+VUDADC7eCeC7AELI9/Rk60JyGQolrp92+11cem/N8HNaDn4XYS3mJ+rqMXFIKyq
4IayFpIygr6Dh/QpORRb/6jeC2493voBgG9KQK+KcvSRcWXNQkeERXR26LTFSokPUr8X1EN52XkF
bQ6inpaFSU11Bw8bJVpPz/wc0JhQ15gG8WwMmGJO1hMFMetH9ohGCzn3Gp3RHQELubrxzuMuUhcj
RcMnC4vUsMIE1EUuGm8qWZAhw2cRwM/oBrC6WmtdxZzrEODjBnCiSWG4oGjm73PhXiONZbxXR4pi
546b0urNEvc1kBFyQMKFovEjU6zFT7n0SOFAUprd3Tf+/TBuTZMyaW0H2AJiYipwVd954Wc3vLSg
87mfxIXwlFRkINcH2cPuBnaOJyJQNlukB2DeQu2Pga9f9nq/bhlZgm0Ofbx46/K9JEAzX7GFYM2V
5gK4QACFmdqhvyCLy8J0yrS0aH+CfQsXR/85UHcsPdpxQ+MrGL2QFy78e90uVt1tBkJRJiseyj9Q
VXI7VrGDupdme/0OFjJb+eWKeJZ7EcmQrW+RGy7CpYHIxvmhhXb+hCVCP0UumOSzgmJuGTrpbjjp
pau8XtY1cn9UMy57muHi1RR/0lENHz3o1LZ4Z9x0ocuaSzYHg/8ElvmCRhyjwYN6Mn/ma5pMh4/y
CcGsdhPiFPCg0di0IwX2WJ4IrmCD9LqtnN6+rBObbbrwbWnhL7XbH4uP3G1+AHR0Nr64kE/KTbqW
TwODAhcADzjDOGLSp/BJVBYICMon7Rb3A0X+RKWb7V7wy2HYcP34wKxdtqzajQ6nZ6VQsT5dDNQy
DzFNuHBFsVm74BImg3nh9bbvkJNiZA4sUyLkN8izkI364Jteq1V+DNye5Dhx5VW33C5NJfnR9srl
4AZb1WltzGkyJV3sFunNuFUMbEvOO6JuG4ybTJNoKT1tVDwHr2i3lT0xJGsD2v2N8EN8lABT4fR8
8zgMUHmctXVyFh+8bXTAJIqghjiHS3hDuzR7yFYha7UKzuYLLQ7ek/BOIVO1x3eDtXaRaGOl87MN
oCcPoiaXbUQRsG3piJ6RRtBCIThHexI5wigTcff0IN3L8Dnv5Efk5k66bE8awuNFe4p2uq3QD1os
G8Ke2Gi2tlf21U17KjeX1SvQunE/7osbZQkdzVsjVtvjID9weGPtizCV7Xsiee7rC+eMBbItwqTS
O+bIFpAQbsa9tvRf6o1Gevvb4Jrby/a1euv3yU3vEN9jrrj62MvbdI+3fVzSGbAjW3BjB7H3olmE
h4tNQd1BZniIl9YSttmp3uimnd9HN/m98Bzc9k7zFt6TeXBPJ+SzeOzcfKMtckjti/rFe0KMjFn9
Hm41Sm4tdHhM6kXpSEvOGk+MZOw6bGHcwzHuZwQkVOKnMbw7jbflnrCRfBPdCGvNMfbafe6gG7fT
lXVK7WBpvJCKLtSOf8BJML40tmxD2rYZoYCBIuZ+EZQ1YjBOLi9EoNsrb8VFySbesTs8hvf1vvuM
bsxVuy/eYq56qHw9i5/PyU1wO7iXT/8l/Qmthi3BGKPtYCAf8EFMSN+79K45pLK9bF7Fh+AMpwus
MrsVB1WwuBc/UjqWttjbw8OUiL64t96bVwDBqkuC4DlZm2/qQ/mCzQFOANcsb+VL+EO1uxvwkv1d
tIt28oNut6fiTE6qSyN3Ia7kA4/26Ah8wXuOL2CFAdxOQbIstL2x1m2w88/TTrcWnuhxMrw1VCvg
Kb3CTWgOKDR5sV8kZ2mdHjklbosP9tXsAcfDZtyFy+ph3HmMMfVTFrnZgbNT9DHv9/VTePSxWXN2
4Shy+l3C7xU6NdFIOrpim8SNHAkrcQHck36Q41I/8R4HU9A4urQzuUdh08CX5YTFZhIWCND79/E9
vBMudhjR1l2AE5TEhTqsNHrPKJkehHfxwLis29qy39BB5mg56Vtv3W96fpDhpv9ZvmDzIa5qyf6e
orG1lR8I+Qc7exSOJM8svXXGGSmU1kj3xMdOeUagt/E2waZ3ORe38CpdZSscFCSvgWvcJh9YFbXK
8a2fEcJTb5HInDL7U/QEZle3lv55uBVXxnHcN0Q3Hkr4WgDyIo4V8YUertuuL6eP4NyxqcFpg4BA
8MKl8jY8BufxqZ8HwHmUQF3CoALOrXrIPjw65mRVLLT3hg8i14YmzvjBafC9O+gMBI/1JnX6jcSt
2lt9LLbWe4JiDfHeLfpy842p8sV/1vZ0//tprce9F9rVbVujuaDNtWjvjCfxoTwiOSDENjlP1wev
0nvxyirSc8JNVXy0w3584oTYvo/8jIhI0mkwZmDjEoGcIIalwQWqgINzO7jvaLlQ4yz6W+UGye6C
bozt255bHhlLOU2+jsmhG1YY6o4MefGxO7Bdo7VoE/C6axB2HOWtzxHKJZAtvYobDLL63nLNDQe+
Cq3TxgbgpOue4UZfWUdxJd5k2Hod7d57KpekqVKvwg7Fweut330ndzU09ZzT+rO+bxcZJ7zwyHr3
hSsxSBJltuRu7AlRh/du/BxfanyiP6UX7Why7g6X1k36lO/0Tb3zK9u6lUN4NG4TupzS5BOXg9Rh
2Gkf+rXC8FxuOhug2066M1fFiitUlrw6mY52yzVF92FOfz0q6h0k2nXz0TJOrJM17ThbWofL8C44
R2dthxX5dlniTH+S2QWiRS848kPLkXnmmL08UlvkB1Q/FPrNgSs+Dm/DW34q76Pb5Kbep4yCAGSP
/r1xJx3L2B43ly3oyxvzLLowxl/eQ0e4BbPN4aysp/96D1ZzEZS2/ii/xSdBc8N80U3u9EXd2sIz
Vn8lWERcQtm4c59N/8CZRnysLnuzXnJdvNW35D+u4AvnG+4XzsQ13XCZyV4rP5CUgIADfVu36e+9
rbqxRvy3S9l0R+NDHCb6/TnSB35FUM/GfX0PmdPb6uxHJUdsdms9sRLvSFIXTRi2y2autgJ0X+iy
oXBvxP3RXHYTpkLkTPqZH75eIw5GMWWdWgH1J3NqKMxT0lSimqe+qlEmUI+sC8/chVCEUqdy8vww
V6KuT+cpb+jMhdzRppyrUPP6mGK8bXwrdzpDugMF0W98uq7FpSPHEWepBJV+g6cZm1uwq4TXlmKO
NJFC49Yt8Out0b3SYuaoRtcKkAv5mRFlaxJ8jzI1+VUZe9wATw/cupBIrG+8AtQX+h14X9MUajv8
tjCF5J4GQxVOVX1sV/QVyopgy3kyIg6Bs0DHcBlPJDSIG3JgUsE0HzyzRJ7qoWKFanebjcg8sbNw
wzuG9JMGBWmxSm0w0Kk4SNNLPbm1W9+XgM8O0TtaUaov8kTq4Yo67z0aVH0/XZQndh/FhyHXuQya
1pOqFh0BMRRpf0cBOYmXHGjkmN3IisKAWwhHarTrEkM8AyfrpHgK4p7sqW/JU2kiFMeaNWHbjKk9
Mk82vU5JI1BhNM4l3bnGO9d15yljbtZ1RbFLLl6yChXK3/PDMPXv5JJC+fW1XGgCPPSYF9KhpaQi
dVNokFZu2+lhfjo/iFiMiV/gDmyug84PuSAUMvxN6qL6BXNbg/xhrst+1WrlSVQvFwGPna8Dqs4J
ZBWnjKZ+qgwPf0xpjUftc3ptfvj2dJ5v/hj5QrRRgH+8SmZGobv6iMQKKYoJJMBgAIigxAki55la
ynZSLctbq7yJ65y/q6dIuR0ssdxin0MJn6Hvu2yw2YSO3IBYLVSq4vnUtekrOnvzVGSiHkn9yAnH
/oQcIUWLTgY71Eik3zuIEscGxMESxTdKdzkvtoDrc2qk+qMhm83m69n8hoVJwwk8ava/vDh/7uv5
PNn2SMYNXEcjNVdg15xWKCLXXkn9uEJ1SW9snp5fnh/weHFsTw/Xp9d3i+pCxbWNV/Ns19e/lqI0
ZTna17f0Lj2bjVFDRcFh1BLSi51C1A4BOjtC8FDLUWUg7aBXdTYvx+AM3hNUglqxU75ksVauMgv1
/R/vzVPfsYCICGH8zW/ND8WM9lOR5MMgb2UgGxwx84eoXtejfYUAYmbi5/3OKPx6Pn9g/ui80L9k
D37NOb9/Xej1M1+Lv3791+y95qWkJrZ33z4yf2FnlKjfS2ra18Vc5/u+Zr88n1fi+1ddnxca+j3Z
ggZ6BTJ+TX7/634hNF7meeeF/PJNX5Pzq19/oNVwn6lDSPqF6/hvt8n8x8CCYAecF/HLdr3+nd/+
mL9eg+tXjK9jrT7QpnuppqYGcNtkO05Az/nh22vfnv7VLPQAqGt9W4w0N62us89T13nmxWYzHPQ6
z/Xtv3rt+9fMi/i22K95DGW8rem3LZvp7zPnBqwXDtmqwEJRTydyKCg8TO9+e4p/g+Yi4/Pv75hz
F3We/Wtynj+j1iSbGty5v1jEPMf8cF3M17dc1+bffu7biv3bxczzXb9pXt71tX7qgv239uj/SXuk
ibL8d9qjx48ygZ/9J/nR12d+lx8Z0j+I/iXuUpn0RJamICTqPqr6n78JhvIPdGWGaOigG0QEEHxT
SssXjZGqIT/iZVPVDFGZJEb/V32EMMmQLcniHc2URA3N0je10d+pjyZp0S/SI5RPmmRZBitINLyq
imijfpUemSRJjEFG6pOnWz84+ywU7giRg0LSL5TFLxvmd+XTr0onZVrYL18Gt1FS+EtRWikWWifR
/POXXZq2kJXMu6yHUoq4FJ/k2i3sKqmYYo0J5hN/VpW4aahiicPBSs3nQug3cQLtKWiTV9xV2yyG
/1F2wP66unNIkfIcNUKIaKbBA97Z+xyTvK3ryi7Ai+bkctE5TQmsQgUI0/cGd45asM88c91VaJcF
TFmYdcrT3/+hBrKxf/lDNV00Rcw8EmCib1vVZ3iHDmFa68Gjol2j8VdCM3KagAhrQi8iCZCKBoQN
mNlnHCjrfLK9BSn+/wv2kyCvCXhN1r6YfCZqso/jtnPMCM6vXmpulMqJPejERspoCeSs6ggYxlTY
+FyEUOGN1Y1sKjQhET+Onkp0R62QPRQd4jDHo68QtoNOQZDFDHpQ+DhfXccjbDVKiCSKQPUQbTWG
PVlCDBIMizVVWe26xQPTGSIVsEiAMurVz0OBA8z3irVvSg8pUl289z4AQStchyA6F4jeND4SfErh
sE7z7gSXn3CuSokcmbif8aOIi1Mkep84sKkRRsFd3iB36PoWNXhlOoMavWTFBEYCF8jFcIiEDe7U
f/itpp3u+05pILuTEJ1oHKHfdkqxVHMlqUdrjSfWRGt6uQ+V6NWqKcSCfoNTB8q8TBsAJSq8AYjg
iyiD+wdna10J1G0vTb0CD7f2IsUk1c8X16WhuxfSzBw56LYg43VXK8znvoJbImMYWYjtwD1LSLtU
91bo2Sn+xzXusOEsPbUiwDYZuJIW0vHIA9wmXA36FJnZ74tWcMuus9xRtd5jn1a9UhbPZGHuCXMx
CfSkeGkGGPK0aJfI+UQLPyUZO57BbVE0tPtAAu6ppadLNQBA32Zttxlk3ZGl+Ca8CEfsC3vNsGMY
14pY0WBsc9gXMrfp5EB+qqlIcolpnUWpoxQzTDbiMDxa1uAYpAL2VfSJXHm6a7lNLPaY//A7/cXP
ZGL/kNBxqoYui38eOwgkaprB6Kx1wK0tzX66x6anDQQ00ziW74jgfP77L5T+6iA2TVHRVO7ZNHBi
f/5GjRA5nDp8o9LjBtD102gCtFCng0FPmyeM7TckVEF3MOHGDOzBcA5p+WUyPN8Ut3PgfVYSLj5v
3TYvf79uf7XPWqJhsreoDDEK541fR21Zgg+dCDHIFXlvVWgjDJ9V40yGI1MzNKTbtIdTSkD/31+r
ipKqIHqlfIFe9c9fS1tQNuNOMNdgDj97zbwXc8YDMws/q4KwWq+P4ESY93//pZI4LfbbEarJvGzo
02nqX85RoSfJVseBuxYRttmBd0StBKy/o+STi61t5BLd9BZQnQopzbiP4KAsih6NS2aIn5JkkYQx
4rvktMRhlxz0MNsVIYPMRYxgxrCYWLJWgwWqJw0H6gQiCNo8RqNKUMJJ5eIblmLwlJbCOVX1LcUU
xl/Di51Iz6ijRMBpeqoaRF0tw7yr2TdPuoJg1dDxDURxsrF0TgCeskvFjMCIV2/gdtxIPTr5PqG8
SDcXRQYxWzfLHzXMmjwi1aIhi+ZCviGp2CRcFcZr3dHv0lizLkKcEXEpy7AYUYQ11c++0XYS2jQn
DKib5Qm8v4hKFeQtnRuHYRp44n7cqx4nA1EFIDzws2H2EHTTo+Woa7YSD/dKmz000jQvp9aFBRnY
qDnnFEIrLprAuiconhWz2LhaoTzrNAeiYjo7DAbc4YLUH9nCWO5H65LaD5YLkYwpDxMytuD/sEfI
k/j6z7uEKeIlZUeUDVO3LG06dn+83Qaph8Ja+h8X+RI3/lj2a8+SyUVVlmHaHrkAHlfCBfd2a51B
Hw+AQvKDogAXRAh4GLtRoBXrbYZetZzWjVv0HKARSpxE4loyKZTFCUSmBIAKKagtHnB4NA21aEFs
IL3J0kMTIuqSkwhP+LJhQHfqJiRjTW0tbO20N8lQDQyYgANmd8gUtMnMznOSmN56ZmhYG+i3KlSe
I1Kxln4yfNapvjXkQHRUzXrPxE1JPIeVTXSfVsKGX9UrOVLLA9ben7gegctdhnv4cyDgTI1YMgyv
sJ7y8U4RfThJ6a1ZUM7T+xK8V0bOVC7Jz1YTd0tZNZawIxFm415wa7i2GmVJ8kO4xPKkZFOPEnZ6
CeNXCmfJb4UnHY5kX/oD+gLlASfYy4WEaGBY2lM5UN5M4uAuRBmKzpQ4qAut+ItBYiaVfL0SbooR
nndygVxQG2e+t7IvhrX2mhI0gDksCr+7U8J8jVPXNcUkoBHXHUpg7o7JFjJiNhW9hS7G5Fu0t2mh
fSJWx14FJSXNS8gOOUZV3WC9ySI/+1xYIwmvKUdF0jKygL/Fo8xn/YFgBHzAAK0ctpWDZxFYh6Cx
9aAAuADDNgJu0ByZUt8n7Ml81sYn+8almbkYaRiF9RBPV6fSUpUI4sPCghgBGIjpF9vG00GrV1M+
4YhMLQpLpwiVbNMbls/ewC6B7pFiNACHZRcqXAIqQMejiBK3F8mYuTW0XdPJWUERYcZ+7Zpqjm5B
Sp7xZy3CvvAfIQTchRrKyBDkgO7LdhGRMkdM6BpF/TouFHCp+bIzCONR2RkG+LeigSojpPnDbrcu
RAxBFzOj7zhYZ8vTqVcK7R0mL1oZUvmQcLgSSayc/c4QNm0V7SRC9uBwbfWIxXAq0VfoTR61QrvR
SQRzK8kXGIaUVSpydin6glFQ9uSV6MNI0wi+zBCNRP0ulNoKlpOoLDJoe70MTGu0YnxVPcqspJFW
BjjutRpxLvUjetqgzvolvQBCfEBFpbTOuoGM7HY0jmSt7EZfOQ5t41LufEsIAeailSZ9RBKMIk8q
Qpp30qV9aeX01hP5/ZNSFHda2W8rQ9zILVeoGlcrmZYny7QR7pQLIzOsoaOleuka0qYdh8E5NFOO
J7O7rQDG2U2DFUMVZKBVcOx0iaMaBuJ6iAJsuoseozhygz5K0OMgYBO68BCFIUN0siqK7KVUkGNU
AcpoHS4OMd/wsPpYebPq7cVvfmKK7TZlx3Fs9dWqIr4oLoq71NQ252Vn+Qf0ndh+hfRAAN1SD5H7
Gf5jlLQfhQGjpRUva0a2mwo9ol681EVzb1XyK2a9qBi3xSAHi8DKiMscDAxKZRrao9E9xZrmNPWF
i+56BVbzZuwp7o0p+a0hmCDQOxkKxuShjFskPrH1Fpl07CCU3MW4hBcJJUkdyNZEk2qXMUN9KhAt
X5fx6AytL7tehDw96qUVavwIWDfixDjet+nlHjuW3fWUe9sKRFIuxy+4H/nd1cdcRBCWlAEyANKJ
weJ0T5bM2UQIxeicC1ZKR3cSwkh0mj1dWGbcHYB2Wwt9DQV2sC/cN0JAGWjFyDTFYpW0Qpb5YHYI
ciylvS1QDIQT6C/PZPQXav0Agv0sEGAUKTUCF1J16CvQEDBNF6orBLjReDC4v9mMaaIu8j5gjByr
HPYmbFacZBuz9mNXsggeIHnh7RLcl5VV293AoOkr59QDVUJUGnKsVd2j1pR8NAcFI2lY0qua0tSC
/FKvc1I53TqiDNsWmaMZKkKURqGfZ6Ic7rqH3AIhV8kNXeuxoQWwIb2P0y36rKDnt4qs4V0IXjnK
K/f/MHaey3Eb7ba+IuwNNHLVqfODkyM5DBKtPyiKlpBz7L768wDyZ1ry3vYpu6CJnBnE7vdd61lB
MiZr2/c/9a1/mwAq34V++tJWzc6aDDY/3Zy7m97k4cFpUcDVsbsxI1muo6omVorsZT3Xz7rHzI9x
JBb9Hk+nMl8r3/rNs+4EHBUGeFw34wGtoVMcKzN8Nwnly8L33DLp2NdwaRhNvXRVHqNmq+DF2eNR
BO1nXfPfgzzeOxUEKhlon4jQGVGel2vm+kO9Kad03+vWKySk55zTC3Iw7x47XwEYLNv7g79OR6aR
KU0u3/2eJLR6bK/hiw7l59E3NeDFxmYsomtpRq9B+ArdJiuwiOqpBdfD9HdGNaEYiMR+ee8IOREX
aL9tSWWXEzwT02doMBq2XEX2CoIAvvRw/Bw5I4Q3zSNHLoFr3rioa5tevWh9Bi17iPaFn2XriecL
nXNul363Bwd8XZbSQJPG51JB0ax1eyNqC2mc1R4V5zhqETq8e887TY1PYjgfprySQy3MPkUVBOK6
IpasDl8iwXTNTIiMHn/rtBKbqvsqQsN+1Zob+KBH+ATNBkMzTW9NzSJPTvFFk+e/paW2I5JjPcok
QU3pTRvsPDTMfeNblNB26eVb0TkP46gRhEQV4aBV02vnhucuCogoheZbaBEyL+1FSsMij4MI0bEC
8MeAB+Eoam4uA9kas8ZDWgFNLw7W3MjSmLm21jZwbNrhWtT+aFsxC2zIykRjZJU5PAA8BAxXFcJc
lN/e3FLrlUZdBxMv3EAwXR8NvuXWxyKc2395gnRN74fxbnIDdRygtJE37u2Wlps5txydmvF3R09v
8SCQVIIRIY+xumaKXKO5e+h1wt31QJhqG3UVnaXQyxEBZN01MmhNpXXxqfFycmZnm0McCK4cI2SJ
yI3QCCTokE1xqWz9Qtb0uhgFSrdOXBIBhCnNX9jFuexaqUmLCJ1mj9LUsZFp1Rp+F110J4UQvG4h
AgJy+9Y38cOochOxRfHNNrKLG92qmLmHkuED0Y8XhkkTvNHoYSzbl6JNn+o0PuV9+a0Zp1MswMZ7
4s3rnS8WAkWmnwNSmj4vv4ksfBBoPQ0xzhZAwjcS2KyMMi5D73Bd71+mHoZ305+Geh6mIANOdMWl
j2IY0EQ4aciZNJlyMu34FBWTc1f5+RfmffJo670k/xW86UBLAky0gXDTtjlcRWEdBihsxwrb8lJb
nyvojgC1bPflp8UBAmYZNxQbOm3tE1EzqCFiwhDnkMrjsijGjNyQOL0y7ia3UmOXVT2nsWy0dxRp
yBDSU59Ypbxx7uqmfE7SDsAIY5Vl6y63ln0lVraxjmXAONsM+2gX/OmTWW55Vo9UsHaALM+C9MZ/
dgSxoHauvooyNyBeRYe40X8LE6o/41B8CrxgV8wFDR3hd4IhhgnTnlxB3IyFfRZd+OJj+N9Jx59B
kfY+nri6FcDr7sB3Hz1JfSfsRiauQwdw28djPEcFY5bu4H0wWbeIWNTIS9nYAhaGHA9LDbNLZr45
4p2wBQxUIsOpYnuLSP2VWRvDI13T4QBfnABYGU+YnDc3o8P0JGD1NF3yfbAoyM1c6WlIMGo3/IAO
u4BdTSSeKBzsFkPMo8v0snGDuT0raSQ739P5sj6X/pZJYgDBqXIA11hoxen4GlBVmHIrGpPEdwO4
zofuAEnYW0/zx8WB+WLgqvA9MiPmEt5S5gI3+Vzr2ZdaIeFJyEi807PkvQ3S79ZEFnaXHZyJ35c0
10jXzNUYgtoSOt6NuNMfE4ENJIBTBsjrXhtIMvRLrq5OZBQIqOCrYhQhJJwE2ilU256E0qFD3mQ4
aIAd8RAADeLyzBAuias3rwue7KYgTNdyV42ZorDu33IHNWmMOCKjRH4W8TnrM2+dB0iKPTR0kQON
2qWeSo5jyQxq3mMAljvreq5jOkps8mg7GFQPmi5H8UMCudWgLwl1z6aMQDka8z9sk0LPDpPNMd7P
ZcWxjNCXj9Otc7HGO1QEilGeKiNkvD5QqHCS9nPgVTtAKUxE9fKTAR4OzVRADSMdT41FUiXUISao
jbUpTQZN1NyLdd64BPlqfClH6x6m4VCCJDU4uJfNE3GmiSOSk5wg+dKxITaDKj4JnUtZQmVwtMv7
xEdaRcb8uNaC8VFZExpzVXF4pOZVM1Hy2BRO4prRtOd7j9pMtpwwQq061oqbUMUABfJb3Mc3LaDW
u+x16RSBLdfnzjWjk3HSkcPq35Vi/IBUaimEpA07j4K9xO4Fy2euL2LdfM4Sq2W34DlmbTU71MGz
MYvwUWY0T6nnSgwI0VvTAL+oZkIzKQ0Ukr7Fmn4trKdogDcmI3+7rNI4IVqY0JO5UImJe2ZXxMgf
+Wtl+sbYtmTgM0RnN5/ruJpKUTfoiKgGElq69CmfpmsC92MzzIlWeWwBDNEzsQYn2gEAMC5ZBdSS
YsOdzYUCrvF8cevYrktxu6AYR2V7xJmLYDqlwqM5ebEpIdYgkc0ZL6CgFgQP0YO3cER15EFlEuVs
mNuHvhtJqZLJl9CiCmNo58GgKNEkKA9y6zHwQB9RvudyHLmnejSiDTwOstEH4gHyuF23ZDXt/eAp
omO6iwLFQQuTk+lX0ZeEgSdlus1GZgrKR8oXy0Oj2a8hrQdmBcjdigABRPp1DNPhQKgyGlhPfc91
gpHZge2Iwprmp1/ikfCGJmB6XPAhKXUzMGG3sXJ3uUl1TidofKVsXCLMKtt5x6N+QcpFelp6MpmW
fKe8wmYevec4E9dMYTkM2G0ZQLVZ3m1cIjfQKaTYEtjHlAXyHPoW/BSiVOOhERsIe7e2RRkRlel3
XXGm7ZuLyakS80iOqEHaVMMMcRKCuFMK9noOm0wAEZ+GDKdhS11Nw5WVgiTUIzadX7bvkGgvcxU3
SM9dLR8jvFt6zkE9OfhXMr9a+UM719EYBYdEPziBHa0lxzO/sP1WV+T6yjg62RArmJWY6OwsCqQ+
oSEa55RVFCmD+gOttjwc2rvGr4LNGD+mzvTW1MORS+w6IFqcCf/ZH2HaEVubo91hlDgxzWktGexE
p92HgGPK+FDW+0YXNfQcsEHjLqyIJaZT8Dm2upvejvuSipQhEjSYXozum2nHzsAbeMfFucNT1BNz
vx6d3xojo9GRyReHhGkjd98GT3tHBBOvGkOzYPCpbW0eHINhYZzElKJsc9Uwv6lE8rkiBgBgy/QF
2CW2NFLTBzM7p7nBvKbAkUwMLTJOp51p4Hu7E891U6Amia96nV1NGd8AjsSbLI/Pysf5FWTN3m/0
8FSXzlejz167kMliDBPTn1Njkoz90Z1DYXSMrkZsvxqBCoEf1FfNt+odJdvkBLLfX2s617quxw3r
p+VpkgxTnO4WW9QziWDeS5XLjbDNb4ESNTqmoFaoY/iqAYSR47II9boHTvjn/YWtSNDQUWtL79TU
RrMztfCx4Rvg683wy1mcQ4ZJk6dWgRNSab0m8YuCqMIsWkamJEgIwOJxue9H0AlNqN4pkEyqi2Zx
DmjIqhHAqNG7G51iATk2ItwUo75zxszEqGMaxy5NAT5wxTSOlR2K43JrWRAwSMeUa/cm66Q4Loug
zyLmuMB5uig1fzy2PKGi+EzNf9qECXXCpiQ4MjSfwt6EcbgO67HOOfLSEnU4ZZF9EdCfpGTK1Lid
gZqefdJ9Pqjkqo3KOsEy/OfC9kkVMa1+2oAKKk6a1RyXQvB//w8sjfeykhxrUfejuf3n3f/7XOb8
/3/m93w8ONM4Pu5d4veGKNLv3T++avetnGki7a8v+ukv8+l/fLsZQvLTnc0iJ7j13xr5+K3ts+4/
Xfn5lf+/T/6BNfk3IIrtzRXx//7rJ/wERPn81kbUwruy+FmXsLztP1gUw/kvnxI6hVzPN+1ZR/Af
XYIhrP9CxGqKhW3ypyQBjIouLM9lbuEYLOlK/UFEQa1AE9gAKm8IVAQzLOU/3+3hRyfnnzQJxs+i
BE79dERm5IruGOD0DeuXzptCCtprbe/cUkjweKdTeWi78NCFOlkRPdfNnMay5QHb6Xwj5ZAo6a3Q
z150rNi9663f+Psk6/ULUP7vf1mTf3zbv6oYxM+0luXb+egvaHX7loMy45fmW2hPVuZGnXVzMOvU
UNQvxE+gePQ0+xBnxq20gkfboBxblFS0ZUl9hEKFse/DFkNm7sWbNGT8FCh6WJ6dzHF0PmFTUJRN
Y4zu+yCGuIYoV9HDM8vg6798/Z97h398fVPXAeI4rsP2/7l10oRdOjalYd243le/NapMKNdDYUvd
GfinLLEOjch/iGj6mONvMtS7h44LZ044yNmMrBiUXnasO6+4Egux8jTaCV5nvPhVAwBK89ZFHpAq
JurmMAzto3BJoQlCgxLojOuqdPdM4/L2L79pXuUfHcL5N7l0zg2dMSeRV9T7f/5NwozDwk8y88aO
XuyaFqEv+rNwq48kkwsImC5NAjK3RmNbpViYg7LWjrYRyfNkBeMu9uoXb5L1ibHf1k9qAwbzs4hj
yuZJaj06WYPxFI7Y5BO+8s9ffeki/+2rc+xYHFEcVb+2couqCPqw8sUNaNhKd7TkURq7Ma8bmlFU
H91wiE7EydBmlvMkPpu+EBbXeRjNbW2AlYsjF0URcuZQTVtAehS00jHeoZRe1fyEk5aIizaEMS3L
1kfQWkT3nmZuAHPqp8jyKdPCYVzB3PXRk7rZln2D8qUVqVnBjsfQaKdNlwt/U8cK080Ywb5wynin
jVW5d817O6RElVklkM9AUcUgVbYOOgZb1J0OtQyvceT4zDpYpNSdBiff2U7Ur5pUv8ipjg92jLrc
IA7DCnCijWEpvzDDIxRjjD8PWtlfEs3KNpwqpl1LJCWpD0ayhbU23C+3xhR7WtLhQzK19tEUomQ8
EZAy6O+8mnT0cSRAw0mfHWWR5TKlBnQjqyODp6kPU6s3gEeq36Uz+QfGyq+iQECvJs+iq1Tt7bxt
9v+8vWfx2N92Vcd0bcReQKf+1kP3Rs/sJzcSN03058HtqUB5TbMLWoBBs3bHc8UVlT9BdrJ9iWIC
B9LcU3dlWJLRLQLjEpXVrse+ZcBrY6pq3EaNHEiKDKYvYe4Tk0Vgg//5X772zz34H0cY4jUfhQ6n
ZP79+QhzNB3ynN0YN4WVlhN39Bimzr3pUtgUTu5t64I8+zqYlViuV1ws6oDkfT21/pvu64J8svi7
F5bNfvQAQrcYrzUrQmhfF7QPIqon//x1jf9hLZsGIgUXehenhV/P0QOs65QSq0H0kVc/6HI2D8+z
lOwc4VqGYlAAuiw8zA/W2VBFejbC5CVOve7wz1/kF8nbst5MA6mGhZDEgzP1y6UskG7HpYmt1BcD
RTzDOje4mRLnXMZz81nrP+UDlVsmq7FKL6GYfMBJQtwvqxJcyTaWY3Ztio5inGRoTqUoEQcAsNTq
WoOQ10Q7s3EYIBbFfphy9yDi4XGgAn4taqp1gUGcXWDMZeyaCECtkEctyV6TFMbpP//URYHzy5nM
NHWLIYXh2ubfzmRMrEq/1gP91k7xu9WPyWmcs77Az7jrLLEfJfNup/RuWBaSTYWu4UvimBdDDs5G
xKbaVknX7yT5dofIZaLW5ZQMlDbtFHXpda3BVPjnL+z8/ULuugwuuGbwn2uLX1R6RpXosWYO4ta0
nbcWOTQRTtI75fbvFfM4TCGWSRITFM7eTe0N3P3ylDeJRfaNWPep/WAwhdtY5fRue4N3NiKCl2yv
/IKGBvO3zkYxPTM9RCK5HwFB3glnMA+e9dnp0B/qkUnNuYwqyCL0c/vWJEaFnNQcXOy20U3ccYab
n/tc5mcKsyapuydXTI8gV71zR8F34yWwQ7TJze9SOPDUl6+1NxB3MdBEmTA16YV4KNrQ/q4B4WEu
b9y03j2aCUXJMjGeDD80X/JJAwogSutot0TJFfl0IVpPO+ZRwxSdHyVmyPw/r3drPlf8sqO4gkMC
KZFt+pxQfj6XJBnB4J70jZvvV3PitBoeJWk0J4Waf+9ozvSogcpZxYwvzlIq9GyjPADdxceo5Q2g
a0I1+tY6Ks/YWYV27XsqqLaFlibRw+GQwGMig5pqWvjS04YOTM/fVnWP35c6LUANxoaFtJ7CAufk
gIKNfp/z7Hmw8AkmV2YvLl5Z6Xe1DMYL8outGtN95ZXZ01Arc+V31jaPwEBMXAfvxsStNjnKgYMo
USb885oyUPn+bU2hePLQPLG+7EUZ9ReZizaJfnBgxN6mqvhs1SG98T56TclaPbW1Ya0JcpNUEZsa
6EGen2zZ3UU96OvUmqqTDAB4mJW8FKYr/0U1uagi/7oNHZ2upMfEAdmyjgz5l22Yd6GgSStbajxm
eUrGtH1AakxXNH0Jag2YoKudJ402KbVZnNROVuyYWJMq7EBbXnbfykxJzZEEyVOWNi+Nh5Av7gf9
LAP/MidFrMLAyXaw27UtZM54m7YKzHYfyU1hoiWx9MfR/Dw6XBe1EdatqoDspG73phUZcKngriBB
bJdnNo1Gi9TUCaSorJV/F9UVejFSYOx23vlNEBb6UJmrPK7WE935uy72o63hUkMrUCjAXp2DzHN9
Wo827FPq29c0fUtS2Z/hrAAbRnRhatDWS0GP3sCO5GEfGyrEBn44NqsIlcGqDVGk2KWFrzcuw7Vb
xNm/nX8RrP2yuzBd0jmgTM5qCHoc75cTmvJSH32ADG9aOhKhrOH1I74S01sRQTjXziQA/B4HExwS
Jb1DB9XGN4vouVMa7lEsL6vI/eoRhHG1JVHgAK+VWtN4Ydho6AfXBRdNsrjsYByhLU6cr1kbMreh
JbKR/ogVto23JPemD7rxW9fVxiM465ducPRLXz4kfnqvD4B5WWH6Lkqa97jHHEp43AQX2I4ex0E4
T3mnHVO6NnciEcOmsDbTAN3G45C+M8sYT7vkJw0WkNoymYNwqVpxxUlOeDTxpmePbkxrVkWMkgbH
3yNvWyUe1sQqAg7neLLY6Q1ewXyyBMl17ng2Ycqef9wS/W3KrSNYeUIp4iA4G3G70dMpvbepG+cl
icCm1rg7NyvWVYgdurX1YkM2moH0VzwSM0tQ/Iqwh3PhjHOSUvLZwJ8E8QFnHRUjkiogtzQKJk2e
qXaH2ho1mhvfkx+NNiGphp2btC5qEFQzYZtgchwDJmM9RunUnpK1XmJWpu1swMt/RUFvHHqAoyvV
6uQXToK+qybPAHzzTdNuWp/xQDM3GOgihDRA++QqUWreTYHvQN/K3xXGRlKYIn6nbV0nqz9rYOvu
CZnpw+bejKOaQnVrrAdzBHvkYkvP9a7cTAbxXvbwDcobhBlyCfMhoyrlBRC4kGQ4SutvBPJB9u85
eqvc/d1ItICcFQKE1Eiia6AP12TwzYehS76ghnsrPHh6cHedmyyI3GWudBg858FqgtcmiaCYluOW
JnK8bgx2iMTSiItoy32dOtnWLtvfrUwIVFcKCuGAA4BqJV0PXZ3YbPFK80pSX6WxN20zXGVteo01
mk5JhXxJTzMStKTzUHGo7KfK7y5YaZsy2PlFdEY19Q2GHUX0pk2w+6N3FI7ZbqOgpYQp4/aaQSJX
OaI2z/Dyk0DSQTkDaWDA9dYnHYo8kDG/BFV76WOX4rblTTe3JQ2kEtpqKPhZDnDcey8jdRQlVkW+
YVRsS8jbAMNz0sBl74A9ZRYWqoOrG+l1zL6XGQfYlCGnM/T6CijvEjDkKsN2ukgzCNe9bTnrWGAz
uasZgXNCprmpmc6pc4Z+NzY+0KK0ae4jFbb3VkbzQpmC1UrR+9RkVbgpMT4iaXTY1fTpk8W7zppO
1lqlNO/zpPH7B7WvUL3cpcrSH7Ku0x+kkuNDcrALuvlxx0pqE4refY6KKfcrxHFRHF7BcB670rLP
eeS89UEab2xX7eNucu6NDHxQVrb0f2wgY6Gn0BG6ZrURjf8uyWjIBvMLNH5tNyRtQO2/62fUKj5G
DL8QVlTIuTbqvrldMl39eeFW0ORqj6IQczv3FETod4Yp+13mYfigurE7aCJ4KAkI0WplPYP0vTRN
EF5ixzTuer8Z9kbUfMrrVDw5oThFMPavMYgFag93gynQhLLbfo2V+h1hi0vEOR0Zo/OHs6pI3FSc
KQ2jIerTfokq5kIpEpBVTvvU8pX7sIxlwiS+byctvgZuQxJwgIOgyoPdnGAGwsBkfDfU1ooTgbOJ
ULwcR7zIKC3dh76cvtROd8zISHiyUmsTADzcDKZ6tSMJZ7eG6G/0NQS3wS2fR+u+SsD/pLVxz3kq
WvdVsm8F8BE3agOIVMPadOgAdI7D24ap2aP+/Abw2jz0TfBglqiCWr+36OuKFy1S02by6DnL2Eaq
hGsYT+/HTWbv3N+hGIE6OvN5FxLvgt9d7oqFgrnc9BJIAR79BGu2VtuFp/SNmjhX/7ivo6gm8ogU
5wo7aj1bzpdFNGlEDbbudpqlJv3ikP5z0fjoByr74BYW+wfRMO3G9aBn6cg7LJNxkeMGwH9sVx7j
eeGGShJ94SI/E8O+NmJMyOgMonEYaA7lhyTU5CaXw9uPhymU07hJd9UsOmjmRT671XsaTFRM8F5k
dd4ec4sQOab06ADoNVCqx0u8LCLDbI+azqLLoncnH5H2ZRjKA7+lAVHqcjsSxRpa4UvjoHvwBmr1
fgFRI/EwbGcy4wKEZGFtErd7cgsOFtXQUK2UfBIRJ2qYIBlDoWPRTzZaTpzL8Uy0XBa/3FUjsmWl
0bhx/RashFXBvGhpBWsE2S8s4WWh3OGv2GNgmNZ+aNHUJOhftXnBtbg6LneXW+FoAqle7id0ougZ
Aehwi/tmMp6SzAoP2py7gMBX242c7NciomsYCTBkIP93GI+fjTlNbgj7dj2kEk8UqlrN6+ixlNrG
Nb7plXMZR3SWwLlhXriEtqUe4YId6X/ka9eEJVsOsrp61NcZ8m1vTMpr5j93XRNvQzdIN5rI3ka/
3ZFhahPgMXtbBjJlYCZsXXTMd1GFEDqy5V0rMbi35M4ibs9ZUdQrjmOjfyey+s1Hax9rLodnxAw3
RZzQJMTHdCBg2tRah8O4cRninBE6FQebrDOv5tqfWUa9j4u3QkMR7BE63akWZpwd9itArWcxZctc
HcVxpj05dgwoM+goZ4aVvc4NlyxAsz1RGtov5OBssarGs9pmQfly+Tr4IWzS5SGk2XNmJUSJ5dby
2Mdrf7z3f3364y/YEcXBbkAX9utn5out9uNjqlqPd3O68V/+9g+4sahxwBuFC8V0ZjB//HGSPMD9
R/W3pq0EELf5p5ScnjDIDR1bRDHXWz5leebjfctXWe6mYSUY88P6CyWS9iZBwl9M2wTR0wlT49wo
Y4Lkld3vSRLstMnEvYYNAKdCMBsughih87xQQjSoSXRzZScdJ3xpbIUEU0PAKtEVviEQNyP6T/Bq
nnQn9QgvH5hxWIJiWCXeoyR2DrEe2ZhDavuYjvbMp8FvttW66Gn0PI7k5ell0TMPOnouiBxRg50j
cCm2VsszXAXtI+q9U5Mkare8bnloWSx3c7uAnYeSt53/yPI42Wh/3KoyNJT0Rv31xxsYyYNDYba8
yivp7W0Ej4mndYc8RSBnN1w8EVq1AsU8KqNc2fvkNRwRyeS2t6H8BGQgtNEJLzexHLVq1S443eWB
ZTE6egXfZSadECiWAAoy4b/Nmqtl4c9QiY+7Cx/FtS1c1h8PLtTij7sf71te/XF3uTWFYP78dpbg
jzqixN4VFBHEvKuntF3VPGZ/RnAVb8XiQfdz7Gwfi2IxnX/cl7Pz/X+9uzzRzcbtj5eEkoQccFL/
+bO//IXlCYYDSFvAy6+jnlrHj1fnObLfHzeVOQEf+3hnGxNBaXPJsQFampEgHNwjpPRu+WMfL/v4
0AU783H3f3rd0g37eO9ffvjyzC9vGX2iHZV58U2IPpRPO+vHh0/kiRjVavk7VUDC3ZM+r7EgT/N8
v6yZKiVFfa90pFG5a++XbfaxRZe7fieYgOXlzOj+cXt5+OOly61l88YlUZQUWeY3DIOhyVXh5mpn
JvF+0AXj/lH51abtEREzEV8wOA1x9Wqz7AGTEkn7ukgQ/eXUQZc93Bioa+4mNOE2trlD2jJ4KsT0
x6JpvVl99ef9gKTNldaSyFgZTkVOgM0Mg51r+aMLmQezWkhdIjhlGsknNpm0se6Nq2WtLtulYeC7
FXX5XDGrOwTzCEbMG1h1wAa7zbICf1n9y2N/2UTVspv+WOsfN4O0YreJ+/6L14fvrhbTxbLj8iRL
NYEF9kBU1W5x66fgNBHohzjJnh7LNE2hijLj0r2tR3baFjuJu4MXM8fE0sO0UpiaIGuiTdV1RCn5
6M5LhpJ3iVDNhRbEZapF/dl+0JzAPHvFLTCgHCNCP4Q6MRAEd5I6ExlfldFa17rUn+1xiA+iu/ap
3pz83LrVXiP2FFq+xtu4teXVctNsQ/DSHdc8ukRt3WxKUTtwa6Nn1WizB8h6TsYaHXPtfS05Wd31
WYK+EPn1Rou51k+x/wX9iEHIy+iuJssMDrrUTllQURpz9C9+5DnbQSRq33kQtdJQIWaO73pBtmgZ
zgYAVW+bnpzoQA/I3x6Z0GuWfIvV9KXQhhLLDRUoXWfyRIdJMDbwnW3TQl8zU1fcTWY5HaCuvCsa
wNuRoLpdELbhg95uInfdFhZa7VB+ItnUPcjC/b0IcrnV296HYTyigdf9x7oI40e3VfWuGpKXIbdQ
OZH4Cra2Csk1Kr1Nko/2mxgomJmGCndtGB9GDgaCC6lWxVGGoDgu4ULqn21pkSFbBD7q2Clcs9qv
hfT6VdwU71oBZ3eoJpRbRbKnDvrACak+WQqdaxZj/E2c4YDb8Wb5ev7cD6HJsMj6Ogmpf2qyPf7Y
8kSElLv1Nb1ck7m16xGXM3YZCE3yws0oUy6FCTHgrUnNgO3xrlzzOviVfYoJXC0CQHR0h77nJXXK
VMfto7egQu0axcgxpw90znuv+ITBfaWZ2Igb7y0LAdiFAnGcUYbZzq1XVTf159ThpICTp36AhoM9
qTV2WWv45xrzs9dpE+PsQEHAHO4HiT/KNSb5GEfN3saLqLl2fxMdCUKTKelR5l56Cru4ZVdLmOhx
odM8F+h+EB6KhCZmUoSEWma7voOqlODdHyzvnA3Vp3BwjYOF5KomQ3TbS2qIuo1CsglSvO+DtE/T
qH3p91lq3dCi++cswkOh59Fwio2vmqaNkGZpJ8g2lMAAOh8beA0b3LFhRuIaUwL8tYirq08RexOU
Xvt77ofxNfGNT/RvGMEyQ98axkj2pl1ep5odS6L2NvOG8KrGfYoqU5zzN0XL+VPnfxWVfJRxEdyM
2Ppi1tb0EE4B3m8pL7Tw8qvtJpzEfH04NCXaTFm2nxrSlZ9EDTKAKPRzq0/vRUONCjG1c5FaDlJh
pI/k691a0Vx/JkR9M+rJtCHbAVVhW34aTQ8iW00Qiafpu9iczqiR6V/Ew6Gib+KURXMaDGwYQiR8
O1Yw4kFLI0VYvSRVBlFuuksCAeDQ3MKVbm/o8ldN6RyxuGeUiumKGpnLECmD9qnktGtiS9/RtAEz
iDOFmJhQB8zplLsyo39Qz/GBfuysChutnuC62qSdvTaRnpxw/n+eBkFGVUtoySB6BU2TGqHEYb42
A8s8MfCaVgUpF3ucgCs0javAKPqVnSevpNHjAlEesuqme9XKET/HQHqo5hbfZFe8RpW75SXF1hQE
e2EjrU711PePSA+eRCOoJ3B3jcCW7DRGZfTiv85+hWtRedc+StuDdMFkMyu+dlWHRwsHYGU68THN
FHluufcu9PIZC9lzF0pvG1buvrTVJcmrV5LSr47dTDs9oNfqT7/pXWqsS6Q0m8RvgvXcfjTMb3py
GDE/vBmvIijURYsADDSHyu1JgZBfYtc0D+VgfRlF7+z7ZHjs7OS7jdVxP2X0TeySam4erQfmss8t
Heo7Og3NIZePHjl0GxLyCHl1CvU0Ems9mYSCFqZDeAKz1sxJtBdD6HsXyXWWiOfIRENOO+BsE2lw
R+cBaq4GdVV6g36SoX4oo2Y72PIzuRjtpgrb7moPBcKzsvY3vvukj1ZzDonow/c5IQ4dPKzAzACl
5sJlpx6FLRajTDyeEWJrF7tfowmsnkTrUdIy4eL3Yw48wejPGAHKUTY3j3JdL8YnhnLOZqR7MGWj
fDXbFEtxdm7NJHrCUbl4vACPtU2F6n+MXjQzGG4udOJY+ch/lNPfBvmOZ6P5qrXkK1Y1Ec1dyk5L
NbJgGo3byHUnuWqGcKQGlFY32XFN87K2Aj5Ho48Dotn36jZ0OGGWRwIzbE7mVHxLEz/bO+S95xJk
vT4VZ7AxGpG5jKGEioG8BxwwVZns4orPsZKhumBsICTKHjkuMDdTGk6TF4kzrQlL4hG8PLkn1BkI
osrpeBCauB6n4n7C8n+EgwYy2zRXrSNOfcuFwXWqdl118nfH7q6yNLAWyPgN64Z7CIv5tE0U5QZb
Ksc3g0qGXo2/zbqJ0r1E9NB3e8UY6sF1uh3EidI+TB6ZwvpQEyWsW9pTBt/as6zvhezHT5WdHFMd
p5UVZPFjS84sDsuQ4IBEPUR++jbb2i7tUBArRZ/62N2gc8iTQ8xiwol+R9uFqbzl7mpZhNS78Sx0
VEWFcxhKZ3yhtMLuqxGT2aBpLc3/x96ZNclprNH2F3GCIUngteaxq3qS1HohNDXzmEACv/4u2udE
2HKEHfc+3xdZbVvq6ipIvmHvtSOcNaSDUSvpbwznzX2e0sL7jQ6uIg0QD8025s1sfGj1Y1S/8S3n
o+Zd2E0WGViyJQLZjPH7GoNic+9gVhSMTEPemXVdesinM8oLg0TRog29lZVln0lSDdno2fM61rba
tXJiNGey263DGPmvijGM2fkXIfLXQQsqWEasMAK6zZRoElHj8SVzSxtxGf5LraPb2DL9xDVcr1MD
BjXK2YN2JuigicFwBTOOKb+xvLMeTML/eCPJJdRvTgmzQhKmGaHdXxEOLR7HEZtq06GMD+5jNIAL
KfPnKuJSHhIMlMri+KeE4aqY5ps1O+kpoFfWnadus+WqrYzGTwldMxPkOXkJZX+NyO9cN+407+cp
wB4hDk4a/EyaMd+bA7drh4Bom3rqwcg68gkmZ5sqASpWvFPV4Qy0tbcp3ZLLpa9/scx5cnvb/OkY
CYPkQH7m6VUv5teNBTzjsc6913gu5m9xJENgnvCRldNQMw6ZT8qGRMtqN8Y+8LAyGK4Ojio68Qg1
P5lN+d2rSZFPlD6FCZaYScCcJwS8v8xRHFxqWdwsSbTojHpkm+RgHFVGp9FSS19oxbHae4+GWiqv
kGCEsAePYfmPc1O2h24Zl5gz4GHbqqtdnjf4uEe5iSPiYBVph6u40AggUijIYZbKtyDKiUVZDFe5
bC7aGkg8GCPSHSYyYjNtHjpoDHhnnLtfFv7dLfU+9Jhg5Do5sxI8MMpmriLmtyYo4F9wGCjWMRur
ZwxXIU4my7ILT03vPKVoZta5K7tDY+A9qmRG9EeJfjwbWdjlFPtxjokP9tEFUQLzYoGfJX2tPUjI
ndmRWeCZCJEC/16PwXTKbPMNd329yS0eKB5L1XIcLpQKHa+gxn7vjT8b17qN067WAHHSwgvPTRbc
UYHebIthi9VAlpy9bN0RA4Ijzbs3afVWW9k56Wtjb1o2luGZ6PeU7dte4TBZUValaCK6AeJp8ZRO
xnAMlpTm0fDfKXics9ECMWgDMR9HSx8lz7Yb8K5j22iqCnw/jHDHb1KxgBHgOV9dM7sVODnHMaRs
kmreJS12+KzzmC45Lje96DC/kqpJJPfKz7669eT9KglZF9Vb4pjjk0zNW947bySABzcvqD+TYoWG
2xbF1q7VRL2p4YCkLoBsqz9XmQZanyD1i0sLZElDB8yDBbnlUDygxTrFy99ZuB1IobVsAutlyOuD
Y4QFm7aZBJ7YZfVl+k/Ea2/zCT5IXnV4Qia0c4gLi70J6nFvkby8RW37zmz8KY5L3qzK4+ODLSJr
SdxWZL1VOrxSHqmT78h9m0bzg5mgNmjH+5BdvKh4a4S27jYU2pXVNDUEgGq+4c2Qq9ppw61Pbm7o
9KvK6px9OHX3qcNFnbnhqRLPssnF1eo6LBWRVV3teHjMUf5nlUyuQYiOvkY1tSNgmBBwKybMhFyg
D3lmhElkK4w433G+glGxFUsOt2UbhM2jigcy0JZiPDPGh++Dw/6mX5wPHo/RIga3DuHlAU/YDxim
hH4OsJl9fTB9NR97WVVr3gWY/Mlc8jcnm49rHJnsJouK+qgT/Y4McR9bgPZZvrDtZ1mzGm3W1clI
TWmKc4PFsolAjSPDMSmOquwEuZRxY2E9xavoU+wbF7Y01UM0fjVqhJo+Q8g7gmiCoeFGgAzilwyx
67Upps/wXjApxHZxmQvSAPyG/mzBbIkUJVJOakkspuJAe/OicMp12RfVCqSSAZj6UNYhiSoNTRoB
u6uPtVNlD6dUh841DZtP/x0N5IZzjDLjXPEvx+zC/zfsJuSms1sHl5J+ZJXSOG8yHjaHLPB/svE/
cBj0Z/wEj02WWecolViA0+k8OR4fuOkaVxHoGYc+eClrNJ4Ih/pFf60OxuR+t8cSvrVRxgcdV9aK
nugMneALCz7/6GdxgCDX/FnNIIy9uTR2Jsilc9/j7Oa+OdQDBPhYGWpZrYQb0yZ7LBX91ikFc6GK
Gbxoc7g4uslWeVA0R0bA9rHp+DKuR4GOYCKwywswKJLPt1UluUopi489HTEZ99xca8Y2+bmscJkA
crnLvDA2i9Cmb9ndlElTrayA3CH0CaivtgpXBIsI57Nb/TSxZntTpS8d3Rg+z/oz14w6K+epY6rx
mGXBg1EzpcGVX+z62BzvEw7jrovB6Tuoe6JIiEc3MM7MF7D4pOU175wdxh9Y2Sbwc1rCeDfXuGDj
kNQrm8nryU6Nfj3kinoeWRcQ4aLD8pV8xu2VXTE7EmoRQbxnwIW5JvaCfTyZxBj7uIQMjzqzRvV7
5i+bRMgtNjXTQSqJ2q21MVYuA5K8Uz/rZAivYx3d7Wi4xUkYfBo7C4lySeQyz13CvGtMqQndookw
8FQKi5I0F8UhQCi4dbwcnZzb49UEPFHkVbPvMizuxlQTAe6k4FmmFYZF+0lM6a9Ks2ONVDnus9Dt
L0GRBQeXRdm67Kx3Q5nQ7BTc6L5tblprtZFJcpq5Stdj62NQkazPs2W5HYe59WAUhwywwaVm5YUQ
EkMf+6HxVHmBvsdzSvDTcTJifdNKvta1cZUYkXbCs7pNH5hHxB3TtUsDseqKqIeil9+MpjXXcmlI
Ioh0RJ/2n+c+3nlDZv/UoDOKIiChTPT2q+ZIhPiQvAxtx+J38B4aRXZOAKK5FfkP2w4i+nH7uXGN
hHwYVBSQvpJV4fTFYy+pSHBMY4PGFlYFeD8nn6QpxCd35JfOMWy5G/I63lKM4ZHsZEqWzYThtAGN
g5ZyaRl0T2Cz9JSNgM4brjbhb3gS7C0pg+GhhevCLIvFuW6Jf+vMiW59KUpSy0rh/9IjsL5k0163
hyZGfDkniB1rR784LsCTkDU/C4MQZ2mKF6PLTuEYq50d+hth9+E+7S3wqKSrrlUnEvZ35reACspt
Wt7jrP4y4FE69a6dPlkOy5Aa+E07rT8sCb5P82IKgrTiOio3QxR9F242sGZ8ijguHmKjfC8m2EoO
LbmfjUh54qDYTgOCS9UDUfRngklbWr01exRjN+TJKUpVtvZKnV58XMQT2VpVNYUrXMTz3levRlpy
4vqJcWQF76Bmmj0g4XZ3+rA8q0J4p6wjzCjHr7nDDWexcBI77ugSoSQ3assuD36eXY6srjDkRqnZ
n83MxyCJuim/R90YY+vmmNUTCVedF9f7amies9zzEYFfHVb4B3TehDqUYvfHfM1UT2lARd0CA7lN
M+1Ca+Tpbi7Dz1Pd1tvI9skkyWtFjuGdp1FyMZT35WMEk3tEf7mxbR2yN6fKLaJrEQRV647bbRYj
S8TB3Kgo6/dG+ytp3Zxxqhb3chh+uoUkrCnUW5WaKPXx3hP+5j67qjTWTeUim2hwS8sqeBwCC3di
3dKzOmPIlLR+58d+dJrktSgje6MYma4dt6WTrF2Ko4Epil4kHHFofgWlA6owykxkt7BcCocQMhtS
4s3uTfJMxW6c22RfI+LeyLmcd0YcNgfbI36CFRx7cKfOn6AWvvpD8hSMEVFRUTJuxUABIs2h2JlB
JXZV4T6MyuvPNUsE80FUIQyD2vnVI7G4WIW7AZDSbYIA9URitlxugdTrtCDWC7NriDLF7yEgeCN9
spURoLMUGAMaR1W71zgbinOahTddmqSnV+43XV9tMJoXp2COVKS4T9x0htrVRuvCBKzatXNz7JMk
pOaufn2I4cPR/17WUn0mTVGmYBshDcBv4vHGDX+TGp6S/eqOo36fnWo90TEhjhPDYbC+U3AlJN6D
AnXaMb86fnUfZMKwscqBoVXIUzPu5jXT5nWhscJW2r+4kVU+Mbcl3yGR3oZq6rVLSYFm3Yx6IHH9
C4KjN1HX7bmJ8Ej0nki2bR7C0FE5MJBGoXjwR1YfrbzIUK4ns0CTBE4vHEjnTMqA3X4QEZvFSgKp
7mJ1r6x12kh3g6q4PyjTusx5La4hsmgC3bSYnqc8JownbqMdYyUAY8voEfYs6NHubmcjU3pwFDvI
Pl8amuFLKo1PQ8j+xUfzeY6y+qaSRbwYkFThsD2FIR2ddPBUe6l3/vglNwTXnCqeci90UG6KXzE9
KsJh1HMrbZTfpvSBKrm6lFhvP2eJh+4UC7UVY28os+ClFsFzzo1wjlSwlSpY7uqMYdyYM+LK4u6G
Ek7d7Nonh8LMOeO3ps/Y1cBkAzz1vQkGwqbrmQeZAkaXFeaZJQvZhHNLQQIE4uSi+bcy49LAHXhN
xjR7bL/bqtmXSZW98nS2LuUUE5DT7MFRpc8mynr89BMrG0tM18Bq1xhM1R5qPsAI1c77j9mC1T7R
ohgHU9fJfib0AOhasjL9NjmYP8fYiM8NiPl95hjPZcdXdu9iXraC61RkR6NKPCT3LXmelv01aXp/
axXkWVU+BnDtM+VNRnulKWo9UZK705G/hqfFWWd2s2ZgkxymlDQdN7bCAwoR5EJTwWyp8HHFyrLc
0IxIAAPNs6mIAtBWvOtix3sqvWnvdGj1Kt96KMrsazcvCpqhVk8lsK9Sa7g+9GrnunJJQywZFFpJ
1Z0bI95Xo23e4rL6xFuAvXymBJ8c6+7E/PglG0ryYYti1/ipXPclecMOFfEejW57AsxSxyOkjUba
lyk3vht6IOfNr2dyEVvi/pJPWI/HQxzqiQwcOTBYTa5hmZEskw/dJfcxEodjXzy02fegKjeJbxff
ABIOUH/bDY6f6Fpnnd6WtpPuXGC461ImYJ9GTByGtpwvLpFljDo+Z1UennJlvDh1B94r4tzyAM/t
yTggMzWYH9txAN46ki/pdtshXpKC3ZKQtjhMbwS0Yw8vv7RmrU4VljGkeSYymmQe0MiW3RU2hr0d
YDeuAGJZenCvmI7cqwyyH0XU5MfKn4wby/7nIGf1wbiufRj1yjfD1cww6JlnTgCgqPDOyt6GijAE
A5fmYQiemHtnz4bxnk8dmWTkDq/F0uroOruMTEauuZmjxIkSrjbQdReZObcUYO0NdHLxkKvXP76w
B64LJNlgYRDsSVF6Z8NBsGqUWmz/cGvTnL0ktuYisaLh4nTQhYZ+IjKmxa3+YbiwNRWUregoWRVV
e99E3phK/9IMrKzsyKgu0JE+95pJnmmZ94qFlYp7CcGzMdZebbVMouzDR6fIj4DqNzUOnur4fFPO
e9/tENhKb28nc7/2zCmkR2d4N6bj3Y3oOKPwsY2t8cYroEL3J8AKdr7NwmrcovndV3xYa2oaa4M6
1LvKufk2F4TLjD0SDjiMcifa7C1azhPPI7Kq6YzHSA0p+vRpJC3HIzaTSJIDkdPQC/vHvHT0lb2B
sW80OW3NsnasFY99HaDZEzUxSUvFWlIWI4mBjdbzcGDY5a8M/BersssoS1V1JtqF4RPPYbgeaLK8
cpuG6ty4fbBVNbK5YcBvxs+EJrEb9n7PQC4arU/DAhdp9A8GmNlhElNMTnDhr6269SAsIud37M65
1No61+ac3uiTa1qBBCBKDKEHlkaFWZQsuLZzrRcG+gOTbmasB9fT04tIRfoYcWRF04SoxZuetXL5
P8zER1dGNEa9lGcJgSCzfWG4gNEoJSRoqiZ/E7Y9uhwsNJMV2y+ew0+KhLcQEI0KhzGv9utf0snE
0aAufih1vWYQt8mMRH518Ch6pFV5vdNxMPX+2VoOz8Iz+4PJ50bcyrqtJ0nxZ2VkiCbtwa485nfF
eUDNh4s2dtFIL/bJhBEhS6xTFTXpfWCesZYjo17Vpd2pRm7BTlM+1H5HPA4N16WV9udQfh0j2X3i
w3pNtK/ZV7R65To96gI50neasdjFgkwmp/ou7EY/hP7eLgJF/0wDVIcB9YcsnuYYQ/LY7ku3r99s
z9jqInkubE2kbC+7+1wVR9EskY5xvv7YzGU5tzqwY//QWROfnp2As2ls68EW6dmbXnqBAH2q8oAD
Mp9uVTwi0JL6zYU6c0mDcGNXzsGgU7rk4ruBHHcf9YBPp6rhsdl7GzaY0XrKZXzuKugahpWFn4oF
eRnjHiktksXKZtbbpE2YhkQomPNZRLChnHpfQgsJOn3up0HfXyLESmdXxKsi/UTp1GwQMxPum7WA
gOR88EOHVYkhnaNdFq9IpcdzAMPmPLEpGpXrnHqdNdcWwco+8MlJBDlzNm2nOH/8DkBkedaZ9Slq
QI3+gX4Q/4NAjLODMxSkQ5/m6uoZDLYlRtvORScA+WFa2zayMT+JUE731ZPGPsQmmY+5HMhKHdNg
YcCW+BUyItYnwobWjYeNvY3A7I1lPJKaGqw/7GUl69XnOf2BEOvWiFC+KfqVOLDe6tHrn5wcIKan
gTN2ul7V0vDOTraYChKGgaqar/bQ6Ucn/Yos0X2Gi70XUwCzx+wB75yrWvUbq7KhBHXvVVJ8ian8
96wfmOqiXuehPHs7atsTKzPqryI5JdH4RZgFx1zsjxvQ/jSRRfrtQx8xRhPjaZ0011lo4gwjaJyB
Bpje+LCL/Hh4iYPUvhgxJyVjqG89LyRFq7dCTfFudTB9XJfbuDXlolfpzoMQnwprfEKeRxpXWv1I
k7kAamdsJtu1Fp7cVYAz3agO925AhGaaTDSG/nBuWRedwfld6j7KNrrGxisqqm6n67FrBKRwuc5r
hO+dZGFfbjq23ExPeTp0ROr+IZFt7YcE8OYuWYTL0C1r1oELhqcvALHjo9ui7/Z3qmB6kmjHIMA0
Zpdcv/S532wjn1OiNEOM52ynoD0Rx5z1RbRSIwPzNrAYK+ouxJaepVtVQBfus8p9TBKZo091j+kV
DWT46ij4ni6n/TqQKFKACTMbLadvSMObg+meIsOQV0ZZlP22sU2Uab/6uferaNBF8dzcL2jiolcN
qnc/wXXJTHd2XZ4DU3VAWKUPGglCGTN4boaDo03zYBTfMbpU+6FKbjEDWfLPLHVQSm6V1PusT70f
+qCqdqtn3T9Vdnvz4yUo2jXyje6ZfwKWgGqZDc4mzgKLStu2bg1puKnAtlxUXwpGauSEC4/zpSZS
qSbhSId0eR6iiSkom+0hyDt8LxIE7BgFhHV6RX4dy/7HmFrMJcPs6Ezea2OxImmAc4KVTnGLA7/a
drXLQJV1JZW0vZF+QFI4W9s2tFqYKO1b5JgPdqWKe+faOyfR0VX51n3q45lBbR5uOAinUxxhqDdL
k30Y+yf6v0XzqB8M4cFjntXTh5+gE9YLAs/q2HXURUKkz2lbDYe5lJ86sfCvam/CpWL8dDVPiiLO
SBScggC7jcamx9ZpLXPLuZRd9y1qm+6cDNMiIHX/MD7/fyLKvxFRWMXidvsHIkqifmDiSP4KRPnj
T/0XiOLL/3x42y3XdjGpBya+1f8GtQT2f3zfknYQoCDlel4AE/8LavH+Y/o4ZHyL/2ITpMLL+B8V
xf6PYL5pBq4UQNRIbPm/oqL8bldeMOeuA4HF4a+zpLPYav9kBsWDF2e9GzOfWbZuOBnGm+iQkrBN
dBu2Z341xA8u6c81S9hjyQiPqQeRxJ5j7nuhr396++5/WD3/jEGxficCLC/HsyUQlMUBKq3fzIYZ
b0oNHtY9O5Qem6nGv5TaP4bJq29m+Q2aVb12/aIjhbu+6UDnf7B//oL++fP3/93r+PHtheTdhfjh
+x9u9D+9GxCiZgUsWJzbMXyr/KF/dsfwIDvFE9wMESTBtdoMdXehavxXvMDvDma+OZcKHAQwDqZn
it9+dijtcdRnqIeyRaLHXAkIzQTYeupBHraJ/WKk0RmHWVZ5hCem6U9Z5Ji9U0ZGSnR7h5nFCutA
zGxGzf9CmPibaXh5cdYC9SG8AkzNB13nT+8Mew/ojEYrEEOqls158+Yu2+WmCa1doRDW9YoaGJ/J
xsB2szGSYp/3S5zBYD/nlTEdSyKW9ejv/vmC+aD2/NkyzOvibrAC25WWL0nx+Ov1O1Y5+uAxEed4
CMUer8bIcxylFbLFd5B4hIWb6d6xc1jyVBMblQ/o2rFenKqFb5IdVCoQkaoB10zDogmH/s4w0bBq
L0pvpnUKgmEjxr59dqrGXk34zylIEuus5fhTxq187Ks3su+8Q5CJQzJPaLOTqPoqu4D5ry2ejKy+
c5ORtG2VG7NLrUdppjuSOmv4w9NjH4XvaumwwooUUqxJDiGW5DtTtpt2GVz++d2y/ppwAJUgkCB6
JCFCFrkXwv4NHJFabHgwyotzUlUmmwslNtJlLcGMALJ4HiYUo5TwSSUjgOntjwojxfr/9YVYC9EB
qvVCd/rN6R2lPCnjaRJn1+/0qTfjawGG5Wnuxz0t2DOT6b1bT+osQqIHO6IEfGN8+ec3Y/lZ/3rl
SBNQA4FXnsmN9zvNI2EHYciqF+Tex++GfRBeOa/HfjqKILiLhMWOXf/b8fb305bvKW3Csfgnj4Tf
rlZzSIUHvlGccRodxrZyN4aykb34d0hGxo5yfj4XLIDsDr4h6oQrGwtaJsv5hHDmX24d++/njTQd
2yOdyAGZ8EHe+vPRT1djDbNhOegCugvaAOfiYPz08T2YaR48mf70w0UNviHhgbASVNK7eSivFtD1
o5rLZMMUzLr2HRnwCkn5SfsTFgqZPzlgZwHNYJtp2iwEbl6BY1fTLqs4vK2BKpPt5r9ADey/n9zS
FDzHkLTzGyJj/noOhLaFGFJm4sz4l+ZvrsNb2y6q4zEu9iMq72ZpY+tFewJvmh23YnMYTvTmVd08
odJc6ZpVT91n5c5Harx2dJttKhbpx14758G1DaZK0TY0McvJAj+0idWZciyiT6fPIxg8m1ZuDaiS
jKV/A/xATfvbtSqEgzl/uVy938EIGQKkschqrpvMbQ6jUZPLs6BANLRNRq5f+mis/oUh9TfazXKN
Sun4bP4oQ/5GJBtrv61aryH0zA1QhUTRdIe6cLdqdt6Bi+QuwF68R7Xjnz9+8YH5yZ8Ar4t/eSj/
9uzhQU88D7SbQFChAPb4/U6t464iyaA2Tl2YGbvEMp9FHiDglhELlJEGxdapuatBk0G9hPpgK8WT
ULXOwbdVv2fyuImiNnqGF9n+CxPI/euJurw2Yos808HIulyASw3355uoxq68cO2CEwoogt5zb2u5
HUirAXefjEixGnoyuXhtV9MDWmZ1GLWRQhFwNWwijeCEFAvo+oNjnLWbsDwck4OLXH5nBc2ZVXWw
bysu47J0vcNIvHpAVbZKlq3BaPMH08lF7DXhzLB690JyRoR0H9SYn8jmgComwLoYPpoRYQWRH2xL
5Z66to6wUvsmKeLQIz92RllcQLXIxh0I7GJLeZShMU3sTZpWW8sgmBKspXnXh8SqqvM/H8N8hH/l
Ki2tnMcznBs3MB1HUv399T0s/TEVY+GIUxRZTBtc+WrOMVT3hHQGWRY3NoGah3ZvIu/oyHTjtTO5
koya/CEGodlm+pSmPEcatKrbxKd9Mys4RYUzwcVGK/SBpEwIO9pRdn0l/e44p5nm2mGciHzDwR4n
nVPgycdRs75gwoMeFPckIhMa7sz2TqWv0r2W+qGJQETAVkUgZXjqFIsIjW0QkobxEQdtIasGEV9O
8/rDcvzx9ciQcqMCLNhm6/CQqdEc7SD1rZ25jo8QzoftB/AkiZkz+wmGYz0ewl5PTBHnHaFEcAB0
VK6RlXY7ygMuIZ2du4aQQ5AbB86N5FF2DgNbFI9gUT9DDR6Oc0z8te8yMTfjw1IWEcLxdWKhyXJM
Pcd2U68GjKZbLFrjupYyRHpN020W4t5xht600VUb4DTxFi8e/HCW2k0aq0uh2CjDBvW2GQFPK29S
wYXsYSRSAWgE5drjiTVYuG7mHDIhjJmNWRjlyYEinjb2F88ExJ1Efb52hvEbkRIIcoE2lekXxz0g
U0+2Vt/lMN0SGBqC3cyszc9MGWDuWe63Ho/+tlYpg1ljIlvYCqu9WuAZo2ca6CkG57SrSrYRgpS7
ozs8JL0jrypI9/NYDeeyVShPEHbrCGZLJUN2N123D+ZQnsANvKaLlBud2cF2zfiIq+RXObLJQQrQ
bHNvgRlVCUoOq2egG3fRHS8ZBHckmk6u4q9ZOd2EXx7IKBqePJvPXDsU8l3/JEEAX8KcKJjIDctt
k+YeZXz8IrLGAwoXtswnKTyKot2j1+yOsANzUiXydyVV9GQM4Xto2pB83axgQ5MH+7EjqFK5+Xwt
o09ZjRUdF+Am6cmt6HAFrezZ97/ouiXXp7w2qV5gBaImq9YjPSz0NE4HZitMwVvMOf02aMG/GeHa
8dX05BfxHnvx+GDghnZY4W7n2mQFzmV9tJiMojQwrK1fP9jNXG6JFpwPXGsOPgC2fYbFZ+MEWGpi
u/S5lchWbKK+/uMKb0ts1EXIlRrwO2IR34OkVedqrn4GEc/gIJiru/YXAwoU7Dqeg33kpBlQHRNr
SC+tjVLfDW6N19Ah8IVYqywhTEdTWTh00vs6ZrKsy+G6xGowLG2elRPtI6HDeye7TTopg+OjsDaB
/JWUfrd1i7bdKSO21kE2VEcWB2eF0AFNexrv5JxGj1PafANkqw6tQicGm+ZbiJKRAyN4YLDY3PkB
q1Wfok0nP+ybCMLp3BXVOwna+hpBSSf6Gmyvyae6QtGRvDAFuhC3clJQsT+J8Lm1E66Kvvd+EpMI
Kpxp2MJ/xom6Fp7T3lSZEQtZFKeciAhUme+BtowrO61vrM+bm/CGVdHP3yOzXEz6k9q6mVPts6T9
kphHFMDeZ+ZsXxOSphST+Zus2KBHYSQ2kx9k1zAC9q49B1IX33CsPJgNi17nQ04MUuGhR0GzN7F7
bc0iIDXHjE28k0Z6AXb5qaUd3rsaSX5LrBYHQfWjoKRYZQpfpmXV9zqLFNyV7AJNOkSKic/Qnstn
c4zDnQwc4h3mr7G7SLEbFgSW4eUYoMQmbIavLXB9hqRQU5SHkx0jAXqwhdRqyUviWwfywq4pLpVH
h9Sg0Ld3siNgSWDX5rar1LZd8GsGAPCX0jtEJJK89JYzIHQmjUik4+VjW9AI8StaMt38ecpoo3kl
Q9k7j3ld+6tC6uATcuvqASAD0kIvHzZlbLqgOozykHhM2AkqIiOq+TxSoQGZiVoyXfrxUgzBS0y6
GPfbsHdGS9yAc28/3AHNqIAqlu70El1Gc6C6FqYi+NR8SCqQ50OEyN1Ko50l6KkLmAtKNYRodda9
CRt/00DUARXjX42ZhQPAzo/mrKQz3tko/uDatzGaWZ9gM3yI3lrbc069+DwrUNDjKBhwczo9Zoiq
q3Jk/w5qecrme9kh6W1thLFFkbRbM1UvjLk8IjWwi6Gb/hoWsnoqoOat0w4qgUQkt6j/nM+DsFh1
49MaDQ4nB9HApbDVrxknGoEmznAswxANPN3QSrtNvy2rvaZn2MQoTLfIwEcuEvsxMkACSJdeIrDD
mFsXLxsGDrGty/zFM8b84qjLNLTGIaiafoNaJmJnMtd0i/V4Vz6yawGRCPiIewGE8xq0FlHoxkBS
TxS5+7GvaeMzYn5iGGLbHO8dsbeI+wyjOI2oC2+2zvpV5iEYwozxpVHTFxRe7QF4U4+CrnkzGsrs
CK0+Pq1Cbk0Ws5sSMOEhm5FQfuzIED+qn1NqRxyQiXnOkJqvMM3m20agLcPHuPEN17k0sffYyaa4
+Zgc0PLV4w6r4mUYuvaROnzm2wXRNgjdXV638TlXogGe21Ynw90ha8fcE9O/ONPWNWdnJ6sYLHfp
IJPzHXOr40wiBxvpLp1uIwJj2KOwM3cjGXoGI+4VZkV8c0jYyOtLWz5H8vfQKdD9C+Y3Fp7aS4NV
EH1QzTjZztftPOgT57BZ0hIH3uTRj5McLKsO7X0gb23VNGsiEcjMEjEKFGmZZ+xqD0Hf/mxsB78X
uytyX/6ANY1KbEWW9g8qlAmG/izYtkPwkDYOg765rvZj6UBp7Rh52cxSefjb6a4by3YDFm6pk7OF
s0sWJQJovfWVDckjEGiJnCLcFU6SXieAGPaqaQx3+4GHgvKFJAM5J7yrNzQImvVpYK6Z5AG/tFP3
QtoA+siitS8iPxHai5KunNwjynV/G4IQuY48wfdYzJi7t75JrC6sKKZR7C4C2ED+e7wk3ipffB1K
+bOuU9pdYW7LEBkYEM/vmREmtCQ42rQx3Ieic4E/jVz/xJ3VrdNuQ5CrpsPKWLLdRCL1ZhvBsRvP
0IHqfWHVv4BXfXUCm7vLJj8xHNO9NSY8O8SPioQgBGrFl77K4sOQkVxiYphTlnwayZbYhb5LpEgZ
f5XyvAzDxtgh1rUagUq572M5E0dsF999r//sqgwalNzJZCThuioiijiSYfSysp3V88gtu1UA5rAq
flV+ne2L0cL9XAyrqBm7Yx5E4a4V5aadUP2GsNLE/2HvTJYbx7Ys+y81Rxj6xiyrzAoNQYJUL5fk
msDkLjn6vsfX1wIUL+QR9dLScp6DQAAgRWd7ce85e6/dtDSm0u5KkM35KJZk5En9wXwcEebY7aw8
mfx/kfjYoL+9Ei2oH3AbkcVBDzLX+oXPunoTi+VtICBvWKSfmjfi2QBvCjJxIQCzNlPVUWv1WLRP
uClkB0kvVmWtIzxAe5cJrnS6rAV0I6H7GvLMnvkwKrVjim3BxqpqmQSFWbsmaK5ypgZz0JID5lPq
DnpmKvCxECg2wWuB1VfejWIDO3IZPEnpkUmgbTPxYYkLEirwFHGboK8zmksz087EWUOWwhS1bpk3
zH51t9rQAjmpXe6UVNdVii27Hw+GLJFmMvcPQ00wSN7I4wnhIFo+UbUkp5OIKVOnTec55sRBzkdJ
RyO7olFwdBqHMX1lwmy64yLj6RwxRQujlnm1gKyroMsLu7BTbcSI9ISRUkqJJHgs+qo+weRr5LGT
Wkis9fWmyQhhyb7jq38tYqi74Gt0p0fsoGjljWDgqAvFnvRTBnRWai5zRPBlXUKuJuipoUk+WPEe
VTLSvFYNkda26hMXhlvmou+o3yvGJK7ckVG7zDsnnC/GnSkg25HJ91JarcFR09znpVQitqdvlyFG
Z4Zuz312Kip8L8PMKGeIx1poPhaNJYZSEXjR18+A6MBJUErSlIJpZSRIAI3lBzFmtCgK8OerUZ3V
lEZroWQPrCqCdeoqZHMlob5h6ZeRsjCO6UdrqBM37ZSSVFtYwzmtQj/M3hGUfEwzWkdsMcahW1J/
mY3HhHQQL2tiLgRp6BVFrLh6FF1ESWkOSi+L9ghiC4tieFfUcOHM6b5mEsz4AftCJbtuFBgqx5Yy
PW2f6AA5TScNA+wnCCbtQZnU1Ran8NvUKu9KjalKGSicF0butk0yuo18mMlaDaF+g0gABx9VXH66
Xi+gc/1Qyts1Rxw8WYLmZoYXCbozreVGp1Iqtxi1ya6qH7mA/q0n9PaIujwbJwI0q1Gz8xXsotB4
0lJ2lwoZ8NRLhF9qraP3+SViIkju8HgsDQu4g1YbjLRz/IwwsOmuzVAj+XhCqpmr3Z2M1sgTQkJ3
eCIn6DDQE0RQf+OI+J+HgyCZqXV7TfA6q3X0zmOM4F7RgOdJeaDp30FCkzIFA5d8zmOYyhKaN60g
fCYW7AkKrM1X1+T9z67lMYJMKLEcVylWeSqsRZPVBEPFj+S1mi1auvP8BguXS73FTNmUuboMimWT
E9MTcq9iuHZIa8ccTJoo6Qf3Kpgsu85wF4X4Y7wu0i9py9W1kDQfZfWzgjRybvwxgpMrQ1s09PGt
1V5yuX8nCoTpCQQQLmHyvAxu1KnYNIBysspRwLlJl4TMPycW+94ldyZQp/hoFNFTKda/CGkiRm1G
XjVZLIc10+nN/DriKhfKyBwzS78V+gVmaJ45K+Xpo6GvkSOL1v0EYjTvyvFCCXR6iKxK8lhbwC6x
qBIpKxgMzSwrrj6IBCQxPyoSCBlHwSRJ7vIrFU8xaEOAvLQLQjeGBn+UItOghDWLh0EAk5xDWHKa
hl60MSWyP1fNB8nm0pWuV5eRYTiQEibarmUcxBHFs0wiNcr7Ob3mcdLrfS+fy/Q6jopbBSjv6es8
On7yWVc0Lir8d1ZUIipCmd/FfrhvWJTAzTV0rri1AidsUFMwbN3Y+2PexNe1omQis9lxCZpwOvXb
uXY/t/TxOxbD+FjNbXQ9ycIRnY8YGE0cXe8b7a89XQlF7GJLa8+R+U2Z9Bc1V8bjoM8UnfIO/2Yc
CRd6PhyikrlktcZXCPMp9qpD1CSyVyd5/Zofqnqo7U7Ii2OZjBPLxMW0S2M0nUGARCEX4iur4tk1
pHU67AxDnY9QirykqN+7Mt1cfmnvdJi9MY9ZJesfA0PRoRaIe7UI3ctivDELaDdkNUbASxrL7jBo
EEQobV+12kTMMhmkOc1DBs5CdQ0d9YDWXlbg6XYWUR/TuMxk2kDQcnRDfIvoqxWx0aJ0Q1EmcpKV
1Rxuwty26dJmOJXJOG3H5bFrlDf4lLrL8uTXsG4ZVGrDD2irMcYKs38AyYVGldqhJEohvTXaU6eu
8b0pjZdOVuJbqAaZlMRXk1r6M5mVV0qnj5dtpJwWpEYJANiTUm42ygiDgBl14gmHhupWAM2AZljm
ea6H/mJ2DVbMobzpMI9c11FeYTmCSQAQYlNUJgLGXemoErO4JSrLp06cMSoWMBWVKn6ge3FlyPiO
TRMdc1sDs5xhA9/oA2ytrr0TM8M6tkwt7BU62oOkcTEhaWJ0BeI2z51W3HSaxsU6yqdjCkb7mGUL
QRtTP/tGSfjhUvMTjZsIZqCUnuYKP5KAFqvrVwh05Kv4rTxWtyKlMvCnFckdVncJUwLr5Om5gDDh
0t7QgMeW+BibG8Ktsgt8BbtrDBh1dRIfTJmnjBXC9LluTqBsbkuxMzyEodIdwNts0w1NYRI9j11x
bdZS/KOqD71JZmmio7+uG3DDgowskl/Ld2JE8iNJ4qv9qVVdiEeqjG+p0TO8TzPsBl5qJgHdm7kO
RFh/HvL0lMtqddbi6mfbtB24zyo5rqMJX3Th6ipr86s1Gk/Qz/A4tFIBDCOO/brAyzjPUMInJWCi
mvmtiSKPhgcqrRI+IIvbTLWiq2m5lVec5XM0RcR0AZpAHAt0piNLnI4gbhytXe5rpvd9NDRnIgye
5aoQnWTONbgPSN7NpnywkPdbQtUcTJ3rf9/nxaUqqJ9EIwsfEjeecSq9CaacBMDj75cN84Dg4puU
a9JZmuXV1qnRBdBJv4lLXGEnUk4st023aiTV2RefckXoOzbPKypF0e3QRagHS8xumRI1fkH98IpM
Q/EqV1PpqhPzCs+Uah06GLILzD5O7veZSm28Mh9K/OOCqnd3sSrCdgN8fUjoAVOwYgrgTDj1Fxx4
uGPU/sSlMLerGb+bO1SAT6uNLVxgMQOtpZajPc50AhB3Uh0pI98wH6VagFQJslBZq8WpSnyoDcuf
4zTpj5sm7ti0BXnmsF11yqJ+PcFmNvGjYwbF7tnLE5HiKctnPBsOqCpj+x7fA6l/EecXTJ+Di3iQ
FEElA+oijnwGMdL8ekZzjefBVUqmngxY4ub0wrejJPwaebYMcrg/ozRkZmcmxynFy19U8XuikDYC
WlxWyyva+SrAWa08FCo4x/bGYkFG2N+SExOexT8VrFbeihUzgJUHYBE6s9kJcoBZTD+J0VONkDvY
N/yO7lc1/akK+E4rc24Ydim1kFtGH36iZr/vVbOa5Xadyp0H84PaaQ8fX2TR71pKOG+84oV5uca7
kpuUNMHLT8GYk5qhSwGcquQ8bnaxiXX/1JPYV4FEMCVbm8D6wSvYsgWJzVZq6iemcsG9W5xFhmYx
EmZAs9IJGTGOHivPT13LIkRe9Idl0n92EXmeqb6Pr9Lj1MyaP0r13dQuozMzXHuzNt8kKaHjyUjC
IagF8PpbKB6BfJHK+NUpiJGFIcXfTSSdofTwpAbkfep8MtTuLKwTvSqm6q5OLmCWUY1uouoXHD/h
zOh/pApHVMCgLsfMhPjBkm/RlckvhzYPsA9+q1cjuUtwypsQHga10cEA8YxnTUi9sWd0ZElGOGcb
XUk6qTk18F7gESmzrDKtEPOFCo5dL8qNBDsJq786wVIVN7hq4zYHzAlHTOxhFIiUIsArW0/KKMhn
cl0fgFFsFRDbECIdXAvFfTPacJmTdSNmFKisvH0dWUueUFSju84Zoka+3OlCpuCgeiBNG3vtxOww
5OSHyimgIpS8iFoogy3yErDstDGPrrcKoXoToepU+f1IVzEC6QDQ1wE9HnLRlZRzDb67B+xRpQwC
vqUQ6GNoteqmzElgiIHfNMAKhoLyPQFQ4wt5e9WrbXHKZ8mleYv3u859WgqmExc12RXzT0pzAqs1
Sno601Dqi8RI4zBYm3eRIlGRYzdZmq3kMxNlGNdvBhze63i+W+NFPa6ZeCtFNZmEFhyDqTSvE4K1
T5WMangQBht3xeBUVUsbWyI3Q24jj2LIiDS8cHGA4LTSB16bGTOrK7ne1PpHoxbDAcDkncI6m4VP
6uRC9axzYThEqPlNSQVDFn4vLHHyGskCklOMRLxn8PlB5RPvSrqbNxuQN1hX82A0UzD2uFpd3Y1Z
GB6k+kdHMfyoWwQLxlZI/fU+UglS7OXwvdWFDy1Scm8Mzdxm4veaoOeBQcTkGt70JntmHZTERiCC
vzwwQHyD0fBArEXkQej4PhU6znkQDAeo6RAtOnQNGcO+3+KfcfvCOOai4kHNfAqj6LvVKhNS/6XG
U2NG7rLgzawgdnglq9WYZPk8C2mmKgDZhWZEKTPn3sq6vesU+dpY0ieMR3Q8svY+bYef69zzVfw1
JcwWGtpOcjLV57CEEEx3z0wpiiSDt4ovmBMp4SdNw8NDMatxeqzWmIDm0l2YCNmZBbw+Tz+teitx
0JF2JzVz0hbwglBFTNMTBx6ET0eYK14+I86SlotEieKAjAzHH/b4qcvBx7W1iziZ1RCa4MCqEQcn
BaL3DZa+Cuor4bA644GJySApvUVXK8+Sldah7jy5S6gyWODOpi/8S0sX0W3bJvf0BdUpxWlKHtIZ
ebni03xljF+adyRi/DwAjolhJ2P9xRPQp3HtyoN0yCSKQBPrcctgAr6OFDLACYLL+CYU1Z21Yn8T
xP7Y9ZMYNDXp7rW6wIgQz+k2kaT4tfHIE3qkVLVpxM0tEjApfZhZwp+nylXQzrkLU29o7SlzUlxJ
DsoaTAeTDsoCik+gJS3foGb9buBn/4aTSLvR4/FmGK3oTu7Co6VN2SOJZDRWW0KQL1POmIB/OvVl
gX7yJAIiL9RlPE/M7WQjqg5DcUJoWV86zHaW9q00zTc9r+qjuRjg5XvjpiYLy6JOf1ixth/gRl2m
Qmb5JHX5Db6qczEo80NByxAnfP+4RkJIplZpXtQhZn6luhMJ8/46qJZfG0yU6qJLKTkprINlVkcF
fqw1IZ6i02nnLyXZJA2eD2uQvuHAnb1OzdwyqwNhVKMHbU0+BkGhlFOt5VVRzdfaYE7+guvRE+vi
Z7mOLDHSroMCYr4h2ZLtqFbEJzlaQ6eH9iWXWXeskwThudnQcJ9vSyZcAZa5s6paz9XW7AhlLOlz
9QzPS7JprkVHZqU/5YpXU41o1s2ioGW0kl7Qp7iEqr5XaM1Kt2IEIAk0If6AmulKQmSHNEIbILWj
tAgBwdLhFCX+ddCSMfSQSqQVTJdoB4dpUflekbmjNmIG+ke60iocW0oyHjPUJKfWJJeuUnInjyvF
x/Q7eYrGFZoekul2ENaYTdTRseTP7TIzwQQMEZg2cB7UrAYJxJryg35079AevEMsr/qKmafOojc1
IMIW/WFJnmqqL4AJBMvJkpCPh+plotV0uGb1LpIKX8c2dA1CB/FC62oJo9tAJIG9hGTb01qUvciC
WVUT3TYk1v3QauRgRgra9NnUPYSpTtcUV6U2EVu/ZAFanYgsG5J7qnKgLUk/XIqBiFsRF90wXgy0
6vJ3OPuhEyOOyOW5RmeQnURGTsdMaIpS0M2Av5yAMBIjbcfq3FKFZA5NRdDt0u5ICEscKF5F9m5O
P5Oo7/ipxlGAz390Kjo3jogulfznjHoB5AAuNZhmNKCHB1lsAUqsyKOsVa/PVpyeiVU5lWP70hpF
6Y9bb1Alqpcsh/TXkgAKrSflx6xl4nEw10DNF1boTRS5fbf4DdbCS5upqBRnPABGEkMBFzLhIWx8
M9PclpgfOkJoR/QdDvRhCKUTzbV6qUgGcJGoqDbAbD/TNfkIKQkguoCljamq0nLxRj3jqCAehcFI
6J5NFFsny1vorPVd1zixXvMNjWGxUAbFHyn06CsktGYNy+sODAJW0+GUYq43MHyAnKQlLqBTcqiN
s0AwYoClBYvPyFA9uSUjD/9oeouI6lFElWZXiXydTyRS4OIq3VRuQl9q4Ge9yDPuQeozxUWlvy7M
6XdW2SZXV5jQYav9asxS8lITyaCUHIukiOiAJNtlo0NJbU0BF9DrMe99lWXpjdZhXhSkjjCmtnVy
PUJCO9SXUW+vRrL2DhBNzupY4T1eJdafq2RQOdhhTLx37TKPrj7CvTSiLubitUhuODbfjIWfCuTG
b7U41IQ6TNTLxe68drHsVugyXG3U1uuBdw49TR+oBv903Y2tDdhpJU85oqmWDCd0McdI7o+K1cis
cAXJoSDR0npg7ZpCWbTxkEM1iJBdbap5O07poOB+wgZUVN6SGsvtpIlMOsPO9MyhuaBa6Al+WW8F
vew8hVUYxqoaYQMmY8fqVFy2tbT446KTgCYbs4udjiWoYoZBNj6ljt6J8o1RCSlZPmJ3MGYUJDFc
jmFo8D4CkvCWmU5OPdIzMYvxPkIq+ACz45y1vG+NlIYBeQGkyQ9eJ4zP5BmT5RVpK5z91k0j6zzN
1jdtTX9IQ3xkXjhw6U1/3+znxr/fsJ8TwHNzRYBAaYqZ4Kk1zeid0r+hs1MDLx5iG3b3k/umMczU
wYozOUNbtn6FRDMENBikctoGwkpKOFcMjr9OGqD3goZrF/EY2+5+zy7kexb3NNkLw2D9PTFaABVr
F7r3/HVRruew4jKZiRXPYf+X4/3p7LtiATMZ7wEXkLIOvjbNiBXwt5PGwjw00dOfezBAw8sLVk28
bycyKVSt0nxB7vz9tq87kNSos2wl+bKjJfP5bKVoJQtxf+L7hvi0NjCG8TI2Scq0Xu+DQp7ZbG/7
xM8/Lwiy2fMKaKuSsacUB20NKyh0aPd0nVLodrSfInyxOnSR+qAWacEIGmWgHrLqlFBh7SnCYzar
AMAcx5A2a1NEbzr05/3Ps+2TqVWzBbP72Kl4+8GprGSfI3nYVXb/Y+F5XOqP//2/3t63dPkEh17y
s/9bOrGOXWN/qz49IC6xyX8PNV4I+Smjf/M3/0o0FtU/xE0eTVIaj7Vbcf408EiSxE0G7kQETSoK
xi//jvYHDR8VTeimCgUIiOTxX/4d8Q/MJQahWnxxRKS18n/Hv/N3EbsmooZFxK5YmiSr/DvKlvX2
my0DXiQ9TgvLrtK8xL0DjthuhEM50z25BUv02zvzb9w5uxnoSzL///9r/xC7Njjf6nnaDMJXy695
tPWnCsoS48UdAJO2tLXnCv7xFa2Ox6S21RdSvT8iPzmRbTfYLYw0J75MT9KFAviJ3PKtsoWOj9hY
779SlUoUo/+mmebJomjnc5MVRbXIkf6nZnqROqp5iAEAO4kUFZoVzNa2sSZlJqptU2+OERFmdQ+5
QCkfoWbPJ4FgFggjjdYGvTS1wb7HAN0z6WpVN5bxmCPnILVp4Mq6b0AOp4dQFV+bupwDatdzAFkb
QkpaV85+rgwn3aZ5W7tNallulnTA7rYiw2pSdmAJWQb7xtzh8sy5U09FTGQrGyE+2cdP1mtETm3H
418ZLNQXb0vYoYd9GAEfsTqVVNMfbYUm+Np8xukYqX6I1uoaTVfzmaIDIlTy0XEev061UkKK3YoJ
3eZNspC/UhkTc5EamVEzLg9DTTDzbESf1xTNmORjyYx3H8xIcqd4pu/b/YS4De2rOiYU76UFOFgb
+so4HqptFN+TXf6R9rIfdi1zNEk+aawdWVDEDNv7ML5v0M40AeQ3ErXEBFfwdjXag3g+w3m+jisU
4vAXwucmbzYspkzJLGN4b3u6wNRmxaQPD/upfhXwjpuyonukI3w3xaYLoj77ZY5pg/KVo/3Uvvk6
lJr0RZtoRAlNT/3pr2sBFcMZ/8T2yvdPxWyjC2CxxN9f71emTTgqZNrsJ0Uzqw/Fmj58vUI5E/DM
7sdGPxGJJCrDex3jDt+vreZc8yX9erH7nqRSyufn4AGw+zMRaN+DLDf6I0hKip60mw3tSRAhzuUJ
TPKOeexIH55PDV/EnAzEFCFZ4LHlPjqYQ/X0eahsWUGLL2/fBE0zuWBve/u3g0K3fJyoOOzn91N8
4jQvLb7zkZXxFjV7zhIy5tWR4l6wzW7cyvuCEfRWo9GC7TO6Kw0zOmWYpwA5IrtRCY4CWmKEbCOZ
g4Tcq2BS6UoCITka23PYv7Z7FNTn3jrcFRoT19++r2RU8a3dn1RXEbrWhe3V/myqv6Kf9kMtqbmy
/5UJFXaECCTVqsHE4EsTmgwVBcvSYD/cN/N2w9fhP+6SqzU08I70GLViLiQu6HMp4DB/op1ESIJV
UZfjq7vfum57/zgsQ5QeFqsLF7gyuSw52gSFhbREMCwPqEurAdZiePl6+H1vS844Dvn4eS+61vzq
5iV1WpX3i9pPEyzbZt/bz1GmZ/guAZ3T7o03ER13XKUhYi1j5d7nzb/dsxc/hFEgw2obs/aAoH0P
YVndvuy7CyASkvC22/dNY2pvMZcMGukCi5avG/a/br5Ofj3afh/BLCgWlGbq7u989tfbr0MG5Wcn
3w9xM50arrOrw28Emqe2DVFS0VikeZD5vb80gx7R5+vdX7SsjGhHIvH8eauqr4x38bKNep+3x7IJ
L0J5rhaWcnqqXMha9shSYsDa77vfaz+uJPnPR94P9xv2c58P99vflMJQ+AQuw9GXDV8RhQOGAH5k
/+5hvs7JE7Ezjtz27+jOaxdrlgO6FeTApG3qbeNtP0q3U+L2fc1jCvj7uQmLVrDvfW3+ea6YmZTr
mpL4Au/GxkTnHdj+rlzjX8v24v/t3+5/9nVLtf/d1/G+989/anuGX+fQkcSixduwyKPTivIvmjG1
N24XXIVmjjHX+RG18YsaojtPt6vevpm2qx4wD/CEAoULf0QEglJsiwvEXApppaU10C/oq7Y10r4x
WScoadEekBXVwddG3PLHvg73PaquH10ClnnZ/h0RtLlTduns7AFE5URqtNeDq7eViArnHg+zb/Z0
mK/D385tV702ayD37fE0KeVN1p+8yeVEqNqwAHzp0M2nU1McZIuA9nyoDixSX3k7xpMgiTDJ4tyH
qDZDVww0sRhJeRsf1BuV4JVg/5fGLUHI2H9BjVqBIc7gaZgz8VeJxtvTtqxKtcZAiUA8jNzTWSGV
qQ3GopuYsm27MZT+z00L29eO9YiFOUTCeVpCkKg/9/dGQ+0M56Gssf1RmNiWLPu7pG8XPRSzN6m1
pn7UdZqHb/nXkCrNeUhAPszmW9PF0QErLe7YbkHP4A5EbwSE0cUpP95um2HNEel+ljGwhBzr8J6k
ngZgA+e2rwMW+fzYzilPuBNW6zTJQKq5hNAO78gxy+50yXrqmesuS5QFyXSuWiljilTovhbFp0aL
5EASFOlzs0LBpsubHelKHcG0moByEBTK62NThOMhXYpgnOr7RGKCU0kGNTlhoupbGnep2taO3NOr
wX9YBPtmG2w/A5y+zomQQ1BJlfjS0rAI9s3nN2DfTfSMSXA2AU5BE8dqQ7g2YkOmYkgZoI3Vy4SG
yjFkSr+kuCGcB7jez9rWQkTjMpNrY+uDcaOvOTZZURu5oBbSr24WwT1vU7V9I+1X6S3/cD8slZH0
cR25QKW+17N0W6JsCTKYzyS5sdekxUyhMG7duOJHWPAKNuspn8xvx5bIYId8YzudWTEF3u2+JkPH
qLW5/3Vqv8fnY4AjIS+RlTXYqKjSnG67tjTbJs9NZWsBsYuYh+JkQjKboQ7MiMTJwp+w37XOmGPs
d9r35u3Kte993bDf7/NP1jl5J/GBjNrtYY2msXwTtpxeE6hobhtxLSlY7Md82SVbWsvCZf3eB/s5
QwCBj2rlAkJDO+2n9hvjaBq2ZX4fVEIWOWPD08sHfDWGKXot6MlTOWi3cwipmG8Kl3SZAByUiT7U
8Qxg6H6ubz8iM2o9UqcbtFbcTSskgYBnK4UIyuHXDV+H0w35iUBiJZpeBCnSMxYII7YlLFe+RC57
7kdIo5WzZHnEqk3P5YcJ1HvCb8LV0UdQ95hfs+y4R8lqwQN2x+J+Kex4psqObtcmaYpOLT3Jpb3v
pkubXG+rpJRqVLCMT4P8No6Y4zI/N71M9uLsSU1vpNTf1JQwndMbI/V7md8M6aVnc4SVTq+kvKDy
auYLFghEsaHlFuG5F06mhbT/LhKRA7rEDWWkZS2V0yJP5nUd9IB8CQfZI03q/ucauY1X/Gpip+39
AZGk8NrSPuL1P/TGSUtR6wEuBamcPcuICVI7cuNvuNWbH4jp1dQZ5Ucip3AFqpIz2FDyFdnpsRFS
XFZ8QzzoxYnOfUTwd2836g1WtvRbm9524o/8Cg+pfdGC+s200+vZrvmJOolDEmxA//11uXQulemD
8oYPbPQqV7jVGIlKG72LPzvmSX6X7kpvOmUvols/NS7RI0drteMb5TgeYSXbya3h6YKt37LoJN/n
ROnsSjrWP8CExT1iORsNckaiYwKg94TSRb8oo1sPB4kZdu9Wgh26PwhfvyH98bA+6lgMvexOuI4+
lnfq8L+qS3NB5gP9ySteSrp0LLO/9aWrXcuP3YvqfvTH9XwaXsMTzwqLj584PGHmIUF1Gyjz0SDr
hjQCvA1wbO3UcOncKpCyPL156dNjQpp2hF2Vht8Bc2l4sFAv5wVC8NYmV0V/INoGXr34rlZ3MVzG
7/TCBNHTFZIq3JlyLQXc4TizrE2d2YDt7DGv7xFZkDaNtE/qafC/tueLcQc19648kevyoM+AFD3L
S07SBEXqWVmPVUS+g8cIufLl+DYc1vASH6072UUucphfST7q3uVLlNpg/WE8R4lbz+5C6IerWzgJ
jvDmpvAE66fS77F/lm9KfRbXw3fAHql8V2a0A66ng/izFrx69byYK+n2H4mdyw/jHQ/nCDZNo3lh
G+I5ZCo8OcqNZNnZU7M4Z+1xFGzhLB1qt3rW3mOug0gWO75Jl/CeXHHjO9DIJXTyVwsJqLLdqNIp
O+LMfLTqi6wexQtzr7v8VfpAdE1lQvyB5yYPxjeUkWlzAfnE7Af4pFs7VoR8AGUIBg5AznYisWS0
5efS7/EWo3V40n+Md8Wt+dKcZvgKNFSQXFz4+RNcgNRzeqDPW5Be8R457YfFz0fySNMJK3eWDnkF
493nGfLwNMfIQJKulEC5gzU4z55VINixkw/xanoTfua3qlc5LNIe5ZfoPXukoQzOfBgcyrBOeJ09
N8/IaO6oDkSH2BvOGrE519Uxhzbxkp/U66flXnsQjspt+lFuHQUHyJ7mir8o+enBfMCARK9p8dtv
SD7vADWcxRMG3faJ3GG0t1ytTp0726onvIgo6g505e3BHR6TyWYslBxWBSm0vxwQodvTf2HIZgFx
N74WJ/RIyBtJB1ChmF4ilzH1mRx4CrgPFWldulN5BbJlW2b1O9myLR/ISb2zvmcurHJPd9dj9ooD
zhNqklBuFFrQiKkdBk03CsrOwSajOqFdXfi50Su+Vo7UhrVnvocXWK8w6j1KEpPNL1/GoHqdxo45
H3Ar3f0Mj9GFleexPBJngovSMW/7o3jCaji2hBvbKyOgQlqGLbvNA+/pqT/PJHZAzHNKvqnRMeE1
jFgOsK359S2OJrQtM/p4h4YF5XFI8NBVm2sDzYZj8j30Q8o7fuTRuPPT79NV1X5j7ZUKTsQjWgft
WaLDx3cPesPFdKNTc8FvE+hPKs/Zp9N4nDPnBvegcYYKQ2gE1xQA3i7cW8qRhN+m3sdyk12sN/U2
+xZdRX78Y4tru55JdnW+Ln9m2VDw2S+RCsMGMfD9keJRINIq8mMlvMbaVlOaY6USkuwbqNvaaJgm
BXbK1imQzRc9pfCvHVWdNBKlrpGnUQELxu1P9r1oW5Dse5Om9OXxc9cS8c6k+XjOVJzeyXaffF/d
/Od/rWSbkKWTWZT05DRXgw7+DnqlaWAJKg0WVLFFtNJfm7QVh0BQcqIStr39hq6rX4VK1Kkjmbgr
pxYT/LoeYkznp47KlTnR/FpXlZFy351Fao+dVjcIe1W8VF3MhHNCYeFE5jgTMWMgjSvKOGXcpQZB
JCPHocFNhpK7C2LVo97CTbJFtMUw7igV7Xt9vC0Kvo5bmjZ+EotnfVRz8rhaLMVb+qq4bQy62Z97
X+cka5z8oh1uQ3F0E4kvv77wAbM8YaXblFLtLqkkkGd4E4GoAc6eMwdBAndK47bzh20uvW/6TLtu
FkE6TFtw79cm2paCX4fyBCAgHsWbvcq2t5T2vXbPkf06iaYyoT3cbkh7VoG6PACBX1USC6kE91tJ
cN/bvfxJRnJYEcNN1qUH5EDhwbQoTdXzmDlLzWUiHOoGJqCEWF1hPB6eiMmbtvAO/GCz5X8VkERy
mJ0l07cfYzIUdtKQi1usVGKUvmVUx0iLlIKZ54ABdNYG5fNQnJIttkO7s8bwkcaqGMTFPDFnW6XH
ujUbOo18EegDzIElzYqvJOYxWrdPuFW152KpTW/METg76VavUzPsrka4EQe3tFxr++S+Nl/n0Cwu
Jzm8ALkuAggZBNmpQ7W4i9rQj+6uDVY9CnR/oLxcsPcS3UYxc7RxZNTbyslqt1WRPovHX8Vkwkte
NQ1RnyhUKLWqWQngF0LcRMiImvHH0meozCcAMoeqw0cKRI+VGxuxIP5OpHXctWj+9xbb/gHvm69D
uDIJL5KFocicfP94ibNG2LKgrnekxiK3YJlMKNEm5Z29dfi52WrIGuBhLkcRiHIL36PSQFH8rfe5
9wg/j01xLj7RKv/TjPsvmnGSuHGe/nOc3v/N37rs7fdW3Odf/KsTJ1t/WIZs6pYJXU4F9vUvlB56
jT9gxEg06DTZkum6/dWJM6Q/FJVOm2qopqZo0gZo+bMTp3ETPT1uVRQIVDKQvf/zH59twj+bYd0/
jn9HxwF9+VvDaXs+kixpKqODyQsluejvvTgTwQu2M1H9WLv+VzsvEdZSDU/LkOcufuQVuikxRFKf
vjflIG8xEcpdCxH1JBnG6Ff0x+Z4mu+ieFy9YcDjamla9dC2Y3eHvdFG+Fg/7JtoAEWNDETz42ip
H6IG+P2gmbeGIaWsoUa6VV0mjhSu+QvqQwhZyWew1zVCnFHnGBSSMbpacUt0ebXxuv/cGKTgXJlx
j4NsSVAtdVSn3K+b9739PvveOBoCXvTPB9lPl3L4hJhnOKgRMcFd3EgvuSFdE88xfEhAcxdpGL4v
7YxHcP5/hJ3XkuO4skW/iBG0IPkqWypJJZXK9wuj3aH3nl9/F6GeUXfN3HMiZhBAIkFVy5BA5s69
LUEoKYa/TjWg9QU9+2Sq3bQobcoE0OcR3AHyCoy8Vx7Nxiso+vVebiZpl83NVjrJui4tl0Q+i6Bd
rg99+wjbt2C7XRbDnkzVsK+pgdnLId80VN+q9B92R48BcOdFUvI24i2b6zgfYubkhajs21UJJxpb
+lvXVciQ7dADbReAkTtSnnUN3TQsxSZ6MFK7Zq90rTUfrGH+jkcf8PLnrhem6d4slGTnLg07XleZ
0x9FlsLlO/cgu4BoyqnraD/Pyomm5FSUWY2zUSOF6tq4Kj/CydPB5HSE2xD4eS/ipQ/w+sP1Cp8K
Lp7MbjsAF4YrpIdd8UPTQneZVcDBnag1XzU2knZflB+DLrI7eCgI481ufag+5rlpXMgn9r8tL/3O
XCqGT6GH3VoI6SlaeO845fk69MLYfBAe/NGpJ7qtyFQF3UjnBBuixw+E4nywRAqZVdc52Vrunqy5
cYUGJglCxJu9DTLv3tb9R2mSTTtNLkUoMduOtP91jQA2ETa7Q7qhqKo/tHPTETBD7apL1srA9+vT
hHS52eowhWw7oFxUyj3UhokkZ12+yVE7mQ3o9b/FIH4bU4zPVAv17B72btQFWtNY3TyzKuXQYnW6
vb8Zw2Ykr8fJoGvC5iIbFZQWRAU2egVtc2k5HO+RnnksUzf6AeXMAyqQKQdXTnxJ4fovY50aqzC3
dRQjgmkrBioLvAiUsQ3PMlwubrv31ULpX4Km9Sg411PlIahVak7KkZ17N4bna0Pk8pAh7fKbaZ5U
nNJaIncN6dTfviHbgfMPfRiCX2vnmTSqvXWUQfwTUZSzQB8LwWnNfe74B11kA7+4smpFYK5vttCb
Di5ykse0HZoLMkYIHTrKdZFHYcOOhCCHmlw3D247ZYeYdMo8AAJOxcNv3WCszcPosg/yKzY/cqaf
PSNdCbqFGXiwHxmaTW5ODR4c4GbwwpnHqOW+x0YG7pzZjqIJds8hA5+Nsbm9+rWT92s+rZGFTDXC
ZEGzVRpTvUCtNF7slexfm14vCImPNmWTMSG42QktwVf48Ehvz6bBTzmK2/H7bVETIFXy6aLQKM3e
OQJZUPkbfIxBdnbQTZlUvT168O6cr6a4rTcRxPNLOUy0Oju7o87h/y/fm92iwHdDygeNO37T7EvB
CJOm94491R7EEqz0O2zYipJM31SIKqhUTeMj5H44WL+eCv/bYT4QAS74HwgUsnefHrKu6hq6Jhz+
t0yDrPyfD1lQzVre1JP1U5AzuGt4Yw8g77SDbrmd2MBsLbZl2rwocG62i5Q87LoJp3wLaZ12aYmg
joNunUhCqRetg3hZRUYWgkUmpS3wCUPBsRFQKh5aRy2NdinqCUQMougbytgBcsvVtpj8rzECds9J
Vw6PxYgszjySTT/Lnrfpr0ERHtRgCs9N0CvPVkPhFsyzSI7P7gVF+pwPUEaWQ4RBCZbnlHlETnZK
Eku55wRMECpRo7cpKc9+kEY/NDV8j2Ow3KgZouEWxvZm1JwDOuBiWcCCdw5hmNxWiRHee3UHC0M6
FWvhqdmLlhXFIqiHeDsm1O6jvRffw90PeLLroCltaQArgTlHKXM3DtE8hMYjnfyDHEk3hyD8Kil4
6bG2zcvVDWIuog0ItaRndMXN7YAKMwX6of1i2epJVH73zfORc+fbNZ0pR572LWwRKycd8m/eQ29r
gETTmnBjUrD9aWLx8Nsm8l9gS2icff7S2LarWbZpQXdhwNf96UtjRyBnyZv7P3obuYUEuvRL52vT
o0G8I9I53qGNOMDaXp6FM6ab0aubNQJy6TMY+OZgg/1e9Agc740S2gQFOfc99xNlz14UnHQKFwQY
C486qr8mZE/apJ8cfrLd1n6a+Dfnm40dpk6Fn71LQj2j6Ni0joUZKzttVnmiWLY7p0QSloGpmO+j
3T65EAr8p+qJ7EOE9b0NUg2Ylm9YB4hiCGvbtXHfVypRcDmmQNul+G62XrvSKhqr3upBeLi6zwul
3dV7Yk6cAA89+OW7UlfrXeGlxcmNiDWkseG+O3lzGrXc+xkq2VbrymKXuiIFzdurDwmq6Os+6upl
3aUMm3RCPnbuIoJ0igoRg4rAT5pGDyIJavV5zMV2yqPB+jZAS4QkIr+1KU8DRBo7Y+1FavxI3iV+
VItGxcauoCI3+kjJWPzomHCBosUEXdVsk36mQhlw6nQAvOZlsumdEhm5aHy/mcyhS482DNgGb/lK
rwA+4T7XlMTGS0xyMEWWfC8b0wDt4CUIGWbzDuE2IXvSBnnGrGD2L9NtFesk+gIUgf++oOw1OoSW
C1EbX6ekrw7C9X+a1I49DE5rvdpIU/pIPT5rk98/oVi9TiNLuRScvA+Fa/hLjYzXNwpQ7zzf0d9s
ND8JnvjJrocvGvrZ7rt00OPkZ2FZ9ZNrheXOHE0SIoqhvFWtszWLXvvmej4hDN3tTyJ2igNPn2kl
J4ibZvHWn5XDMpjGl7k3+ccYLYPjKKDKXyEbt+tr3X9gaxw8AS8/h3mgHktK5Z60XHHvIrsL0N5j
UjadUp2RDFCPcnTzKNE/eZKr/r6G9OD0712v0UQ+2A891alvhp6OenrPgRhg7ka55hB/c/7sDuep
H5Ut0izBGnEa5dVDAmnFMc66M9BUfYWyMmOrytNAzgqoexTbUZ6COFMuPXJPkFYprx3F2P+DWnTG
iBY3tKVpqzzoLMiGwXhCpMS59s9HnRfEQ6iQTP4Z6253zvUOTSIkdL4VcbDvAFoj0fyghSlEaR3C
RQDWkW2gIvi+iZRDkDhTuqQkHv65gli+fLo5cWLc12OQ3IddlrsbKDMpMbNn1F6c9f+DP9b4kxmV
P98yhGNpFuzcEGhZnymeFQ2EVw417ncfblNRgYOgsjPuZkVC4v9y7IZBcK5LsyZR1+REJmcnp3SK
I0p9a7sZY2cRQFl0nlTALSNhwZVc0sQUg1f5ZIKP6SPkTCiYySp9XBmKiE7SJhsBb+62DlXKV+cJ
a27sSve3nTN5Y/8/Nidz/OHTB2bw7zRdYWkOjxnnE48pRYclxS2D90PpoyMMh/nrMGYc1B3jvTaK
dpf1vgPPiWG+Rypn9K4DSTuHCJ5LpHMmrzDfAdqFdyGEgWs59Nr8R2LU1dlwFOXRtvyn62q03jdm
Q1W9vHbp5o+1ejTDFqG6L+FAZFMKxKq8I1SfzFqx13Fj/+pBIlyAZ58Jtpu8Vdb5mHXUZ+QRMqxu
S/Q8EJDvUR6B5OgudiwKNAiCOvswse1rEw11Xy3kuI+ccjUVukbhFVAc+bw3PSgtqA14NzWoUwY9
H3ZuXlRP3DV+SIeK+xkJNMW5TFMCdSIcB5saupaPBOITM3Tjr3UdxJt44KZuTY3+AkpO3WQAFtdU
J/4+NEeyvxGCc6lt+kdZFyh7sgnA9C0cx2k3nyZC1IT+B02xmMm7//y9GpzyDZVnrWED/P5E7q0Z
/qi6QyR+EMWsxIMVtqRgRHUcUhU9wXC8gOGigecYnJYebKx5KCcSpVlHuhivbn5NgjLwk5Z6fGLy
GjSO6BbqzmMEh8hjXAXuXm3T1y53vEdz6r3HUYOPy0LNGsXe3CZDDu/eMhYRSad5hXScfP+NJ4q1
lyukXUA+x1WlIfNNR15VjuQKedUUrSuKtf+6SjBWxjKyYDaUfiEx+dKnJM5AJJFgeoz4q+zOjezJ
podJ6R48BIc42UW4ZAUTrnXXxrBt//fNHrj3f3wMhPpMzTVMIjgGAcM/b5s6tKlxAQLqByqm1RK6
pviUVsnFRXfn3i78+CQbYB7xKQrJRedoJ2+kTfrKXtUgMNyT00C+jRW3iaHsm10XjO+f7ONQxQ9F
//TJjLh1fNL96NDkY7C/XUa61UpEAWViKNdXl7ZrA0pxXbfNLB7319/7awXgVx3V4MWniQzd1aPP
ie5mv72YoqGalGnKXk5Ke2g2oJMcoDtpVnYcdgIaGY+/jj93pYMH2Ap0+Oz7W/e3ZchulWSrPl9s
HjdKgdx1ocwsDgMidWriHGWPlKFutsPRitqncPCfDL9CWC+vy4XTA4mzgmYk/ZrPEqjzjCDwepDD
kYjcpkElahFHAEtd9JZfal17m+ApuxBzGx7s3IY3SJnUjwSWlaXWxQiF+k72XCT6XtoJH5CWbZyC
tE+ofejiAiqxekeIWcB3XCkr6fUvV9WoJFj99y+uLv75+HDhd0SewdJ5hnA/+/OLG+W5BjRMT38Q
5uETFt4Ab12rO8e4rzYNLNfIlTPKIz1QqURIkzUx5mYpjb/N9NEdpJPlUZqakbwm4slAcFBi6Fc3
52Hy3atPXcTpYYygBEUdYksSql3oqPiGkF8/UMjgPLrCYcdn21RpZ+6jNGVNVt9T9xYtqEx2HiE1
ch6LSVSbNFLSlbRJv7hxyLgJ0W6lrU/8fcoOZOdUmYVEW2/tZe/WSJuAfHHDLZryztnP1sukunb/
bd1v01bcj3eKy/E9ROTi0/U/Df/tUmXNI3EUFLH/8y9zm8a+T3iP9pM6KAdk15SD7IVh/drFkDV8
sg+z281mUGe5QEF43owROb+t/+TXw7W+rChQX32ayPMS3gp5wZqa3pXDX0tO/m+jvKIgKHjnEjkM
Wsvce3Fv7gnKRfvJRTMPRdqNAlySqCqNM8ASDIwAQhbpd1tBvPHR89RxezPdll19zW3oPaHFrh4c
/pY1NbD9a6NbH8Yc7I+psW2IrHwVXQTxgxWUW49Y7Xnwk3UlnPKLM1LumYwVZ6q2tA9BbcMcPYvS
uYSmZKBDoOC7UGayxwFq1ju7jJq7LIJDMym9k+5Nd4VjF69KXfunImk+Ui8vXyOUew8tJYREmRm2
YWDv0rjSl1fftIWEtJ2iWTqzfO2rnWIf0jCnnhdtvLMxRNVuVAUEOEinP/U5QXyS+PYP1f2InAHe
8BJeUU8Jp4tTTs6uixxqmmJjfqK306UwbXshIghqpc2K6uk8hs51gTSR3mhhj4C91vej6SKvRDn3
o1vkwVF6dEPOP5Cg3tr3yn4pXFh3ulnUD1gHN0BYXam5sj3iXqNWErzgfigbOXu7M94m0OHdWDqR
+JsJQkMucruh3l7pZpPe2t+X9+60nXxug0zgOd648VyMwBP+Op4f7mAmyeJo3vFmuj3+tX/ZDUi/
2+bg0+Vua3kLkl+vZmp98D82C8Y/jliz8IuY/9Mdi8zifEv+rXzOgLa6cqO4/m5W/k4XYXFICk/f
tGX0c6jcSd1YZV0crl3ffWsKila4U6rfIWV4pu5avGoBFCzeYLn72rXrIxtc5EAr2PBAfwd7G7Zq
lGNFd5wGw30WqQ7Jqeq8w3aZ3XW2CSm0Hbjvjdl+LbxanJPcTx591/8grP/4358vcw70z+2p5WiW
i1wFmyP1n0pfMLc7+qCr2XcRDSYi9oO4ePBAT3EgznJExaK+zYhcQOwyltBaiByaAg5jcjbtRQVp
QEqRr2ubmxgtAJjkJ5QnxtJDqYJeYfSnTp0IRM0jMp6iWsiubCzQ+WIa1fseDnySEsK7L5Wu2jdx
oyIU2DSnIBx45BKFeIa4zV+2bmEuqFEOlkHtKLyuFfoHX9AQSVX2sidtk6lHu9b2oOZh8pOb9G3j
zq8Xclqp5muFYffgj2H5wibM2thOmG2mCEbzZgSHnphefS+HpqG9KYprneRIBWw1TM2rO6jQm5bT
Y61k0d1//5i0z2lkzs0uX0i2Byp7W137HKz0AP8PBUqI30LFgpU/U74AGcoeZeNZMGFnSXTmz4Rs
k9O/egxVan5GkT2GVpQ9Vq2fIuSQLl2l9GCi9nxxphyrC7twJKv81eoV7ySvhQJARkhspp4xq4fb
a6BCsh8c7jfyetKuhNWLj35VE+vTY1v4LR+/5+5bD7a0PGqmTeIJ/ZJEsBsgE9R/7RsNVrnc/I+T
wBOVCOer3gsX7QPXfxqjqaHyLvP2UO2hN11Vzgqex4dbOsicYFhtDS3+PUVUiQtSYMZBpogQeGyP
iVb+66KwbdRkGbLAnhfI6yrO0B7nV2koRUzAhSDdc3sFSynPodX3y6LMm0ualu2xCquHMFabizTx
o4AzLTBg1509tM7NN4RR4G1alaMtDqZX/YRTBekCI3QfoQ146vlVvVeinjbtwNMvg7fsHSLqY9e5
0NOkQXKqemoPitnepRAjmTAnQJWOLHEUJ+GKyB0MKmMCq32vHG9NoIpfw6oZXry4I8aOlkdnwNT1
V6N7prFPWguUkQcD6Y4q2JW0SZexSY19UAfaNlY5OVdR3r7p3yu7M97UphyPaamSuJ6HigI1eWUg
Syyq0HijDKNa9F3mP/xagwSxedH8QGxRrisfHKM0lwn/jO+1OE5qoX4J4XjqKQiFb7zNn8TIYV+N
si/laI3QnSjmvd034wvghzsk3LIvsKFoa5iI0x3UZeF7BAxB+qeBZvPrLEw2WCx3rcW8+COjOuWO
QG57LZX/A9jxO5BD02DY/HSv5FdnWzJq5Tq6c81C/fZcsHykM9K2yr85NScao3DESZsb1FCGJdVA
0Uba+raoSCZSAVk5PCdufoFT9Hsv8Q5lbzR7h1DIogVHtfXH1n1DMXUddfr0NXLBKMMp4x9M1P7u
jTHb+YpenTNL8EDKxA6mkPosTY0ZudvOqrXFzSYnrEnwA066o+exsqxcgLFpjoCqqnM0gvh42JMu
6Pfo7JoknsGRyKHvF1FJFG7s99eutApRw+Hym4PsFqANkygadnLUzFe7es+rITKaFpEXi31nKgRK
of19MocgvKtjh1jfmKkXH5mIRQbVxtKCmWMT1XlwkI2H42EsMuiSQ6jDbzbZc+bZ/9dmxEjgeOL5
5iVdyZGNS0ft4CQtapUUZGuvFaVUgVknNnT8wqOyeD6sePNRRhQNNaEaEJXZNNpJflJSVFznkTTV
XZbck5igHFT3kC62ex77HMuMvB4/yirx70wf3ue2EONHEAZ7ne3Us5fEJmk/A47d2Y0PxlpkThw+
oGFsXKDHvkg7aJh+XY22v5NDnRNONKUfVoSe2swQFVFLH1l1vejGIHhu5qbT1gPonqerJUiNhQ/P
130gKusUI2m9D6xmr89qhVKyUDH5bJKgjyjpFBX1xT5MvxGKNXIW3nvQDepY7BQ2Dqsx8sMHYCrV
fQ235LbJ4vaiTyCMObB63+BHX4aN6f0UonwjJV299XUPRnteVFKYDCO5mGUNUaBZQGnDQUl27Ywz
07WBIRg5oHlsqJ63LaJqgEYmKI2VbpkOWSiw+mYTq1uk7OuFo6R3MreTwfVG+sAftzLxA29IvwMA
c++AynljE5FAgegmRy9wpicCmg/Qs2kfvpdZ67hRhpU5QU9swZJ4DszGPWgWfNTzqCxy+yx7Dphx
F8biBycJyUoAwIbV3YMAdL7xOlRD3TV6+CHvuxaikr8m5DidBmobCn3/6f4cWsalh1wQOfGw4BmV
euvAzftHO4/ylQ/H3Uvikuht4jT4MHPxw6bS6fuQj/edk3o+KOBHJZ5mLWcGqJp4D7JxSpGiXYD2
hN1ZxnVCUSzvIc+093AySGbLCaV19Yei7FBOcVXqVycaimkPcug0yUTB1TyualHflTbgcOk3m66z
cszPQ70ukX58xc7yUsNMUlYl+UoLoN+fImoSZaMRmgf2dRE5GSgvQr6oF3G1lXM+VF/HQute5Kj1
su6prKJvFuTDS80gBFg4lneSjVtG9coBhrK+2VoRK6feczd+WovDzW7HUAwrdveTV1JOulpyAuNe
ngJ0t8APz0bprGZdtKui7CG282YHECR5H2E9bayU3Bch1nPbRt+kOQrNeBunTbuRw44vOiRXQXgS
KMw8u41CnTqrG8emBjIJgdtrTvIeD8gHjTEwYEfzOfaJXPuSK/CS5QU3gmwY3XORpUDKqLb86sWk
4YHv+I9gn4AtGL3H39v1GzjkwALPeuWyiVFtLBB6/ms8KBMMVgi0r7rZlsppPyrafSz0Zq8B9N61
CfLdZaRkZ9tV0mVdKeGPZkKDqxm+k+MdYL0P21Me1YLMasszDD7z1yEdHqVnqKuvcI87L5Y2jhsl
8ZJ7N1A/XQtdeQieRXG2+wkR1ESzS0jB6ZpDTNWG7A5muAV37+9U9I0BkH9vbT6Z2hXdzvZF+VKm
KI6KpIcRhzTPi+pRntrzBNmwba1e8hFVGyeAxVTOumnPc9+z1JWctZ2Kag+RUa8+O9cptzQTQgjE
PRgCCM8Obcc+RQ4zPjA7MaGRnMqAQFUX/HRd0Flej7KC6hG6cBz7S+Rl0F5rToZITq2sLU/z+G10
6K04gY+0+RLMuJbENrD0Ilj3bq4/m1mjLRq7GL/WjbpvK0P5Eusm+hmG/yzqwDlPxrgmQ0ZpE1WD
H56o06MOu8Vzrobd2mpNHxpeM9uRgh33OZJ8EEkfZKOR77v25LDV7JSKV5qbi+IJhHssmH6nxh83
WhatVeCde9kQB272ZgBv8KJxBOmd1FG2Cvz2UEP0VKLNTe6m4a7Lmq83k+xNSgWyPcy1OyVNm1Vo
It6S6lBjW2b8jKRNuZd2f7ZHKnxp8fg0dJWx74HsrCo01ZcBZMkPhFfzB9lT7Sp/SLrx1+w4D6VN
zroJUJge9ZN3E8a9pT6q1oMhhvpYkQBaKkVdfkPwZzkVIv0YKbze1Hra7ayi1J8Kw/+qT+yAgYve
BW5TPaA3Wj3Ink70a8UhWyyJHPE5KQ7TcsYREckt36q4HWO7TcjFYw0brGGP2VZOSNv1CpYePtls
0bamXh9cHmMgdMMT+Dpy1qVjXIdIR/TXIaxnsD0rxaFHRfo+nyoUwSBVJj5ix+epQDzH1FX+dI7L
lPMO7blubBgctdAiQRoZL5ljlUToEJCs/hwqleg3MLsXh/Sr5+R8icsUzjg9Dz86wxwgQwRRbDaJ
2AxlY+7zBOo1tx0RNHTU4hG4BnqBpSAcHAYQUNhlcoJQ+jULM3VnzCNpgiwpOSV2C+kZqmabzCIV
ztvCtNSfh3WHN7Yqj04hgovWdwhACOoqgTS3HwGC1Okk2mct7OxDAev1Uk/L7qOhan8xtOFwDHUx
PTW6eUQ8tP3QszzdDKEOeGReDn5noUCR/FgqETR+JO4JUDj3Mm8vGzvI3OtQTuQyrX/zgaE6WGUW
EhZKaz7pZrTpkq55S/h97lPgVksPhaK3CDbkTR8oznWWj5K6ubK3D3JWpXIlM1Ln2WxK75yV4Pog
OT3mqgdNbpJ7Z5KU0TEXZHPnkTTJJss+xkEYJxOg4HlS3GKHJthZjRHKLfU033llXb/qqWWiUlgh
xzcP4WD82oy99SBHmaffqWoZXeTIUda+PbRPyMeEy6gsVwYajYca5tLDnLHqFtSe/BpLY9gPHnzr
dbK+OcqJT8PWzg2wYTBK/H096fZvvv92zaYkI0h1RsA+JLFOre6Hd0YVNouQwEq8RnbHWYaorqzV
+G0UrfjRdPysTAMhIYJppzJMlI/ahU1+Mgz/0s/f1q5Xkd5OCuLQea9ttFGNIVQk6jtoWUq1IMlp
tCvHL74VnSpfKZ6lPQzQQ5H2TEtOFvuki959bdIwOJcDYbeiGKpvjUWNWzT4r5ZXs1nPOIPVozO+
VsQfpIMikvnub8KgTYHSQUxtwe/Dr79l1szQr7VfUkWY6ypy8nstSPqLGCL0vuZrO0iw+3paPA1+
bezM1k42Nd/xjynvltLBqJBUHJqpIDVn2ihVzNV588o+Me+CnPpEEn3RQonAgksUuGwk/jsltL6X
vdvEJ79PQ+lchgGlgmKgKHoGmN8u8Ol6t9fQ2dCDzJugBBYQYVsQn9zV5dh8ONUGdtb4S4169NZJ
+JgizYm/EORZdp49Egs1JhANJUyzsxssLQeXIMqzJ5IQBRSFktlmrPZDb1f7UI3r/W3YzTYYCFo2
OHNXjq+Ofy+52YocxuA8rrzVvzkHUMLdVVYIqIyi5TA2+Bborvbc1tH3oLCyozmPqtGxlnEP40aj
eMZCCXlkBYsc3uelDCjx9lgoL4TebyEnZwj3ZSiCa5DJcYm8RXX4do0g3RZcx5Hi7+vZWUUrE3ph
K4BgF1LExG8Dzo4IScnebFPMqPyPaVA7BUHgwRA2x5K5kcNbk/sA3xvt583yyYuiQGs5NRTnzsfF
osrrSzxj40awRMD5mvZeDqHLMNlcxu7K7bPsWVQOgqCm8gGnhrMojYkS9zzRjooWq8glutlHUkL9
EHviB2pHr4bw+9fMF9barGp9H6W2emzDUoWSaAQUWaTKvY6Czc72ECfJDKGchNn9agbTdBY9p5at
0BL/LCcapW9OaruRgzEyPRuu/6rfELS7R6UVUR6fqn5fjX9qlOYFbvKfLgx+hqpDrkeJORUE03QM
SE3dV1OfbicHvg6gicFy4gH9LYGHWy5ij3RuCle8q7UZrVzkFk+tAEhuDCbaOBXMpC78IcrUfIOF
TSKewxLJmyEtwwcxo/o0ynJGhIQeTSWh8NfM9G8QhZ2CJvZetCY0t5Zqsn+NterFdLxLnYniy2Bb
L5Oa5hc77rKLajtsFEoDnep5KCeUqkYctusepAmqXnLZpMUa443TMigArfihxfVblXoUu9g1JKyu
P8BcEU8njoaUeodD9h3tDWeKyx8pNK2oBWjxY+Ip5Y4/HbFM0sfPQYPClHSpR7E1Gq3/oJRDrHw4
0g+TqzsH+JjsVdtNzYfVpXfydQmI80Vlj3oprEqsazjrHgYx/WpywE57VI8pp/jL7jpDRDApAuFf
cmxa3pxvPmNPuiAfNWrMY+sx9NRoG82cwWz1oEhAmf3uOnRqByJm/hFyOGkRKpNeMt3LIXqmiGrV
qrsnmBa8Wg3Z/lKLq6OchcftnYC0/cCtNHzlGPxQDHZ7vl6ItLOf+vFFLtQMsfCg8nlsR/SO5cM7
BXTWx+iGyYe2tLV9RA6xEsebSdoByfUl0eRG+DsOfFFzMas22ALX/Ko1HfDRckzKXZ5M3wEOT3et
WqcnlBFVoMEGqchRgz0lrt0fIylXHU5K9m5G/dASSf4SZkjVqVPZXjxvPggi4HYQXp/t4T+PtoWW
NY9E1VUU32OUfSYq94U3gmwpwVoXrhVdZOO2yU4FF/RwHYU1cVqh7OCKia8OiE9OWyNCJNWGss5v
dQQl4+EoG09vkHKW3dF97yA0nGrfe809O9j3NUVlZjy5r6E+uhs9s4ONPg/d3rMpaNXcnZytjORH
kZnOg1xqJUgsIGT2TOCjuBiJdXUSTqEfCiOeFnJN7ovkLkszf602/toz2ZpMsxZLn4+uthmLWdyC
uxOUERSGcioM64Ma5VSlyakcqauF9DfkR0AFLGIKSQq30ixMo7UOpdZG+ihHueU3pz/tqt6PFns/
fPUkQUMcXyPQ66sbmNXfriHt0jSEY38gVPWSQ7sjD0NksfR115JRtvU0fBum5GpP1UFfC1QWdog3
hm9/+kt7V+X5c+Vz5ECBat92LSjyuYfil7LXE2p1lJhg+TAqEF/M9FfX7+385YXy0kD5uNxLk2M7
7ll+ZSvvviHDtyuLUqlIr/Rv/+/2Tk7ojfWzqLWAfdEf+8nb9rCNe43YsyTzeSdo0sOVgc6LZ0Xu
2p6HQdifiI+yEYKB5+jXpHqkHaEIvtjVxLMN+bfnjn0+2oBoFxkvCoLzFLkhbaqkqvIR69C8eJ2F
mK+BaJ5bcRCY7cJhI8fRvCCg5XZrPe/Efa+63j1fPQLdf9dt1JoNlXs8Nnf+XNrBfkM5e4g8ypGs
/SgitdpMvT6spC21LWjyo7Zea2W3Bpqhn6uhsp6iBJ1Cy63KLW+v9UTQXIUmx4BMoVDMJ+ny94IB
cCNHZegGIOBOnwfIhyYdKRSES6n/qLgn5mn0HCk9Ffu1fd9B+2sssmbwHlI79SgzSs+DNVMz5wFU
TEmz71BKZf/QHMcZnCYbfT54ocv+7vVdvZOmaD6gBXMjCGotwT/GJGhI4SmTh7q14o/uKstb7R7J
muN1KOOHZlwcw0Lo93JUTTo3VAfSAfKEWzZB3pNsADi+GYMoKStwvacphsyPzbuNtCPD1mPHYhbK
FxMdA/Sg0LpidzWepW8euu4SLRTlejUjnOPOdmRRS1oqT4be6U/T96FXRbVEul1FYSLs7pHGmOVQ
XbEzo9cMtMp/VI9aFddq3n0I+Fc2kqoirM2VHqUcr8O4IYlhigdVi+rHKjOrRy1or6Ys6ziPzx7N
0NgPclK6zSbH0+6p7SjuOAECKKMc2DnYaOdWcBWET2qlQkcy+ujL6DPsQU5fPUttmlaDYSBwdFsp
nSwfrpMemcyBsNqlqo3H1DTH90nlqE/4CAmZeUi9wJeEm9e5Dqerl9YQU3MaYOchB8W5YU/Dl3Hq
gNH+bcv8DAH6mJxF7jemAuH+tOhgaIqGiG1pj9aQN4hgL4eymXI/I62E0FSZFzN/z+yoJUoQbGQ3
BpEilrIrVzYb8pvFXVPD5ZMEXX3x0bSkGs7ufgAUoqN336DSBAxQGfWpQXP93td4PMFlC9CuU76Q
muh+QG3PIV17TBNIHVI/bf1t21mk0EOy/U5WBUdidWyouhYRnR5lGL3KjJeOCoY0sdSzlanGy8Ao
nkdyrqfiRs6ps+c8V1Sxdp375zo5p82I4L/XmW4CtjqIA+Rfi3ppDBkZtdFrd2Cu+y2PgeIpNxCG
zGdwz/9xdh5LjutMFn4iRtCBZitX8iqVr94w2tJ7z6efj1Df1v17zGI2CCITgDwFZJ48x1LQWCUm
GFnNuk1D81sPSmgxtqn+qExVfkAOKF9rINhh9/2hFROqD/78kcM+Sy43jM+ALvWldGhGsLQ0jkJV
z4+mqgNjH4pZ0xklhIVcO4n6C7yn4VugETbRey3fag2CZUB6Yja9pthHZSr2ddL9vhqsfOspiESi
iTXDYOYhd6+8uk8LzAJpdmSHz2zXF0NpWB++rY8PRRwPD4ObeB8DlJpBZqZf+ZuCEVBL473F7fmF
t+nR4sa38ANYYMpo6l68KgCqFbfqxh2V7kWJYriRgzpbSm+n1tQjEo4wMttriIFBddMa8ZOgvPaF
OnkCwbBsHO4r1Tbo7XxemPEoKBvVofLi9pi6rtRkU5aF7NY2H/7cdI6FiKa8vA2cjbESvWl8kyAh
+2ecvCon/wr2jFL7onrjtl//quaYA5UNP9jyoogWuslLYdk+cFIkDuoBdW4UNCM0E4dzXNnDtbPT
8Tok8N8LgALSJBsxC4UFdXuRPSLYw/XmlROCih1CB03TfY3K5fadlMP+vkZoOiN6F9WbNKXcSs5a
0QMSmkuBgWvbB0hu7EMzN/duqvjvodqED76sKJYOUO5qszHn6mHZl00de/BBRiWSPyzw96r/6keh
/1TqpkNBuki3GogydDAU9c3UgWFYjdZBztJob4gsl0BvBgHdppbsxjm47usglYIszDdJFqCsZLtw
ErWWtgqsLHmNMlQWLWhclmOvJq+IEAeImxnV4tYNqFLS3fxV9koFLKtbQh8yuTFkKhFkkfLq3iih
Q4pE9iNyWc5tZA0H6yFqEFUJixYxDKV98VwUY1O/6V9DxEn21eCgIDd3I0skh0yHAq1U0+E1D6Bi
8Ew0XqXXHhTU1gdYoRJL9K996IgTlBLfs7mXEe44R9H4Jn1NmRgXNywe5cTY94zH0UeSfR6ZmKG4
lraykb68KOwnz4dpYPa5Gf94TfZTugYziF817kZ+FI7LKEZBNzVf5LhsbBfIe03P8rHtHrmwaHBW
QVvD0dBa2avXj2h1kqoEO5+/TkHzruZufZY+JwIUq0dDfJROfubpMnWrCIoWZip2mK+QCM/hN6Kb
d8QJsgFFV0T9yPsXziHzivBU/GczjqtO7bWjNE9tBWMYwnC/h0Ua9VNQOKxaP9TrlRwD3wBjpmaa
toleXX935UTpl7MjdNE2XmDCZFPAz1BYvbpnO0DMib9sID0iMRAsdAYEA41y1SBJyEc1G3s0xEFh
ykEo1KxMdSK42OvT6d5Mg6+e9AjtdhB+O23uSae0o83ZwmmXu8i/oYC6kMZMo4p9cR9E/DyEa6ad
NzTKr64A3UbKF9xqr8WrfLCSo2wCH5h0d6tWkq3TNqhKzv60zJ5CNO/g4/gzRl4qSpQebd7s3B6H
S2xD1qSH/kxrGdVvYcm/++AKn3gM3Uovn5Btix5lz2yT1WR04zO7F44a+TH2S6gaqjJfeToJ8nBS
jPmOZV6DMh43I2ovqwh+caR8PJBaRpfDJ2vynVumNpl2XyVvdutrlXtB5ntCpV43r3Idp+APPDMQ
j2a9PAqbsxg9ANg8hDRRfjTtx7j5JU03+5TAWRJA/C2fhLR1DqRpTue366BDM1RzewTa51NUPPn1
xZ+oFkUZ7NTMB65qbqQdyv1FoKnGSQ5FUxY1Qt6pm+0+TM76M1baU2eEEE/ne98W4fjFmyXQtVz9
GEK72Q6t22wiavuk3fes6cOppmYr1LLduCYcdWxUgqNZQuDXlKX50KZd9zTaaf8UaNvAacyrtLBD
geS+LxVY3l0vWUaZqpJTEvVO8e3uyQTE96hx/r95AQRRihNCIiUnB2n8swNYu7LaMX5rB4j4slS/
GsjRU1hoUcbBjUJLQ+c1+CqNdei0zxX86HJCNhCuyK3mIH0W+/2Lq4zv0ucTrj3pOvyTbRPqT04n
3vyp+qF7efcSlb71XFibWmmgjWa5V8X1lJM5+6wEcREHPu2tHNpBxfoAWUnNzQJvOnnu8c86+ljL
daKY/WofUjpca/rFmE9G5XxaKjLjWYt64yR7vtoQC0LfDcU6DksI2Vfnebx0osEsnpE3+ns88dt+
LZ2eMVWI55mwyAWAlhL0/CZncKBnRW+36AvziT8p8wm6AgGfn5vvmioQT5mm+5exQDZwdsphgTaY
K0Qzk819luifc0q3rnKOXhjtwxSPYnmfNGjVk+PpEaJyPJKn5A60sTywOS/71wPLrh9Fx7gKXy2r
0y6VqOqVGgfeG3Qpv9zKmH4GxkuuGAmV11Qea44+fTYILINWMQAf8TezKSsxHeLcm+m3OQTlICRR
0RybZW874s0r0q2PamJZDulzPTeV31OBoYCQyfIkfUaVpD7roTjKnhxhl7UNazwasXKW26XRsRrd
b7ZpC7Q27Jwjc1y2ILXsfkc1MJKXcRCfO2fQd6ndXUBEIIFWyTb00OLV1E854maiEBHB9XkGHH1r
kHHqQZtN0m5NHE6yqBxWat52l9yAJDVK4vJzqo1qVapw+KGO6L331YuT6sXn1Kvetu+adi3CuCQG
mVAiEqMBF/iKuizdonjK58b0Ggg4p6DYSZuhaQR8OQa1jv9EWVr+5BGEBd2Rdwvpk6MKiB4oUyhP
ou+MizE3AqHdZS+aaCNttRYbF8gkjAsEzFcOLvr+bioROz2H2lWv2Rcs5PQCqDg/eHSo05gCkx+T
FYujbBTHJdQlL6Gu5jI3fYgLOR0t74PqAU1e2SXfi7zzn27gt7uBzOzO9KLv3Dd+ok1MxnOYpqPm
oRNWK3n3TMEvurCO6n3NLLh/dQPlxc7dwNwOi5plGYu0ScXzGMQuYrg2evVGre1D+JRmWLV/hXIB
EnUfnJZYGUNtfwZJ6my0SAwP2txVSN7BkiTeHcOzd1GHHHkek2TPAygpkgl5VpEoxjs6cq8U3IlH
fciiF8R0N9Jcx0i5KUE2LGXXN2ba3y41/89JcBNm6KcivTgQnJ5Fqq1A6KuiaQx+DSMkgQg/0Ck+
OFd+mvBjP3amEE9oSR6lGZrvbjtWVb2Garz8yGILvt6ht0gwD+EbmZjb7EHXCSPaafuYOOl+IBnz
SSgGBg9wQpukGP1PYwwevR5MnsJt9EIYH2q+2Q7bjbbihzEHN/3gs5w2fSSKjyDTLDYaUwRbNgJ8
sB6htpvmR9UjgNJxYjx1mh4ulTm7XfWEgMbOiE4gZ+MX/l4OMs1dhcEs/dKIB5kcp9pr2ZPleWtA
vR/GooIBec6GG9TCUAVWZRcTJo/rOIoPuWyZx+kaCiSgTPOjtAiceeVnncBHZVuQu8rMOip/n2S2
e2Kfdc0dFUliuehUIHwqQAfs6vGb6FSIUTVjfI7iwNgW5Cbzh0B3gm1GBdBxEuQR4rZxH9QmMClr
aLrm3HSUMEDIfiC4qml886QtD0+Njyr13BPmrPFSFPFOsUblUBU5PFp96r6E8DpehJscZS82zOll
5jyZXU7Xt4c8T2dNwYjaGgrWkD0nTx8irP3kaabKtysPPlLH/V50QvnhefWSZEUYLBo2Ok5fjd/h
GYEKNuzFG9wx4QwwKoHmDt26D4fqeVKGESqtEsqJudtRp/voqsFq1LSG8LYBWhPhCk45huedC93p
nn2gVdzIn8Khp9OnCKQakBxInxIUwykwS0oWcQZ1zIhY+xEjO36MKSnY8LgktWID+caO88VUpual
aFXtBgJD5etXpo4p/AEk1Ww2uCsJDtO6Ae0mK3/XqrrYGqYA8zYY1meVE3Kt66/8igcEMCmu5tb6
S/cCJOsc+DXhcqiMVY0EeBbBjKtog72XDeUbADLlJQO5zEfL3pdz87f/X0Pv842m7X7Pl0Y5/eau
GuIFZaZfnZa40VDE3VdbBRZio1e0iM9OCbcEQO3gErpK8FX3Z7rZznRfqpL6Z5Aw6oXwuIYaZBPD
wFbVByWCvdhQrWRfoeNyhXKqewjcgB3z0HhXaevbTFnyXTY2XQZnKhUMfA8T+HcQJygfWiDPH2Nl
fXVgWHqsKGF4zlLjAQ7mktMq6jPxZIFE5r5nIf1MkAgUQ3v09Lp3TmMBjMEN+pUYSUBmYD+eGkAS
WzXQ8y24G+Up6PkNFeybXo0Y4mvNqFNya171PhWQbuuWiE9i7ioQKZdOHr5C+QPEtLOfpLnJBncX
F2mw8tgrvPMf7wHKN7qt9Dqu+EWRqnuWTmmS3SbvDyb176/D0E9bt4+dtdm32icRsVPbeeJZzzT/
ZAf1Szw49iJXu2gGOfDguhZt2nxw4T2lC8au2sKqG1OaSZfCBGWveGTCIbgKX42w8M9aQFxfEZ9Z
HryrYhQvdZ3pG7Bi+brmDXgxvBlJa1fBsqsV8eKQnDibRfSa9DUsxE0/bJTKOLbCbp+7GeGZQVAD
wDeKD+MMEoVNyt9NiRqDHsArx0UNIhlsAK+y14867AjIocIA4V4BCRd7cHbWYwAUgO9tPXzXWkjV
uyz94plRsGZvz/ZGd9RzWwh9KUcUsMopefS9IWq1rB3y8d4EqsOubH01udA21S2qy8p0tsrw6FV1
9mFHWgBaLIbk3/DSj950kJnkxNXaVnfui4AcAm/ER5cIb81OVH8wqrFaBD7xEUi//AViOdaPvAvW
CdqoX0MdYgrbNJRzBLJzPxT8zfD7Fy+6D8mzURbF1UyCaJsainJye+13oyblk4CTAwX4f+wNyMvE
HJrdmPU6FQjD8KlM+aUF4/zLS+NVZanJd9S658M8YCdqEONN13JOVAe1P1gTD6zqqfXUFLoHx7Xn
f7ML6Pp1Mf4yfG8/Eo35Uut5tVRH3z0KEfkLJa5a9NX76i00smgPNc+4lN0qsKwHMCtk6WavHsNP
EaSe2IBPq95I3OYrW7Od7Th7LZ2AkWWWBHdmL5shqngbPgmF4MTbBOY1L4v4Klcq0I618rp/AaYz
voyQUss5uqFnW6/IrUs7DF8BdLW/0Fkw1ab+STI4XQyxVrxalNOs69FEtlgjuC8CRGRH4rxXFbjk
cgxE/jV2qi01es2vtBS7nkDLlyjwq2UWVtM11kNKnJW02WdFMJ5MNc6hu2j1V2NO1TqUbv602iX7
v+YXt4AfyDGrb02S2IAJ3JxvHBXiCaWoDwM8Bo/CBQGsR/ZG1LyPwPi7vZK9ABrVwl1pN9UBtpqa
mNZoR6RIzLg6yEa67l1LDwFVOfCW/WtOllBVoZWusuXvIz9Xc1ODOVlpVd+tYKrMz8SXgLBJt1Y7
8b88IWc6duyMkV6qWl5dThLNsMsd/otvjch9dkd9syn7BLzq7IBQGmBGVuufEGZ5u1Z2qyhyYCEE
sDoPUQUaS8QeO5IvWnggIz7LNMyXo6/Nl1NWP+Red755ys4LD13nlcFGXv5rfOBcRqIoV9esNyHR
kfdJNbITOUUgZXM3bHzkpw1uDprX+e9qi2A7QZNpK738U5eLKW/7k/SSVIe5S1GfxViWz/OSQ6Mp
b3LJsJ2ahezKJXuyXyvZ9dne3JaUXbgSHoSJcA6/QXVfN0SrfMqxIClTw8XdJq9625v2oq/QN5D9
eyPn3bvy6m5jw7Kt3eZEhsektP61KVLKo43OeWx923l0qOVKrHw63u3mMOiLNAEzIUdwvnUekxmV
2BCJJUP1z1S94q3Rra5fyHHwRRskZbk/xw990Dqnar7SnOj3lbRxVPrt/Wvc/+QFlODc1ssT/+TB
5gpZub1vBuoJYSKiQtZx4aheykvTnNh1yMvbADmWZJ6+CJwOhYZ5qmwqOV9e/muSlIkrNNGsxsBO
KRRQqm3YAdRNk8p/nFLfp2ZDY1tZAdMpM5fk4x/HGNv+mWLypRx2t7sxHLPcL2bq7ThwFtLdmPoJ
VHF/uI9TIj3c1+H4MQhh7xoPlWW7Voe9HrvDvhOoSy9kf3KScZZp9Mz13W8WGX45VBpv42993fR1
cIGAQGF9WkTqJXOy6aufW9VaRfId7a6wf9a15kPavapYCCS5ap1CdbZ5ie7717TWFMQfYVDjy96s
qtpS2HYERr0l9YjQij9AOjuVjXUAZXkbLaewuXQvcfEiO+T+mNULBSkPH/bNeU3ZGMgXL4DwcldR
UYXrnHoOns5VssikZSZBntjll5Up6CXFlKb646tnpM21QCbomhRoxRTF+AGDAOyEmzIo1NfmtYKF
/rX2OoNrBI66V4l1/n1tGRBPpv50oUzbQdEi1ze9Ueicr6BNArL0szJa+6iHyfASViA0A5XTUxh5
wwtbXX/bsgNfSa9S58mpntxv0pmUhsYW6QAuIWmX4VRtNMO/GGMHotEs3ZNs0pYk90J4I+oSCoI8
t/7dL6/sst2qZqLv2zZW24dGCb1VkRFddaOiO4iOWMXC85T2IPv2bJRXf9mcRIf8isgkGzEDQg3d
BO/jGOGx6Wz/0s56T7IRNnTBQzSVm78cFAzA+lQ6s1L9PzOI7/mX1MyiE9+X5V92uZwX5M8jzBU7
2RssHb0fZD5kQY+s9pm0Pt8JM6dW65+yH2kXHNIoRbsXEjFmZzDubrpdOVQP3ZeTNrnmn7HS9Nfq
euAfNKust+YwIZauhVBXCK9FLAztVCoR2pE0XZ/nCGHF8yV9eZXBlLowkvCoBwV3H9szzhBamWdT
n3wYdcaV1inF2Ro9iIi1MNNWkRJlgO5nr8n+oe+QpJr4ooBV5tVVY/g+6nyNMrNL17KbeSJfQWVS
7sANR++GFv3UZ2iTdMbiiV+J/coY75EE42OpKeE7WEZ3b3XQGcpB/lBW3K5KHXQD6/OzTpbgIeuD
HDwE3qkiHX11LIt8Gt8Jaa5TUUFLa4W3J6WjSqIoX27QhyL7LGMrfpSQBvYo9RULFTzJ4x3pAAb9
L0uufUZxFz8CFq5veIn/fZ3b49Ti475GP1AsRrnyvs1GMAUEmoNDpXqjhXKvAjRsbqhsbFbZlHCf
yIqWckWljY4pBatHedVI4zRZHM51uP5vg6Q/rPXm9/jbKDkhTsmoQ/wFNPevRaT7Nimyg/iIQDon
okPstvVD17ovBHiVQ2AOojrJy7DPfCqsMI78ILlpUNQA2s/uwNhR6Mj3IPSIhkSecgiJjizy7Dy4
PxrHi1ZzGLFAt4yko8xE/s9JSekCEFAe5EjFCDZIUSK94A7QhVCgWuozmrTifH6SfGS3/h93rfZK
f/7THUJ4qheSqUyDDaheJfGw7EsRHwYtavwHuYRsGmO8PUAkyLKc/3RvK8DnM0Aek/YUdU79Vfu0
hDCusqksvT1FZgDcPuDu1QW1sgvtCpGbrDWuWZ2Y17j0qRhRPPT4/thc7sGrOrZJvM5LSUduV95i
1Mkw3m2qan248dQc5ErSzn11VYMfp4yImYaWR4+KXd0eT5oqx8xIz7ZPcg6KrXuiSPou5IxF8X4x
HI2G+1XnuR071BJpCAg7Wh64j2jVSpDsmgeMnr9SimjY+/PEQg6Sl55P4lGLnHp9341V887u3v1r
c3Z33Dds//eQOkbiCUBXuxk6Dj4T+Aa/9auLB5wZtuG5sfpHfxTDvuVvXgBMw1bm9hsRWHMne3Zc
VZfM0MqL7ZY/BtQtd3eTHDHq6Hy2MPpuRwEVcdwVygmW1XDhBd34nkyUUw6t1zyhGWKtk0LxTm7T
aVtTq5O9DoHzsXYm/8HIm+pRMUW/itIwfZ2mkkNzJ5y3pB26g9Kq4KNIkDjANGn8dEiPyJ5oWege
dc/HCVXwb6ccoetjdET2bqFyMFYTET3mc2IxCiP77FgIpc092SjcBfaJ0fzoUGuMlnYT9g+FW9ZU
LHjWqrYSc1/7FJv7YaA8mOPkIKZVcWjN9EMjwBSS0n50w7MtRAwZIk3Mv/G1gbo3dezmIns3u+/u
OQsqRxIQ01xrV3/xrFAgGcx4NUmSqwP58oLUtdiatq/6qBQhXTbVVfBwX11NIQLtMxLnd1teJ8p6
MpJ0JZeRC7ZlOz6QVucVzU9KzM2Qxc2uCIJ8cXsKrmqwN7C0F7OeRn9pwUxxCpru4f6cW8vIHnPC
p//56tDvhUAmBTQ/P205HB7226u7m/68wvsziEyHlEjkW9vbQ2YcNwCqsH24P2Zk23BmZmTg7o/a
hYq3phTu9yuUC1Zh9vsV3t6tMHCg+p1f3W1tXfjsd3h1crRcX77CGhqx+5Ps51eYNrfP7/a29Egc
VvHw+9XJ2aot9orvgIqa3wg5O0+zL5Feif19eZu042KolGgFDK98Bnc017uqxamwWueJVNlzrdvu
J8U3MM5lHgBLzUOFTMuWhaWk5xzN1bU7ISXQ2PmFG5N4znQicsGEDmgZxmQ9E1M/KprxVTplUwLG
MIQ73sZXHUXzDQHQjcyH9lHQHp0i/nEf72rED/nPZ8PpqKvWUNjrlTNNezoMqzpytKfAz/UnGKWO
ztAop2jujaXdoxvKWyudcpjlQVnPbjuAFZIhXhNAR+FAeTyvIRu9KYZ12tnFv2xeXG9cy64vt0cZ
o5qYv6cv5MPIWY0ZogpiFeledgdtrM+Am289OWtooDMqrRJyzj/PN0DwKpw051GaIggftpBJ5Mv7
84Uz/FeuJvVBjkiaKDjZen17ptIEtztx0CEOyPbxgqTN+Iz9rr29JYD9iwc1SoHxG18G92R4WXau
FY0C1tEPL/JKJMgEgSYqtrJriwQm91IHgRCaTbT6a7Qbq8OuotrxvoAcIRsewcvG349wN1txEVGM
/88j3B1J2f5+lJwiFPjj2Q+pHRzJapAilqkQ2mbTsdGFglZa48c7tvOQWU/ucCDr7JBur8oz6t7e
elCD5mqALliRz7FelMBBYtTIhg9R9wHC5cb4LcqbU+V03i93IleTBQN7wo6sMlszf5E4OvsTNfhu
m9rPBrGtjyB1Hdi52uxVp65nlcI2eqV0iaOpYahnnq72YAWdfbCVztm5mVPtBoVvrpHbUoaFnZfm
fefHNR6BahUt6kpzq7Hlb4wu3UnPYLhzxVFGLnmhd+l4vFltw10M/BGsQVRkfAQNn3K2DOuGeL+i
JZtWY3uyLLM5nY3wZFybTyX8Qw9hXexC1KOImbr+RXXBg4AvVqBj7JJlrKfNaaot9SlS61dpd/zY
WEVT1ey5u2vUVBqrrLCVT/Cs2sbVPYtEMtMHROz0Fgra3gx2/DTQTp/NnBAPfTmoL9FVTIFDGZiV
NFChutRZbtgmEoQk45sc+sFMDnVdNNQoz5eTDmuFI7R9ryGJBxvHKnS6Yj2NWfrqWqTP2gFxBMe2
ktcCCaq9lYPvkN2upeQqytVfsjcpjXNxI/ckZ8L5Ip5gSV/CFMx/8dw42RZkSfMiO31cPMDc3lzl
3DSaXk0/VM+yxyuBl9cLoqMcmvSAAFtC9TvCB8pLyvlzx0+hUBdmUYfE6mmMQQuXqp0Z6ykMf9um
lHouGK5rgMKCsJ8cGA36P+55oNVOxd4bc/DGf+yFmAMNnRpzI53eYtRWgFWXyXunjDr0//zzy65R
EPM0ItPf+4C03tkDvKmijB4pV5/eWrGSg7TMTS4GitOy5+gR9UyWxk5gnpI4gnS+4oESmNcfNW6O
vT05J+mdyH+DQ/JfR9BVV2E056pJUlQcnfAwNWFFOJ5JeTflGwuMxUZOEoWqgPINOTygsHKAvd/b
+HPFpGwiqcvjzjo8yVyHKY0GWEKio1DBTH5VPUeEtca41a9tbFRwD4fxOucd3khnPzrehTzjrSdN
Vdv7ywzRux3EetWzS0r7oDWCjNdQkICEFvRVaf2IYwIrEQh2EcbbKiCYf2mi/gazA7CfcC4TN+3i
MTZL8WB501wzN0ACqPCX7bZWPVdWu+iFu8XX2qZ8SpvT6FqLWBTQpe+WVxaLOM3V1yKwSLWYuk4g
23S3PQxRO1eZZjxJEa5hVs1f64SjGV/K/jvxtdVtpTKLd0XfmV9jk0oFq1XN57Yh6tUkYXoy1JzM
XTwgPana3iWwjXzlaHH6HlrKj9S2xc9kuN7WQfTqqiC18tmKvgF81SlXF9aHlTdNqDQNyeuErNVL
iB7ES1ejBBXb1M/NpqhGJpiqDZDVs7Ns03KTE05fSy/3xvjYmbMw6ewtYBd+aQ73tcjHzVGtuDlK
v+2m6bq1+ZIpn5nbdi9jl65K6Izf0dLSgF+ExkJ2jULYGyto0SXnvPrOSQwpp3igfGIebKTehsRH
96x5afVEadXNPFhpcMjyGR09j0pyfnOUjwwPo9qKQ680ycJEXvw081Os1DpALdOahpO0yQYownBK
5maKGmuFpBND5hk9RLYj2FU8sq+rEJbe3dImvdDBgZ7KrINaJ9Gy7SfvXFu+fWpyG71YY3K+EoLb
+4M3vRUTAg65V5cP1GSGH745oS2ROF8VCppXmT6htdNp0WNG+oayXt3+mkXju4b4hE9mYxF4GRqe
YR8+3hu78U41G50DxYyls4gdN95NioU+7TwuCe3fg/0QDmJTzU6xRVXTwiJUtyhFU/P7l31OF5sy
5e0JRTY+1hCa7aceKI+sDujG5Hs1wawkKwcaekB6AticqCoY3fC7arXhWVYHzL5mHvn/mCdXMcWw
c7QqvKgTpQJKTSLeE7H7FIjefXJq4COOdZWWUSXoA01Os5I+abOcZjO4zXSRvUTE8bbuYS4LEIHL
lpZXP0JaO5yiebHc053NhIpUqAvrKUBjBdL7lIOJ0VhPej4518QG5oJPWmpLoPBNPfsqyWtYG6M4
WhsUgJw0UNlOVUXLKIqrNy3Pfl9JG2VW7fM4FEswFOEXt/9lWHn1YRdWtrMpcFtLs+eHB9duTZK9
3K2QjoHKIO3DL9Gkfqdkv7sGcZufR2O0F3J8nRlQReR2f3YNNb16uvlT2oVbeOwDSgvaGn5nrlMe
pZ17awN3ZtruIpH6H5FJcn5+OkqvJA8JFGwPssuzE3+eXd87wzqfnwUMM4eytX8/u46t1LLXvU0N
lUpU9vnP0tYuRGTzjynKxcqKB/XkNW55KHPIHvs+jF+nDogCcZr8J9Xgy7gZzEtr6OmqNQ0Pqksf
EZD56t6krTI+WB0ytlb7b7sca6rmm286wWvXmRTeWPqHN5TwkGVxcCq1lvJ41cvXeurZ74OeXLzQ
0X5ERv4EKi59N3xeVl/lyiEypv4EOwWVo2ZQf4KV3/nsvX9oXvEFaS7zVa2UbOMUBN+NsFHPvT+F
M2mm9yVW/LUcCvMRik5uUb/kVH9vOrP19yql7BfYo4alro38iEezg4p79EC1Taa9MyJ3ywEjlmRB
71NWNYt+GpMvogi/FWntfSOScM4h6PhZ6tNa5bYfLNzuBOlJHi1aC/obKkYWlH5szDxFTDpQHxFT
a78ZXfhz6gKxVSwXVW2UR549wHt58QxdRP7cVSUH0NHTNtLWTWZ1oXBsm+V9fhsBXaG/dBOTMAYK
c2MePgVZ5F6KUIBinq+oxK9XbZKH68aBTmQdwDDGJ+AeKp2kNH+vnBtFGT/dvI1HXVLkNOE6tiEv
It3dss4/U2423tXbFLl+oOXaOhrCZpM4aHtHSqJcPKfXD8kIUC728+prF72BP7a/JVXrLaHe1k58
YNbJhHZ4Wc2OdvyeUof8NbL6aO1XnAOsEYhKofbQq8WR/W0yCyoy2uCj6ONuEzqRulMKoT45UYBk
1Dxi6KwXgxrM1zAz/S38oA7gPat6bVPtWQ6AkihdQOoH5KyuqwddCXXeAvJFQDGB19UfNpjsrZKk
xaZCCMZu4+AN/nt9l5huv3YGVXyxxnYV2tn47lWDuXV0dEOkvVK/NUOYfLbIuT20wI8eNDe0viRp
Kr4YDhGFIVHth7Ltk88x+SZ9MTXOG47VxhbJlul9NOqVtGuCg2pUpzoxryF4I6C8lQ9BfMdehUr4
YFiJsqxEgNQZZ4mDvCrm7t0mHWZQ/bchvema1FO05uqvuQNI+z2s7ihaQvEnmyoCp1yGhfEvW5b2
+YUngRa3b6BF9GcwGtUwA0aGA+u0+PGXXW8ouQ385vSX3fPz7NSC+O9ia1zWVC0v+75/z0RdXcu5
ctGBw+fwx0TVe31FnOZmIstWEUSiKlbhWBuYo7YqUNS7+rkw1o05QHjSue6mMMzi5HLS21IVOxzU
hs+TtLi38y23OKR50G1rWD5PwoNRp4kLMhgKKn4xXMiPQVTDCeBV/nOqdTDERmxGI109AwPIL5Vl
qBtL67xFlgmPg/XtvVDHLRwJnEwtK7tIm7zyElfsqQw6y57hRj5URmlQnmoSUmHSZ5ebLapSJART
NVkF46g+Uwzu75upAsDqmWPJWS9YAoDur9IrkgaV6xB5UNk1Yqc/FmP+La9S9bk2q/YM2eIx8T1Y
e/UoJKMr4u1/sXZeS3LjSrd+IkbQm9vyvqq9em4Y0kii955P/39EacTeHTPbxDk3CAKZAEutKhLI
XLmW6Oq60i3SPHTv1qAbt7oTuY9kT73nWm1Wwsse2b+UOvt4mWpFgF9wzQzGSJ6wc8OTX+r1a6CX
y2jQoGO2iBSOetusRbepo+/Uxg83O2mjh5Szp1HHgEQdXVvnZlHDe8mkBLWqjIzJTs7Qd7VMo3os
baLAehycGxlBxKg2gnPLy1/YRON1dbluVL9cm6YyxgChm5tumPLWA0GyTxHevopG0YtoJRcmgnZa
lt7HgnpMqFbyfFRATeCMk7MYE1dUcJY7uSHBOY+5ku+uYHtRFiAP83FSjyY3MnHwJE6THEKKmrYx
/RvzoLNrm4YHlPPiqJr7M4gPvDDsH2Hh/lSbXn5NSmkEllT5V0TQ7R386AFci6Z+6RTqd3MtL16V
MA/IbxTtD7C8hqY5P7UyfA6f01LWeUMN5r2pEwuGujZ5KKIMSdN/HW8n46cxYhvojzSL2PB/FoZX
qRcHPDMlGfK41gEWnLNRU8BGhj+QJBpgdRmGo7iaG8tQkq0SNVRRo+LmTI3PPoSqx+ky1MrnViVD
PAu9iXFVok5fjN2df/sJ6+zcl0qxjmXd3UlUo20RWx1AG5nBm6pIEtyBsrEPKy9486Pka2A61ZUX
d/CmT1nwuHr1XKsnNJw8iSljUakHUobdUjjFnGBBflHtQRSWd8rAa2PsqCwyekt7MUMdietoqK6x
osY7RS4S8AuaeSrCON74Za88WhSJLTvKSd670XokyD4B+dl+kbRauFSyBy7bEF/XyiXljvWjXvEG
SQpFPilw1R5SW/J2YyGP19xPEQ1HyPS16zgl51945iQn3chJAYRVtyDAJUcr4K3xyZvKpJyGUsiF
6IsGSF4IwqEZ0WiM/rKINYS78LnPEX1VgrG1a9+HSk8e/In6Wum77NSnxVUMhdMQCATjHHb1VgyJ
ptPV5kqsYCHmzOPiSp04se9jeNxdf68PNdj2vqCcEKdLoupq+2l2Ev7yGEgb1xgrgFiaszUIbB3H
IiwOddY5hOAb/2xXmrYBExfdULKyVxxchqdsMGoSxloxvXNzpIo0b2U31J3pka4cYWyBxCCZ2EKU
so42YjBUUqTgxaXtwdDsEk0bjvKgAkFTOE9nXlM9tV0MElx3CVYncrKVmw5ixD7X90NSFvt0ikyG
MDJuRqeMb7kkQtmq96zLWbI05ar4go6wD08oocUWYlKqOVO2ysPWnQ5RC4CF67YroBpzM2tr2cPC
mAAfbSEFBw7g6L1NXctv3AX1EtIpjJP29bdbY4EutHsqZjJf++XmVqaLaBluDquJcbGaObmBa/no
xi7EBCcwxqeorsutFNsk96NBfQpMs3zweYKbtW8US1elKKCFkeBQOrH6ZJmpuss8g0r+ydlG6uUp
pbRnctXzJFsqYN12wlWR6/jQSMC1RVe3agQvnULddRYpIWiD5KfEh1nTcIzoNfc49TSjan6pQzbD
/PcrX6MRKgm/Vr5LacueK4Zom1jFwibMFS68cssxA9FV8DTrKkqKB0mq9GXVUGpehi0cTU1C6JAk
wFeKyM+Z3xC3CO2dV2b2T/JzL24fFu95YuRLSyr0Rw2U3KaGR/VshpG2b4ZE2yGa1l7EilD9pJBy
ubBmt73/tczYnfLummLH9xWLBPTOtKLeOvlymEgKdWBRe3HG+btT0KcxMmLFwU8IbY/GzqdIMcz0
PkVvZkjWCfxDsHRLWp48BHWevRRN8ZJ1mnoZ3DZ94VNmgBsNIjKTcZQyqO5srTwIq9VUIfydRrsT
VrIeBexOrok+J3MJwxqbilh3XzUXMDQF+HctfrcD+WRMGiSmxfHEc50vqW5OdKNBc3HCCmBmq7gc
z2sKwqKiXVSaVf8YN64n5T/KOO4BiECJJefdO6UdzsmVyl9N3VTDOs5ibfHJ8KlrlhWnLYojxfgY
ZHCHOEgIJqPunPyaMDTk6xxaQ4MTfhH039mRQcjcdz9hPnxFUNz/4iTwBFNX1F3DuDd2FXU51LrY
+TUhIbyCZtvcmvrgLHm98WefmoYCg6Op2PDI9Rry4mIwQxUVYekhIjNtuLy/xmAR6J5+6qrKfXa9
bvqhqDXCjHST1inXZWMgeTE5oxJgbkdNh25j6vqNA48zYsj3pazcaS6+1LyIqSOn4kcIj5bW5GrW
Tbdk6xNsYs4T1EV6Y7TKYw6emSb12luT8PipVpwben8BJLlH+SGAdMBY5dHQ/ZBz5Skly/jVbc1q
oVqm84qe17BEczd5khs5WEM8fXQSC55Af4CzNRyzfQ8SB+YTRcqWddke2GrY4NmxKpYebyXDjldZ
5KZPydQMZBbINDyIEdn1To417mVMZ983nbOqZMaIbjfl07LpJisgQp28EvZyICKctfAVV417DonL
Lwu9txepLz9HFtVXJpQM24H008Z003IpmIUEcVA4FcDWWT5JxwNrlccKRcRYfbV0/nl2pF5FTyaE
DvL6GU3V6qbAOXwos7RceallvA9t9t1KjOQhdyrpAj00SW+j43eEzsMUjXwgm1x9S/zmu8Hf7J2X
S4P2JbCAUGuCJYzNN9Tmu0tGEdM6sG2QxI6FZKbSVfvSo9zahW9yQDsHuR15PPFr+UMZeUCiA4L+
W916G9MBYQnfW/Dd4T9GKyVlFymhtCMA+G0oITZPdAjIC/jQf9WywBCZqrn1pg+6u0XqJN2aRd48
+GZ+jt1BRZRL4+hfJn/KNcwuBJ39mxUWD53kh/u+D8wjJN4wQk6NEV+9/GtW+LW38DrqRbOg/dmp
G1mTt31QOF/8zO3WtSaXR5sDxNXjIy7Dhk2WBoPDBtVt/VqOjbfsiEVSLVSEMEU7frSom8ii7FO+
akozflUmiVXIU9KFa+U536hhk8n2mw/X7jfbDmBW6Sg444USbs0SZhRXNro3xwSuVep++6dnDNvS
K0jcNdpzm+oOVXrSg2emu1qHbGGwIB0ZInVZ14hMd4lvbyM4yY9ZX/U705YO7pila2VwjmNctQuZ
oAeBmKbftIFmbjK3+eJbaY3Cux0sqnQIvsHLdLONwvqR8+OByhkNWGjQN45U1weoXw8O9c0XHCYx
cyoULukALj0CBtJ7fvggGgjKlKMUwUo/DUWSBK1YYhtrcjvKubMG5Sx3+Zfezm+FmRKNz8pnysfj
K8TO8ksmKa+wFFoXNcyr82CUty4EypMnYXgMnB+h3KQnGdIJJ+yHvWfBrgK8P9NP0sVtqFT0zeS9
A5WxBZsONdPUlQbzOkW2Hk217S6NWVO4LgFq06UwWJVy4x9VpzkrdWPDWT8hDidgou9wxRbhe5T7
YKQG6AvEuGgoxgJPL1xE3/GrP9j0p7BoDy892kLXIg5faiWrLgRa+SWNHRm+rmpfZTsNFxRZJNsy
aL/bZEIekAnWzn1vUdqo+8GS3UZ24upBGCGN7x7QRbAO+Rh9I6yPR6cYw94Jonxx7weq1S+GSo0B
1aXtOu/t4rXQwmaNKGS+FV1TM3n9OAr8st5I/ZuTD8uupgyUKJuWHu+XFqfWo6tT6becQBXHyNMf
SQVLS79DhNB3Dmk13IohNK52Aqq1q9e6o33nXFcs5LD+1ulGexvrhLRTBs1nGbyPJb/DUFKXQxNW
Pzv9qbMtWH4i3zkVpJkWsFC1qz6ieKYJkSIPpMbdIRRHwImf8y2ByfOWTlekoW+JGhcUcTIkjG1G
oVTX8awUXVnVk4uklN8iUD0Zul/PZSS3vIOghRJdK/DG82ATLOM99wzms3tMmmxJGYT5nGdysgiA
CZA47z9qq41TN4403rq++fXvpNWEhzA4vB722sDdfyu4WTBlD0H8s3Bz+9AXcD/aDfo2VN0ku0Cn
wor6TCqTS7jJOHIPGy3XiutolxbFlnJDDMe7OXWR7TK26sfUJi/n8/Pf8Q4hOZdBpQDh4XiFlDlb
u0EgPzZjZKEy1MnPefxQlmxAJ7neh7YNw12rowgfek59HYIp+eLE5bvqpme54JcexT1q68CZiHJp
S9PSkpvWGPqucUd5B1YaJfNMjdeKYRV7xWQ1wN3TK6MryEyzL6Vqea3KpfnDzpMnZUAmqMpkGdka
ad0ZYf6TU97F51n47rV8ws6PMiiagmZXDvXF5qe0jVS72/aGPdxky/ZWcECrbzIJStVMwp+peSaT
BXScH/PN7Gvr3fLhOS1apXokwdRsirjOwLqUYKMJY7Hnqm5ZpTfLtLKib0XWL/2sjH/IfokIQhrE
LybQwE0L9clxHDVYWgywvL7TKeT0h7Na6/az7TgKj+wNUa7ia+AblHfacnFw9c4CT9j9ULyIB6Vt
AcU3KhMgfBMeoSIO10RuhkvimPmiNYxvoZJ7z5QiDjsF4tQtpKfOC2d0qCJT709oLAAQpsnwOCR6
R9lPKW/KtG3e4EU9CI/ArEeq1ojPqV2VbZu+2smWF+/hhDD3CvmHE/+XEam/2rxCPeGsAoj8101P
0H1Qg+GUEvZd9IHjPhu6Tjio7A8T9qTTYAguetCCfR2fA4B6VNSU9bo0kKn2+FuuTPQv97xcpNcm
HP2F3dqkvydr1dgozhj6syxDPkrigU1RzYu0BFKh6W23bxqi16OtpO9ObP3oQJreCifUb5nmf0es
PaUA2lnk4KiX1PHBsODI5h4RqWHbt1H66KlT5Dprqj9NyLOSoFF+cMr5UciB9VJA/bRWlOjdHsp8
Rd7TuSVTA2YZJlVyRzvXlFQJfo9KWY0lmCXfLZ2bcHQcE2h+SBJ7Hsul3iT6y4NlWkW4xcSVbvZ9
7ftisYm4TnPt245gs+T5azvL07PkVQgQjDHET60Wn0Bd/GEBmDwHmrHO/OoJCupgqY7qaayco54Q
x7UcWznniLovx8FXVkZd9zsnrtQ9OiTDNZ+aYJcOhFxAGQS73HOClW426ps5wKdf9v1PiuFGv+PE
7rXhS0m8fVHVTrbuIEjicRl744EMwtLXJQOhqFzbyQMgtrgwFWI1nrVzIyld8pXn96rEX3xHhQbG
RgRGk/PhNFKsukw00tGhqfWrzoiI0MuDRUld07SLqG6eIAtKdmJsbqgK+8ulstVu3VmdtmA3ctZJ
FbzZVUcYxtKD14mNctUmhnaLHN/Z+BRnu4mxJSM1nigwSneegeJNpxYw/gT1uSu15AlGBfbVqOyB
vdL7vRhTEqAvsMsCB5XsG0cB64eiEoYaJzky+9HT2CWjNvFVlqTh4OvZeACPzV/HJYMRUNR/asAe
sRGMvkgVaYeOItx1CwHzLil6+0FG3lO21JZDD0rz1L0SKw044/hBs4y9JDiBGU73wUjAwgbmsSqs
UV1pvuNC7tI9ekTDHcMkhT+GknmuQSi61Ks9SJmXPbCXnqqdkY0YTXZNHujdFxMhAOTIfTZ5cV2+
oPJFED3Sn/n+mGB0ljC8pze7mXR6mxeLYuQbkc/k3hTkpVcFDGHrYfIShrCo3Eud/yk6CJ3KaxKm
0cqyyvEGw5Sz0JS6J8uijbf7mGyYWzW2dfCvuAgDpwX9agCRnEbyLoyWsoGAey015al3rOLUNPGv
qxiqhXVGcH8ivQakLHzulzyJ+F7FcruJeROeSwN1X0k28m2iOC5VlTR8DZx9U1vE79PxbJQmL4Ak
fKgLKeLnz2ORHayFIiwM3QibUEJSGtaDGKvtjEBjBW1paKsckyqXJB1RXVB/21FO01VWDJcGOqCb
DLPBUnN978HnU28JzcVkCztY873xZgMmOvGjqzplBa+gzmva1Y9OribbOtTfW7+Nzn77nSB4eYmb
Id84tgtbTIACUeVCuimu4FSGJkdczk1tXfqiHwidIj/Sm7KJ0IQFX7UUv7twnPxhIG+xMHSpfuV5
ryzr0PWeCrtEqS0s3asp86UIIkh7guhoNmjzqo3Bq2XqiqaD1IMqSCfrs4UwqT1x67RbSV2s3rTq
MRDkTLIZI8/DH/jO3SQTjttTFUb6YqSohFOvOoX6EHATBEuiKXyFbYFvNhvFk7U7gVNZN4iR9ir8
QhOFk/Dr0LWCL9o8RRk8AnnoxavGUvRDHVCv7wDmelZ8s3rkOL2Q+yR7hvlxDUxSepg26m5TKW9a
7BSnMgnce9fIk2QZDl24gcAFjZW07aU14qXSNgam+1jp2Z+UToARS7vuwG8tWHRkqh6MLAIv58Tj
1nBcAFel9OqjbfXYDclSb8rq2RuG8jlL7FsOmfAl96Ty2dE6Y9kOQ8MTlq5tK+6WFEW4cmv3YmR5
d27zwb2kiK3Dzxm+eUlY7gPZzync8KI3MyI2SRwy2AlrRB01GHlSZcLqSghXpZH0JNu6/Mj7YyeG
e6tNT7GfgWzioAlAcvQhbyCDaWhVvKIewnwx4ggCbxXucCqqzJekIvYN0Exe2VPXGGRlm2e83qXI
Ml4SqpSAhCrxWsxVndbbwvDdrO9zG5DDvO01GH5xZodXbbLR9eBJY6mo7QNI26n/El0Vkco1zPzy
RjinHZh0HdrRu1X2opTQjZ9v73P73l1B+CNvhbNGMcWq9G33bo3NqllZlNnvhLMcdICe2ikNK+47
+tJSr+toC250Z1hOe229wdokwZif7OiYEaF7Ru2rVeTueaqkeU7K/pX8nHPOYBbYwfAAu77Wd9em
jveUtDtHS5NgYxFjtfK1GKnMug+1WhdddJAKrpyrAdSlqX4kO3KwO9SmhX9aBvGK83OAfDnqJlba
scULyBPLYYxsHbmLROn/THOj/ZrnvoqqrWZcqUsPdwG8UTXpsFtjRC+NjFSY6aTqgZh6uwyd3nsr
CR1vNHgONsKqVMh+wPaHushkzXQgfVXW3rzA1l6br1WReDvVzyAt7wjbhYlZriqpKLcgl3lv2d44
HBxkKox1aFh/XcbTpa4khbr84PDhUk+UfBNN1V6e8egOnfdq8s+jaHlYSdAAvWp82x7cGCGiqScZ
nX4NveFR9MIxzS4F6DzRA2NlnDQUehbBRK8+lpA82X0P3/m0KgKd2mZi11qFpqRdB1f+1ejS3pI6
7zoPs+HPD7ELmHJymsdjHc5FfwjM5SdD5oXyonCTYTs7CxfiEZx1TLjmf9/ObTkwGqWivCBMsKG+
e3i3R9NdjbXTnQYllc+ySrirUQEOhpyR/QGyiWBSFBJNMckKiatYMyYeDIRhRwtFITGm/L6KsynJ
3CJP+8kgnIUV1l5EP6aVxTQ0fz14FCCyWI+AqO+rVsSWgT2RlGoWIJlX0TCmh6wKfjXUBqYHIt/p
QVzNhtlvNnzy+y9c5uWBm0F4L9af54nu7DPf6b9w+bTUPPcfP+U/3m3+BLPLp+UrT/rr4//jneZl
ZpdPy8wu/9vf4x+X+fd3EtPE30NpB/Qd/eBRDM0fY+7+4y3+0WU2fPqT/+9Lzf+MT0v93Sf95PJ3
d/s09v/xk/7jUv/+k9qeX7I71DJEewe2dsH0MxTNv+l/MEWVz6yUHOF91r3f6FH2sX+f8GHa395B
DIql7qv8J//5rvOnljtUaNaz5eNK/2m9/3R/DjMcvTs9ZHc+3/G+6ue/w8fR/9f73u/48V8i7l4P
480ounYz/2vnT/VpbO5+/qD/OEUYPnz0eQlhiaf/8k9jwvBfjP0XLv/7UrZTQp1bal8HyQiOjdRO
DImAzY7x70ZYomEoDqp2E8NiRFxVYsLsa7pleBTmkgTS3omRZdM67zHTGn3pVQa1VbUhPWRBDIFa
3T9zCobIdurFOZWELfiWyS7mjIFuHsi+/xR2Me7CE7UZSxixxJhoqh62DFMHBFZDtn+CLvoKqUd8
LWwp3ne2g+BzR52vbUb3BobK+JynMJBOXloUoSQnrIElAWfz5NN9TJjVSP/RAqAictZALSOWyv2e
Oudcldd3RxdWyVVlBDY8yQb1JdmIxA4ne3CYiKlu/AgtVxu+G4P6+a646gQNyNuHVPdM3SGwimuh
xMVVURpt6+kF0HUxu9WqYecWIBs+zLZ6B2By2rxDLsiKYmJl5sgSGfXDvJZY2u+0iqCmd7yvFyRF
cwrTGFrev24p3NK+688qG4u7mz5yRLPUnSOXPUXM6AV5k4D9XaweemRK1D8I1zcy9Vfj0G0N/t+O
gHK9k19NWvZC8F4MiumzuQAn4kiOfki6BlSFnRcUnaYwfWTWPi8s/95xlMABDTON58BxIbgieHWf
IQbnaZI1RkuSHvX6w5y7ZzWU6y5O0uPniaMy+PsmlB4+rSW6RmaeiXQbe6Uy0KqPEVob5c67BE3i
XcQVYC8P3dbS27pAZslrY50Nwq9zxug8Ulk6uc4z7wtp7aNtRzFx00A/iGYkdHZAGVk/iCsE04Z9
IiULYUx+u4muq+teSsEJMzKKoxGblRatIwMvQ23Mh3isKdRLK0nKRYy2iMmtwdRqS2G4Wyd3cdWN
MiFv1TsJ39mDjJO5kXIoPcBr/PKdrZHiPyEypBKw/RejNmb6Tlftr/O4CZ5QhU8rzcjyuPJWWOab
OWgYgqrroDCZPvXvz3XvppTqUWpor8WHMCxP5S9SJjBs2e5BNEaWoVh/b+fRLjIZzagJIVo4+SYg
WxC+HlC+G+NO+rCAXuQEDOIulu4L3id9WLDs4XqVYGhYqTCjH/WpCcO8OYquuJqbT2PU6UEby0Fs
ORv+pwXmafd7qL2zyaC2Szn4lP0p4YiIArKa3HzZT2+hkXK6ChGUEAbibREa1IjUZnCkw0trHygF
GNOF6IM9/TVoGf4zQgvyRoyDHnMO84zZtxTClmIZMXf2+dTNvZ5qDKfej3L0LjUpmYzcgMlND6On
AIDa3rYIGsh8w96KVtsJDwq4HM7cjn+zJhh7mlFdl5txCaTKgsJ/gpO0E5ykGQD15GNuknqcLsVg
PVnE1ewjplT9xuqRb5pdxfDfdQMBUZlXiuXx4rb18DA6xk2vk+654MB9yHW1XA9lnH71dIOUEgAr
QmcDJG9TCkqO3C+FAXA1KqBfC+vaXUj1sBdgY4FCFk1d2e7SMJxkPY8J2HJKVd06Ab+1FIY7PNl1
3HCr2Xz1P4CevbqN9jAvfrs7NlRxVwGMuQhcuQencJwDJ1c9XYhL0cDFbgAhqNC0v4+WlGn3hWps
tNkTslMXGc7Jh7wRMrFTI6bbRR0AsCQskJtVD2NoCqG6PHo1sjlBdSlzeJ/FlWjyIaHaNtVBdbjV
L0P0+yr2ADnA5KxvhbOsachBRz6cqLVVXfs0fg1dx4J8OAZyKsWoYf0eC0llXYXBn67+aTzp09f4
9xpR+0zYMj/VTh6d4f6Pzk1prSqH0CekXr+GhHEsuhE8SaXke0hoT/JoD91C+FQdCGrynijDp05E
feC0VtLWVbAVl3Fj/LADNdt+GBO3Cn/m8IKfxLVEyLTvtQSiO905JFPTmwqMlHNfXKETjC6JWe0+
j0utc/i7sd7w3YOE6BOa7pPPfVUxKvpijmjagdKTpbAUxSDvyCq3hqncdN3PX2vizb4MkN2Mff2F
qEdtNvmr56UyCuoduH45e1WQkL8anfkkZoS5HZ/LnE1jrhOtNRseNDol10c/9d2juEq6/I/Bs82N
6HVD4R69CkgyL/e/XMLfV/NYB8wUNRwX9YnJOhvuk8U6YsVPt6up1lmldTJx4v/LvNn519xARoXC
CjayH2TbYtS9B0kuYaEvnPgL0bt3o9eVn4hrO4ZO6tf2wqfYiup3p41I6YSt/+iHNs9MI5SOZm3G
x0/rNJB+Hf2uhO+GL/FJkStr30k58SdoBxY14jmnAHmJ4dzACrhpQ6CXYBHM8i2MJGcdw9a1sAiU
kzBNojW8Y82pmRqSdR+beUy4KLKyjkpb2s/jYsLcFW5iLM01czdGDlpt/7KkkY8f7zDP10LSEXWS
3FzDoBAqRtzBgpV8K7qxnCcXJ4kvAGyjfNmkqFl4PmpbvlbD89WjwKVoQb+AVKsjcf4vTYZeL3qv
BtzeC2EKOwUea3GZewkqsAVhtQ+DbpGZa60LQbk5VbMJlEiZSg78J9E0OgQSaN0/iJ5XQIAze3ST
W4dHYI1/ebBrAv+oIO+tFGm1Iu3onUtBklTUMdt2N+vXYhDqTP88CEKkeHISg//sM8+ZfaqJdkkY
wlDzdjJYPRiEcu0FrpDIVfKXtkKJ7q/OX5ZCKqRNSnUUxTDTc0/zsnUIlcNSPAbnp2I2wIzrT4Z5
7P4cnQz64BJInx6ropmXmg3ztHmp2TlDsIl4bZLyXK/HJ2r9+4VNxv0wRujFqInlkWulpCi23KZY
VnCV+I362E9GiDHsZaOAzBa+vWQax6Ca9G4zrS1IqwRHu1SDq7AGOf8jaQKNuehaZOYvutdPQkLy
UzmsW+pjKpB0QBYmuXM701ZuY/r7FKGLU2LBwsWZKI9W4hJi8aFa2BnITspQy009pH21KDT5l+vd
Pk8VV10wcTAMnFVElyg71Uw9ILxIyh5tqo0vbq0pzwNJz6UWWfoe1JTy7JeWDdu956I4nUMVJuvd
0pyyrwaSr3tDK/4sRtnmuDqNgWn0AIE15X6c8rCi0T1F3wd1/afoNVPOVvgGlO78re+05jxdXIl1
lUwq97B0xcc+6grq19lPKfwdrnoJYEaMtQrVmrXjOtuxyKRLTp3ueqhb1OZ6L1/2VaIcRtHEFQCn
bJITXIiBD6bJnsH1cfCS9teVcPngrUXBlzSTyx3onfKgyhBL/lYbFJKDopsF2ZG0iH8UQ7VQJawS
UmemnE4U/H/pEwrn0qRyTupVoMdIFn6Y0Sv50TAt73hfQFjmVcYUuuvV748xtBWJ8tGLl0aQ/yCV
mj+RgSqeJCn+g1x/e9KnniIb/Q7IJFJWk0deqMVTFjQrqM/Hm/BXihEh4p4SKWGUDLN6UGtC99N0
Mcl1YwXAEVrf9xvYcXJOUoPafi3Plx2hkoUZOdlROIMiGPfqQKWQuD8KEfJ+sElLQlxttdpbU5Xa
2ZKAx4qu5UGqPNZU5Yhu4VjVQtYj65x6kvz2a07bKtpZSuAZdwtHe5vnsIkNb6qK2p8Pp2Vgxd8S
MDjXbGpIYSpXX02MdT+pl85jwpDoGToJESo/oisa4eLrwVMPOvEwD4krakZ7k+DMvA65Q/vgplD+
/r7d3VOl1tztHbCu00cQTW/pMKin/rZzpfpocPbMYRtQ66Palzuz84adrdQ19LQMxaqpUbUi+uJS
jN7niOlmRRIRKG5Rrf0R/HNTZ38zIZOp+YwCaac0HCFEE7eeC+pq6leypN4HKXf5ZZ4dP42N04zG
bJxfk4VZ12J1q4DL/7y0ETt2grbnvyybU/qy0wb4G+EFiVcRijNflMbpeNPqiHSaXvZFsV8gRbZe
oTYrz1WIZKDVx+mX1B3yte1RXs4RG6LnUl5YmaysnAmZjxR0ejQm5Ka4EmMjQHRgxZNFNNnvK9GF
Jg2zY8TQ8nTTizfr9jJ75hO81M1N8ZP2piqGu+o6FG/mMVMuvHOVu1sx1FF0CcvsROmqDXa/F4Oi
CSGG2JoAOiae6+Y2N+ZTWLvZDXSmxVHRoIgzq0oHwD03LEJTPicGaDZKTFch9Jq7nGz1a1PxF6pC
A8nhSYmZ+l+qq92mPupTt6tBsFIh7J6E1bT9r93gDBcxFQTsNSnV4iZstp5vG92MH4UtkOoFCJz4
WXEU56VDfhiGF8eUngOY8m4ANqtj5oJInXoJ1Ab3q8aJESFQ2movDL3hlTentJsdTFrsRybn2dD4
0l5W9AbBC9yELzg2b9N4AFNmX7E6InJF5Pv32XebXwLHkDRlLXmeu3E6Hx6C2MuuopENpKHGGgFd
0UXQ+JehyiuoaWTZ28zO6WRFcqJb+VEO9dzvVaJeya6erzrrrskRCPptEDOMjqhdKFmQMenSxoRp
e899zH2qoBozkVPKk9QeslxoBQtay7k/mxEuhPBS9Ie6LnaVTvGyH43bjPw/LE9ee3M1le/bdKVF
5xANwCs55V8joZt1U9SH/yDhMBnavC6pYABMSrR47UoxdfqhA08gBLT7zqmt2zA1VOWiAlwSHYuV
wLr5iWHdDMW1tnUfWYt5TFck5USF01EMianCFxqbRZ2qPhhFVhNGxfOC+23msfk2TkvFcQs3zdHx
rXZPYTbF6XE+vplsuVeJ3hCPnLo2bFSU7esPfStVT5FubT1ZHcGatN4xBmG6DERXt6J13HjVTliD
ov8aulOqHnTOS8G3V3jBrQLxPQdCRCtYuqiUdAMtR7AV3TEsQFEqvnMWXaUE8Smlb6nmNxfeVPF9
EvosMA/D1LAWXrlmSIuyBM8vuqkFYaeK4LZe8LU18wylBeiA9lVupVseutoTyQae5BAJfA9M6Lch
xP8GR2C/tJD6vn7y1eEJQIsF3zRG5Z3t44riXWdVy6N2bKdGXIkmQIrqaBW+W8CBjkUCbrVotaiG
cJNuVFaPmlOHb11UO+Fznjb1Wy43P5Qm2NhWUTzknaw+U5YOPLKs2CkGvvbcg/ZYeUbnboU10Dnv
o1qiAcDAeUD5+xi5wKSiybkkhnijBPwgjGJ+WPwZ25yGxIifh+9eKcFwPXlLOcT+I8TysmHIq5if
2qNoKL6SDf+xM9r8kWLOkViSDNnl6Ebx0o45rqa6DjHqb///I+08ltxmgjX7RIgACn5LTzZNe3Vr
g1DLwHuPp5+DoiRKuv+dWYwWFagsQ4pNAlVZmedrunyrB6Z5Frb47qUIkg29llz6nDsly0no+EQj
Xtq5kA1Dlll7f0hfGqv8ZZoHZJlTnCorWl77t5Z/iILp1EpE6Qyfl1e3ovkP25ia/69+t2FRxPc/
V5phZSR+TKy0B3FnNMgYnnNORR0IiEEU8qorOCdZyPo/zcSChrsg9I7Sfp1BDvmn3832R58CVseG
38N3TS0Fiwxe+I9Xug2RV/++m8zANzSwrFv8rx3ljLe5ZT89UMx1yV0FUjcaAcvegSrNtzYuNubM
lpZ10CYhwcMENN5s/aCjYfRHfR7YSqMccysqx44ORdErDwQOmk9dnX1VcrM/yhouV7Fhb2auOr43
TwiH7MI4H45Z62io5JCpMVqRQN80Exdpk0WXmUAuHZGvZbVQJmJ3y27a47Pl+99WwSvR0CEZalqL
VmCebQx3bE9xXLvkqYT+QZnJr0yK45oAoWCqfGLQ/eAir0zB0ybXWujIfzegMob32DM/Sbs1pREY
irmLlvyoew6S5Bxp7gTAIQbBbU6xUJAlN/Q6sexbjRwYeF8ThEnu0ibJ7+wheggNM91Gv03SXlpV
UCz+vRzIaMfKB30dLdv/6PR7Nmn736csPPfX7E3hbwlyctZa72anOgk7QAtkGhTkmCxCqwu+Z4R5
kkT0g7/Mmw4b69Ok5c3K05zkkueQBIH7id1oldrFYo22srq2WJK673L40EzHwCA8e1MFpBLZtT2s
/jDKS1noPgHqXaN7hGsRs01st5iOt+YRxH27aD0+JnSTv9waQvCwKLGheamm+SNPW27H4EhljUwJ
467Op3dZk0VfGPOXpq/Woh7zR2lTQ0Aw1eTw48bkIZrNUW24lm3GbAJ/IraTorfLmy1NG2cxdgSr
3yYa4g9PQ7v8OivpYAfS5KKFnEPaMhe2rJcM0UbaWByFy1KEzQ7OyCUvRiQ+kFl67FxrOMHNPEVz
jTT58nGEwr8BmjatZFUW+PC/Eygf4Z2kW1Kb7sXjxFsOkqaGbOstZINuWQGGJk94GIkk85BmHApx
SYiON4opPDdzTdpFYBl3rB0Osuaok0GUohjLrY3k1kIar0WtiosnkArTW0hz0hb0qn42xmhRp1W0
tlylPIeFyeksaN5dYmv6mf+3Q8Czrb10FgcoamcE38ZCW6bAUEjm7oxDZoT5l6AkcdWBSgXsSFHW
8VTaRwNCycGtVWNr4xS578iHXIFgUT+ZefjBCVf1w462KGr4G+4z1dYme+6+dYW1zEsfm9W27iJn
bX5sG/cgWy0lhnifjHzF0Rq1diqxkPsEiZuVLirrSNr8d5AKAQkUGpLes+lW3GwWjPZdrrbkm9ND
2pVhLDpY1r+Gkbv5/zPdf72qtM3vkH2XWPtEylfz8WUzF+188ioLko1WEQG/x5tJ9vDFqG1aofIH
nftKmxwvqySCPhLvbu5l7TYvWTIZLJBtTrrUoSWsfJZZTp/LLiFZ1P4Myt691JywjXVW7nKhhues
b8j+NXXrAW8QylOuB1wJHdIFshjm58Fsn/qYb7Ay1Euz54yTXf7dla/6B2pVXo5uKtZVaZAqM5NV
hW5SyKu5kF2mmc7azl7rcEp/TKIYL9zRwFwPQfdBssqhJK3ykw/caEt+ebcrQy9Cxkb9MPmO7TLH
Br+T2/nrQALS1nWmcS2r9dB0a4Sasq2selMfrVRTj/ay6ooZfoXQxd3IrfLVh2RFuhHorVJVlRP6
z8Q1Z+DXStURL4OW/axWs79VVt3Y9UCRdT9bZTW9L4z16Kvfu2lyIb9aKqpDiUGsb5PFREf37GAs
DcUS/jOrVOnUk6zJIg3SGWQhvke9nqXrwd4LC0c/bgOddBhVv17Ni3USY8qeQyASzWSDgZTDtZWf
mkGK0tw7qUyxLkQPe/Z3s1uaerGSM16nJbN2MWaesm6Qill2SZcfzDhFJxC52NVE/PmHagJhEO5n
ZerN9aQF4aGtnOxJj/UPRDzTbeH7xOm0fn6SheMNzbF3LrIy1mXZrm6NuuJrS7NCYmloy34H0PDV
y0qSCd1KLFxhK+dmFgzhNMC/ZAm0JVPT/7AXZeYbi94BPhk2LX4DuslREGi7/dShdMnxRfTeChiV
lul8aXqfB11cwInvyMto+6aDGZG7X8AEfdGKrnoy9DE+sFTS1iCe+y8xy+NEd78YeOo4qS1UYmGF
9mhMznc5jn0Aj2/STh4GMh45j2gNnruheUWSqcOToVnaZzJK0e4kRGQvt46ySNkKBXbBY2reTcoi
LEn7VJsSgfDMdiANF5N9KlxrJTehTjTLtWX+UvMa9VLHkXrJa++9Cn1tL2uykI1R7C16cuNON7su
hHFsC30qkapUa/fVmvTpZHnhuOhURAUnIHNrVwzOVlZTxXxB1XmJGiuaGDO2xtCigE9NBEd5FU9B
Wi/kpe87cb24NalOw6al0ogMZ8gfHX9eIvu3MBrLheY4DcdoLny8MNmq0vs3O7farWxAfctD+iTM
P1lGRsZhUQU1f+ue6CF5GczYnWgWtZgfOMdrMZN8rvVrp5YjNw2tL4BYc8y0jIqu4blpbD8DG41R
uNQKrmL0XCexa2btnppweZ7qkb5rUiFe1M772Qr6LjqMPcpwrBOcBbl0/sdkx9sqMowfEPb3ddTi
5APSwPbR21u1nd9LR34iymmh+llwJ6u+FgTrUgVN5sT2Sz1M6CPF02fLc4pN0gw4H127epvteSnG
z6TMgmXlK8zxzrIkQuqQq0P4ZjgxMGO3fm5HKJBp2H2XZiftg22hDwsz3Vns0Q6QuyE1z1fG39VR
GfpZvpDm6+W1e0C4lVHy4LyN+Weea28NeYFscZvTd+0HmzyIbZXZ/VHx8x7Be6SszF67tGiZG4j5
YpOtsTr0R1nkVfasDL69jevI8k7SBhqEGBpRVAs5giCTEPf0PGuZTfFO4/ynQPwVrW9ykoqk38S/
k7n4A9rTQraaYfSe12q7mxpNkNUwjwiDhpOgwgrJ0vvdUWaBgfSxjmbzhW1sHIO27FjQFCxCqoZD
jK1SxdamgGcG7Vpo6sr3mx9FgStfSUp0Asl7IbPil9g7/1dk39v+Z4MUgL/aZkLGPw1OZpP8eptG
9pYq8Vfh+L/n/69pbrarfPzvEZkJWYXfLu8mnN9NOMtDy96392oG4tE3Mn2hKXW5wseQ36Mwlt3b
8xXxBSQwWRdpkcUUoCJX9Zb9R1c3aUb2Q7vrkN8zDOWYchvz2rUcKac2HLU7j/iypMlIuwDFC9PA
jRwG0WaKTN9daDxXT4XTrzVZlePSIsk5zlSNjeqTNk6aX9ceQyJCb+9Mvjr5vjY3/Knb3hrcpu3u
apyO17dhqLMImLJCyNl+SHE7tS6OUmGWzkNSu8aJuJeDbFNnU97bgDr0kdXRXJUNTdH260pz3ZWI
WIcv2cF5i5r2WQ3avvbhj3qxgPcc5SzcFdoH1Gxu7cT+NXuoLifbiXdO2JrnxswTnq8pR6BarRKi
A9ngHE2GeZZXjl/pe79pnq795BC/T75lXjbtUv7pOL4ZYfOT2DW1Hi6seVbZ7zbVHBc62kV+uL6k
BisjJCtr1c+njX3X+qTgFcVOVtE6RwjYJBVJVp0U1EfVPiEY4NyhL2Ffi3+qskHaOjcKN8UYRJAH
if3Toz5ZoG9TPaAxVz2EEWdeRiHI+OrHio+ZgjyTP22yM0/BZpX00DpkVfaTY5uItYeBg/k69p/5
6jpotkVNLraG6vmdkXc/C7e173oWDaTAQ1oimepXwyxZXiKEAI7TjOq82sAuhzkBZrDUSn8lZ/jj
Uk4re8sWD4IIPzSkkSYV8SjEN5HELFI04ZvIPZIyjZOtN1FLL/pUXV3rZKE6x2uv0fUhWFjBxx8t
phyUz+OhnrP9Jk+QZXjCesWoPOVuIquQ9RWFGRcKMsyc+gH0EdohHorwGJLnCn1eP0RpsvHxce4i
m7SqqSjNA2e21s43+kdF78myhoq80Keu2bCBGj/HeBHIPx3fhA8TgW9Is6mS7mrPrGq62vtU/GGX
/SfCSa79jaRVTqgqgmQZwCf1ZXmuZnXdJGZ73BRjeJhm7d3eRlpAQ0BvU89iuzoblx2/qGAlW33Q
rEfPinlAzWPLbLTuVSXctXNfNA6cg+N7ryBMp4fa6vRFXUHtgQWHjIOpf9G1FnkMvwvBmRukuIpa
LJLIjc9dWCRPKC5dSmji74RZZRvLrxUAa27x7pLJjP+oINkPjXYO/FFNTE+kaFYn0NUICJWIAPVO
dTX5VgCgiJP86qRVCr60lPBs2Vn2kQ2yKovCJo/d81Hk8YOZ+XLrKK+UGemc919v00uznORm64Pw
c2u/J0M+bSq99rVNOVkkLSps11YIkZZL7qM1y6i5yYzi8ji0Onfx1I2SDQ6kdPE/RhFLFR10V19d
J5HzXTsZcfdJU/RqF+lReL4VVk4UdT8ubxbwSOEZjiVaCVNoPuOS9PfSdusir+rCmZaepimrW4M2
OgzDa+pvzS4l73B+satRXuYVkR3Qm1Z6Yvz5LnQbV1xbtF+cKu4Pvjd2B1e1fxbSJquy4Vb9o0tU
Ksnij/rvaZTJM5YeslpL2Xob/L/OZc8vrDRFsEOzeQ/aY9qGgx0sqhmh1UD2BwXgFKtCcfW7LHBB
b0nUVgw06hRzvrMczRBnr1eNKiqXjFFz/ijjJO5kF/ADIWQlBJh8vzB3Q2LbrB4r5b3vtT2Zc9C4
1WDg8Gtml8/2ciq/6zGkjjAKxLlojEMdtJte6Q5RbeYfQerUPCV15SWMjHI11Ep/b6lmuLVha9w5
SE8s22QskLYTwO+b5kta29GLXij2fU4icQbu7cXjPOY59w+ySRagHwhpVmt0A+nNuuKhro0Fmrtf
S7SCn2PEbVGuUJayZiJm9GwP/MicuF2NrLVXtr6wlDB+8oO2e4qHNFo5qddsk9TqntQ8j07cAV9l
oywG3/vssFo8yho4DntbG+RuRipuoSWTOfNkrh38nGyqk3aLI/g0tg0HflPOGmaG+HQQsok5mauQ
T9Z2I7ZlAg0oDJWeh/AvJR4pjKMlNWBnk/jSW0NZF1+QebFBLOMFUNKAU6YhvpeRVkQZXsomje9l
ENbcVs812eZH0aVWE3UxNqw6bLMpOC6M1QWx+sWjnRv5I2tpkiWyKdvKqmzQc/KEo8g+S1NtdtVR
NPbztf88yFdmuVSfTU8ydlGy7I3mI3L99k524STDuTSTtbwN0NRmqXKTPNaasYhtFsFxEXYmqODE
27upcokqX2GzRODnGcmy7pz2Nef/akLSigfKc6vb5CygUVRtPU/T+RC9elmaAUdk88M0ETFs4wjZ
n7kmC9mYzz1u3f7vtrFDhW+oSe6NlXVuOdAJ2VM74EbWY5Q6d8MQlBc0SsolKq3p1/93j5Q5hr/n
aLUSTRI993dlnDRP9ai8ebzHYz7XqqwNdlM/aEtFMeonPR+apzh5E0YSP0qLicYISoZmv5Ft4eja
Z2OAk+TXzUMSCcKaS+PM3hRl7rTrPnoe2YGpRG+N7eqb2tXDfR6r1rnlZmD1jndX8ZirSNflcphc
Ze0UBECi+u6Aw5wQW5oa8TKCXrpWRWeJl7bz7D+qt1bZ+b/GZvj+djBv00k0R1m4KuQDHro5KMdf
NnmlthAvcAV7nIJkc4DnmCKrq0KWXF2N7RxNGrX2LrX06TAV0LEllL1FAYlnkv3caZOyG7uWUP1M
hO9qqS+BfgYfBE4SDhY6L8KOkEgsiMGJO8Cueng2e0WcYwgyJDfxMzmmfrG+NlpRY+8tX/0UkNLA
UY/3mtfcIlxrarcdAjar3J305zIw6juOP7qFrArg4PdhHSPSUyntUtc/aaJon2RbBWAhVsrgLGta
MRZL5zyF3MrvYeA4d2OsxEsCAJAXGa3x1JWTvkRuKfiwdXvDSsn81DUFVBEBIcsaleC1mAXB5g5y
ZDwLk1QDRCc5kqV1+DGV5iYbbfNT3/fFtovXgQ/6eyJiuPoWlugcjo2mvFpd/1GZVXyRNVW81m2j
vhBS1z5wuHZKkhzl79bjJFMk/lJWRdanW0KBrTVxem8p+fH7srKyiSh7ZdoVRF2LBNeQOhdmMMCc
+n01pJAy2Az0G9kgC61IrGs/G+DHHdCw5W18UnOIgvxRW0OA8IKNnaGiNTgtO+NqjM9uqwrumIn2
CKm5X8ZF7fChT/6itisDHJc+LAvHz++stiyd62XqFfmd5pi4oO0CIqPytdWhc+Nwy5EaGggDH3lK
5XqPLE7b9E/CmzXDUyP6mnjeEtdj+yONunsDGNX7NPKDMfSyuG/cuNh1vYWPUEvFWY9KdRVoHNjD
7P4iB43OvoBC9N02+3QRqFn1knUIrVe21y0qHwVwzgc7iKL85urRqHZNbLXP+CRmrTFi22VrlQc+
hzzGV9lo5777xAcjm2SB3Pkr+t3uSdZ0q3aWutMTcTZPDbr4P+eSjaUyOX/PFSJ4YuiaezLmwXKu
SDz7SWqspNutM9sEdaOw+emv+6PeDYqzTFuIQ/W8tm4E7I8JHswOVoT5nGiRvSm7LF4381q7iyrQ
twp34G6uqoM+nfFac+5LTdEK8TTED3KgnMw2iz0KHj3PPNoRCCrJ1krdOzmXqg///Ur+S+GHPHp0
37sWvmhMQkeDONy0Xd0uZIvblT+bZfXaR01rbU+cx/42OCrYWfjwgxbaqHMbrYhxuxMW2maEsXIW
mHB/nU3ejD1XA20MkWXi8to7DQmuVbToMIHIUx3t3VQDwoyb1tv0fj5+1ifYU7/MbQlpV5pV+z/N
f/WWk2SzT++v3tIcRNE3N4dtPKhOt2PnZG5jaPTPxuh/7axq/Aok5FEBQPRqiMgkucpUydys2P60
07SQPcAsbvrOJZvTCwoC2ttPeqQNS50T+BOrScirqtLkJ1lviRvvZy6U239laY1sV278yPzijK6M
896LCrWjEq+2jT91W8HZOdh1qxy7zhXrKe/rZ8DmPVy5eviaV/p84zF+4BjaQh1etJk7PXcEtsAn
UYnxmj81syLc4z/saKidGqNQn30HFmxvmj/7hwhF3frf7HP/bu7v2fSX88sP9O/+t9f1meef/vL9
/N3/P+aX77+a37895uuBA5Rn3TW/B3rbf22hQE9xgj6MsyCTLgT4b2Y7XAbiK/rp34bIsA9AbjsW
nKa5gx4UbTzHGz/DawPFVimfbAHzuJztiBePnyHyLI3f9oxEu6t97j85RrfDe9IsUgRX7mojrqpF
kirWXdnrNgIenVjJFlnIhltVXlW1zpB/mvOoPbTBMOxu9lHrTTxlgfqErDNcpjQW70VXvzicqv6A
t5sqNryxdup3Axo1ywEMyyYp3Aq0HwV6WtVRVuWVLJSe43LfaGpIKDySFFK0iqk5ySIu3OYUzoWs
euZgLkG8NKubrTJa/Niy7itTtNENf1rIcXKIbBgLqLLkdFbg/W31vZt0pN4q/yV3zPDY9bZ2tY8R
iJMhsZDTVFEkYW9gnLse/EucpIfSblFRT4jm2roZ6t6w25Ujjl7y5mxSkSd95t9l09MQsr1xc7Zb
9viEOsj05KBdQEpph/jibCPtZkTYlQVHaJHmZ4l7ktvGp2ZwQeASlgH52K3KpT84ZBQk4ixbrXDO
syJKbK3pwfTUAuKad8MsJpulruruWxSMnzS4hD+S+N6GZOgvLIv4iGnOEwSrv24T1i0iJ+ygU9vP
ggy3fovyXHAGATVvMfUeKV9IXMNOtQMiAzTAbmpZHGRtwDVykVflpe7K4Xqt8IxdmSLhMxsIBCKH
n6yh1Cf1vCQz8VRlxZBvq25kyQxQb8nh5HAySdvKYEFB+tG7D6/Ol0MxGvBuC2Xtq2l4iLV+eqzN
COQsYLndoJru2mmCeuMMKMZqij+8NvEMfGyyYC+idngdnUhbsAHM0GGgdSpjnigI4BlpOKBSUvLE
+F0gAvmzyv4oOihuCY8eFtCZNKjupbbbJWsRTk0ijdtG7KOJM1fJswd612WraND5L+n2TNfMiSXG
Bb+2ilq8FcqsIV7H7oUDt+rOILoEbSilI18yCDZM3izKhuyIzHHEgyxY3F90VQNl6MMuu9rBDhhK
cV8Tuf2QJySmhGICu/1riBGWPX7D4O1mmoB07lQdh/ZtGs5JEbbhyXgdWgOmXCZTm600DyHkimCc
UzwJ/RMo/tJXm0+5KfyzA8xzIc1qLFDQMKw3Daol5/3OBgl24qZiHIorRczhymq2r+LKVVZtVLFH
yjNjM3VaenFiP7sWKVInCEODwLYIRTnnRFZuVR0dNrNux0vqdxbZN5r9GUTzpjD8/HveN295pQ2v
hq32a0VE9RGFt/6YN3m56kXbPHdl6q04Ig93tRZOr/gXCKPxK5Ivem18DZz2s0KsCWmC1FTfZH2T
9k9G1hjPKrFT/Hmn1wxlnvtgch9lp3L+ypDzoC3sENKyyNqtog7xpjTg95H7MrzonXtUeO5+sRw4
mPpAcE4YojpJSiZcuqFvvpQjKXS5nTgPA2Sxu14jDmAkUvtLifNNd+3iE+T9ZOfbfritG7N5n4+M
ZAdUemHgjll3qDohnkRYvrb4Xbc+voBdNYNfG1fTnueIo01c2eEB0V+SIIFZLRH7Eh+D8qMUyviN
gFLufuSLPwauHe70ItR3Tu2pD40P2xvw2PSN+CEAWsrXyncS4m5qce/byFbXnY3kLKEOWV5Hd+5M
kJaFN07qkdifdDPOoRU32/XKATLtNHyhri3m3DHQ+Iht3cBo/56Hz8ZCCBV5tbLIhoM/2bgW/72U
dVkIwxgOKmkk/7OT2igqx85+PxzMqGQWAhgDYoRAJagEmemh1p39KjQfimro7iP3S2ToyKonaZAd
/dF7lG2225gPQdGpuyojJrUnpSBaxmZgrLvc0jjDmus+lNklt+Yc7BvdXQPGY+Fs0xLK31gIbTdV
HEmTzG6zDtY48akn4r8RsOza+7oOCftX+7OsAbxt7wvLwcOcxWItbbKYeQpoFWhnhEyYStoaT7yl
mtIcrj3MN5H6BzwUEyzRjtytnFgLtGPm+MdS2A+c3keXRHURmQmch1Qv7YcsNZsDmtrhQlZ9exAX
1BRx4XXO9KXW+sMgiHRR3HjaNYphbFh0qO8EIII/Vfb1oDzgeeoeBruMD44p3IXv+T+MIp6XfLOG
tflklaxNGs7NFgME5RcRR8mq9sqa108QAiBK8GTXLFhsm5R1Na2cuzZQa05s8+7izXIFIGLHp7Yl
SnA0lPTN95Fttm1AdZYFXYA874fCq+MPVPz8RZcaCHv0INVipxaIQUSEZthd+gwuFi2sNrIfWhx/
63Eg/JC0cW3TlDXZGAQe7KxM6Hcdi9693/ExOup8j1CtZmdMfXwi/ZtbkTXEF6QWeSyyC3gYZzGT
0i+mJ+TNVNwjCLINtmPCXhm0N/QTYjIO+VHbgGybwC6/Geq4L7IZwu+ZZAy3ExIHaTAurE6zXyYL
edywrdhU+xUZ0iJeubVfvRGBhDKEngMf1u3qrUgW7IX8t1G18iMokWQpeyU2Od964iA7Mg8C+bJy
kgwsqqi7s1l7Fb9pq0IKtVRencAlKdLFO5GL7sn0laU6HgPz3CVFiGbNkB0EEkpf9SL7Zqpm9K5q
hC+GkYOurGZx7pokE4GyFqiL1K/OUq5HAO23Lacs9IXa193FmdPIZCatzLglFrMDh989OnM6rjT1
sQ+dJenEwXWS4mkid/GAyHS3KKu42w3ExG2QR1IvcROG8Cu0s6wRKUtgylxALmy2MXxinpC+Ea1L
vRcLpUitR3AsYjEOlve5a8sLKhCOv+BRa81AW171FGYxmSNlFm4yPedJ2euxQnBUgqariGwSMxr7
hJtKn1Y+CVesE9vjtVp2ntg0JkAmh2Np/gxRtHFiTVUPalyjswVmdJEIrzzJIp0Pbyo++eFqjLMd
9BrjKBvV1IA+go9sXZqIeSQOUSGN4UfnRE83lgL6fiQOjJ9xbtxHnavfB3lXnkkwhOr6y1TPVw2E
SW8Y7bubfYgVY2nVXbHRwtiHE41g5+46HXdEYndG8zqVnBjJ0fZYV/0PrZ5g6w9B/j09173TfFdi
s10YTjk+OdXk8j81+gM7W3fVN/kHKwALFQ2OkDs1CzgJI8VOVm8N1yqHV7FbZ6d/7IPRqqsIrvZK
drsVeY4Lw8jupcVw0sJZDaPWLoXhZuvBO6jC7x5lETh8tJ7o1L2sQirXIP5C4hnq7lHhW/gI5jLb
+o6Duvw8StqgaZK9rkXuQfbrGxJf4snbXAfM3XIRZJt68saVHNVXRvdYVeorkqT5UZoGB63Zro7O
chCxezlqI8Gu4ITirPU44kYN5Uq96nHGguXn7ineFT/1N4al+wfcytqjNoF3lT0Gu/7Au6U+1apT
7Suz7jdeg1awmkf7Oi9MHZEX4Z3Lhnz/1jWPUElAuKIlsDKNGVKFNOEKDGy1x2/pvFk8XMLCNl6D
UIuOPTFoy8KznDc9qLkVqlXELjs3X00P+ZPUCZZNTsS8pjnxvk517Uh8WriNoqi/5E1TrKGNqo94
662lUdfRa1mGGnyZFC69NX5WEIT4WnfRvoh1nWebM25Db/LIK6FoA27ObjYKdjd44y0PsH4yvntm
4iybyZ3uyrizX8LEWgfFhB3+ylab4KaamT68ZwKvdAfW1cMTgQq5zhHIPHzMCQsLiqG4tMVUPXhB
/0UOLxxhrVITLLvg9DoO0xPOZn3vuoSat8XQnXXbztYBarvPZqmZpLBm4ZfaQj1abnmqfh92vfUD
yMGLacX5e5jn5VKtNfGYDaO/kTP2bD2uM9pwW89K2iM+NVj5czkMJqH9WvjFDLqTiAWbKGbMiKr4
pnHiNX6dtWd0ETjvVqjz9+gt/aingfEU9IRh9In93uuEsijQB/YGFOkn1U/YRQIomAo1Q9Aru0bR
+ZnR3nHnaJcyio6o1nY5Zh+eU4YIUHnOstIqsfNdqn2XAEvqe1ST8dcQQ90Y21BBIly2DjE7tICQ
7KVs1UuS2m1SC9H2M+8UVzgrmMX+RxKsefhrH2WrNYh2perRDOvkMipGNqeqDc9zhFmRi31VW+ML
e/3i4IsoWMvAsr/t4WyXgWh/2wvWC/9ll/2Voag4kUzNnZpE/iZ1tQAJej16CTpd2bYx/APbi+KX
XijFwRKIX8rWXEsU9h0jT6S51XUFaupDcpq0+RCnqT9kuIehdMmh78EU3KI/pI3zTo7jf0d/KIOR
HKRNBojIhtrkXKAmONTWAR27KLSdnEnnGFmJxHvpcGevhYXkSfHeoHj9Ws0AfZyAEM7mrsl3M960
OVGN0lNgjK1xlldivgLofxmUKTlI082eZ1az7X+Pkg0ciP8c6jXmH6NEMH2rptrYCU2LLm0a26uc
dJ+VWUBZlzZZ+KQ27EThompFEs+lrrqWBS65f+R5Gctuijv+h7+HoA62dcvWubv2k3N5HkmTzZy4
8odRUT1rZU/EO7RmHSqrzsirXQXodpG4dYDg5vwKMa8g55bzXEfPr2AUnb1KPQ2/k966D9akkWmn
DdU3V/9e5NHwYRaZvuRjSC8cLZuHAIGwjUBu9xJosYlGWm2vldRlZ6l12auldmTnlKLdDXM1MyvQ
y7FTHWQrMIeOUKagP45qmL2abfrZjXrrTE539mpEbOX5VR2agK+NmvCq9aQW78TwgTcKjOgcKW76
RObQRdpNJ8+J0CBpeEJR6d3ui9XoWtkrsu/GXdGHP4d7KYixEIr6WbeS/xzuE9Tybk35dTgQduPO
t12xtFOdaAw99Jaxi7cn1kf2Ak4bfarbNxeo0UtT1cq9n3CQnjrRp1YPnAMungZNmyL+NLBr3ah2
TbQUf5OFq1j1VoweCnN6FZyHBnX2AT70rh6RSFL8sVs1QWG+TqH1o0hQpyiTB1KTWWLPSRjkaywi
Kz87ujEcpdKu1OOdTXzfkeMwf0n0/jZVJZqFfRp5hLBW7b5KyscIOrW6JSeg+aOKdky7RyrqsWzV
/BzEFRmGnpuudMOAgDgXadp+TsCl7MeuRDhwbKL0okEcX0a23W5kVfZT54Z0FBwiVnp2naAaqpWr
J0Thdfr4PHh4ESK9fkOBsOSEfDRXRCPNDgWA2zC5k9PAQ+3VbJJFbMbNm6Fb6sEbHGUpR/m+aJep
iUy0bFXfRvB+bzhawmOaoKRGjnfD6j1KV2PtFYc6VK0Vbs1g0yU8wWEMdBZ5jOzAbON6mQPqrgnI
PRI/hJek4/Q/Dup0r8+YnBVrb2fR9BXPdxhlS7yP0YvTxERmoZX6Pa2J1POsbxFhCLiN7elJz5Ch
HQbDvzNM8tlARYRrxSbn3qxy9Iom3M2cpsNHND967sIcDfqgLZFN2A5eYe/J3bbOdeiWK3dMxFsl
zIt8ISMMdvH/4ey8lhw30jZ9KxNzvIiFS5g/dvaAnkUWyfLmBNGtbsF7j6vfB8mWqrs0IUWsDqB0
ALsIIpH5fa+BC4k1HC/SQp2AGuRedJYlqy6/KUpgkwj8pb2sGhcDe9zFU0Kfu0Fhw9mpojt2Vt0f
ZanNoh8luxfKQQ2BijPgo/nTUNzR+2tv2826KlZBYDImbRa3QbpzsbK6ps16btBtqUevsrOY4SJ5
uBgTJ3mUyS9bMb+wVMpuZRf+AdlKx99iKztZgiTXa5Whq9ykA+nkINb9CyZ2YoVRE9CmEDa7bPPm
EnH3taLqpItxKby2l55e7zqytws54uOEJERayrWHEpTmHxcJU/4pTojIz/wxsl2eFXeOuXJj7Mhl
x09X5wPNcxipxR1bifapzpzbcOxAgsw1R0ufFDV0T7Jm1/k3L501Oca0e7JxdMdrspiOYq4W4JkX
pen0QCc4U0W0Zqn7bnfT1lP3FHfBuEzxydvLc4l4Yy0ZmdNOnjuoTNhjH5jb679BQ2HE63BNkOc6
JLk2raEmG9nbx54A+jj765VYcFaphYVi1xfPnhXtJlW33y1TsVYJ4AfIQ0HxCH/wcm1HlWMVs58/
qkPW3Dum/kW2y+uEY406p9tMFyuDe901k/M+tKbGbNtU5yCM3ZOlC4swhIaGYJMOq3rAVrJ0gv4C
C7O/KDM9v+I1OakukLM/24UughWJS8EKjRGywxcaZhUZCixzk1+oiouw63jOMCs5yLbUjKMFM6ZY
lfsmAvytsYpfl64+7mMSm499Pt01VY9PUEMscLTr7tGyISPiEHDs59q1KUDNpEJzVtYi+Gp4mSf9
QVZHL8rWfhKMGy8Gg+i0rbXJJHNHDbx2UcxFzOM3ZtUF8xKGtnZm92jgeotVEwWAcGYcrjbF29Sd
brLCVt4aplSRsiJna71DZJRfF4jItyZ1d5io5U+8JOoDCrGzwy7taAT9NuJ6o2oPos/yYDVegrLU
DiHL7IMBT8ZpiZDrTNoL0Q/VfaZk7i4Yo2E7RMn4mOrDb4T+rd8ii3kEvYSXvDCTjQPy4oZgenhB
Ahc5GSu2fnOye0sd2q+NjsWv7VnJydUABdQ1qFfFTs0D2gj1wmPdwzRHVR68uDcPc2AGuP/c+FPR
la1GW6Yb8sNoPs79jdDipTtvNVneLzEk8I7Er01n1dtquAoVxV61aWOfcPBu2fNEPC1BUe46w7DB
19DhixrAaCcGSIpM1jvZSEbLuXaLIIBs4lrdYkCpa9Vq6J2ohjXd450rtrOxFBZeY5MyGw/fMXep
sGmIpnvfZcOJyMpJ1uQJZA/V1TBvVVWlaFMWtu2yTOrqIod4vMP2U65ZCwM14HsxH3wd8Q0/i929
rBqdn5wCdQfj+QLlnrB+9SxQX/AXEOfvVf7Jb4Efx9glhfmDCndlraZYDBSosuxtbwr27Jb8U+KG
+CERe3kI/FJZ8OA3712Z/LiiTg7kjyvW6GZt3SlT11iF6jtTi9G0qCrvFSHm75VlVJcAJgF2j+6z
bB4NlfBKOrlbZx5V2MZW6KH2yG57wvRdF9xr2jv0cVcDWO4bnKnq1yxdyf+HybEfLIMtL3Q6Oy/g
YifDz1XcLZUFSShrmY4TRku9WR0jBcLpZpyL3WwFJA+1Vtp4hzCmQAClWcjGjzEGyr1bUaTqMswI
O0pnYE0fd1lDoirimVwIMJpPo53o5IEmeMB+7q/7qnGeG2v+BeUvGIu5J78Pf7/WAG3ualZ7q8Bs
85exTBumVi/b+54SrhzP6zZKCe5ad3HqSjveVF7fbfnJ5q8ZoiftHLg1ocCs4iLG/hMh2jvh2/EC
a7PpSwuSlDdYmtzpcZyQPvVhK/4p1ShLUnDxqsp47WGjzSrX23yM66I+XYZWaiwzvPn6Nusv43xI
Soc4ul98b1M0QGRNtht+CIu0HFmLor98HeYmVXkuxKsc9dHcjCxwhJ6nu4+OsiCAFdkAGOXV5OfV
aqeBdzWy+EvR+2uTqeGU1AM+V+0Y3mdgeZa6BQp1rAAw9EFevmta84zpZfg9M8iG6i2zrqtts1Yr
2AKa/o3u1JhKKeK7MQbGq1uOARGcdHjU+3hYZUVpXjokYDZ6HdW3rQ6jRO/NmdDZd6sPvHwXDO3S
KVwoeiTMyLD0QX0ru2v4oDjD9N9rNojbknAwUjx5jE1cfje1Fj46GjCuTCmIvcc65m8YTXK3w+am
BY/3CjNPDo+Is+zjrg6WVd3nO2YpZBfryFwF84QrD00TFcG1HosqqxZGDZP83//63//3//w2/I//
Pb8QSvHz7F9Zm17yMGvq//zbcv79r+LavP/2n3+btsZqk/ywa6iubgvNVOn/7ct9COjwP//W/pfD
yrj3cLT9mmisboaM+UkehIO0oq7Uez+vhltFGGa/0nJtuNXy6FS7WbP/GCvb1UJ/4odK7N7xuC+i
VCGeDfYjnijJjgRyspLVVhP6ocJ8h6+cXpAJ3tnwoqOs9bVnP0J7B2907TVYWSJ5eZYduT5ArSpz
dM0chLrMLlm3jVG8+k7o7J0paVayitZgtqycNDoOZlG8tisQ1elrbJAMSiYtWcpBatx1K5dQ6N7M
wqfMyU5TM1QXzfSKnevn3UIzcujjsjErHehqgXeUNUKq1aXSlHGd1W68csq0uuR29+Xv74v83j/f
FweZT8cxNd2xbf3X+zIWqKEQmm2+NijngKnL74qx6u56JX+SpvBGBqYom4S1kRbzUac+y1HsJhI2
0+wIfC37XsycGXkQndbi6RN/B5pX3XHLaY/i9ubPUWKOlPzZpPqWiSqv2i4LPxqeE3QrJo90gayB
DYaMEj4HTdLeZ5MDmZcxvuLVp0iYREUu//BlGJ9/pIahq5rpaqphavDwzF+/jKHy0sbvbfFl8Ly1
Matha/OB/VPL4o2SQKLIA2HwR2PpDMGqIsnxU5sc3ZLjP8S5YsIZn8+WdVkKBsSB1SklhDgZCEQ1
7YYYRsJCwIpPVZAk10M3ZBGq57IBcqyqIqfAKFn3KxdsuN8d5Dmy/TqERPATqiQ+ugi1pi5ykcFK
MLAr/fvvybI/f0/s1Rxddw1H0zXHUOeH/aeHWQccOnVsqb9OVd1sNLNNNyZr6D3h3uQp6vOzY0bq
l8xJSUS1IiTuH0TnwE2UhewoHPMJDWLvAVp2dNOl7riOhxI7wqp5wKQVa88pCe67Jkr212owp1hk
nkUlcL1tlQiDniBp4ar+2SNzMSO693GPpdtHZkaWdMWwbz/OlWd9XPSnwZwvP1eO+Gj3BmC/SCwy
LwB5ORTZ6B9sGPn5tR4Y2H3ybW1lrzUP+RiHkGBwPcOVZ3x0J1GaWcve0P1/mG11fZ5Of32sXcPW
DKHbc5DBMaxf71CtajW675DgOyUsN32qurgsoZPkuBBPCcewf8dC7hR5VXcsGhcxgy5vXu1aDw9G
0mV3oYiyOy3BJTXpXXMv266HDoaMHxQYt87jZBsiwCkxnq7dymo7WtldX+gOweak2Yzywz2vIPmd
l90a6oyHXAh07tg0smYxVAr61UZMsYR5QCjZqZexrRVHNyngC/1UbBBm3kWTd/HUGlZAlPGN94nY
MYdZx2ko4+3QG+E5jxJ9Dby2v4uYOVYYVsaPfkcoj2iG96wUPVS8YVLekiD4qqiA9BXdOaLLPT3C
WbuvTK3ZTQDICAe38UUnJnyRJThF37gACpZ/NuUNYpBRkz6b7jQ41xOK0ofBmoKf/Ti/6aBfeoQr
Q4VZK5+F8SYrL+MvhJ8gcNuIUflqaS9N0eOHrAvo0XMptick7WWxnkL32iirAPLNm+Z3EZMj95dg
2uM5bJqs3SYA6i0PfrwznVHZkwSOUfpWamOpOQFWCYgNHLEK8I6J0nQH4vIIBVCT7ZZfsdf4qQj4
e41q/XTzMSZ3WdyuZN3Sra+R6ddbL2/2oVoET4HaFitBjuKYT6ZzcsmjL405KdCms/FmIl55Fecb
sqzmHuNy8sheS163ssYrnUEyGAbPx8rQgfI6Ex7GziUeXQPLkp2AlKNzX6GLILypWJpVOi5GNcIm
bB5sNC7p6Cx8tw27OU5ur55Alf44ZBlGPcQE7C37+Ulf1F2qniIN+CLy9hs5ztK+q2MTnO0mdm7H
DAv7wbOCd7eHHROPgm1ZV4uLPaB35+ZG+F51OQQtz0nAEZnKA+m4k9l53hOxq27hRjfk0saT4lWq
v+7w2CT9C9zOLYuzocCvQLoXi/F0Kg+yLQPziiaoVpyJ6Dz1BRobFTt1f81WmAAYGNjdiJizvy4E
i1slAz8iz5OnyJIbRBCOEv6aj2tNDsL5CQ/LOgkSvtgIDN7anLxgZbOtWGuNzgoHdf0TbJD8ILzK
Ote2bp3HCNTh37855HLil3nJsGzDdYTluJpuOnKZ+NObQ5QR7saKVXxRzChb2kSFtnlZ4C0KkOmt
EyjYoWv3nDtOeyCejH7B3O5EKCWqhZjOyaR4F1+Y3/rCGvGpZf/CcqK+EfqgvkRlsZDtgWeEO6Kh
xUZWtQyLUBAcj0TtjKMZDNX1sqVWsCBv1PQ0iSDdJLrWY7yQhBvd8R3mlNh+6ZE3imdQ7Kf21F+a
RZu/+2PsrHuMgfYJuosvoZpfAcYRWqXXdtzM25eEeLIE+n4an9EuAcNuqEToOBzCyskf5rzkqshC
cyOrytjkZ1ipu5h4V4Hwsg7DO+jyfdTmxQMG2WRYmvr7OCra+u/vlvOX9zzvEJtEmOB+CZ00xq9v
kaqsDYcsZvClC1qcoLX8ZbJq7y5KS/vU51W/aETbvw1tAH7Ady3Yyo72hEbOBkvs/k10Q7J1Wj3c
CjNt1nUA0sUAX3LQ5oNDZu0gq7Ik2wKhk6ux7ZtIj7ML73EkXVQWXCVeyBfEArGLHXho+lItjp42
9scCs4ynZhTnoIqmM6JE+ZOri+/kO5pbWQvmIGVTBPVBVtM27JeVa/f7aj6z9Nmq+ZNhb2VvCG58
baRVvfFdPb0JZsgZGMj22M18ImvWjm+XTd3XR1B7QC1li+z7GFX2OjLiDruFrEZpqo36b0xm1pzf
S3WL/BixzXvm52IXRzXBlEQlhBGrDDXibh5aN/7O9iBn1u5o39pIuU0LYeb2bV6ZpyoX476cO2Sv
bNcay/6HGy9v7M+PqU6MUmiqbagmmzXt8wKvR4q6613feB91v1rlVgGiVij99RDzg0eNxH3Oq8ja
sKWIbq3Sse7SCeFdG4FFWSMPnpxFZwIHZQs8m0p169wzw0VWg6sZe6TM5AGtqOzk2MxpfmMqLLLw
HHdQnSLUMpw6lnr7v/9Rm58X+bowVH7OhgoT1jAM7dPSKDZF6RhapL3bmvdSQ2q+bZhlfjoMPep8
8B01FiiTvUgRl74FNdKvzMxzL2Wq55uY7T1GSmiQiiz3bkontG5UIDS7LpmmW68bqk2BNfMF+lm/
6I2xORShRizeLOodoGtQQsm0drzU25vg925kqVCj7lrK/iz9t96Pto9xJNbif5iq//Lw68K1dEcz
HUO48+b902aIhcnEnn2s3qM0/Z5lZ8Lz3u0QRdYpnLE8Ep8j9DReoXgkVh9tshS3jn7UMNi6nlCi
UbOQxWiaQcRGOW7kBeRg2YGSzRz98A4jSevxB9S7Q2GgDMYArRWnv73Cv2VRHepZqmlM1j0xUHAH
EEZ1AD1ww/T6bEsdk7nNDlvt9joE1Ne1asxDfDRXFmjNjsjA1tmlqtNH3RHmjTQbwok4u/iqaHYC
EV0IWFTlQY7N0/g6NgXv7yxEGbQ7Xxk2faTX0H2dVlu0Q3kLUt55D9QEe3oHMB4REptNrHg1G999
t3q7WcJcQF1E651LlSDGqs8diA0RDs6D7Ayyxj8Xk4fo5tyRjaxdGm/EDFwE+W07qHN4iI5oKl5M
AJF//5jY8jn4ZQ6w2A27AFtt2wGEaHyODCBZmWho2b5bA8jxsg4JfuEusI6U3n4uTa9fibq2dsFc
VXow3KrRZLeyl1c37r1EhcdCiMeMpZNsHi2wU7zcvqIGaj+3GvgPJzfVpex0dWxYPB4VDnOvk98F
ff+IO1F5EqWwb4Uf6ssWZeWvwNxhVBnj61QXoP5wTdlnoV88Vkr1Igd0SlYvrHZs7pB7jA+BPyXr
xBuUL024kANyPXNXhRuMB6/IXHziPV7986Xx03tkfWs9sooxdoOh4EYmiZdOahH283vuLzJHW1WL
6rtxPkD/+dFWZWZ1Jw9IpfzcJgd/nKtEXX0d99GmRyglsab45Vqfr1/aoILYJulkzx9sWz0FcELe
EgN7obgcsn1eK/ZrH6EbX9tvXQOHLunUCrUmz3qzS+zAoSyyMO3AlWAwgsgZ7dAroSbUmXXpsgHN
6wRqqOuW+64g8YdQSMJjYvjYRUP3j6DPVWN/YOHRB89u3jw4OtgXPa+fXQgCt5PZOA/A2Yx17yLu
FuJG/DD6VYfNHb5HEdIVSxYuIMyH9izHDhMOXkmleLBWGetrJMOqfEoWsvd6yJul6UbTXcKG6CgG
zdjqfwqlSL2TT/InHyIrGGlPW6yYLx9N8oRP53+qfrpcC6NvVQrdWshzpczKx/VSLMdu1AJLo9xu
1l2fGxdRaA0JDj7WmEvD3CZ71cLVr6W/H5ejGb5xVXJs3oxxtyTcXRb93HsyWsu8dhCb1o6uRMjL
XmceLUvF4ANOYVxMjmgyIEFMrMVAUavRnTzkXoOYgRemyxlNc21rhDnt7WyGC8/j2vmgNi38llg/
f5wa2a1y0qd22Uejvkbd6Ml03PHOVqd6qfVdvZVVeRgyrV30nZPuu6aY7mSblgIPViA9yZpsL0Z3
nzvFePvR1IoI/fw2umSGaC4i++5ppIrrBEcjQq3jK7Ze38k3+hdX0cz7QQtOzWgPr6K0DNA0qDfh
kPLzqD5mpoFaeRrTAlw+jMFlNBppuUz8k4e02b2rKsND7UfsokkZbv1uGh70cjSOM//QcbusJD6J
BxQ4F5CCjO1yxYGMwstJix903hHo8o93bAOLB3VI27Wl9fpaVkc3Du+ysVzK2nXEWGpL09eVLYxl
Qmc+e2SEvexqY3imcQj1jtVfn+2wibR3wrT6ei875CHpgX1uXGHMWlZ9tZCjZU9jq7dBUpT3mot4
dtmI/ja2He3ktQCSAJGWXxMEyFJkHV/yNM22GXqKO6HmxRPWX3dywHuo+/ZNYNdKiBodvA63MW8H
xxmIqYzDGQpseoIMsLiO0FjJHJTYPH6MkMP8IsNFzWpAJpuqw2K5ctgdB1iTD2KYv7OkOmg+IvJB
SjWxGm+fZb2xRq2hRFmTQIU9eOlXAwGdMraGbxgVASzGUvO+m3zkcdLG2nmROjL3OvZ1SMIz51r2
bxZJZcmuuGRZOu55H6coVry0ML0w6RsQAKzzHwd3rn60FanJbZyJlhsQbu4iIJf7ilXfUioHpJWN
7p4KEDMqc/scqLyWpWLANCb3dlrqx6LnW56KHsVnVBvfJ2emLGnKcEpVQlUmZiK6ySYV5PeyaLTy
Hd4Q6KPAzeHStO0b1Fwrycr3CZD/1qunYiuriX5TDB7wsGEsd9No1ht5MpKQyxye20uvKMg7efG4
lu1BHe6aSBNPxaR2N0lvipW8jFbZJzUhDOZlPdIBLbqTibBM2ILe8GZiY7wobWlQNI13GLm/y3bN
B7sNvlsaGwyv8XAI5uF6o6g7F8O+tRxVqOJs1hYpXxDQt4ZVKCh29sPbKBokAMpFjN/aso8d8WSp
rb0Ymnp6bfw6xu0pHL+IyIe3XunfjCjbkSbxAWEqv+dwIyMCFeeSHXuwIM296fO0+h776Z0ydMbd
5IcZjGkxXDJg80sIE94mjvVZ21dpvd2oNzlrvSGo116ULCr0E8+uUDJvYWgwBCu+0k2c+ajkR296
oLrssMpKufV6TbkdbHTAYr08yKaPdllSe6/nj2LB+anDDAxlPfFh22qwcOia4rOThMj2mIr3NGZG
AqLZVS5uXvh37HCchQGFg0wsbZbfZyehB3ekKI+RavQHY9DMs9r44oxfSDzLsq1lkzykAG2waRna
G1KRRGZblgyuqgVPfQzgFuhLDIqkDZ9Q6rDPcVcyX9FpefHw4Bvf8zIMnwpVr1bOmOJ55A7N7TAf
Cj1C3iGrdqqXNbeqY3OYS7JTDitNo1gKSHxr2fZpXJkM2F5aj5B2tGOlq9Ohd9MSA506epwG0uA+
4IvvIb4Zjel970QQLjykp8i3+tPaBzF2PQkCX7mJEm0hgEofbB3hWA1GWodgpdHtFLO5XKuoypvH
sUYdZmGvTfh2T02GgUFV8JhEIq2eSoiCa4zBgq3jW+VTZiBnyaxu4xZDVS9NjESdHNHLuRratr0L
0JJeyqrTduUNC8zoWkVR0T3ASwR/NA9OJ0u91Qv/W6I/evGkfgEK/lsERPNtqEtv4VfCfkwqvV7l
jhXcwf7LN1E/qLeDUg4Er0f1Jhm5SYlVILGCn8/SUvX2AsM23qn8t7e0sTlByhMrvxo1NtndN00L
+t95NJQqSX6PWNktYqwRnstwDNZVAUT4dyfT01VsJTwBamS5x77Ud9gs8gAUpvWclZlxU3jjeJlr
ZVPwTflB9gQKOFkomjEhYqqmT7ZvAon2lepG9rpahuYiuvZA4unVu6FH5c6dNrJK1jja9gT01tOY
pU/oUZmLtFXio5vXwVnXtd+ZDLuXMEjzXQHPZm0hTPni565G2K9QUWWh1+2Cox40+X2TMYMIH2Gb
udkuzeoAm1lOqN1Lg97tuhhqdSt7+bGgcp9UCfgsLtn3qwqY0rOJjN7Z7s2fPhdSYLqW5xjtsNGx
Z7TUrr7HcSwHmlxi2RVb4clHanHlVGn9glz6C8wkfp9RvyTj7X51Jg+g1nySgHuyHQKBVfh8UuCA
1DKwNX6ZguR6kuX0S6cqnK9+nyJQYUf1vT9/UqoHP38SILj6Jav8F0vxle9p2f30SbB6d5NiLZhL
BSjRORkvU/TyUKXN5h82eXOsI5fJ+mtWnvSQbqoWgTMASH+N87SZVwSKCp/CjgID4c82PuhVpj+n
evQ2+VF9RvhPfw6MGARrXT0OJUuffvRWchBcbGyNgVpfTwma8SYyQRXJ6gyY3KJCZ3DjuIQzKP0K
bRJjJ6+IRCQoiyIm+TT3jmF0jrGguWjsym+I/oSnPPeyXZDgs8BqDeEPMYVH303yRRCxpczDAXZp
OuCMlViPcoQ/vKD51j3I/gDbET67OclaqPEqSkc1uRnd4NmpXQvBFIPduGptvcpQZiChc4RbCj1o
rtZKFu3iOIrAG1F1k3JAXtO1d7JqNhbM0KLRD4EzPjARP+uOld3bcZfdx2w5QGISoe8KnoWlH/Hw
hll6kL0gRtrbv7+DmvGXcBYZPtdVBbEaC5aQ+BTOimxmk7J2enZ4w7glQDgZZCUnJkYvRRyrwUw7
um2Fah6sKuNHxd8K0c4jgWqN4uJlX3XVie6LKo/vS0ys904sGtJjEcRyFy1RFWHiba2GynrMi+5V
7Xgxt6nRnP3aQW2lmPaJonevU9dPu0kA4wwQh3stDZQ3JkJgJ8vEIQd8+PV06CHN3ql5dPr5akUL
Q9Z1rPK2x57keQSeLU+viym/KcgOY8DFsHKGU2RmWh1T0Kcvzo/PdN06PjhuZi7lKF8g6KcxOx7k
NdBEIlk3rhQnGpYDkcCLjsLcpcB8wWd6O300uQJMjDEg2ibb5MHDimdjoq57PRU5Z+1oltaLionu
0cdfcZcbKXpvc+mj7b+V/n6cHbk/ruf+Wfp0lTh0xRboNDlE9a7uFG8bBWG4ZIM2zbu06U5Lg2Qj
2i5ffbT5WjutulYz1vI02dGZerk0U7vbfrTZwkEwbdTLjeinb+DAkcesNcGT56t7YRDGmkSPUnUd
Ovfov+dLKwvaN70Tj+DHAkA4ypoGCEyqU56Msqvf//73/ZdEtmGwRwCQYcFCJ2wr+39KGGUWm5xQ
b4I3hGrC+Mayd7WRPULwar5bTrsVY629q74jloFuG+cSTf19FUzWFrJ/fsxRv1/kAAcXIKz4kc8H
BVn/lRWDBJVVvW5Of/9PNj5nTQzbFbZBcNMyHNMxxafAmaWpfhiQlXqfxmEVuVMN9IGDmRR4Ptt2
s2ObHC961fvRpg42Ft/42S301Oze7Kw+QO0Dbq5BsSKNAHkqTfs3H7z+IhWpetujGfagjOnZStX+
rai4QTqWMrs0WEGbLvxMvx2bitDmYOKvnSe85C3X0bBNpEeW5EEOJAPf41sV5v8AQTCcTxMTf7hj
W4goW7YJngaEyq/JI1j0IAyy2X7AYsIUSZkfyc/4s5E3RXs+pLqfH70CzjkB7P2ndlmVIz7GyrZE
5Gi1JiZef/NFPo37qH6cm7sQd2A1RWjCmv29gbj5IRDuG8QBYiC1OWLQYPti45g1vfMQmKDLAeb8
RTaB1hr2zKQT2rR0yov0KjZOtROaO+Tohnu1KHvENC4iyrmk0vHb9KsW1Zb5BHkRxSuDBbAA/yAv
AsNsPMVYx8lOUbfx2it6UyZKDgkxQpacpOfj+SBLTW3mC2SW2/WnjixFq30hB1o8KktdQ0i2agsb
Ob14WgZG2D3aiTWe+ELu27RD3Ws+lMMbjKn44dpvERplkVwfZR/gDD3LmmOe4HljlQ1arn6g4dlg
qMdEK3+UZJs8xHPvp8GyTfbWjWnvhY86TT/5xUF1W4IPY3IntKIgLv7HQXZODoL3m9wci4Osf3Sr
EZLGJA0GkrQufrvKpGyM+c2rzQcVXEaktenJmd/DwEPi26nJzv31NQxIfoNZa0v+fe6d3XyQ4MzI
JIIWkBfpylS9E+1G9slRYTpVe1RXRxYq87v8v32q1o370DN/fGqUDurSGQRQhHSaUNDFoDFBcu+t
BskCK61wzxA3nbOs9vqovOk9UXwDAYZjN+jZOc2aL/gLGydU5c2TLFmeyQ4QlwyrLEy2iRPgEtkR
sc/HRqIu17L6cZBnVOi6fjSpJB8WrRYjk9L0yi0AF8TY9MzZBKql3Mq2j0Ng+cHSL8LkhuhxfEDD
CwfAuSQPteKN+UIWyVolG7RRz1EbJMfIz1DAcops7XAbVlVUVOsUmQ1UJdCDJsg1QHxrf/fLHP2M
vsse6oa4dT/q6vpardv2zsU2SDdML1+KrCL0UhYdfnQMDty+PWXRdCT4k9z65PCQPRXOwmtM42UY
dGvdinraymqOOeDCnMb4XAa1/1yxYtHcxHxJprGDsPzLWVZ3SSHJsNxsIuICev2Vp/lmBLT24ll5
tc17tj95HhQoWob3cgBKb+PCDjzrMoRudxBFjoTw4BZfQYPOF3AKxVllAIIOCAvpl3Y0p4XsAAJ1
R6Skeeo8v0BdBkHZOAO9Hjr6jRwgSjSpFYIunYOfarGMU8/sHnuXTauHRhs752ozk3C+DCuEEwEP
xRDYWDIbOy/UzWezBnI0d0dODJrbYr+S9pW1dgIx3MzgYnhfSM8pgXIopeLcoK4yG/EsSczwi3gf
1EUKL9dtDkPu/yBs6EP3jXxCcYcH2niqypL0FBDMt9qc1lrYKGf0Fsb70SWuVIAh3cWZPtzrqCze
teZR9smWSrMLUDeBtZRVYhd3pmlaN3gqBvs6NIxNrGr565jVG/ldWEPbLYNmqk9pUpLCG4W4fr0I
Ma+yLM/eNIOHGlcedT8EQ/kgMHySZ2ZajARaIeAk1ABwFNN31+4wBu9wNa43QvcQ2esdNDoNvDrO
alJmS6tCGEHpkLzMTLRN6xKeHOTW0r0WRlnASeha+LNrVP9/xvz1I7hOVrfVvCz4+AjF18U/vJb1
v76VcaYyVMCbpm1Y7ue3shB+46ZWOzyZ5uSc46Q9Y99Rvmkt/pgdGi1bWc2Q7bAqnYBZRWZw2beE
IMd+5eW+0sV8PXaxzBDEgySoREDi/ygppu2yyhijrSxde0vrH1KTyJT8um2dV1akJS0bg1wgRMbn
PQ97h7oswFA/mlWP8Caqu2plaDvbRIxTlj7a3P/SJse5+RnX0MWopGSl0IxJ9iHB6ZtuKok8Jq53
0+nFfsymyNhqg2dvxpY3z7WOO80GPWM0UYbkrWubZGXUlX1TugiKivohspWEVZmV7cMgTJmeqUZj
9w33Re0ClcmA9Bd+k6OIAKRrw8HJTFYr79EG0vJSABfcdLVTWadkyEq05sLiRW9Zf9RBg//jXA2L
fOUbXvXop5N5x/PHmm8G6Iw2zku5i+NmwE7Pib1kG6DkdO7J8h5tb9jI2hi37lmWqtZRURnDTy+2
kZ9eyEbFSt9Q0PL2H4Pl+USpNup86nWsPDdpeRvLxm7AdTz0DViyhuZt/VAtWav0xQshYBskQJHc
yL8kct17Mpcmwduwe+qajAgvf5GFX8ESTvn/Y++8muM21y39V3b5Hh7kUHX2uQDQObAZRNK6QYkU
CXzIOf36edCStyX6jDxzP1Wudkd0q4n+wvuu9awR4lZuGX+UmfgSxXP2Kub4D70udJb9Y8AJaqNs
JBzyYXmCYJ74JIyKoW5wEFsvy6VvV69rKHVK+MsqU9d4usaH+GthVStdGXh/LaUglJK5gDtuM3d6
trbFXO1Yj9sPtIlvNU1oX0ojSCAmhtpZ06LyHFYNk9DyQBfN55If1idHzsOdJep+XQ0MOE38en2c
1nO0mlMi6fVWXrIZgmGlsfw/pynrikFxyi+qEz/h8urB+qnGnkau5F/v51v3YuKBnxeW6mborGZj
lY70HAGvuT4hJT9qpQ5avYevHj/kggLNckA51GvPnmb7hHtYu2nKnpbM8kAX0PCFZCXdqkETHOYs
q3wzM5xLPOBwgUv62NRFA76sDD8Z7A3KUJmeessqj1Otw0+a8ukJm4dYt0LLUeTzqCgBq0pEP52v
j9Z4niw9f4KyNJ5rYhPYkvCsRMzzZgolYEidmJ/auEs8mfibw/VFlhOuOtBtD1IzSBcrJ0n2+sb4
XnaWE/X+9UWELqZ+G9jmDqRZc6pj2CzzNCPsaJZdk4i1T3/dJCfq+82qDOoDpaUfb14fFTUlh+tr
2yVdSVQhJd2M3qOj0/g3omAvwt74fpWpr1/yqatgr2DjllZ/e+z6CikwVlpiymhCdkkeBMZzNTY1
yA6AcwgwKdknNGh61dylxYKmC0qZXCkrPpRTYNwns3337f7UMam6oZC12zG4ZTX9dr2/YUniZQ1A
AExL6SVry9aNFqmJNBHXkkW2fmPO1XBG/0keRAxWt+8Q1gDnXVl5a+2/XSWvxtpfbwc0YzbEbsLI
YZIFhqOf8gmMZVMR1fPtvqoyT0Kepf0P4prlvlC5nZBqBwwWLF9RufWxeKmH8M6KA/HWD9WGpOIi
csvsJSMgPHbL7oadsRG5RRJDtAjnt2YKbszaHl5I3/k614XyhzrrI1QwAHcjZW8XSjyY3cCyQAqm
7CAwsDnMQ3IAT7O3KXItV69Pul5rtJasKNvOvOt9Uo1lxpUijpFdj0EHQWzgd75fH/7rdfZA9FgU
zcWqD7LRdcCc4zVNwpVkVvqZPa6Mm1VRdrkTdyd0W2DijKi5lyLWyvZc958hxd0EIWpFV/LDvO+/
uZvEYmq6OpuuLqYwzJRDNKP8WfxP7UQ0hallhdvXo4UAjQuKfdgfSjLrnDBmIYKZVeXwFwhq/T6M
mmdlyWe7XjiLk7gLsxMB8dLhetf1qWYEFDKAc+r/9VwrInlQMaJtGteGr6pTeKNm7Ux6lTmRTJfq
pzaW+5XqFPkDuVgq3lstfNFGJDANa2i3T0o/AevzWozJQuBT9E+OAH54PVIdKt+PVCwBrZopqRtT
qo0Tpa3CENHJXm6kLENP2TCngN2GSqwbS1pyEXjESvUYHyL5nB5KSKomcbvlSnYcl2uxUmXHsKzb
bUEC4bdr0X/u+/BoETbDSsbKjzpA3jvURnGVLFcjU5b3ksHF9eb1wtDs3Fx9exJkQ0MlaIOn2omp
eIVSiksPejO1tfQJyY+6t/Wu8VUTqzO8DMhgEdUB7GrZxU41cliXB+Chlf7gdPa+CiPnsU47LzX1
kYwUpP/50E/r6010XzuS5IwHsn1i2sUYwFLo2x15rnzVrL4L0QSfCW0XXlYsgDJJq9d5KvIjWF60
zGB3N9Uc9reKM09eFOFel1OaD9pSYQqXWlM7CH1n5/XTX3ddr9nVoPtiSTOUCfxRksw+kkhus+nH
NwdpzvDU5eb1vuvFXLJycfEcEhFpA+eDGHRbUwDzFPphgHRLUArX2/Nye2xCVEzX28zif94Os/pJ
l3OYX7n8LKMfzmo5f2eDCLQzN9gvITSIEt28QytsriO7FAfTysJTZy8NJ6mtP3VFDv0Csu9b95Km
SfGeq2hI61q1P0kMewgH0vYUDrW6L6ws2aRVV92x6wTxkVXpS0/g5vVVSl/ehBOjFcK9wGNo3fy6
8qcaP9tu6BLqjqXKlIUdw9BkTqefa17UKKPelsvg1SgW/MGshYeMWh/ejne1CZuXLJlXz0YH5jom
YN1LxGlSicZTGmzFkqGIm04ddyQhEflXBRorsuIs4rrZdY6vWaXYZGUR3UX5XZq0N4UW6ntZMrQ9
1QICXYoy9UTfoYDRMRuwa9L9Qp6gfo2pzNDB4XDQwvhcd0+KLul+O8Fvo27XbrBVUE7WaqwibUSs
hbI3F/GNJeMKAij9rCrAtXLtOX5DOatd5uITYXQOSh8Ixir9TZKj7PwoK4Gyyeruk+TMBBWFNDDx
2htbuqmZh7FSOljxPUUPqN7q0NwYE0lcQY/NRkCRPkiyRcsdQqqbk9O6zlCm+kNAPpUdpV5gKMUa
C5e8HoJUW8/Ga6er+a6n1LKyqI97BiDTNRXw0bPqkrW30e2CWaRbvLhoZWZ0Q4lRuCB6MXSSoSYJ
PnJT0ONJDBjOWeWOspjvB6DRsUR64xQx52PvhSmiJtYKHZO0QnhXrifNVt0kGmjdJ23lywDZSH6A
JSMN6pekANnXm3m1ysMgdyWpyvwsVMu7GDUgkgL1BMRaPbV4nBJFdCQyRB6Em3GP4Ng5kGAI+LzB
IEXPMLpPME166ahSciTXDRFiVe/g8PnwMGnmx+1uhmMPrKF0zZGKQTx3r5lcaUfkMy9hpG2siDWT
WRVx7gb9VO2phodtmB0zTX8cY1Pbh61s+YkBvpdVS+jFitOSHWk29Fge2NVlR8z82bFikJ4ioK8d
jow6Dsr7SC8fDKPN9oagVR3oB8rXN2CxzGfG3l1kE+5O7rgd5adCM+OnWko3ijUMhFqJxitoR97q
iOn6WnfTyEL9UEYEwJGgh1M2dvu+b0+duZ+RQawWmueaUN9Tl9rzKSoQqEgWXXGsWccyIGVWxpG1
tkbd2JdV/FhkwXAKJoqyCcwMW6mDbTeptzb7UZch2d6BLQUKrY73Slx35+uFakFOHKucCL6oRnRV
ydpBmxqkcpp1LOnG3gwoUfzJjMD3W8TQIrb1hmB2W/kUVrbxiP3QtaPoUFHF3kuZNO4mp/8jwz9+
0tURbbTGn1FD4OqpGsHC7OgRN6Kf9PsaQEIw2+pmZCXrZ6rlCUl7lYdqpQqV6WUax5OcZ5cWTx7p
9OhrMcmDx5i01k/yjiD0LFpRsHA2aWgVPhBl3xzDL6aq9f8wrCk/b7cZ1QzFsAzsnlQNiID5qASG
RJZbTu3kX5EdqU/FhJ6K7BirlzDktJbEpgvTMgypVRnEWOt7o3wnN8PaRMxo5KQkxKcnyT6hy96J
fsI1zG/7H0benxvZfERLpxqAXFlR6URY+geniiKraZ1VZfw2kgwF0pvMwUEubqtUKcisnYatapGi
UlIH8kr2jutUaVxtQGl1xQiXM1SOeAIqrqVrTTGbNQ0Xti2izW4LOXdW8hyp63kZa/NkEJ5jptpK
zwwygIroqZ3kf/rGf67SXL9xhNeKgfweU8jf7JvUMp0iwdn2NQNotoe5aB5Q7PjkyMeEMqXwsAhr
Cdwcv6tLuTYg+Twl0ly1cR4atvfrL9dRfiq3XD8Nuewgch1Hodn80bs/IvJXewaUrw67ELgnXU2A
d/HW29FiWppaf9adxDVjSC32aL9rUvLate147AZn3hW6valkiz0LZcMta8NxH0gRgrNWWGslquDK
z9Akuz56RgMmn5s5OieNpSDu6MUp69R005HEYayu5Q+iKp+kQgSuWsYPoqvumcWcVVgOGYlmqbGp
Ze1JpAQ9xjrUNt1MoMYtDYa4czq+LiBEXWXKKyXsd1nWqF5kyL03hUpNVpeFjWi5WZtmumoG6xBi
/SL3IXOzkTRIQJ3vTiuijSHaP9R8Bq1YFneFrTt7NVT2g5DuYYPFjwm/WlexnZesABaoTZ18QJej
b/OQCaSQ0nhjBGp94JdSL7rmrns3Jv2G8QAXXJ2upgF+bB0k3VGV2xZNrUNog1we2qprT2lGHLMZ
Fp0HrzhxE9kW1ImUC+EJEv0bQVJpM83vv/77K39b1XAm0sIz+OXrqmXZH1Y1BaRUqzLC/GtuyeOl
r52SeK1AHzz6OvdNpLItKqmqq8vZWVZFdGswFvz6M6h/OweX3i8aFU5EjZbqxz6wIlnNiJ11/qoU
6Supbu0R9UYKXS4LUalCirk2p9WkPiH02LADC3fRpIwrStrIn4fCXgtDfSGYoDuNhOWChpmkQwpT
IJ5y2R+GXj3OA7Ggv/7YyodS5XVgImZAd2xVcZZe6Ad5hpKwnUTXZH0VNSefnBhfnG5QfYIHgYQE
YbXLLROJzNw+GtGK4v0OeLr2ubDHHVM3ZlVyCFmElMNZ6kuX6quzb6wpdWObbALCDDyFvxlLYVt5
EJUir6ao2MKHkv22CQ+KDXsiIMLQbDKf/BRzN4Zz41M5tTeDTa1vaFM4Kxl5oYQzLZjv9CmQxnxt
DdCYI3rVhwr56KoKAkgsoeiPljnRz6GNjBWXSNKuiBu3iqeXXKe3GeGI9BJp6lZTOFrrwrAj9qFF
7zdxX+GGnJx12GnrqDDqW21oM7zzqbUaye1aB7oesyJxWK0a4UB1b27xu2mVX+th6wUlC1cn/oIx
MGqqF0nXjRMju+FLEvG9ik1waIVN3bViMVELCx6wyjm7QRfvHes+XEvXtfM47UDwltuyaVETU3XZ
sGJQ9jB0BdDgV1kj1hdAiFb35GoVbbQzl16bznab9EtBwmSk75ohHFcDCDOmACO/d6Cyb52+ezNA
KWYsalRlq2CIu5QNK9UbBEjs72R0s/tgOjpqmWyjalDcqdfFTLUk94wq9Saizy+aJRErW8GyHGQn
yl06F9KtyJ9zHQEDSRRKdiBvk7Vhrvjh8A5sPLtvCt3c6n0zey0laNlQLgDul5gj3ITF3Db/MA18
MAR9O5V1sA8W5XcH7N4HQ1gnBw6/Syv4atYiYjXV525iSc46QYG0VmTR0XTu+7NpGv1ZDxXyPePw
UKRY21k8rEe9v++XwEGciw8Zf5Rf/9L+PkCwAnAMB8GBYqrW3wAzmjrMczIOydsguhtkw8q94iB3
r1EYewHjtj91dXppoaGhk+g9RZ1wpCm24rUGSxhJI9W7aZTi82h3KGgTS0MEGff31vDgFPbLFE7l
Q0jP/5/EIs7HuZW1iqbSidE029H55f28YzQV0WQNkQVvUgj4ZgapOBTWpzaNmbjAl67NUR3dSAqK
HZ4d2kPIYu+hDV+s1NnnimnsrpupXtZOUjOi18t36kBaVtGx31HIp3BD1JVWOzQnTSl3MYXDjWKH
C4gDYw3ENGdfD7PsakGzIRrodUIp9oeW2AhX2voUZ0G9oTacPGR9TdmM0aftxqdf/+U+KNiu55Wt
s3mzZUNF6+p80MvMWQcRYEziNztTm5WTmCHzSYDtu7FvNVEmB3NUzBVeqbdJIiiqG/fS1BiHbKxX
uJcAEA/RSRvl+mhkUQnfWnm2CK6/aLa0I7Gwl1r9EbMvaZCYNXzUi8KtmrT3KKrA9IjD6jznwedO
7hjUAjZV+Fw/Bfh6DnUHi/zX/1bOn7/9vdH/MIWqNiepqZgffkT1kBmNHeb5W2oYso+SdjjjBnYI
2u5DaydY9NxkIvHRyeQnZw7v9TZ6D6pZ9RJZNdap7oSn60XhUNqF3APEwEBZid0q7rrklqEq2JV2
8wcRzONRotxrt9lKSPWZQOURAAPlUdyNZ53PdtEBDgnOra2jh2Tap5J+GWn3nZP8D2HtiNRISbMk
xwEeTu5orlHa2F1l7VNldquAHr2W6MqBUHK0/G0vQ9olJaxDN5Njjy8t5hLqXtsgjCOvIzTEbcJ8
aX6wxZrvjCx3J92UCDXJQIBg0LkBZ5Af24V6FGZORYQ9QHC0NHwwo5MepSmtfFoUN+gXi7M6PrTt
LLZsOUPq9Cam7iwvSRnuUw8huOrN2icWKEg8m+GtM7uDU9Vk+TBaAwN3aSomNymLOndG0LqKSTxx
s4XDbxo1UcVVfmYF6RxssxAHmliF2ya6sVWiYNxP9vQ+ik6l65Ar+2BJdA3U/C3qKhAO1DFdQgPG
Y0lKR1CRS9nC9hsZCtcGyxQschQ8ZKA1SylUN5YKXN9bLtEzh7GvgYrF6aOp12RaLgm8qk3NDc0Q
3hjl0ERTc9L7dxr07U3K6sEFj7GD9TZs9KBOHhH674OaGnExvdipFB7Z9FTrMYTqXSOtc+MJ6hC1
cflgLBc4pF0SWstjGJQvsHfeanzgW6UwzoCd9Tu968atBU11gEt7owoklaORveZdfdJNqPStHV4G
crYuwFK9RsnuSI4o3q2QudA8U9u3nnJlNt2J1sMhl9XzaCjq/aREm8kuk8vAjgfm2dRuGZaobw/R
QIRQhJMWvd7WFJT+wZMyGZeZs4qZyg8o3qdT2FGqmm2nuYTkn/3D+tL62xrXMhVDM9g/Wo6C3vDD
ONyTTMlZp3dvJvExXhJNLHsyfFm20zGGsmS4se2KE7JZq2S5l24cAvIwldCPCGbcmGJ+zUZhbNIE
4HxsAB7/TNXDcsFkObskXipUrOOZ/44kRGIGAYXHEBee8Ga4iZkPpL8Epqtq2KTDYbJ9JZzA92fD
dJSbz0mabzVEn3cgAgoCBPPuBL3KWMeF8n6lweAa2ZBdou2MkR4Q+LLkj6zpUx/rGLNIF7Ex572G
TBhrPDHqBvMA3tBQFIcBqFay5H3mTd3dd7GqeHP/kNH5grs2xis5Bw0UzfnbaKM0Mse+3YQBDaVk
OYWDWpz7uJ9OwjQu7VzW33b1/+snalxzpci9FmDFEIO1H27+90OR8d9/La/5z3N+fsV/n8QrHcni
vf3lszZvxflL9tZ8fNJPR+bdv386/0v75acbq7wV7XTbvdXT3VvTpe2f9Lvlmf+3D/7r7XqUh6l8
+/dvX75mIvdF09bitf3t+0OLLt9RNE7P/+D1ljf4/ujyL/j3b3++5l/F+7881EzZiwD79u3Qf73+
7UvT/vs3yTJ/d2QHQSflWGKtOS9++xfQwOtD1u+Yzm3HQp7JIIAR4Ld/5UXdRv/+TbN/d8CWOraD
kNXWLZOHGiJMvz1ky9SCeBDjgKry0J9fxXcQ4Le/4f8MBlze/gcLgqEjQUF8roHj0w0NXceHzeUE
nYXIg1HekiPgwnnJwndjPnRhuJYb9tHZ4Mp6DFHDZs/0ZjSR2/TE0kVYJL6quLMbOVgJGKRhFm+H
gVFpK4sb+uWKXrmtuPzwNX//8D9SDHH8/w+fVjNNZPh8PaqjfBgmCsM08fyHfNpR3isR2eVNVl5k
izptoD9PTnls+DGFYJ8Naytl8h3mLbeczxMxmpXUvqgMD72ubglHWIVDstLT4CTYnA6auZt0BEfk
vQpaph39DefG0t6acnIJIHejABbAucLXnizJsnl5WQ5HM8MLlvt4RoIWRq+K1+U5MOuhnsT+8naF
4WwHJ/Bo4HJoe90y15fa0e67613LU5ZDIqjZLJ/ALgeaBMN6MECQ291KLl91jv7nh6r03F8+0/IB
rx+4QoEjGys6Nt7yHMHhwmpyg8H08db7TSG5QABdippEckhuxfVmCDyUesidk3UTJithyzfLc6LM
XNXGpop4KQ+DlHND7ITV8tSQ+2LVm6rct9sbHa60CsS2orVQ1axGeLUunK2cBZ+RRKar5RiiIP0m
Kik3kUDHayudkXzasEnyh8w5LYdT4wM8p62uodjgZiKG24pnF+2UYKDlz9HK76pdu+FSxdVvjOag
F+uGVyRIngLe4/q5ePNKsdZ//lOX92ukkcQrZdOCyM777fKQrkXX/494bl+g1ntqhYV3+QdwHGhC
LrjWzfL1LP/25c2v98MFqnLC4pb34isMlus8Bl4K/pQfJw8ob7xJyx91mZG/jojSS3WL70veZBrO
fp2fBjsIcmSgSlxiLGtIu2RCAeR2L6BbmjCXlpvLkxtlZIKzyf6BbyulLhFonh736y7OvK7LD8v9
AQ2bvgdxM38WvMdy3Cbp1yJh0uRwyyFIWfcc6uI5QPDlU5lMKn++1EafXNHYToYYPoDuBlxfHquW
w+JV41/G0RJdEHqvtPdy2tMKUrzlEywvG9I12Z8o/1bIG7c9FJEe/4cb98WXjHRGB4Cvblpexkzd
lkc1XILbIv9LP2Ze3SV3oxQ8OCGgy1QrPycN2iyAx86kXVCyPsKKin1BfE5uE4/XWIcGzE5VMyGG
UH/ixCOvks0HIuJ8QXxM1WZg3+2qtv2Q5M+AR3EYk4vhAeVdgGTDa66HPtFwJEyG/GBwMV5S/BhN
H3KedSTiEsaOd7M0m1VHip9ItBsGsfDbrv3/z6H/MIcqmrnIAv/Pk+j2y/BFiB+nze8v+T5vKob+
OwU75iWNzelfk6Ziyr+ruslWHYeHwdTJDu/7pKmqv1OhpA9hyGyOMGSx2f8+aSrMpzSF2ffBHQK0
So39/2HSVLRlm/iDcc+xEQXqxAqwYWZ61q/z1A+2GOwy6RwboXovl7G0Tae020po9d04V4hKSaSn
NIccWA75QWk7/ZONtM5VnXraJ1npbHplfmzQsxCVkdNiF7Liy8hu9rDQ/DapSFOQu4LTVqk3vdME
3thipi3bdjd0WkaD1qBKYUv5UUuaBwH9Qm4F4stW2k90gvZykA6+hIiidaQSjAD5eZ1C7Z+9T8Ok
12ypy5qfbQd0CIJDNHkOezKb9NqtWORxuMdxLuRBvnKobV3msc5d2Sxav4hIzUzs7rYK+9ib2fuu
OxiXbtvE9qntwtXcmJ+qPPJVp7mvinGrm0G5mqXWoJJvrMYu3KLmnOHuWo2bWy58dMLd2XStOZdq
j1EwxPCHzz+wehlZxqATQju8NnWJQ6rU6Y6WHR34odsMkvnSGtOTDfHlTNTvrarX5U3f1rabIkcY
qiS7xf+eYnWzDLeIHZ0pRRh3A1OyXlntU2MH71WJ2N1MnGw9IplhlZOWK4EOoMoUP1lk56rTTSsZ
OtF2jGmE9ijgDZ2snTHokYtWPtZHnb7u+F4gCbsZOulZEvKlIaLuLjNodHVJE97nol63ljl6UaWX
px6tDq0TRGi0Wt7JXxgOIpJf49Yxz7WVRn6AStMPaTxsq3nGImKxk28jdH6FVV1o5Yl/KCqaS3Hn
w4lsmrbFj0OW8SBd6yU/nMhoV/UYoK95n1fEZMpBtzW0zlgt7pgVIYDBzlDKdsX7Rlkaf5aNJZQI
xZTNXvubHK13itKXUNL55lBshqRXbi2q2X4z9whtcTk64YNSlECnJjvcW2V/KxK530CkRRUywudW
SFEZOuWcKkm5ozkIyZTu9jgR0DlUFjD5mUpaZQlfI+j52DsUcIlRkKWmOZMutokmSgjoJYRntumr
VSZfrB6Db4PODOHBY592xl1UKqt+Hj6rWR76JMiHhIyagDi14iZWprtGt+mCdVhtrHBQH+q0qPDi
yNB2oKzd/zDI/U9L2GVR//M3rsM9YxCybVJOdeNjxbFEUR0GcpnfW0Rq+NGEJpDt9WroI+2khUzd
gfGUh1F4kx4Re/WHeJIuY9l/bmVEqYkoRx8wSoiWr341OgzKIOrYniq4M6elMJKoJ6EIssRtlQCn
5SJcbA1saOdVUw7KPh4HpPxB50kdUmhCf3dkv9l7Mb6EuZ7s07J/ahLJ3sapQCgN51IWVgRDK3sE
FORSgBef1LJQDnxL+VFSNRCDMEtSMuK1sBovhh08hvqobkgQEnsTvBaOg6H3LDEr7myVUCObY5qW
+SbrZmmjg+MsZ4j57ItWlTMSr2yXfwi5sS/moO8RoGdbeda+5mZ3RGCEyJzBbSITaZP1SkUCdVw8
TuFwJHvBx5tnrVoUS76GBxf5UrmO4pJgvxhhM4ZE5zDROegGshtFVODjIdMN1KGyYx46p/IsXGWi
DaO1xiZSh10mLE8hNBZDRM/KKnaeLaN7LTBCJ5EWHEv9U9YUAuNDv0vaRvbShtVDqCWbCJFQa0u2
R2qVijQlpoHdsWfJnG4TL+v3NicnXW5qP06lcw80hFyB2TiUpvKJIPGbTh8qdl+wEaFmqmjTxLB2
UHZshWjQSEdWxtk8HeS5ZgVNqoNfltW2ShP93JG0sRCipMhmJun5Sc80iA+VoMJcqsXeMkvfHsJu
p5N3FDho1sidG9eVJdn7HIOWGyoshGeCCu9tGLll3037aQpPfW9kG37oX1szUd1a7SW3Ux0BUyd5
zaOGLCOIC3vaXmmLMoPzCkoXCEF1To4VXfqItBsW+sFOLef8BKEqX0+Ksg5IMFpXDayOcbrVoky/
BJ0gxSMwNtRy5lU3GWBYgGpjmuQCOBLtza7aU9arlmCMcksYU+46RntiHzf582B/1lTBzhUnx1op
zS0/gmRLB5lMJKPZEICou/mggoGQNQdtVZjstYZoJjUkyGxeMp1n+klhEh6jYQFr2eWlNZvXro6G
7a+HAdqAPw0DSNNs3BN0dTUFkhnCDo3Hfxh4Ca4M0NBY0l2c1iA1QYm5as662UHa5WO3380OOLOk
svfTOCA9sDrHA/sUSZbY8WPBHp4402EUs0HNk59XlvePYd2UnsL0vuvD8StR4ca9yPbwgiDcEPyF
nTyFn2ADgN1IdWmssrJs9xLIgCzCq1/Z5fPo6IlfzWO3GwzOZIzjwhvaST2izBdsMjcRYBTLWoGl
RM6mYjoUXcympWlX7BPIntHyNzPQOphvne3Smm7dogz6w0wdw8PQMrF1Plb4hdak5IyuHgUcfxTx
ypBV+rEe2X8vI3uhLda17FA3SFaKMd3SD9vLqUUwVM/YP0i98CgmTkeCJsjraCV1NfHDOkL8crxW
psMQ4wph7kn1TUtOjN+NwJBgXMeulkvGoZrkxz6LPveleIEC4WxUNgWObKIWVIgNQTuHnY1oxcYi
3qU15zVJ4PbKoi/uOSIf9jU9v7ikCjnzAz6Yjqq6Yc8eVgTtsOyb9NOQa6VrT1QZoKuzLjOS8CDC
ZVs0xrQLxjRmAEg2FP0wTgti3JwyObVITv26SHOvoDZxtMPka0ETY1NNd0JyojU1YqJ/Nam5U2O5
O6aV+aDlHi3e7KiA4l5AvsdutsLL9WI79t37r89aczkp/1otLCettqQUyLZpAiglruDnk3aolEYK
5zq4a4LR8Z0+dA6BWTokfhIqIevqY1lnW1rT411vvMazA1TMWCsSUkukctUXOdA2Up4mK0lOWQXD
yfOFWqhrIrLGI4qfFovcHc2leD+2prQhRu1WMogRtXPCUG0HcmuZWbknHFlsdNCUomIPadhq74E6
cDzHrnsgodl4qkiNdwFvz+tZjKChQyS+mTkEGz7GiykGheAgpKBjM69aUqj68TYPLPsIarrBYQ8m
iaYVQapBWrOI5o9mEifrIPOZrVnZApdrPVaC5tEYVqQNtheMp5lfBKm1sQgHrkQnrX/9xesf6l7L
F68vext6q7JmgVD9+YvPCRSolSi07lJzBmoXK+O5Khk9n/UOHHs+OvNG1tFdF7axZltMXmB0KBrR
HUtDgc+gS/FdVpwRGEurqk2nNV5+0++S8lEOZOPQV2RKE5vrnJe4GeYVzS1sxTjntUzNKkqJYdCT
He6zlL5BicO5aKxtoZLEURhQk0n3Sx4UOFRpYv9Bgkaxn/so8nI1yElitl1g2s19GwYNSV0ka7JK
3kl6E+x//R3RPv772anThab2ThNhKWf+/CUNWS1q7N7GHWtEZswYcJ5Qbkl77PZ11Msb3vPZVKkk
mD34JrmbR7YrcU8VC5BTRtwRyb9ENiRN17L2HQePvEWWtXoV+qVVViuimBRiuJQDsOX5JDt5R982
o7aW5+YO2XS/J/z6ZFXxU9HJ+rZojlHWH2WrpGZVRspuIKcShlG3bs3M2TiN9TJFCHQZFecHiyys
etScXakRoAuig9zfzFdKahm1HM9ryJQE3dmkoCl2PJ1TnUEuEUt4mYDLLgP/KZxC31dtbh9Bcgko
gkOHf24aXDs5xxARniXFANUvnq6BSKLTsdQlwOopIfndFOkPsoJET0tmHEENfRAWEgwk+xDdiRcj
0bhBi9uDZUNLqo5rXZKpJDWK5DllTLGzMp7NgZ/lwF5nNQ65gSYG0aZeNOF2yEzFj3NTORQ7tNvE
GDmmtJVYNF0UfSDl0KlrX2rT7DTUkwfSUlC2NI9Fl3Z3YpbXUhuAmWsr8zwT1+THQo6OjiGeO61h
2GhGwm2TF3Uc2y92onqiBcJQGYG9zVgTDizFLziPvhLKPpGp6raobPw8oxapdLW+uc5AOnzZxXB2
LOTqLErpJh0U+6aupHqN/LlY6ao/52lzptmzq2TJ3C8UpQKq/j4NvQKIgUsQubQvI3MnQxZ61BIo
2eYkplvw/fv6f7N3JstxK+kVfhW/ADqAxLzFUCOLk4qDuEGQlC7mITElgKf3V+q2u+0Ih8N7bxS8
4pUosgqZ/3DOdxz0cPmqv9WjZ7yohYVU1Q9Rs2grXafGcE7gGJlnrLej5jXnwnMfx+6lFli7paTL
Ab+xgxa8IE/m5Enr/R/m4MD+FHrRdEZog3mwUr9dY3IjvWVD2OU9Plbmu1czP2W5lt1JL2133VDl
OHr4Tw/TkVvjj2trgjkXqjgeKdpeQd6q50veM/zYLahgVEsV+2HA/uZa7zKCrQIX6i3B46l+4Yfr
/S8beg6z//4U+yZLCUb7tv1nYHPb4P9LYeQ1Rj0xhJTPtkNxsNR+EXX25J4GJir3XErPm8PRD5vJ
enBL7YfIQAEKCWqnUovcr2xsQwPmTmzT3S2m3Z/NwoLZkDxqdYP2uWiuNj47MW5PxD5mh9xcgQ1a
mXjxvcEKc7Y4gUdG+r4V3RUIs73XB+7tP+es2aOayqubzjohHCtNJ/WAw/MXRqhnvTL9a5o2u5aX
+X4uE7T5aJzJEV76kDvTi3Gqd6GYvWVPhYtCzNcmrLxGtRsU8RGuxkQ1IdwqXDJn4wBPGJOirOq1
1Ttrm+exGm7Tw1QT1NJBZeELp82DPZlnbSXQQ/o3il6TTj9dmEBFUW7wS25pH6mexXIRdth0T3Mz
QnTX2uzF3KQ8lDlft9KW4lonPxwYHTFNEAQ+IJlH3xqq45SzE5IJp5vupk8Q3fRLAhkVECMcxsRB
4+v1TD5s821wQARlqyjvHEmdP2dWHaWkQsT+5H7XKNaeWR874GdzgltMZttde0DToM7MksF0FcBS
qpWYiW5e5E1PqD2PBroqZgj7ATxekNvcXHkzYd6joVuMjWo+1+SuquZ9Q7EX1G6d3AvZ+oEGbyvM
SOPae1lfB+OoNffDUjLXUNprPrdzDHVL38N244xzJtoMio62Ffa5EVddz7BBtDNhdcm0hUlLiuTk
ZFFuYrHcaoVyfvIJh0bqWYPY7HnrSDnGXjex0PXTJsjS4i0r0jqQUJujakJE0bCqDtrKp4cdsM0V
zvrEzwF6c/mt8On/aJ1bjDp2klPeNcODU1UBmKYiHJWsvyERcuMmn1jiV7YyPJGpoapj2eYmA8Xk
DPyivM+9/MSesnpBlPfFwMZAnsd/jdI/++n2LGVlnuBNimvVjGzHDMvaOflrPWiQZZH/PSYZge1d
XxLkOOgYFvTa4yX0y2dENAsZebTfVvlX0quvP2j54lWYWooWUG27Bd6l2T7l2q98zIiK73vvnFXE
g6VuY+7X2WaXrrfei7VV9Z4pooy1omr3JVAxdGnOKw47J4JAN9yVqcmOCTGomXH/LkO9omit82u1
ii4cl6Y4pnbzAgZ22k8kHp46/TqbPSUPYvOf3lwfZH8ZN4A2GySq3diOvwyz8M5rLW7UhhUeVpnv
UiPL73WWxE8qHY+2Nju71NIajtdufS0T3nYURxncg3doXrx5wJVEtW004copTkxwg/W5+dktNVkx
DtBCUdh3s9WhB1vaLdBIXHjsrP7HhEJjV/lSQ4Xpk2Q+wb/xE8aTc75Qk2nDekpJgm4wG8fAyedw
8vx6XzfQB5p0zgJbGNl7bbgyRBnrPhZ2x8yh/8WcQtwT/gQWNM8BJJTZtsM/B21ptoZwJLQvT0fv
emiojZ5vwZFasxl3npW9FMmoxV2K/3DsD3KFPk2MSn12upUykP4pmDQrOdSaN+yMnsgBszDmZ6Pb
AU9tY30cCFQlJ3kL6j55XGwGp9bcVMc6nQljs8zkZJV1zw+KWE7XULeMgVxw6hC1N0r1I22r6iK8
ddmb2A9qrFHBn7J5tT/HquuPNO8/gJeW4br64Aw0sHZ5HlX+uu+m4rsq2Drhr9PvhNSDDbRPpNwk
C9uW7DNnTe40Jbd7NZdp4Hc3OoZlUczqhnfYDBOak4u9a/jpGptgPbkuR9+gSCjHAhJG7ip8KEBf
GRYT61nrwezBHhKmzw/Nf+Rh6U+FPqn7Cvohsybzr0qCyywX7NTW2jykfSYCi8Chs4uH6rnsnZ3v
vxr+0Lx7zM4jwLl6sGTTcHCo3f9+U/7/Zul/2SyZtECs/f/nzdIb6op/e817GLT/VZfxjz/5H8IM
92+3RgonAO3sP9QX/xBmeOJvDtZRAwXGnzXSvwgzLP1v4DtuEkKXbaYHA+M/d0wmcg40GbruwvWw
mO74/5cdk7D/m++HyTBhPX+WXLQ0FkKQ2yT5XyqhdLVUhUAyOyrNJlpVtL/rWQ4ItiD5uOON0GnC
1e8IBJPT9DlOkL5X7a5UxnQ/gza2HPZFmLqadJ9PWxGSqJNEtlVrCAAoER33My+Sh2nRm7jFxIY+
EABriVd/X5GdwKQXaYSDK35zIqCpgjop7FNfCyfRw8pS25v6dCybDc8kSdndDt7UKSbo3UHpjD0B
GjLEdPx4Hs2IauPYk0F55Nmso3llBSwa9emmOIpJsN4VDnmZRrKcybjd7tS2Miku/SjN5EM9o5sw
ECRW3KIZjg5FUNDRz4aMMqq5UEDJiCW5EyNxI0mcNUE5zTvdmi+Vbm6Pi9Nqcb06ViwHxFvDWPRM
eUuftUrnxzRcfYharGYOzdAfvIoeVzk45g6bWjlxj9h51M8LWotGEq89fRJ5QVeDUumhYAoRVcKl
OSwIOsUr66zdpVfLBPrY1TD/lW5gUF0FaYVXMZXcAXLKd+ijC66YmzqkS3cZkLqrOXvPNalrAwiv
44K5LxL2cCELPDAOdSeu3TirOz3TrsQBxus4vDqZerIBTMzK2UnHCBxCWJteRm3+tok8AFwe06ec
FcQr55a+O/kvtKGfBKgEzIORj2FoHsv11nVx0/NZs6J2GTOXserwwcD6BoBie8/+A5ufYd2POWlD
ujPCv8ZdaC6LEeZGo7D2G4dydE7cpphBTDzyrV2dPX2+kNjynrdDebetwovEgoM0MxH8Sp25jdCS
qGohJ/hIWPfFjH+WheuExMgZGZEPu3bOygCDEJk1vMGD0SbKUJeufZ7ySr7DluzH5swgsucNB6ZS
osTFV0FiqxR12JKas69qth7e8j3W6VUXdUdMYj+RAlVeUGkU1Djmc2cI0Ab2k6j8B7xCaSjVh5Xi
ieiN4l12Wf/QE53BiFUdNLhhQclgyM4XL57IKIq1wScgirHtopUZw1UIdxCnd6ox9miFN36S8jTM
3QY53d9jQ1ojYOpZnJqa2sPLjetpehNVVZMT3BYxjr6IdTeP2dKFOm6boOuTu6QnD1FgO3Ulkegm
/sqh3xtsRaPWMtls1m1c1a4HCArH6kCUB26smYgkI5Cdez9atby4+bybx1G9ZFcLL2zePyPz1vat
RYuudzAnR5riphW/IFHeJ8m68xt8x4Y11PsJxi82QzYCBM4pIIFj9q5glkKMP/hLrkUs2gBcJqh6
55DH5r0onqVNizmpLpoBmsfIzu7dvpDUJfjSV2Spy01Ezhh5tu+lsxwnoxc7l0UObpV1t5VGG2XL
/LiuWcXk127oRsUYoARHezwReejLvZOkTz0dsa8nT8P8QLrRhpOLesCu7uGWQAUukaGITgBKsKig
ZjDlUQoGNPRxftP+6gd9+CRDzw6N4XNZgKW5WHHXVP/Ut9sLlG50kMLaER+4d2cC3fuCIQad+Rza
af89Cb2K6tqy9lW/HSV6+rtKzbTyZvK8SD95YVN6ktWPOpNtPObN50o+V9SaWUoL6/DNtNnvrsMD
5yvzIVdDihrGfcBiN5+WTL1iACX6yroxcVlA0nzPyjvi8PSeZpNavEOwtMwbgeM+tS8RtvS9WWbH
qhuxgNq/neKvXHNeqw2eYL36Y2SX4jcJzIGCVRmszooSxtavLu67WA3faW6qe9NuS3SOZJzONZw+
wbTGd7+AM9yovV4W+SYH1miyR/NwQXacTKTC7Zd2Rt9UWemTg8MYafIIEjOEwMCr2+f1PrFBF449
YjjNR30l9bvSVdSs5nnpJqKPWR/1GTs0cpcCeD4Sm9Jx3ar8RHNFLh8RkibTSIJrtaDODX2XQThh
NjpdZJ2+SHggnnxQs9pjJ/NCrbhtdrklkz4RT7Wvkx3VNTwFtToNlPmRYce2zVb6pnJk8IwOgjrS
LpcuRiygBzgFILI3P/qKCRSNXLHfSlKCfHc+1H/51fheeCQ8uZV8GlZYlMZh2bCYQ2B+qPR7q3JQ
hy0cL2PHRtciIK4fTY9Mpr4CnN7vofKjE/QlfWSVnplN6Y9Qm+KC0J+7Kn/lLiCeomQf4GqpwULQ
PM4915qq5SMSD4/kNyusEVs6ltu8L8LKzk6m0Y+yCprGpiPCZWzvcqe7DIcGLcMDuURBkTnzvWtN
3JBMCWG8/sgHzTy1s1Y+apPOL5Wqj1pBghChWHbhxihVfmyufEH4ci2BlaO6e8vahhgFT72hma1P
Bnsb1U3rETXCAvzQ3NewXJix+UTPdtthHo6cq3K3asOJcdqDp7L5qfTOnfJCU7r9vQ9vEG8UuEzP
5f/rN3+3zv7TZmqEd0wAwS0chnCvqiBfpLfjUfsAr/o8jeRoDinvf4YUYd3xxqTmUIc8Qc62reaJ
Mlygno15/z7YijDvFmAKWLQsahWaVqv73drWtJNL+1tOK8h3edN451ikZph+ua2MXUve51CuzYms
7p/1Yl77ySt3NBPP6U24WRXEcvr+FDP5wc7egtyqdShI493Q18QPcx3ljGoiQI0hl8J8cef3XOQH
xj9eVCPIdOr0YC91/aAzCsrI+fiQrjvsckODYDxj32u37GVuEzukY/1gL7ZXGztKVYRwlpc3p79x
pmR9NYhFtKGp8xeHDCKVnhBgYTDjGRtxcHw8DjA+YSYaxrxb8k9b29Q76ZffbWY0+94r97ihzg5u
RB4gfmK6ZhoBYuOXGYuty/TrTjiW2PmpMiLHZaaU2uDIK+ouXLmfxagzlWII5kpUrLZswWZo83O9
jkRHz1vUytsOYkwid5PHNfXHOxhJOO7d+UX6iBZAuMJ7VVp5aQuUTK67dZd2sfDWB57ovvREmvds
6BDvOiM97lKctnVkEZ895UYHPLuzP7s572Oj3xg5gBuz0xCb4Pva+ZyI8sPptWsJp5EZQkJyeCra
gNgpFE9udoHaQpQY2dZVTpyJNAubvBjjr7oGo2wRukr54B17yqewx1Nz7IYsrmBXs9d5K29v1J4M
eZfX+Ui1Ut15xkKJxFmXk8a3qweZsklSHfEGdgvVDNSMZNwMI+WSJm6129yvouxUsKiq22NzrUrx
pRGlEc54S0NNoEhNxQdMEudI9ssDyOD8bNQ49uutg+310MCbDBu1dbG2Ns+JlA8GAI3AnornAlky
nl84pXU8Omy/YVxhKPU9RB8bA7AOhb+LTacdrKe16UXEdhwdr27u+kF/bpe5wQGVoq6kRPdZN+iq
uw0gbod7Ycn9dusapmdbV0a4tP0TNvU7rx4vRC+wc2CRcqg0h+slgdtnIcrhlt1wzyyzduBEmhCF
bf3P2pJvlLzUdlhSQnNuDcaRw+PUMGNRhuaHVpuh/THltRxHL2jmAotFNc/BYKJMyAQ/b9dljc2f
Sf1lYd4xvSyuMVOWo07LPfJEtrFeMZsVeWSZJoJsM4UYvMBMLMR0qrS/OGMKavKp/rDnoysxD5nT
a6+zPClcilQLlH7qIV/lew7U1uJrZTKxstWNFp8h2GD3hJtwrrq090HHQHY3rNj9WS+XD3DbNwrr
SX7IbrHRDnXkCycb95qWZrFTSyucE/Vq5e5+c5vL6oJEbUlWe0+64nvGtU2g8fJANtdvVhpmWGDy
iWRtP+o0G3c2nLY+Jy6sToktSRzjmN4+xfuPOMfh6Kj8azDns+7xHi15AKKsEl9ZBanV5kth1t9l
Sr6t9vpbyPJ5QIpxq1ibYFrEHZ4mzd4TT3FpEOLd9vgWsc5gMAeNNGU9+0J4jVOWEUk99EfPWbn3
HqG+nYapA3/qPznz+qpYk+hMmtB7nJntfIyawqXSGDLIN/+5nlMM98igMzhpemFFW4r5b3tmbfxs
A8xAzc9PuEd43geVIMC1Tz8TbTr6KH9ty9iltDeupS6irESQGBNb55Zh5x89AM5hckzE7Oyhj0YO
aXhOkn35BuErW7zRvc1L9xO7UGg4/ovlkuGLv3Hxr1ihv6k+f7ozZ4iV6KHW/RTG5aZ96DG1F1wt
nl7RGzSPbLZfazd53FJxbrLuNdeQSeNLZEX3iBlwDsbKfbbhZ1XZRgSfgdw4K0qANrAfCcEZUvIU
+KuKqn7qrDGaIb8YdblGdSJIHNSWB5u5Yqf6x2IT703fHgqlQnseT03CCa0lMbTtM1jD+/bmvTAW
IfFkYFeEQxkA7sdiJkBkGK+m7A+VZbBbK+2vcgbR1l42zdPZkZdX3zIvRdc/rABfRAJcwfk5dW2s
lUBpvCR0By3qeiveui6/e+/zptjhkLlmjX6YCk5lg9WvIFWnsB6W3vqQbXfVBwGAJbmHmi2QpXmd
G6dL+cFGh3pP2l9T7d9R/zJoyxYvMKzpe5HObqXEgfwedgax4hJR+EAh4CyBvMHriubeFVNcD9m3
by9PQBuZCBS0fcJ9tD0nMrv5miPBlzcM2e2ladAK2cg36/7gM51vsapoQv4obuhcA6+uu7g+Gh4Q
ihp6wlacRt88ZITokLVLiMGkbvFLb4ob6fYz15R3hXG599PsmqDUVN2nq+/zRuClmB3serYbbav/
OAn1ms7oxoc5xtx/08uGjEFeKCtemV5UlFF0zyDvHktn3qXkkjErRU/13DlZf240Y4rxh3XQZMrH
EmrE0VTUU0xcLlqp63c5OiW93YbjOHNosA0i2IE+qq0FQCQtqnTnmM5+UDhDR6OMQc705j13/3RK
zfGCJeBhIfE34OIqAsyKF0dp+JWx1mZ5f9ASmJ8jujM6wI6VxLjE5ZqcARnebUSVcWnUcd/K363D
PyBZ59DkGSK0p3oYpPvmQy0HhaGCzFFA5KaBkXoB1mPTtvuqSIISJ6uYOtpXPfvsKesI5gmSqq0R
0d5SyLo9kyvKOACedlZMO/fe8S69pCwoMkEzn12oHb/c2fzS1HHoKeMKxW3hjH4BI8i5X1dzIiqd
HMilygmqab9YuXvH2urmkAGfCo1a7TL8iV3KDnDU2jfHKc6L24GpHvSvXlPrFXOS9Ej59ZMGAdxo
X63Uu3D1Pc5AggJHR8Gxaldn1h4mU72KgREMMNCRTtlHtyAeXJsEb+wCH0YpZQCH1NqNHouZdjrw
vtyJXieprvZJ+W5KmI1s7fLUIPRDZDuvIyyIMMuTxp5lBhsKXlsxbuJ9ZwMg22ed+DDbliIax888
ovrunaggPeDICjsuELYDsWo/24SIQEV+2ObelYR23pN2MMIdRZ/hF3EGFe9cMfGMbD07pahCFMbO
fGaj6A4mOQRlGmG+ODc4z/dLatG3G+pXXaAbg5OLzWnrD0PHsWEw6ozrUt2ZajbixRVnYdNytMuP
ArAV5RaWlWb8MG4C05HCRlV9pCxtvemF2zC1x/OaMWAbp+Q9tZyAeC+EXiyVG39ABtJDCzZ6dd8i
VaUfZTiZbyxHpfNXPfOATq6kk7TndzZj9AvqB6DWOkz7HpJmW3CK+3QlqnLNs99vzk502hNJTg3a
eVHGmaDxq213v5hjeRAiobvbbMToTODRwzIQmAe6BIozv+CyVS468RJlxLo4yEQqvDC1G1tWojFH
YbxRG+v8vEy/WlMtkYIYyM2tmFaZFzlZ3tFICSZmWRq3AkRURybJ2DGohAR4r4r+thbaG4xiA7XM
S8w+qDTkt50wCmRF/WtbMMuUNHQIKY1vN7F/1y4caEI/0Vd6IEnnTv/R+0irtG6IrCl9HPUUT752
n4AJxNeF6ctaJSUeCBGagik0WBEFZVo8ojH/zqFYRF4x3+VtetkMMtcEUC6BhwA5IdrQFnQ6yEft
yOIz2Zp4m13+4mogGLdCD8v4sikwybTmFdwQw4FV+2gQ/Ea1q5/G2TXpxhxQ9TrJbSaVidbtct2R
oUP2zaCjHrTrWQ/dfZ+Mr8hAmMemoFb8oo6tcg6ROw1hUzMZbVJxmoY4U73/S9PFi7MxkXIQZ4a1
PW97BqpYF+pD4tJ3aHkF/L1fGmglOfTbgpw5o0aagyZ2XCYvzGZkkoJIPnIShmDs5XevWURB8la+
tUxPPuvEE1xKcUqHTpyyorJ3jjE8mngsDjlIfw3/0AkRhXtSGbLoPx+xEdtiBaucc0PTTjwodIT0
OpHtMfv88wsZMM5phSZ1EisOt+DPb45+jp6FlTWLb0edphRGh8nA6liYQrIBNO4ZyNi7VtbDqWv0
LGI0IwIHtPQJIHN7MlMygG/BM+1pbRY+NFMfbaPX02wUxsFCYbJnnCxP3TajsqnXvdk03clkI3n6
85EaKWq89Vh1XGCVkx2n9qk2JHrLAeZfQkACKsnbV8/IrDx1VhI5TetjXPbo2P983T//mD8fMRJv
edn5t/zz96hCIxwL4jDghTnNMIACcPlJpCBlIeRh7sMYWpwaMu7//kvW0LayWXkzjbo5LbbNrAta
9hr++dD1crcM5JA3MOmS+pSP3D+NsO8QMPOJwUKq1ubFnievO4GCkqfsJs0G5meFRsO38eeXiacm
VkL//OdvCRt9s2y6vRQTI7V/fqJDSv73P/Xn94oV8wd5TjxS//kJ1bLAMCXFHB5qYjT6YU8r2Z7+
+YvfmymxrbffzHNU7D16x8LnKfAGH2WCmLS9O2mnZiD2cUxFGXm1/OFWSX1pU+phOG70hQywZZ2c
0TeSAUVMe6XPAP4nA2vQXJtRPyK4hbQeZeWxNW4ZUCC1W7g/QeFrGgdPCTo+zZ9qXOPA6yb9uUp6
tEzUSCSH0XiKTXCfqvzOLVL2uJByQ0eUSZzNzu9NEBzQNfORnsC+m6A59aOH44ipFIFjIgUSVlPd
MoV0ghQkt+IxjAyNqeKa1y9rMai9hdDMvWnjCsv8Jg1h5hVlAlGuxdVIqu5O60oG9C6MpVKc4BPd
LoE0p88kp7VNpker8gcU7VlstCvh7U2z2zzS/NrFLA4jo6Gwc9PTZsJk5phrkbVjdfAnHURDqR8a
fZ1ObTL/lFr9oi8DMA7mQU57mlT9RJ9owhnr3GOVTLRLZLNySJrsg/ZaMfFLSxEn0i96X5b3mpHv
nKTyWdqEIHHJtmu6X1K0CCXuU0scpEmrYq77CkEM2O7X0kCMRILF71pzfvQ01RWZrBWGsKNJTsfM
Vj20quIC2uullP4a2KAuSu/oWFPP8iTHETsvV5yOJ6ykM1SzIDXVQzJZz37fHZVf3Ov5GgH1emUY
T7/fYIuZk+ZltThxibkM5wn2ce0/3r5s5xmsSjAAI/PXoywvfjUIAWcm+Czi1vcEagOSOAhyev3D
ttw3hA+KTytIkPo7SMOVGVT/S/Xm+8h3aBcMRsaJQ2cSw89sZYbdih89oTRT7gQMKt3AWoe323cX
WowbLqXjbHhuRgw46aOvUZy3uDkZ7Z6QNfBjQoXo0bkRU6jb1y6h/tl4PKquavYIcl6IlEQSvNEl
5tOvQY2UV/S5TMC5K8WxQyl3HsarKJYEsTjQEnrAo5A5Yrg+5mzklpdoMVVe/yacsWJjQiBXgyMv
b3vgWThn6SqCNekhehrrtRP+t5PidMd90l2Midjach3GB211VOCjvOGaJ/NLy8Ch+Ht7YkzvQb9E
H3lzkme589gwxSTtrQ50dhlV2zRx3SOlbza+hYbN3u1Hx6LI/JSkw86m9nFft3SpImEJ4U72u+ao
KB2dH8ZU7NlSWhfBCq6YRy1MUNLT6jLwTeSld2Ap3l6Pvs2JFcqQHKEFuhir9zb3+idnpRk1rflz
bpGXWAnfs+wJ9Z3X77Jfcc5VcSr6dD+qSvHp/uqg5E1ZiFLYYHhtum6nlCSknLlwkKNmMRjWHRy3
JSZzLL7WxmMXMjzlzvCXWzIIBfIUEOs5MxcEqpn7WxWWLCJ0XsXIhAPQZObH1nm8PKQSSMu/23z5
nEzmLwXCCFEqM9d2wBk5QhS2+OD2qTx3yakth19i0BEeW69OzkOa5DOPY/vau8aDv85qZ5ezinuL
1Gb5SpPlh+z7vTCtLCe0VF8c/SQNh5KWsq7tKxt18N0pw19fuXRupsa0UcZmgQcgH2ZKZyQm8ici
YBnZNWLaIucl8XoYuO0bVN97K6+riDFCkW1vw0wWgaUeRiPd5aPDVxaedXMRHzVlGzBns2uR2XLn
Of2tTGV552nWPiWIg3eQ5OAsbrU73ZYv9uvgMBgRE+37gWn2u5aZ6Mk8LvNzeYtu7Z0PSQk22I3J
XYoZsvOepe98eS6bG942jTn9Fu321MlHV7TxajEGRLHHxI9PFHbJIlgm77c3PDlsMQq+WLPSo2lp
p2VoGU5M1lNZupG2Fp9YoQ++0+74p8H/dpjF+Up/hIJPjVthRbDX5SVrO9iMpfZcl9VdN39padKj
j4R/a+vwb8BkOX0Kps1geWh7sTkQfGFjsBOdh4EdTWliaofSWe+ZUz2B53s0q/GpmbQAzXTUVubD
n6+7AtwCJwsxGhPfrnfb52yA+yNQJRgbJbelI3fKHZCbFEhURKQ5T1b1AlYdXX+VYrpv1t8aBN3W
EwgomalA7mPIZgsJl+l5cHmWZt1tQ68H69Qkz45RRuYKgLS2PtF8Q/G17W+MH48KVu/Qy5dCFrgz
srPdaPemP5/yjFNx8R89pknmyKAoHTNOMMv8HKoVIJb7ARDoL6/60luyHdmdXYkWigfgtXrjGmjo
2Lr3+oHDVTEUZsIKcWNTPZQaThblFbSR477hoNUa+Yl+8BkxxUPv22HVWSCgZkTLc+1uMTXIXaan
J923rnA93gBShw7spYDa8pivboXVyf1YQfQEK5P3DilFxxom0BifUpPHbF9Phe3ErAM/iVqq46nq
Xop5ORGvpNvjt55S44gS8eFAOvp8x0W7r8b5QecygBa666312LWMiY2NuaTXGYABDLbtPdCFYmUn
1hVY/7AQEAopLl6ex6tukSCp37ZXyblNxqhBnTABUaRLZJei26Eru5/FdLMdjjqGtvzBzPD8jgUi
vbH5Rfo5q3drevcqGQ/j8CVX66OWzWtTURaQtCyd+aflliWE8uWJWqPZ0T+6XAD5Elaq/MxGc+ez
nYAQwqKh6b9sXs/EWwQPA4HYLXRtvKcHb/2RFtr4VLQ6qaiR0CWp7XiUb7inClgELBn6ti20eZSg
meUur2g3LUtMQCLvBLuX7Cm7dwb6EcIknYXXyF7SKD9HiSIg4aJgLWbunFFedMwGXJ66hZygyNjw
sr8V6c9Bc3b6Ks8NCSWBhcWWbHUXMX7/aGv4x93sWCzWJ0o3iAvr1VuNT4ZmFYjSeY89iGlz3Xzf
nm+MGjIcRqzMS92FNVLncLGcK75UVJ1Y53KHLZwy1zvbZdPm9cQDOsLFmoWLPXVHm5yw8mbw075b
yd9ia68NpyYy6ClwauoWuyfMq69QQjp9jIV/PWaMjP+U++74SzjMp8ZU69EwG7er+aGZEwoVyZG5
NSejHL81i3/FoBlfQ5+GG8m0m1/z9mliByEP+bWYMN3UOJb8uYN2kkb+Uopm2qVtadNYPeplkZ8n
NiVmfVubbWxkWhakLXCJ3HnXM/YCabJc1jJ5HfX57AwEeBtyOCcYXfkq3W8oJhwZYnsi0Wzvws6A
IlOeb3lxTBVYhYyeJGShQNXkfmI13eAs2pGL64ZBUhE75YLx0IgtNvyh0eIkzhiDBGwP1L7V7De5
5dgEhpopncF+0s3fpMDUSRG5T4CsBr4onyiB0Cis7jvCm0O/YV6i3OrDRF/5jkx23FjPDR2UeTXd
rwxX50kuHBnOx8K4It5azhVeXGvXaBny3lTGRkL0tCp2Tps+kHv2LrbCiNVibpGGMGkAH4evK90b
JmB0ticnPx3HE9ub0GXjyjLo3A10Fe1g3xvJ7O5Nb3nhrQALTT4KW6kjsp8nzS1elF41zK25anOy
QRGHjzGG4jZCHgYZd4Fbit0SlYUORBDtULIy9xnI+mN3M1F+yZIiz9UQTDn+tFNFIw9detw2NKMp
DSEEddbzinUpJjrICKXz6IN8Q0WbXyrmVnt2zjr4hPLZ7syvLi2LO90++uV9T5P9NBnbeclS88jK
bNQ3XpKxprLhwqoLYrPslORaq9tU0OmYJrsCrRTTvG6qqSMzPej95WVkLKRE8zy26k7OeBbZ4b+O
0F4i0373u29ndIdIGwAg6yJ/rvPtuQFjSJOg/Tt359bdprHF8a+Sdd7NgmG4PZyudWLZlpM61zrN
6YsWthUJC4EtQLdP398wyBHISdyMV8sqbR5aKVuwmdmzr/8/aGuT1YfR7H2YT15vyYkER6TFcrL3
fpWuTtPt0ZfFFkbDTUIT+d12HR3nYnnuedUXASEYSBCbM3lrX8qjP9KZP7bl9ngFy8Jrl1FwCmbJ
r1uHztNoIjzcd/ckgbNebNNPEkgcMLTvqGDQTwC47DxMs9Mjf+qfVrT7roryzdJZ2wO5ESQHy/J0
NHWSE/LRITAx99uXW9fGJm6ywdTlDOGt4dvcnkM9peqB0+NNOjreAnHur2U4zDOm8defSM+QI/SP
gtOwXF5lgrLM/G70cbUOPjti/Yl0xGWVgaBOL8zi7GjuvwG8mVz05sZZkJGF4nowWlC1mcAtfTyH
2Awzcb69s6uzWVitXjqriccMi8LvT4t3tz7gutN8kQ0gcD4tM+/8PiJXPwlv4y2UjqKaf16ltD+N
qj+KaXSagQBxDP3DPQ7V6oKC+MVmTeXAvp/476nNBmo4NVuGUOZQ9WAk9nawIvwELWoIBOjbMAEr
ar5dMpDDkT30t+KtN5E4WqQ6PXBzmTlfrgRwUmvnihHmkpkbB4KB2yFn3+Qsdy6rSIJzw2wmn8yz
U/doCk7CnO5tZokzd/k+ysTHZXBT3DKPHIWMpI9IYZfVZ3jCgNidX6TeLb4Nf7a0LDEInKbgPG9/
de2KMFcUgGYI+YpyN4Mb/kkJtjeUFvaQqA8Y4vBkRSC2WJ/4+fwySSrAnKD4vpMLd8DExnpQTo9H
VfYFLKOcmYyJMwgT/0pu1hCXzm9B90ycD1Npl+eMbmGaN/7n6irMxXQ4u6eaRIqxChz7pQdR65rB
ikQA9jgdEdLOVpehd38xFX5yFob+y3KbbQbe/WUyKu7Povn2oy+OZq/gWqEnPEtvT0pxx0gvIHin
kLOIE7pkzkRZUlnLho4L2xX1rY/byQgCnMlbb0Fm3RklsR+K5HwJMmdxBN7hYl0tBym8l1AMrRn6
lt5ZlC2DD0fe5tj3bRgk4C6Ykl6hnTI7rnJGbJM1gz1OOqSYA9ftZrUcekdDwXQ7tE7cmbhd0qGn
kCEndyeuvb6pu4//NY3ae4h7J0w+tED2HqDkFAjeOyLM8rf85760g9t5XFCDnveD1m8n8pgGa3V+
1/dUowJ+T0Qa81zVDdh9LqhCbC5gg0DTVxet5ATn1Ejqj2n/sqQbMQkJVlB9MYnLD+7p6Fta+P4D
fjjALDyU03qC67zCXIF1CAxktg+TJCRgRE/RQUfCng4iy7NdoPICUPTUxRh3SweRRUUOksrI0Z/T
eP6P6OCbCI0Uu1z9YjSW5cOi+isrIbLQgZR0ruk3zdLa14Lj+EwBeC5UQk79Bb30/v6V8E0thEzj
P20pdES0loJth4EP+4l+1UBm7Ssh8Czphz74kOwadf1T26HzBOPaUCmwTd4Nc95P2Q8dEXtKEFbg
09XmKxAkdSFwXwmhb4XSJkXLjtBX3/YDkyrG20FaNcNMyKhJfXWMguM4FkryANb3ayX1bjswL8zq
NVsJgSU86dMt0KyEA5sQWT4Ic+BlNVrq20pgXF9bawPDqLBnmb5mhql+0XZXCbZnUR5gOklvvB5Z
REHVuAvd+1c9BCa8JOc/Q+iBfvyuNcBagL8LrEhzOupF1yMtBIHyaow2gnQsKKccKGcAfVFXZw0E
KMENGzjjfvkGjmO7DOUZPb4ILVrVPMisOuchk4GS1nQJk5PWS++2gMOmfaKD+L0DEQx4EUIy8uhZ
ELoW5PDQfNmNk9w7LQhgtUwXAaGCFDAKOVIfeF23wLF9C6B6l26q3p2FDjA4+qX8/DkgpQUnih0I
2Ri6TqhECQ0HOYI5RGpV98gECuBhTd+/9C0OAcW41qzyjg2MpJr3JRIRvXt8eGwOZqR/4hxkys2B
B8PWRqDz+sPI4md8DsKvoUO/TgKhwPUNTwIZWHj+nhNh7Oqr4w04Nh6h5KTwFUZwv56f1xOabgI3
slQWQAHENtdBbIQXQMNM1DgKPdQCZFmmq0BYQEpDtyAfXwWRS0bFptRlN5/3LmMCzqR5iOiQDHBD
GeJi1VfXIJJRIUqOYFh7sBg92xE+E/KGawFqDhkqttOgiQ+6Wgg5NsmfkaHSWtCLr0+Ho/R8Uy1I
14qAv8D++4/aBdxQixyq4zQpqh49PqRfoWmQCNaHByMrbT5NogA720oZeRb1VDwj2aind2ZRiBCA
ErMwSUWJAkczCBoPuaOFKLJCBwdSJdzrq3/Zw4hIzlALrm2BnE4aVQFO7i+CyKHWQOlfwNdTX71b
BC7Y7/qmjMIE+CgjyIN2LkJbC/iJbBSi6ai3ITPkTKYGQXoECyo/umf199eCH1kCTj96bJrEYe/W
grDJbJhuBVKHyi56nbQJJFgB1G4R5NV6J+g916NDQdieNDUEUljkhl3P87Fz+y8/IHVu4yASSOjH
1+m5Hj0+vF+KGcwoaeZ6lEmw9RSMHp5yXwuUUaByIb++K7P0LmwWTLWZZs/JmoSKCjcIH8+ahB7m
0Cag6m9xVRXDDNcCngHN11j9Zil0y+zsCE8xYKiCUn31zyA4tBIbasElSw5YXfCQIemYRY5GqmkY
Xnib66t3YaOAed5YCwREfkA/hWzCxq6XSE49CKgm7RZL/7SgNqzhWiBg8kPiLipH+l13nEW1I/Cj
Rc3Eo77RP+voOgqi0OiMoLgG3wVMXO7jayEgpcx2EfauttY/N8nFjTPVgiB4jqhRKIdr/4ik3QJz
gCNGwrG+tL575ChAle6YPj6OAm01kLqxrXZP2dICmWXo1QRhur76qAVhfEQGFNFoVw7ZEPpqrwU2
COk2xQ2z2wv1quvRWiD1I4wNAlshinwB0Z9WQqfKQPqAPBLDWljNnZb6lVOk50CR9xiZRbUjYPgg
w9ys+G5OESVQaQRaFr+xvvq2FgR+jKkWOBzCiOab3bY/aDoILHgX4Uum/6K++hdGUXY0zSS4ZFah
n6L03ByRHUchVFqi8k5DltZC79wlSg2KmNloRxBGSY4aIE+bFd85KZV1pNeH+mwTq/TJLgIabRpG
UncDiC9gK3ytIuyfkXU7XkBuUShq8H5ZRDzcpiRulFW0A0/wT2f503kE+ZQP8V9zbPYup0wcI01d
JMrOktpJwFbSJ0InZtLlFYpxtCg9/fU/YY88NPwzPZHe1K3+ybio26p1C/sPv7Drgz8U0PS3q65d
1cTe+qLq/NeidWuv+u9fWg1KdQ/+3oe7nvz6d5q/3jzg4U+3fmv3VLv/OUzGi3hxDclm3VXc3Oab
eM68wP/S+Cqex/sN+JgedP71Tv77n9Z97hm+HwguZh25KgttLHcBVFLWFlx3B5sLnsVZERe7W6yb
r+uBDFPJx3GafGGIq43Wr9t5jWUDmb6Ib/L9u9Y9suaSs2x8XSbXVdkSXjdfmgofjFP4sRfjfcm6
3d9YclKUi+S6fJF/eQGoczW/aqtdjUPsfvXRcZyHY/17q/sUrSc37VWo+zJN7/9snAMM05asWx5N
JX+bkbw2Cz+vjPObeNpagE13nukNn6dpAoJLe0fqzi9j0dlNEnesiO4mMpacr9ovT9btOaZiXx/a
Jt3rYSwYAdX1bLPbE7XZ0x0EpqIVUk5xoGZdkTaVfREnWct60Kr4HMfLRQzDRZzd7KujqRya33JR
xAAUFOOybK3ppjZnLD+5hl4sbg/T6YqPuWjOgiIvWyu76UE1l10UCf8CvtpSuq5PPIf0vFp0Rauk
v7HoPCs7NqTpyDSV/GZ8tYg73lPTz2Iuehm3z61m1tBc8OrFMJ4DG560j3Xkq+LCc8h/NV4U45al
IsescvbPIfxivE6uW8dY02T/HML/ny9mu9us4wOdZTcWDWv89MVxvMg5KdubU+exn+cHBvGsu/fB
niJBbCr+7TRpa1zPNxmLnaV4JO2opkljGotejCfdeeW629BU8LtxlhWbdBl3woQm8Wgq/sM0vxm/
OC8OzjZdDDcV/xH2iccXokqWPYPDrX/gcCE2uTjT+/8N7Y+LYtxyKZqmEXPZ63ZU2fQqm8q9LOPp
bgsqm0J/lkrLmYr9NF7MOdl2gmrJOuFlLPkxzjr66p7BkPwec+5kk7K9NZtMlel9/5BwzzB++j0p
rnMoI1ueW9O6aHzvm3yOYlpvU5e1vi/5sUzTA0zEYf5pB//w2F9rJ9fUN67Tcbz45U8AAAD//w==
</cx:binary>
              </cx:geoCache>
            </cx:geography>
          </cx:layoutPr>
        </cx:series>
      </cx:plotAreaRegion>
    </cx:plotArea>
    <cx:legend pos="b" align="ctr" overlay="0"/>
  </cx:chart>
</cx:chartSpace>
</file>

<file path=xl/charts/chartEx4.xml><?xml version="1.0" encoding="utf-8"?>
<cx:chartSpace xmlns:a="http://schemas.openxmlformats.org/drawingml/2006/main" xmlns:r="http://schemas.openxmlformats.org/officeDocument/2006/relationships" xmlns:cx="http://schemas.microsoft.com/office/drawing/2014/chartex">
  <cx:chartData>
    <cx:data id="0">
      <cx:strDim type="cat">
        <cx:f>_xlchart.v1.16</cx:f>
      </cx:strDim>
      <cx:numDim type="val">
        <cx:f>_xlchart.v1.17</cx:f>
      </cx:numDim>
    </cx:data>
  </cx:chartData>
  <cx:chart>
    <cx:plotArea>
      <cx:plotAreaRegion>
        <cx:series layoutId="waterfall" uniqueId="{75C80435-B39C-4A36-B4D5-573CB5D660DA}" formatIdx="0">
          <cx:dataLabels pos="inEnd">
            <cx:visibility seriesName="0" categoryName="0" value="1"/>
          </cx:dataLabels>
          <cx:dataId val="0"/>
          <cx:layoutPr>
            <cx:subtotals>
              <cx:idx val="5"/>
              <cx:idx val="6"/>
            </cx:subtotals>
          </cx:layoutPr>
        </cx:series>
      </cx:plotAreaRegion>
      <cx:axis id="0">
        <cx:catScaling gapWidth="0.5"/>
        <cx:tickLabels/>
      </cx:axis>
      <cx:axis id="1">
        <cx:valScaling/>
        <cx:majorGridlines/>
        <cx:tickLabels/>
      </cx:axis>
    </cx:plotArea>
  </cx:chart>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93">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bg1"/>
    </cs:fontRef>
    <cs:spPr>
      <a:solidFill>
        <a:schemeClr val="tx1">
          <a:lumMod val="50000"/>
          <a:lumOff val="50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gradFill flip="none" rotWithShape="1">
        <a:gsLst>
          <a:gs pos="0">
            <a:schemeClr val="phClr"/>
          </a:gs>
          <a:gs pos="75000">
            <a:schemeClr val="phClr">
              <a:lumMod val="60000"/>
              <a:lumOff val="40000"/>
            </a:schemeClr>
          </a:gs>
          <a:gs pos="51000">
            <a:schemeClr val="phClr">
              <a:alpha val="75000"/>
            </a:schemeClr>
          </a:gs>
          <a:gs pos="100000">
            <a:schemeClr val="phClr">
              <a:lumMod val="20000"/>
              <a:lumOff val="80000"/>
              <a:alpha val="15000"/>
            </a:schemeClr>
          </a:gs>
        </a:gsLst>
        <a:lin ang="5400000" scaled="0"/>
      </a:gradFill>
    </cs:spPr>
  </cs:dataPoint>
  <cs:dataPoint3D>
    <cs:lnRef idx="0"/>
    <cs:fillRef idx="0">
      <cs:styleClr val="auto"/>
    </cs:fillRef>
    <cs:effectRef idx="0"/>
    <cs:fontRef idx="minor">
      <a:schemeClr val="tx1"/>
    </cs:fontRef>
    <cs:spPr>
      <a:gradFill>
        <a:gsLst>
          <a:gs pos="100000">
            <a:schemeClr val="phClr">
              <a:alpha val="0"/>
            </a:schemeClr>
          </a:gs>
          <a:gs pos="50000">
            <a:schemeClr val="phClr"/>
          </a:gs>
        </a:gsLst>
        <a:lin ang="5400000" scaled="0"/>
      </a:gradFill>
      <a:sp3d/>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styleClr val="auto"/>
    </cs:lnRef>
    <cs:fillRef idx="0">
      <cs:styleClr val="auto"/>
    </cs:fillRef>
    <cs:effectRef idx="0"/>
    <cs:fontRef idx="minor">
      <a:schemeClr val="dk1"/>
    </cs:fontRef>
    <cs:spPr>
      <a:gradFill flip="none" rotWithShape="1">
        <a:gsLst>
          <a:gs pos="0">
            <a:schemeClr val="phClr"/>
          </a:gs>
          <a:gs pos="75000">
            <a:schemeClr val="phClr">
              <a:lumMod val="60000"/>
              <a:lumOff val="40000"/>
            </a:schemeClr>
          </a:gs>
          <a:gs pos="51000">
            <a:schemeClr val="phClr">
              <a:alpha val="75000"/>
            </a:schemeClr>
          </a:gs>
          <a:gs pos="100000">
            <a:schemeClr val="phClr">
              <a:lumMod val="20000"/>
              <a:lumOff val="80000"/>
              <a:alpha val="15000"/>
            </a:schemeClr>
          </a:gs>
        </a:gsLst>
        <a:lin ang="5400000" scaled="0"/>
      </a:gradFill>
      <a:ln w="9525" cap="flat" cmpd="sng" algn="ctr">
        <a:solidFill>
          <a:schemeClr val="phClr">
            <a:shade val="95000"/>
          </a:scheme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cap="flat" cmpd="sng" algn="ctr">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tx1">
            <a:lumMod val="5000"/>
            <a:lumOff val="9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headEnd type="none" w="sm" len="sm"/>
        <a:tailEnd type="none" w="sm" len="sm"/>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800" b="1" kern="1200" cap="all" spc="5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398">
  <cs:axisTitle>
    <cs:lnRef idx="0"/>
    <cs:fillRef idx="0"/>
    <cs:effectRef idx="0"/>
    <cs:fontRef idx="minor">
      <a:schemeClr val="tx1">
        <a:lumMod val="50000"/>
        <a:lumOff val="50000"/>
      </a:schemeClr>
    </cs:fontRef>
    <cs:defRPr sz="900"/>
  </cs:axisTitle>
  <cs:category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cs:chartArea>
  <cs:dataLabel>
    <cs:lnRef idx="0"/>
    <cs:fillRef idx="0"/>
    <cs:effectRef idx="0"/>
    <cs:fontRef idx="minor">
      <a:schemeClr val="tx1">
        <a:lumMod val="50000"/>
        <a:lumOff val="50000"/>
      </a:schemeClr>
    </cs:fontRef>
    <cs:defRPr sz="900"/>
  </cs:dataLabel>
  <cs:dataLabelCallout>
    <cs:lnRef idx="0"/>
    <cs:fillRef idx="0"/>
    <cs:effectRef idx="0"/>
    <cs:fontRef idx="minor">
      <a:schemeClr val="dk1">
        <a:lumMod val="50000"/>
        <a:lumOff val="50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dk1"/>
    </cs:fontRef>
    <cs:spPr>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ln w="9525" cap="flat" cmpd="sng" algn="ctr">
        <a:solidFill>
          <a:schemeClr val="phClr">
            <a:alpha val="50000"/>
          </a:schemeClr>
        </a:solidFill>
        <a:round/>
      </a:ln>
    </cs:spPr>
  </cs:dataPoint>
  <cs:dataPoint3D>
    <cs:lnRef idx="0">
      <cs:styleClr val="auto"/>
    </cs:lnRef>
    <cs:fillRef idx="0">
      <cs:styleClr val="auto"/>
    </cs:fillRef>
    <cs:effectRef idx="0"/>
    <cs:fontRef idx="minor">
      <a:schemeClr val="dk1"/>
    </cs:fontRef>
    <cs:spPr>
      <a:solidFill>
        <a:schemeClr val="phClr"/>
      </a:solidFill>
      <a:ln w="9525" cap="flat" cmpd="sng" algn="ctr">
        <a:solidFill>
          <a:schemeClr val="phClr">
            <a:shade val="95000"/>
          </a:schemeClr>
        </a:solidFill>
        <a:round/>
      </a:ln>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4"/>
  <cs:dataPointWireframe>
    <cs:lnRef idx="0">
      <cs:styleClr val="auto"/>
    </cs:lnRef>
    <cs:fillRef idx="0"/>
    <cs:effectRef idx="0"/>
    <cs:fontRef idx="minor">
      <a:schemeClr val="dk1"/>
    </cs:fontRef>
    <cs:spPr>
      <a:ln w="28575" cap="rnd">
        <a:solidFill>
          <a:schemeClr val="phClr"/>
        </a:solidFill>
        <a:round/>
      </a:ln>
    </cs:spPr>
  </cs:dataPointWireframe>
  <cs:dataTable>
    <cs:lnRef idx="0"/>
    <cs:fillRef idx="0"/>
    <cs:effectRef idx="0"/>
    <cs:fontRef idx="minor">
      <a:schemeClr val="tx1">
        <a:lumMod val="50000"/>
        <a:lumOff val="50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15000"/>
            <a:lumOff val="85000"/>
            <a:lumOff val="10000"/>
          </a:schemeClr>
        </a:solidFill>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50000"/>
        <a:lumOff val="50000"/>
      </a:schemeClr>
    </cs:fontRef>
    <cs:defRPr sz="9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dk1"/>
    </cs:fontRef>
    <cs:spPr>
      <a:ln w="9525" cap="flat">
        <a:solidFill>
          <a:srgbClr val="D9D9D9"/>
        </a:solidFill>
        <a:round/>
      </a:ln>
    </cs:spPr>
  </cs:seriesLine>
  <cs:title>
    <cs:lnRef idx="0"/>
    <cs:fillRef idx="0"/>
    <cs:effectRef idx="0"/>
    <cs:fontRef idx="minor">
      <a:schemeClr val="tx1">
        <a:lumMod val="50000"/>
        <a:lumOff val="50000"/>
      </a:schemeClr>
    </cs:fontRef>
    <cs:defRPr sz="1400" cap="none" spc="2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50000"/>
        <a:lumOff val="50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50000"/>
        <a:lumOff val="50000"/>
      </a:schemeClr>
    </cs:fontRef>
    <cs:defRPr sz="9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91">
  <cs:axisTitle>
    <cs:lnRef idx="0"/>
    <cs:fillRef idx="0"/>
    <cs:effectRef idx="0"/>
    <cs:fontRef idx="minor">
      <a:schemeClr val="lt1">
        <a:lumMod val="75000"/>
      </a:schemeClr>
    </cs:fontRef>
    <cs:defRPr sz="900"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lt1"/>
    </cs:fontRef>
    <cs:spPr>
      <a:solidFill>
        <a:schemeClr val="dk1">
          <a:lumMod val="75000"/>
          <a:lumOff val="25000"/>
        </a:schemeClr>
      </a:solidFill>
      <a:ln w="6350" cap="flat" cmpd="sng" algn="ctr">
        <a:solidFill>
          <a:schemeClr val="dk1">
            <a:tint val="75000"/>
          </a:schemeClr>
        </a:solidFill>
        <a:round/>
      </a:ln>
    </cs:spPr>
    <cs:defRPr sz="1000" kern="1200"/>
  </cs:chartArea>
  <cs:dataLabel>
    <cs:lnRef idx="0"/>
    <cs:fillRef idx="0">
      <cs:styleClr val="auto"/>
    </cs:fillRef>
    <cs:effectRef idx="0"/>
    <cs:fontRef idx="minor">
      <a:schemeClr val="lt1"/>
    </cs:fontRef>
    <cs:spPr>
      <a:solidFill>
        <a:schemeClr val="phClr">
          <a:alpha val="30000"/>
        </a:schemeClr>
      </a:solidFill>
      <a:ln>
        <a:solidFill>
          <a:schemeClr val="lt1">
            <a:alpha val="50000"/>
          </a:schemeClr>
        </a:solidFill>
        <a:round/>
      </a:ln>
      <a:effectLst>
        <a:outerShdw blurRad="63500" dist="88900" dir="2700000" algn="tl" rotWithShape="0">
          <a:prstClr val="black">
            <a:alpha val="40000"/>
          </a:prstClr>
        </a:outerShdw>
      </a:effectLst>
    </cs:spPr>
    <cs:defRPr sz="900" b="1" i="0" u="none" strike="noStrike" kern="1200" baseline="0"/>
  </cs:dataLabel>
  <cs:dataLabelCallout>
    <cs:lnRef idx="0"/>
    <cs:fillRef idx="0">
      <cs:styleClr val="auto"/>
    </cs:fillRef>
    <cs:effectRef idx="0"/>
    <cs:fontRef idx="minor">
      <a:schemeClr val="lt1"/>
    </cs:fontRef>
    <cs:spPr>
      <a:solidFill>
        <a:schemeClr val="phClr">
          <a:alpha val="30000"/>
        </a:schemeClr>
      </a:solidFill>
      <a:ln>
        <a:solidFill>
          <a:schemeClr val="lt1">
            <a:alpha val="50000"/>
          </a:schemeClr>
        </a:solidFill>
        <a:round/>
      </a:ln>
      <a:effectLst>
        <a:outerShdw blurRad="63500" dist="88900" dir="2700000" algn="tl" rotWithShape="0">
          <a:prstClr val="black">
            <a:alpha val="40000"/>
          </a:prstClr>
        </a:outerShdw>
      </a:effectLst>
    </cs:spPr>
    <cs:defRPr sz="900" b="1" i="0" u="none" strike="noStrike" kern="1200" baseline="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alpha val="88000"/>
        </a:schemeClr>
      </a:solidFill>
      <a:ln>
        <a:solidFill>
          <a:schemeClr val="phClr">
            <a:lumMod val="50000"/>
          </a:schemeClr>
        </a:solidFill>
      </a:ln>
    </cs:spPr>
  </cs:dataPoint>
  <cs:dataPoint3D>
    <cs:lnRef idx="0">
      <cs:styleClr val="auto"/>
    </cs:lnRef>
    <cs:fillRef idx="0">
      <cs:styleClr val="auto"/>
    </cs:fillRef>
    <cs:effectRef idx="0"/>
    <cs:fontRef idx="minor">
      <a:schemeClr val="tx1"/>
    </cs:fontRef>
    <cs:spPr>
      <a:solidFill>
        <a:schemeClr val="phClr">
          <a:alpha val="88000"/>
        </a:schemeClr>
      </a:solidFill>
      <a:ln>
        <a:solidFill>
          <a:schemeClr val="phClr">
            <a:lumMod val="50000"/>
          </a:schemeClr>
        </a:solidFill>
      </a:ln>
      <a:scene3d>
        <a:camera prst="orthographicFront"/>
        <a:lightRig rig="threePt" dir="t"/>
      </a:scene3d>
      <a:sp3d prstMaterial="flat"/>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dk1">
            <a:lumMod val="75000"/>
            <a:lumOff val="25000"/>
          </a:schemeClr>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tx1"/>
    </cs:fontRef>
    <cs:spPr>
      <a:solidFill>
        <a:schemeClr val="bg2">
          <a:lumMod val="75000"/>
          <a:alpha val="27000"/>
        </a:schemeClr>
      </a:solidFill>
      <a:sp3d/>
    </cs:spPr>
  </cs:floor>
  <cs:gridlineMajor>
    <cs:lnRef idx="0"/>
    <cs:fillRef idx="0"/>
    <cs:effectRef idx="0"/>
    <cs:fontRef idx="minor">
      <a:schemeClr val="tx1"/>
    </cs:fontRef>
    <cs:spPr>
      <a:ln w="9525">
        <a:solidFill>
          <a:schemeClr val="lt1">
            <a:lumMod val="50000"/>
          </a:schemeClr>
        </a:solidFill>
      </a:ln>
    </cs:spPr>
  </cs:gridlineMajor>
  <cs:gridlineMinor>
    <cs:lnRef idx="0"/>
    <cs:fillRef idx="0"/>
    <cs:effectRef idx="0"/>
    <cs:fontRef idx="minor">
      <a:schemeClr val="tx1"/>
    </cs:fontRef>
    <cs:spPr>
      <a:ln w="9525">
        <a:solidFill>
          <a:schemeClr val="lt1">
            <a:lumMod val="40000"/>
          </a:schemeClr>
        </a:solidFill>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cs:fontRef>
    <cs:defRPr sz="1800" b="0" kern="1200" cap="all" baseline="0"/>
  </cs:title>
  <cs:trendline>
    <cs:lnRef idx="0">
      <cs:styleClr val="auto"/>
    </cs:lnRef>
    <cs:fillRef idx="0"/>
    <cs:effectRef idx="0"/>
    <cs:fontRef idx="minor">
      <a:schemeClr val="dk1"/>
    </cs:fontRef>
    <cs:spPr>
      <a:ln w="9525"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tx1"/>
    </cs:fontRef>
    <cs:spPr>
      <a:sp3d/>
    </cs:spPr>
  </cs:wall>
</cs:chartStyle>
</file>

<file path=xl/charts/style5.xml><?xml version="1.0" encoding="utf-8"?>
<cs:chartStyle xmlns:cs="http://schemas.microsoft.com/office/drawing/2012/chartStyle" xmlns:a="http://schemas.openxmlformats.org/drawingml/2006/main" id="229">
  <cs:axisTitle>
    <cs:lnRef idx="0"/>
    <cs:fillRef idx="0"/>
    <cs:effectRef idx="0"/>
    <cs:fontRef idx="minor">
      <a:schemeClr val="lt1"/>
    </cs:fontRef>
    <cs:defRPr sz="900" b="1" kern="1200"/>
  </cs:axisTitle>
  <cs:categoryAxis>
    <cs:lnRef idx="0">
      <cs:styleClr val="0"/>
    </cs:lnRef>
    <cs:fillRef idx="0"/>
    <cs:effectRef idx="0"/>
    <cs:fontRef idx="minor">
      <a:schemeClr val="lt1"/>
    </cs:fontRef>
    <cs:spPr>
      <a:ln w="12700" cap="flat" cmpd="sng" algn="ctr">
        <a:solidFill>
          <a:schemeClr val="lt1"/>
        </a:solidFill>
        <a:round/>
      </a:ln>
    </cs:spPr>
    <cs:defRPr sz="900" kern="1200" spc="10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kern="1200"/>
  </cs:chartArea>
  <cs:dataLabel>
    <cs:lnRef idx="0"/>
    <cs:fillRef idx="0"/>
    <cs:effectRef idx="0"/>
    <cs:fontRef idx="minor">
      <a:schemeClr val="lt1"/>
    </cs:fontRef>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pattFill prst="ltUpDiag">
        <a:fgClr>
          <a:schemeClr val="phClr"/>
        </a:fgClr>
        <a:bgClr>
          <a:schemeClr val="lt1"/>
        </a:bgClr>
      </a:pattFill>
    </cs:spPr>
  </cs:dataPoint>
  <cs:dataPoint3D>
    <cs:lnRef idx="0"/>
    <cs:fillRef idx="0">
      <cs:styleClr val="auto"/>
    </cs:fillRef>
    <cs:effectRef idx="0"/>
    <cs:fontRef idx="minor">
      <a:schemeClr val="dk1"/>
    </cs:fontRef>
    <cs:spPr>
      <a:pattFill prst="ltUpDiag">
        <a:fgClr>
          <a:schemeClr val="phClr"/>
        </a:fgClr>
        <a:bgClr>
          <a:schemeClr val="lt1"/>
        </a:bgClr>
      </a:pattFill>
    </cs:spPr>
  </cs:dataPoint3D>
  <cs:dataPointLine>
    <cs:lnRef idx="0">
      <cs:styleClr val="auto"/>
    </cs:lnRef>
    <cs:fillRef idx="0"/>
    <cs:effectRef idx="0">
      <cs:styleClr val="auto"/>
    </cs:effectRef>
    <cs:fontRef idx="minor">
      <a:schemeClr val="dk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dk1"/>
    </cs:fontRef>
    <cs:spPr>
      <a:ln w="9525" cap="flat" cmpd="sng" algn="ctr">
        <a:gradFill>
          <a:gsLst>
            <a:gs pos="0">
              <a:schemeClr val="lt1"/>
            </a:gs>
            <a:gs pos="100000">
              <a:schemeClr val="lt1">
                <a:alpha val="0"/>
              </a:schemeClr>
            </a:gs>
          </a:gsLst>
          <a:lin ang="5400000" scaled="0"/>
        </a:gradFill>
        <a:round/>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29">
  <cs:axisTitle>
    <cs:lnRef idx="0"/>
    <cs:fillRef idx="0"/>
    <cs:effectRef idx="0"/>
    <cs:fontRef idx="minor">
      <a:schemeClr val="lt1"/>
    </cs:fontRef>
    <cs:defRPr sz="900" b="1" kern="1200"/>
  </cs:axisTitle>
  <cs:categoryAxis>
    <cs:lnRef idx="0">
      <cs:styleClr val="0"/>
    </cs:lnRef>
    <cs:fillRef idx="0"/>
    <cs:effectRef idx="0"/>
    <cs:fontRef idx="minor">
      <a:schemeClr val="lt1"/>
    </cs:fontRef>
    <cs:spPr>
      <a:ln w="12700" cap="flat" cmpd="sng" algn="ctr">
        <a:solidFill>
          <a:schemeClr val="lt1"/>
        </a:solidFill>
        <a:round/>
      </a:ln>
    </cs:spPr>
    <cs:defRPr sz="900" kern="1200" spc="10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kern="1200"/>
  </cs:chartArea>
  <cs:dataLabel>
    <cs:lnRef idx="0"/>
    <cs:fillRef idx="0"/>
    <cs:effectRef idx="0"/>
    <cs:fontRef idx="minor">
      <a:schemeClr val="lt1"/>
    </cs:fontRef>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pattFill prst="ltUpDiag">
        <a:fgClr>
          <a:schemeClr val="phClr"/>
        </a:fgClr>
        <a:bgClr>
          <a:schemeClr val="lt1"/>
        </a:bgClr>
      </a:pattFill>
    </cs:spPr>
  </cs:dataPoint>
  <cs:dataPoint3D>
    <cs:lnRef idx="0"/>
    <cs:fillRef idx="0">
      <cs:styleClr val="auto"/>
    </cs:fillRef>
    <cs:effectRef idx="0"/>
    <cs:fontRef idx="minor">
      <a:schemeClr val="dk1"/>
    </cs:fontRef>
    <cs:spPr>
      <a:pattFill prst="ltUpDiag">
        <a:fgClr>
          <a:schemeClr val="phClr"/>
        </a:fgClr>
        <a:bgClr>
          <a:schemeClr val="lt1"/>
        </a:bgClr>
      </a:pattFill>
    </cs:spPr>
  </cs:dataPoint3D>
  <cs:dataPointLine>
    <cs:lnRef idx="0">
      <cs:styleClr val="auto"/>
    </cs:lnRef>
    <cs:fillRef idx="0"/>
    <cs:effectRef idx="0">
      <cs:styleClr val="auto"/>
    </cs:effectRef>
    <cs:fontRef idx="minor">
      <a:schemeClr val="dk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dk1"/>
    </cs:fontRef>
    <cs:spPr>
      <a:ln w="9525" cap="flat" cmpd="sng" algn="ctr">
        <a:gradFill>
          <a:gsLst>
            <a:gs pos="0">
              <a:schemeClr val="lt1"/>
            </a:gs>
            <a:gs pos="100000">
              <a:schemeClr val="lt1">
                <a:alpha val="0"/>
              </a:schemeClr>
            </a:gs>
          </a:gsLst>
          <a:lin ang="5400000" scaled="0"/>
        </a:gradFill>
        <a:round/>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29">
  <cs:axisTitle>
    <cs:lnRef idx="0"/>
    <cs:fillRef idx="0"/>
    <cs:effectRef idx="0"/>
    <cs:fontRef idx="minor">
      <a:schemeClr val="lt1"/>
    </cs:fontRef>
    <cs:defRPr sz="900" b="1" kern="1200"/>
  </cs:axisTitle>
  <cs:categoryAxis>
    <cs:lnRef idx="0">
      <cs:styleClr val="0"/>
    </cs:lnRef>
    <cs:fillRef idx="0"/>
    <cs:effectRef idx="0"/>
    <cs:fontRef idx="minor">
      <a:schemeClr val="lt1"/>
    </cs:fontRef>
    <cs:spPr>
      <a:ln w="12700" cap="flat" cmpd="sng" algn="ctr">
        <a:solidFill>
          <a:schemeClr val="lt1"/>
        </a:solidFill>
        <a:round/>
      </a:ln>
    </cs:spPr>
    <cs:defRPr sz="900" kern="1200" spc="10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kern="1200"/>
  </cs:chartArea>
  <cs:dataLabel>
    <cs:lnRef idx="0"/>
    <cs:fillRef idx="0"/>
    <cs:effectRef idx="0"/>
    <cs:fontRef idx="minor">
      <a:schemeClr val="lt1"/>
    </cs:fontRef>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pattFill prst="ltUpDiag">
        <a:fgClr>
          <a:schemeClr val="phClr"/>
        </a:fgClr>
        <a:bgClr>
          <a:schemeClr val="lt1"/>
        </a:bgClr>
      </a:pattFill>
    </cs:spPr>
  </cs:dataPoint>
  <cs:dataPoint3D>
    <cs:lnRef idx="0"/>
    <cs:fillRef idx="0">
      <cs:styleClr val="auto"/>
    </cs:fillRef>
    <cs:effectRef idx="0"/>
    <cs:fontRef idx="minor">
      <a:schemeClr val="dk1"/>
    </cs:fontRef>
    <cs:spPr>
      <a:pattFill prst="ltUpDiag">
        <a:fgClr>
          <a:schemeClr val="phClr"/>
        </a:fgClr>
        <a:bgClr>
          <a:schemeClr val="lt1"/>
        </a:bgClr>
      </a:pattFill>
    </cs:spPr>
  </cs:dataPoint3D>
  <cs:dataPointLine>
    <cs:lnRef idx="0">
      <cs:styleClr val="auto"/>
    </cs:lnRef>
    <cs:fillRef idx="0"/>
    <cs:effectRef idx="0">
      <cs:styleClr val="auto"/>
    </cs:effectRef>
    <cs:fontRef idx="minor">
      <a:schemeClr val="dk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dk1"/>
    </cs:fontRef>
    <cs:spPr>
      <a:ln w="9525" cap="flat" cmpd="sng" algn="ctr">
        <a:gradFill>
          <a:gsLst>
            <a:gs pos="0">
              <a:schemeClr val="lt1"/>
            </a:gs>
            <a:gs pos="100000">
              <a:schemeClr val="lt1">
                <a:alpha val="0"/>
              </a:schemeClr>
            </a:gs>
          </a:gsLst>
          <a:lin ang="5400000" scaled="0"/>
        </a:gradFill>
        <a:round/>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9.xml><?xml version="1.0" encoding="utf-8"?>
<cs:chartStyle xmlns:cs="http://schemas.microsoft.com/office/drawing/2012/chartStyle" xmlns:a="http://schemas.openxmlformats.org/drawingml/2006/main" id="229">
  <cs:axisTitle>
    <cs:lnRef idx="0"/>
    <cs:fillRef idx="0"/>
    <cs:effectRef idx="0"/>
    <cs:fontRef idx="minor">
      <a:schemeClr val="lt1"/>
    </cs:fontRef>
    <cs:defRPr sz="900" b="1" kern="1200"/>
  </cs:axisTitle>
  <cs:categoryAxis>
    <cs:lnRef idx="0">
      <cs:styleClr val="0"/>
    </cs:lnRef>
    <cs:fillRef idx="0"/>
    <cs:effectRef idx="0"/>
    <cs:fontRef idx="minor">
      <a:schemeClr val="lt1"/>
    </cs:fontRef>
    <cs:spPr>
      <a:ln w="12700" cap="flat" cmpd="sng" algn="ctr">
        <a:solidFill>
          <a:schemeClr val="lt1"/>
        </a:solidFill>
        <a:round/>
      </a:ln>
    </cs:spPr>
    <cs:defRPr sz="900" kern="1200" spc="10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kern="1200"/>
  </cs:chartArea>
  <cs:dataLabel>
    <cs:lnRef idx="0"/>
    <cs:fillRef idx="0"/>
    <cs:effectRef idx="0"/>
    <cs:fontRef idx="minor">
      <a:schemeClr val="lt1"/>
    </cs:fontRef>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pattFill prst="ltUpDiag">
        <a:fgClr>
          <a:schemeClr val="phClr"/>
        </a:fgClr>
        <a:bgClr>
          <a:schemeClr val="lt1"/>
        </a:bgClr>
      </a:pattFill>
    </cs:spPr>
  </cs:dataPoint>
  <cs:dataPoint3D>
    <cs:lnRef idx="0"/>
    <cs:fillRef idx="0">
      <cs:styleClr val="auto"/>
    </cs:fillRef>
    <cs:effectRef idx="0"/>
    <cs:fontRef idx="minor">
      <a:schemeClr val="dk1"/>
    </cs:fontRef>
    <cs:spPr>
      <a:pattFill prst="ltUpDiag">
        <a:fgClr>
          <a:schemeClr val="phClr"/>
        </a:fgClr>
        <a:bgClr>
          <a:schemeClr val="lt1"/>
        </a:bgClr>
      </a:pattFill>
    </cs:spPr>
  </cs:dataPoint3D>
  <cs:dataPointLine>
    <cs:lnRef idx="0">
      <cs:styleClr val="auto"/>
    </cs:lnRef>
    <cs:fillRef idx="0"/>
    <cs:effectRef idx="0">
      <cs:styleClr val="auto"/>
    </cs:effectRef>
    <cs:fontRef idx="minor">
      <a:schemeClr val="dk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dk1"/>
    </cs:fontRef>
    <cs:spPr>
      <a:ln w="9525" cap="flat" cmpd="sng" algn="ctr">
        <a:gradFill>
          <a:gsLst>
            <a:gs pos="0">
              <a:schemeClr val="lt1"/>
            </a:gs>
            <a:gs pos="100000">
              <a:schemeClr val="lt1">
                <a:alpha val="0"/>
              </a:schemeClr>
            </a:gs>
          </a:gsLst>
          <a:lin ang="5400000" scaled="0"/>
        </a:gradFill>
        <a:round/>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charts/style10.xml><?xml version="1.0" encoding="utf-8"?>
<cs:chartStyle xmlns:cs="http://schemas.microsoft.com/office/drawing/2012/chartStyle" xmlns:a="http://schemas.openxmlformats.org/drawingml/2006/main" id="229">
  <cs:axisTitle>
    <cs:lnRef idx="0"/>
    <cs:fillRef idx="0"/>
    <cs:effectRef idx="0"/>
    <cs:fontRef idx="minor">
      <a:schemeClr val="lt1"/>
    </cs:fontRef>
    <cs:defRPr sz="900" b="1" kern="1200"/>
  </cs:axisTitle>
  <cs:categoryAxis>
    <cs:lnRef idx="0">
      <cs:styleClr val="0"/>
    </cs:lnRef>
    <cs:fillRef idx="0"/>
    <cs:effectRef idx="0"/>
    <cs:fontRef idx="minor">
      <a:schemeClr val="lt1"/>
    </cs:fontRef>
    <cs:spPr>
      <a:ln w="12700" cap="flat" cmpd="sng" algn="ctr">
        <a:solidFill>
          <a:schemeClr val="lt1"/>
        </a:solidFill>
        <a:round/>
      </a:ln>
    </cs:spPr>
    <cs:defRPr sz="900" kern="1200" spc="10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kern="1200"/>
  </cs:chartArea>
  <cs:dataLabel>
    <cs:lnRef idx="0"/>
    <cs:fillRef idx="0"/>
    <cs:effectRef idx="0"/>
    <cs:fontRef idx="minor">
      <a:schemeClr val="lt1"/>
    </cs:fontRef>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pattFill prst="ltUpDiag">
        <a:fgClr>
          <a:schemeClr val="phClr"/>
        </a:fgClr>
        <a:bgClr>
          <a:schemeClr val="lt1"/>
        </a:bgClr>
      </a:pattFill>
    </cs:spPr>
  </cs:dataPoint>
  <cs:dataPoint3D>
    <cs:lnRef idx="0"/>
    <cs:fillRef idx="0">
      <cs:styleClr val="auto"/>
    </cs:fillRef>
    <cs:effectRef idx="0"/>
    <cs:fontRef idx="minor">
      <a:schemeClr val="dk1"/>
    </cs:fontRef>
    <cs:spPr>
      <a:pattFill prst="ltUpDiag">
        <a:fgClr>
          <a:schemeClr val="phClr"/>
        </a:fgClr>
        <a:bgClr>
          <a:schemeClr val="lt1"/>
        </a:bgClr>
      </a:pattFill>
    </cs:spPr>
  </cs:dataPoint3D>
  <cs:dataPointLine>
    <cs:lnRef idx="0">
      <cs:styleClr val="auto"/>
    </cs:lnRef>
    <cs:fillRef idx="0"/>
    <cs:effectRef idx="0">
      <cs:styleClr val="auto"/>
    </cs:effectRef>
    <cs:fontRef idx="minor">
      <a:schemeClr val="dk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dk1"/>
    </cs:fontRef>
    <cs:spPr>
      <a:ln w="9525" cap="flat" cmpd="sng" algn="ctr">
        <a:gradFill>
          <a:gsLst>
            <a:gs pos="0">
              <a:schemeClr val="lt1"/>
            </a:gs>
            <a:gs pos="100000">
              <a:schemeClr val="lt1">
                <a:alpha val="0"/>
              </a:schemeClr>
            </a:gs>
          </a:gsLst>
          <a:lin ang="5400000" scaled="0"/>
        </a:gradFill>
        <a:round/>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charts/style11.xml><?xml version="1.0" encoding="utf-8"?>
<cs:chartStyle xmlns:cs="http://schemas.microsoft.com/office/drawing/2012/chartStyle" xmlns:a="http://schemas.openxmlformats.org/drawingml/2006/main" id="229">
  <cs:axisTitle>
    <cs:lnRef idx="0"/>
    <cs:fillRef idx="0"/>
    <cs:effectRef idx="0"/>
    <cs:fontRef idx="minor">
      <a:schemeClr val="lt1"/>
    </cs:fontRef>
    <cs:defRPr sz="900" b="1" kern="1200"/>
  </cs:axisTitle>
  <cs:categoryAxis>
    <cs:lnRef idx="0">
      <cs:styleClr val="0"/>
    </cs:lnRef>
    <cs:fillRef idx="0"/>
    <cs:effectRef idx="0"/>
    <cs:fontRef idx="minor">
      <a:schemeClr val="lt1"/>
    </cs:fontRef>
    <cs:spPr>
      <a:ln w="12700" cap="flat" cmpd="sng" algn="ctr">
        <a:solidFill>
          <a:schemeClr val="lt1"/>
        </a:solidFill>
        <a:round/>
      </a:ln>
    </cs:spPr>
    <cs:defRPr sz="900" kern="1200" spc="10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kern="1200"/>
  </cs:chartArea>
  <cs:dataLabel>
    <cs:lnRef idx="0"/>
    <cs:fillRef idx="0"/>
    <cs:effectRef idx="0"/>
    <cs:fontRef idx="minor">
      <a:schemeClr val="lt1"/>
    </cs:fontRef>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pattFill prst="ltUpDiag">
        <a:fgClr>
          <a:schemeClr val="phClr"/>
        </a:fgClr>
        <a:bgClr>
          <a:schemeClr val="lt1"/>
        </a:bgClr>
      </a:pattFill>
    </cs:spPr>
  </cs:dataPoint>
  <cs:dataPoint3D>
    <cs:lnRef idx="0"/>
    <cs:fillRef idx="0">
      <cs:styleClr val="auto"/>
    </cs:fillRef>
    <cs:effectRef idx="0"/>
    <cs:fontRef idx="minor">
      <a:schemeClr val="dk1"/>
    </cs:fontRef>
    <cs:spPr>
      <a:pattFill prst="ltUpDiag">
        <a:fgClr>
          <a:schemeClr val="phClr"/>
        </a:fgClr>
        <a:bgClr>
          <a:schemeClr val="lt1"/>
        </a:bgClr>
      </a:pattFill>
    </cs:spPr>
  </cs:dataPoint3D>
  <cs:dataPointLine>
    <cs:lnRef idx="0">
      <cs:styleClr val="auto"/>
    </cs:lnRef>
    <cs:fillRef idx="0"/>
    <cs:effectRef idx="0">
      <cs:styleClr val="auto"/>
    </cs:effectRef>
    <cs:fontRef idx="minor">
      <a:schemeClr val="dk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dk1"/>
    </cs:fontRef>
    <cs:spPr>
      <a:ln w="9525" cap="flat" cmpd="sng" algn="ctr">
        <a:gradFill>
          <a:gsLst>
            <a:gs pos="0">
              <a:schemeClr val="lt1"/>
            </a:gs>
            <a:gs pos="100000">
              <a:schemeClr val="lt1">
                <a:alpha val="0"/>
              </a:schemeClr>
            </a:gs>
          </a:gsLst>
          <a:lin ang="5400000" scaled="0"/>
        </a:gradFill>
        <a:round/>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charts/style12.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398">
  <cs:axisTitle>
    <cs:lnRef idx="0"/>
    <cs:fillRef idx="0"/>
    <cs:effectRef idx="0"/>
    <cs:fontRef idx="minor">
      <a:schemeClr val="tx1">
        <a:lumMod val="50000"/>
        <a:lumOff val="50000"/>
      </a:schemeClr>
    </cs:fontRef>
    <cs:defRPr sz="900"/>
  </cs:axisTitle>
  <cs:category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cs:chartArea>
  <cs:dataLabel>
    <cs:lnRef idx="0"/>
    <cs:fillRef idx="0"/>
    <cs:effectRef idx="0"/>
    <cs:fontRef idx="minor">
      <a:schemeClr val="tx1">
        <a:lumMod val="50000"/>
        <a:lumOff val="50000"/>
      </a:schemeClr>
    </cs:fontRef>
    <cs:defRPr sz="900"/>
  </cs:dataLabel>
  <cs:dataLabelCallout>
    <cs:lnRef idx="0"/>
    <cs:fillRef idx="0"/>
    <cs:effectRef idx="0"/>
    <cs:fontRef idx="minor">
      <a:schemeClr val="dk1">
        <a:lumMod val="50000"/>
        <a:lumOff val="50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dk1"/>
    </cs:fontRef>
    <cs:spPr>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ln w="9525" cap="flat" cmpd="sng" algn="ctr">
        <a:solidFill>
          <a:schemeClr val="phClr">
            <a:alpha val="50000"/>
          </a:schemeClr>
        </a:solidFill>
        <a:round/>
      </a:ln>
    </cs:spPr>
  </cs:dataPoint>
  <cs:dataPoint3D>
    <cs:lnRef idx="0">
      <cs:styleClr val="auto"/>
    </cs:lnRef>
    <cs:fillRef idx="0">
      <cs:styleClr val="auto"/>
    </cs:fillRef>
    <cs:effectRef idx="0"/>
    <cs:fontRef idx="minor">
      <a:schemeClr val="dk1"/>
    </cs:fontRef>
    <cs:spPr>
      <a:solidFill>
        <a:schemeClr val="phClr"/>
      </a:solidFill>
      <a:ln w="9525" cap="flat" cmpd="sng" algn="ctr">
        <a:solidFill>
          <a:schemeClr val="phClr">
            <a:shade val="95000"/>
          </a:schemeClr>
        </a:solidFill>
        <a:round/>
      </a:ln>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4"/>
  <cs:dataPointWireframe>
    <cs:lnRef idx="0">
      <cs:styleClr val="auto"/>
    </cs:lnRef>
    <cs:fillRef idx="0"/>
    <cs:effectRef idx="0"/>
    <cs:fontRef idx="minor">
      <a:schemeClr val="dk1"/>
    </cs:fontRef>
    <cs:spPr>
      <a:ln w="28575" cap="rnd">
        <a:solidFill>
          <a:schemeClr val="phClr"/>
        </a:solidFill>
        <a:round/>
      </a:ln>
    </cs:spPr>
  </cs:dataPointWireframe>
  <cs:dataTable>
    <cs:lnRef idx="0"/>
    <cs:fillRef idx="0"/>
    <cs:effectRef idx="0"/>
    <cs:fontRef idx="minor">
      <a:schemeClr val="tx1">
        <a:lumMod val="50000"/>
        <a:lumOff val="50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15000"/>
            <a:lumOff val="85000"/>
            <a:lumOff val="10000"/>
          </a:schemeClr>
        </a:solidFill>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50000"/>
        <a:lumOff val="50000"/>
      </a:schemeClr>
    </cs:fontRef>
    <cs:defRPr sz="9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dk1"/>
    </cs:fontRef>
    <cs:spPr>
      <a:ln w="9525" cap="flat">
        <a:solidFill>
          <a:srgbClr val="D9D9D9"/>
        </a:solidFill>
        <a:round/>
      </a:ln>
    </cs:spPr>
  </cs:seriesLine>
  <cs:title>
    <cs:lnRef idx="0"/>
    <cs:fillRef idx="0"/>
    <cs:effectRef idx="0"/>
    <cs:fontRef idx="minor">
      <a:schemeClr val="tx1">
        <a:lumMod val="50000"/>
        <a:lumOff val="50000"/>
      </a:schemeClr>
    </cs:fontRef>
    <cs:defRPr sz="1400" cap="none" spc="2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50000"/>
        <a:lumOff val="50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50000"/>
        <a:lumOff val="50000"/>
      </a:schemeClr>
    </cs:fontRef>
    <cs:defRPr sz="900"/>
  </cs:valueAxis>
  <cs:wall>
    <cs:lnRef idx="0"/>
    <cs:fillRef idx="0"/>
    <cs:effectRef idx="0"/>
    <cs:fontRef idx="minor">
      <a:schemeClr val="dk1"/>
    </cs:fontRef>
  </cs:wall>
</cs:chartStyle>
</file>

<file path=xl/charts/style14.xml><?xml version="1.0" encoding="utf-8"?>
<cs:chartStyle xmlns:cs="http://schemas.microsoft.com/office/drawing/2012/chartStyle" xmlns:a="http://schemas.openxmlformats.org/drawingml/2006/main" id="291">
  <cs:axisTitle>
    <cs:lnRef idx="0"/>
    <cs:fillRef idx="0"/>
    <cs:effectRef idx="0"/>
    <cs:fontRef idx="minor">
      <a:schemeClr val="lt1">
        <a:lumMod val="75000"/>
      </a:schemeClr>
    </cs:fontRef>
    <cs:defRPr sz="900"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lt1"/>
    </cs:fontRef>
    <cs:spPr>
      <a:solidFill>
        <a:schemeClr val="dk1">
          <a:lumMod val="75000"/>
          <a:lumOff val="25000"/>
        </a:schemeClr>
      </a:solidFill>
      <a:ln w="6350" cap="flat" cmpd="sng" algn="ctr">
        <a:solidFill>
          <a:schemeClr val="dk1">
            <a:tint val="75000"/>
          </a:schemeClr>
        </a:solidFill>
        <a:round/>
      </a:ln>
    </cs:spPr>
    <cs:defRPr sz="1000" kern="1200"/>
  </cs:chartArea>
  <cs:dataLabel>
    <cs:lnRef idx="0"/>
    <cs:fillRef idx="0">
      <cs:styleClr val="auto"/>
    </cs:fillRef>
    <cs:effectRef idx="0"/>
    <cs:fontRef idx="minor">
      <a:schemeClr val="lt1"/>
    </cs:fontRef>
    <cs:spPr>
      <a:solidFill>
        <a:schemeClr val="phClr">
          <a:alpha val="30000"/>
        </a:schemeClr>
      </a:solidFill>
      <a:ln>
        <a:solidFill>
          <a:schemeClr val="lt1">
            <a:alpha val="50000"/>
          </a:schemeClr>
        </a:solidFill>
        <a:round/>
      </a:ln>
      <a:effectLst>
        <a:outerShdw blurRad="63500" dist="88900" dir="2700000" algn="tl" rotWithShape="0">
          <a:prstClr val="black">
            <a:alpha val="40000"/>
          </a:prstClr>
        </a:outerShdw>
      </a:effectLst>
    </cs:spPr>
    <cs:defRPr sz="900" b="1" i="0" u="none" strike="noStrike" kern="1200" baseline="0"/>
  </cs:dataLabel>
  <cs:dataLabelCallout>
    <cs:lnRef idx="0"/>
    <cs:fillRef idx="0">
      <cs:styleClr val="auto"/>
    </cs:fillRef>
    <cs:effectRef idx="0"/>
    <cs:fontRef idx="minor">
      <a:schemeClr val="lt1"/>
    </cs:fontRef>
    <cs:spPr>
      <a:solidFill>
        <a:schemeClr val="phClr">
          <a:alpha val="30000"/>
        </a:schemeClr>
      </a:solidFill>
      <a:ln>
        <a:solidFill>
          <a:schemeClr val="lt1">
            <a:alpha val="50000"/>
          </a:schemeClr>
        </a:solidFill>
        <a:round/>
      </a:ln>
      <a:effectLst>
        <a:outerShdw blurRad="63500" dist="88900" dir="2700000" algn="tl" rotWithShape="0">
          <a:prstClr val="black">
            <a:alpha val="40000"/>
          </a:prstClr>
        </a:outerShdw>
      </a:effectLst>
    </cs:spPr>
    <cs:defRPr sz="900" b="1" i="0" u="none" strike="noStrike" kern="1200" baseline="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alpha val="88000"/>
        </a:schemeClr>
      </a:solidFill>
      <a:ln>
        <a:solidFill>
          <a:schemeClr val="phClr">
            <a:lumMod val="50000"/>
          </a:schemeClr>
        </a:solidFill>
      </a:ln>
    </cs:spPr>
  </cs:dataPoint>
  <cs:dataPoint3D>
    <cs:lnRef idx="0">
      <cs:styleClr val="auto"/>
    </cs:lnRef>
    <cs:fillRef idx="0">
      <cs:styleClr val="auto"/>
    </cs:fillRef>
    <cs:effectRef idx="0"/>
    <cs:fontRef idx="minor">
      <a:schemeClr val="tx1"/>
    </cs:fontRef>
    <cs:spPr>
      <a:solidFill>
        <a:schemeClr val="phClr">
          <a:alpha val="88000"/>
        </a:schemeClr>
      </a:solidFill>
      <a:ln>
        <a:solidFill>
          <a:schemeClr val="phClr">
            <a:lumMod val="50000"/>
          </a:schemeClr>
        </a:solidFill>
      </a:ln>
      <a:scene3d>
        <a:camera prst="orthographicFront"/>
        <a:lightRig rig="threePt" dir="t"/>
      </a:scene3d>
      <a:sp3d prstMaterial="flat"/>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dk1">
            <a:lumMod val="75000"/>
            <a:lumOff val="25000"/>
          </a:schemeClr>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tx1"/>
    </cs:fontRef>
    <cs:spPr>
      <a:solidFill>
        <a:schemeClr val="bg2">
          <a:lumMod val="75000"/>
          <a:alpha val="27000"/>
        </a:schemeClr>
      </a:solidFill>
      <a:sp3d/>
    </cs:spPr>
  </cs:floor>
  <cs:gridlineMajor>
    <cs:lnRef idx="0"/>
    <cs:fillRef idx="0"/>
    <cs:effectRef idx="0"/>
    <cs:fontRef idx="minor">
      <a:schemeClr val="tx1"/>
    </cs:fontRef>
    <cs:spPr>
      <a:ln w="9525">
        <a:solidFill>
          <a:schemeClr val="lt1">
            <a:lumMod val="50000"/>
          </a:schemeClr>
        </a:solidFill>
      </a:ln>
    </cs:spPr>
  </cs:gridlineMajor>
  <cs:gridlineMinor>
    <cs:lnRef idx="0"/>
    <cs:fillRef idx="0"/>
    <cs:effectRef idx="0"/>
    <cs:fontRef idx="minor">
      <a:schemeClr val="tx1"/>
    </cs:fontRef>
    <cs:spPr>
      <a:ln w="9525">
        <a:solidFill>
          <a:schemeClr val="lt1">
            <a:lumMod val="40000"/>
          </a:schemeClr>
        </a:solidFill>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cs:fontRef>
    <cs:defRPr sz="1800" b="0" kern="1200" cap="all" baseline="0"/>
  </cs:title>
  <cs:trendline>
    <cs:lnRef idx="0">
      <cs:styleClr val="auto"/>
    </cs:lnRef>
    <cs:fillRef idx="0"/>
    <cs:effectRef idx="0"/>
    <cs:fontRef idx="minor">
      <a:schemeClr val="dk1"/>
    </cs:fontRef>
    <cs:spPr>
      <a:ln w="9525"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tx1"/>
    </cs:fontRef>
    <cs:spPr>
      <a:sp3d/>
    </cs:spPr>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7.svg"/><Relationship Id="rId13" Type="http://schemas.openxmlformats.org/officeDocument/2006/relationships/image" Target="../media/image10.png"/><Relationship Id="rId18" Type="http://schemas.openxmlformats.org/officeDocument/2006/relationships/chart" Target="../charts/chart6.xml"/><Relationship Id="rId3" Type="http://schemas.openxmlformats.org/officeDocument/2006/relationships/image" Target="../media/image3.svg"/><Relationship Id="rId7" Type="http://schemas.openxmlformats.org/officeDocument/2006/relationships/image" Target="../media/image6.png"/><Relationship Id="rId12" Type="http://schemas.openxmlformats.org/officeDocument/2006/relationships/image" Target="../media/image9.svg"/><Relationship Id="rId17" Type="http://schemas.openxmlformats.org/officeDocument/2006/relationships/chart" Target="../charts/chart5.xml"/><Relationship Id="rId2" Type="http://schemas.openxmlformats.org/officeDocument/2006/relationships/image" Target="../media/image2.png"/><Relationship Id="rId16" Type="http://schemas.openxmlformats.org/officeDocument/2006/relationships/chart" Target="../charts/chart4.xml"/><Relationship Id="rId1" Type="http://schemas.microsoft.com/office/2014/relationships/chartEx" Target="../charts/chartEx1.xml"/><Relationship Id="rId6" Type="http://schemas.openxmlformats.org/officeDocument/2006/relationships/chart" Target="../charts/chart1.xml"/><Relationship Id="rId11" Type="http://schemas.openxmlformats.org/officeDocument/2006/relationships/image" Target="../media/image8.png"/><Relationship Id="rId5" Type="http://schemas.openxmlformats.org/officeDocument/2006/relationships/image" Target="../media/image5.svg"/><Relationship Id="rId15" Type="http://schemas.openxmlformats.org/officeDocument/2006/relationships/chart" Target="../charts/chart3.xml"/><Relationship Id="rId10" Type="http://schemas.openxmlformats.org/officeDocument/2006/relationships/chart" Target="../charts/chart2.xml"/><Relationship Id="rId4" Type="http://schemas.openxmlformats.org/officeDocument/2006/relationships/image" Target="../media/image4.png"/><Relationship Id="rId9" Type="http://schemas.microsoft.com/office/2014/relationships/chartEx" Target="../charts/chartEx2.xml"/><Relationship Id="rId14" Type="http://schemas.openxmlformats.org/officeDocument/2006/relationships/image" Target="../media/image11.svg"/></Relationships>
</file>

<file path=xl/drawings/_rels/drawing2.xml.rels><?xml version="1.0" encoding="UTF-8" standalone="yes"?>
<Relationships xmlns="http://schemas.openxmlformats.org/package/2006/relationships"><Relationship Id="rId1" Type="http://schemas.microsoft.com/office/2014/relationships/chartEx" Target="../charts/chartEx3.xml"/></Relationships>
</file>

<file path=xl/drawings/_rels/drawing3.xml.rels><?xml version="1.0" encoding="UTF-8" standalone="yes"?>
<Relationships xmlns="http://schemas.openxmlformats.org/package/2006/relationships"><Relationship Id="rId1" Type="http://schemas.openxmlformats.org/officeDocument/2006/relationships/chart" Target="../charts/chart7.xml"/></Relationships>
</file>

<file path=xl/drawings/_rels/drawing4.xml.rels><?xml version="1.0" encoding="UTF-8" standalone="yes"?>
<Relationships xmlns="http://schemas.openxmlformats.org/package/2006/relationships"><Relationship Id="rId1" Type="http://schemas.openxmlformats.org/officeDocument/2006/relationships/chart" Target="../charts/chart8.xml"/></Relationships>
</file>

<file path=xl/drawings/_rels/drawing5.xml.rels><?xml version="1.0" encoding="UTF-8" standalone="yes"?>
<Relationships xmlns="http://schemas.openxmlformats.org/package/2006/relationships"><Relationship Id="rId1" Type="http://schemas.openxmlformats.org/officeDocument/2006/relationships/chart" Target="../charts/chart9.xml"/></Relationships>
</file>

<file path=xl/drawings/_rels/drawing6.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7.xml.rels><?xml version="1.0" encoding="UTF-8" standalone="yes"?>
<Relationships xmlns="http://schemas.openxmlformats.org/package/2006/relationships"><Relationship Id="rId1" Type="http://schemas.microsoft.com/office/2014/relationships/chartEx" Target="../charts/chartEx4.xml"/></Relationships>
</file>

<file path=xl/drawings/_rels/drawing8.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2.xml"/></Relationships>
</file>

<file path=xl/drawings/drawing1.xml><?xml version="1.0" encoding="utf-8"?>
<xdr:wsDr xmlns:xdr="http://schemas.openxmlformats.org/drawingml/2006/spreadsheetDrawing" xmlns:a="http://schemas.openxmlformats.org/drawingml/2006/main">
  <xdr:twoCellAnchor>
    <xdr:from>
      <xdr:col>16</xdr:col>
      <xdr:colOff>579120</xdr:colOff>
      <xdr:row>6</xdr:row>
      <xdr:rowOff>15240</xdr:rowOff>
    </xdr:from>
    <xdr:to>
      <xdr:col>23</xdr:col>
      <xdr:colOff>144780</xdr:colOff>
      <xdr:row>20</xdr:row>
      <xdr:rowOff>83820</xdr:rowOff>
    </xdr:to>
    <xdr:sp macro="" textlink="">
      <xdr:nvSpPr>
        <xdr:cNvPr id="23" name="Rectangle: Rounded Corners 22">
          <a:extLst>
            <a:ext uri="{FF2B5EF4-FFF2-40B4-BE49-F238E27FC236}">
              <a16:creationId xmlns:a16="http://schemas.microsoft.com/office/drawing/2014/main" id="{12224FDC-35CE-44BF-81C1-2A23BB112EF9}"/>
            </a:ext>
          </a:extLst>
        </xdr:cNvPr>
        <xdr:cNvSpPr/>
      </xdr:nvSpPr>
      <xdr:spPr>
        <a:xfrm>
          <a:off x="10332720" y="1112520"/>
          <a:ext cx="3832860" cy="2628900"/>
        </a:xfrm>
        <a:prstGeom prst="roundRect">
          <a:avLst>
            <a:gd name="adj" fmla="val 2673"/>
          </a:avLst>
        </a:prstGeom>
        <a:solidFill>
          <a:srgbClr val="000922">
            <a:alpha val="75000"/>
          </a:srgbClr>
        </a:solidFill>
        <a:ln>
          <a:noFill/>
        </a:ln>
        <a:effectLst>
          <a:outerShdw blurRad="50800" dist="38100" dir="8100000" algn="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H" sz="1100"/>
        </a:p>
      </xdr:txBody>
    </xdr:sp>
    <xdr:clientData/>
  </xdr:twoCellAnchor>
  <xdr:twoCellAnchor>
    <xdr:from>
      <xdr:col>0</xdr:col>
      <xdr:colOff>7620</xdr:colOff>
      <xdr:row>0</xdr:row>
      <xdr:rowOff>0</xdr:rowOff>
    </xdr:from>
    <xdr:to>
      <xdr:col>23</xdr:col>
      <xdr:colOff>464820</xdr:colOff>
      <xdr:row>4</xdr:row>
      <xdr:rowOff>106680</xdr:rowOff>
    </xdr:to>
    <xdr:sp macro="" textlink="">
      <xdr:nvSpPr>
        <xdr:cNvPr id="2" name="Rectangle 1">
          <a:extLst>
            <a:ext uri="{FF2B5EF4-FFF2-40B4-BE49-F238E27FC236}">
              <a16:creationId xmlns:a16="http://schemas.microsoft.com/office/drawing/2014/main" id="{93630C6A-0FEA-144F-48C4-3C91A20363BF}"/>
            </a:ext>
          </a:extLst>
        </xdr:cNvPr>
        <xdr:cNvSpPr/>
      </xdr:nvSpPr>
      <xdr:spPr>
        <a:xfrm>
          <a:off x="7620" y="0"/>
          <a:ext cx="14478000" cy="838200"/>
        </a:xfrm>
        <a:prstGeom prst="rect">
          <a:avLst/>
        </a:prstGeom>
        <a:gradFill flip="none" rotWithShape="1">
          <a:gsLst>
            <a:gs pos="0">
              <a:schemeClr val="tx1">
                <a:alpha val="75000"/>
              </a:schemeClr>
            </a:gs>
            <a:gs pos="100000">
              <a:schemeClr val="accent6">
                <a:lumMod val="50000"/>
                <a:alpha val="75000"/>
              </a:schemeClr>
            </a:gs>
          </a:gsLst>
          <a:lin ang="0" scaled="1"/>
          <a:tileRect/>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H" sz="1100"/>
        </a:p>
      </xdr:txBody>
    </xdr:sp>
    <xdr:clientData/>
  </xdr:twoCellAnchor>
  <xdr:twoCellAnchor>
    <xdr:from>
      <xdr:col>0</xdr:col>
      <xdr:colOff>323640</xdr:colOff>
      <xdr:row>6</xdr:row>
      <xdr:rowOff>15240</xdr:rowOff>
    </xdr:from>
    <xdr:to>
      <xdr:col>3</xdr:col>
      <xdr:colOff>354120</xdr:colOff>
      <xdr:row>37</xdr:row>
      <xdr:rowOff>76200</xdr:rowOff>
    </xdr:to>
    <xdr:sp macro="" textlink="">
      <xdr:nvSpPr>
        <xdr:cNvPr id="3" name="Rectangle: Rounded Corners 2">
          <a:extLst>
            <a:ext uri="{FF2B5EF4-FFF2-40B4-BE49-F238E27FC236}">
              <a16:creationId xmlns:a16="http://schemas.microsoft.com/office/drawing/2014/main" id="{0FE2AD1B-3E71-7911-A85A-94E978FEBC2C}"/>
            </a:ext>
          </a:extLst>
        </xdr:cNvPr>
        <xdr:cNvSpPr/>
      </xdr:nvSpPr>
      <xdr:spPr>
        <a:xfrm>
          <a:off x="323640" y="1112520"/>
          <a:ext cx="1859280" cy="5730240"/>
        </a:xfrm>
        <a:prstGeom prst="roundRect">
          <a:avLst>
            <a:gd name="adj" fmla="val 2673"/>
          </a:avLst>
        </a:prstGeom>
        <a:solidFill>
          <a:schemeClr val="tx1"/>
        </a:solidFill>
        <a:ln>
          <a:noFill/>
        </a:ln>
        <a:effectLst>
          <a:outerShdw blurRad="50800" dist="38100" dir="8100000" algn="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H" sz="1100"/>
        </a:p>
      </xdr:txBody>
    </xdr:sp>
    <xdr:clientData/>
  </xdr:twoCellAnchor>
  <xdr:twoCellAnchor>
    <xdr:from>
      <xdr:col>3</xdr:col>
      <xdr:colOff>601980</xdr:colOff>
      <xdr:row>6</xdr:row>
      <xdr:rowOff>15240</xdr:rowOff>
    </xdr:from>
    <xdr:to>
      <xdr:col>16</xdr:col>
      <xdr:colOff>342900</xdr:colOff>
      <xdr:row>20</xdr:row>
      <xdr:rowOff>82920</xdr:rowOff>
    </xdr:to>
    <xdr:sp macro="" textlink="">
      <xdr:nvSpPr>
        <xdr:cNvPr id="4" name="Rectangle: Rounded Corners 3">
          <a:extLst>
            <a:ext uri="{FF2B5EF4-FFF2-40B4-BE49-F238E27FC236}">
              <a16:creationId xmlns:a16="http://schemas.microsoft.com/office/drawing/2014/main" id="{3B5D3239-6FD3-44D5-9BC6-99FF8B986521}"/>
            </a:ext>
          </a:extLst>
        </xdr:cNvPr>
        <xdr:cNvSpPr/>
      </xdr:nvSpPr>
      <xdr:spPr>
        <a:xfrm>
          <a:off x="2430780" y="1112520"/>
          <a:ext cx="7665720" cy="2628000"/>
        </a:xfrm>
        <a:prstGeom prst="roundRect">
          <a:avLst>
            <a:gd name="adj" fmla="val 2673"/>
          </a:avLst>
        </a:prstGeom>
        <a:solidFill>
          <a:srgbClr val="000922">
            <a:alpha val="75000"/>
          </a:srgbClr>
        </a:solidFill>
        <a:ln>
          <a:noFill/>
        </a:ln>
        <a:effectLst>
          <a:outerShdw blurRad="50800" dist="38100" dir="8100000" algn="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H" sz="1100"/>
        </a:p>
      </xdr:txBody>
    </xdr:sp>
    <xdr:clientData/>
  </xdr:twoCellAnchor>
  <xdr:twoCellAnchor>
    <xdr:from>
      <xdr:col>13</xdr:col>
      <xdr:colOff>76200</xdr:colOff>
      <xdr:row>8</xdr:row>
      <xdr:rowOff>68580</xdr:rowOff>
    </xdr:from>
    <xdr:to>
      <xdr:col>16</xdr:col>
      <xdr:colOff>289560</xdr:colOff>
      <xdr:row>19</xdr:row>
      <xdr:rowOff>60960</xdr:rowOff>
    </xdr:to>
    <mc:AlternateContent xmlns:mc="http://schemas.openxmlformats.org/markup-compatibility/2006">
      <mc:Choice xmlns:cx4="http://schemas.microsoft.com/office/drawing/2016/5/10/chartex" Requires="cx4">
        <xdr:graphicFrame macro="">
          <xdr:nvGraphicFramePr>
            <xdr:cNvPr id="6" name="Chart 5">
              <a:extLst>
                <a:ext uri="{FF2B5EF4-FFF2-40B4-BE49-F238E27FC236}">
                  <a16:creationId xmlns:a16="http://schemas.microsoft.com/office/drawing/2014/main" id="{6166E02C-7068-4BEE-928F-217073180EB1}"/>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8001000" y="1531620"/>
              <a:ext cx="2042160" cy="2004060"/>
            </a:xfrm>
            <a:prstGeom prst="rect">
              <a:avLst/>
            </a:prstGeom>
            <a:solidFill>
              <a:prstClr val="white"/>
            </a:solidFill>
            <a:ln w="1">
              <a:solidFill>
                <a:prstClr val="green"/>
              </a:solidFill>
            </a:ln>
          </xdr:spPr>
          <xdr:txBody>
            <a:bodyPr vertOverflow="clip" horzOverflow="clip"/>
            <a:lstStyle/>
            <a:p>
              <a:r>
                <a:rPr lang="en-PH"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4</xdr:col>
      <xdr:colOff>403860</xdr:colOff>
      <xdr:row>6</xdr:row>
      <xdr:rowOff>99060</xdr:rowOff>
    </xdr:from>
    <xdr:to>
      <xdr:col>10</xdr:col>
      <xdr:colOff>58260</xdr:colOff>
      <xdr:row>7</xdr:row>
      <xdr:rowOff>168180</xdr:rowOff>
    </xdr:to>
    <xdr:sp macro="" textlink="">
      <xdr:nvSpPr>
        <xdr:cNvPr id="7" name="Rectangle: Diagonal Corners Rounded 6">
          <a:extLst>
            <a:ext uri="{FF2B5EF4-FFF2-40B4-BE49-F238E27FC236}">
              <a16:creationId xmlns:a16="http://schemas.microsoft.com/office/drawing/2014/main" id="{140DBAB5-484A-FF3D-6C7D-8315B1BB2EFF}"/>
            </a:ext>
          </a:extLst>
        </xdr:cNvPr>
        <xdr:cNvSpPr/>
      </xdr:nvSpPr>
      <xdr:spPr>
        <a:xfrm>
          <a:off x="2842260" y="1196340"/>
          <a:ext cx="3312000" cy="252000"/>
        </a:xfrm>
        <a:prstGeom prst="round2DiagRect">
          <a:avLst/>
        </a:prstGeom>
        <a:solidFill>
          <a:schemeClr val="tx1">
            <a:lumMod val="75000"/>
            <a:lumOff val="2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H" sz="1100"/>
        </a:p>
      </xdr:txBody>
    </xdr:sp>
    <xdr:clientData/>
  </xdr:twoCellAnchor>
  <xdr:twoCellAnchor editAs="oneCell">
    <xdr:from>
      <xdr:col>4</xdr:col>
      <xdr:colOff>99060</xdr:colOff>
      <xdr:row>6</xdr:row>
      <xdr:rowOff>99060</xdr:rowOff>
    </xdr:from>
    <xdr:to>
      <xdr:col>4</xdr:col>
      <xdr:colOff>351060</xdr:colOff>
      <xdr:row>7</xdr:row>
      <xdr:rowOff>168180</xdr:rowOff>
    </xdr:to>
    <xdr:pic>
      <xdr:nvPicPr>
        <xdr:cNvPr id="9" name="Graphic 8" descr="Earth globe: Americas with solid fill">
          <a:extLst>
            <a:ext uri="{FF2B5EF4-FFF2-40B4-BE49-F238E27FC236}">
              <a16:creationId xmlns:a16="http://schemas.microsoft.com/office/drawing/2014/main" id="{FB8E9A14-AF7B-1A52-FB8C-5E20BC590E9E}"/>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2537460" y="1196340"/>
          <a:ext cx="252000" cy="252000"/>
        </a:xfrm>
        <a:prstGeom prst="rect">
          <a:avLst/>
        </a:prstGeom>
      </xdr:spPr>
    </xdr:pic>
    <xdr:clientData/>
  </xdr:twoCellAnchor>
  <xdr:twoCellAnchor>
    <xdr:from>
      <xdr:col>4</xdr:col>
      <xdr:colOff>403860</xdr:colOff>
      <xdr:row>6</xdr:row>
      <xdr:rowOff>117060</xdr:rowOff>
    </xdr:from>
    <xdr:to>
      <xdr:col>10</xdr:col>
      <xdr:colOff>58260</xdr:colOff>
      <xdr:row>7</xdr:row>
      <xdr:rowOff>150180</xdr:rowOff>
    </xdr:to>
    <xdr:sp macro="" textlink="">
      <xdr:nvSpPr>
        <xdr:cNvPr id="10" name="TextBox 9">
          <a:extLst>
            <a:ext uri="{FF2B5EF4-FFF2-40B4-BE49-F238E27FC236}">
              <a16:creationId xmlns:a16="http://schemas.microsoft.com/office/drawing/2014/main" id="{3022C5C1-2C0D-3D5A-9E80-6B517094743A}"/>
            </a:ext>
          </a:extLst>
        </xdr:cNvPr>
        <xdr:cNvSpPr txBox="1"/>
      </xdr:nvSpPr>
      <xdr:spPr>
        <a:xfrm>
          <a:off x="2842260" y="1214340"/>
          <a:ext cx="3312000" cy="216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PH" sz="1100" b="1">
              <a:solidFill>
                <a:schemeClr val="bg1">
                  <a:lumMod val="95000"/>
                </a:schemeClr>
              </a:solidFill>
            </a:rPr>
            <a:t>Sales Volume, Revenue </a:t>
          </a:r>
          <a:r>
            <a:rPr lang="en-PH" sz="1100" b="1" baseline="0">
              <a:solidFill>
                <a:schemeClr val="bg1">
                  <a:lumMod val="95000"/>
                </a:schemeClr>
              </a:solidFill>
            </a:rPr>
            <a:t>Growth &amp; Revenue Heat Map</a:t>
          </a:r>
          <a:endParaRPr lang="en-PH" sz="1100" b="1">
            <a:solidFill>
              <a:schemeClr val="bg1">
                <a:lumMod val="95000"/>
              </a:schemeClr>
            </a:solidFill>
          </a:endParaRPr>
        </a:p>
      </xdr:txBody>
    </xdr:sp>
    <xdr:clientData/>
  </xdr:twoCellAnchor>
  <xdr:twoCellAnchor>
    <xdr:from>
      <xdr:col>9</xdr:col>
      <xdr:colOff>563880</xdr:colOff>
      <xdr:row>21</xdr:row>
      <xdr:rowOff>158280</xdr:rowOff>
    </xdr:from>
    <xdr:to>
      <xdr:col>15</xdr:col>
      <xdr:colOff>2280</xdr:colOff>
      <xdr:row>37</xdr:row>
      <xdr:rowOff>76200</xdr:rowOff>
    </xdr:to>
    <xdr:sp macro="" textlink="">
      <xdr:nvSpPr>
        <xdr:cNvPr id="5" name="Rectangle: Rounded Corners 4">
          <a:extLst>
            <a:ext uri="{FF2B5EF4-FFF2-40B4-BE49-F238E27FC236}">
              <a16:creationId xmlns:a16="http://schemas.microsoft.com/office/drawing/2014/main" id="{927C6D55-61FA-40B4-95D6-EF3624B25BD0}"/>
            </a:ext>
          </a:extLst>
        </xdr:cNvPr>
        <xdr:cNvSpPr/>
      </xdr:nvSpPr>
      <xdr:spPr>
        <a:xfrm>
          <a:off x="6050280" y="3998760"/>
          <a:ext cx="3096000" cy="2844000"/>
        </a:xfrm>
        <a:prstGeom prst="roundRect">
          <a:avLst>
            <a:gd name="adj" fmla="val 2673"/>
          </a:avLst>
        </a:prstGeom>
        <a:solidFill>
          <a:srgbClr val="000922">
            <a:alpha val="75000"/>
          </a:srgbClr>
        </a:solidFill>
        <a:ln>
          <a:noFill/>
        </a:ln>
        <a:effectLst>
          <a:outerShdw blurRad="50800" dist="38100" dir="8100000" algn="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H" sz="1100"/>
        </a:p>
      </xdr:txBody>
    </xdr:sp>
    <xdr:clientData/>
  </xdr:twoCellAnchor>
  <xdr:twoCellAnchor>
    <xdr:from>
      <xdr:col>10</xdr:col>
      <xdr:colOff>368520</xdr:colOff>
      <xdr:row>22</xdr:row>
      <xdr:rowOff>58477</xdr:rowOff>
    </xdr:from>
    <xdr:to>
      <xdr:col>13</xdr:col>
      <xdr:colOff>339720</xdr:colOff>
      <xdr:row>23</xdr:row>
      <xdr:rowOff>127597</xdr:rowOff>
    </xdr:to>
    <xdr:sp macro="" textlink="">
      <xdr:nvSpPr>
        <xdr:cNvPr id="11" name="Rectangle: Diagonal Corners Rounded 10">
          <a:extLst>
            <a:ext uri="{FF2B5EF4-FFF2-40B4-BE49-F238E27FC236}">
              <a16:creationId xmlns:a16="http://schemas.microsoft.com/office/drawing/2014/main" id="{14E52C4A-3DFB-48E5-ABAE-BF51F9272BB6}"/>
            </a:ext>
          </a:extLst>
        </xdr:cNvPr>
        <xdr:cNvSpPr/>
      </xdr:nvSpPr>
      <xdr:spPr>
        <a:xfrm>
          <a:off x="6464520" y="4081837"/>
          <a:ext cx="1800000" cy="252000"/>
        </a:xfrm>
        <a:prstGeom prst="round2DiagRect">
          <a:avLst/>
        </a:prstGeom>
        <a:solidFill>
          <a:schemeClr val="tx1">
            <a:lumMod val="75000"/>
            <a:lumOff val="2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H" sz="1100"/>
        </a:p>
      </xdr:txBody>
    </xdr:sp>
    <xdr:clientData/>
  </xdr:twoCellAnchor>
  <xdr:twoCellAnchor editAs="oneCell">
    <xdr:from>
      <xdr:col>10</xdr:col>
      <xdr:colOff>76200</xdr:colOff>
      <xdr:row>22</xdr:row>
      <xdr:rowOff>58477</xdr:rowOff>
    </xdr:from>
    <xdr:to>
      <xdr:col>10</xdr:col>
      <xdr:colOff>328200</xdr:colOff>
      <xdr:row>23</xdr:row>
      <xdr:rowOff>127597</xdr:rowOff>
    </xdr:to>
    <xdr:pic>
      <xdr:nvPicPr>
        <xdr:cNvPr id="13" name="Graphic 12" descr="Upward trend with solid fill">
          <a:extLst>
            <a:ext uri="{FF2B5EF4-FFF2-40B4-BE49-F238E27FC236}">
              <a16:creationId xmlns:a16="http://schemas.microsoft.com/office/drawing/2014/main" id="{3C56DD6A-6F3B-ED6A-4F69-1356C19A09FA}"/>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6172200" y="4081837"/>
          <a:ext cx="252000" cy="252000"/>
        </a:xfrm>
        <a:prstGeom prst="rect">
          <a:avLst/>
        </a:prstGeom>
      </xdr:spPr>
    </xdr:pic>
    <xdr:clientData/>
  </xdr:twoCellAnchor>
  <xdr:twoCellAnchor>
    <xdr:from>
      <xdr:col>10</xdr:col>
      <xdr:colOff>350520</xdr:colOff>
      <xdr:row>22</xdr:row>
      <xdr:rowOff>76477</xdr:rowOff>
    </xdr:from>
    <xdr:to>
      <xdr:col>13</xdr:col>
      <xdr:colOff>357720</xdr:colOff>
      <xdr:row>23</xdr:row>
      <xdr:rowOff>109597</xdr:rowOff>
    </xdr:to>
    <xdr:sp macro="" textlink="">
      <xdr:nvSpPr>
        <xdr:cNvPr id="14" name="TextBox 13">
          <a:extLst>
            <a:ext uri="{FF2B5EF4-FFF2-40B4-BE49-F238E27FC236}">
              <a16:creationId xmlns:a16="http://schemas.microsoft.com/office/drawing/2014/main" id="{96DBF44A-FD5E-440E-B731-F2CCE6457192}"/>
            </a:ext>
          </a:extLst>
        </xdr:cNvPr>
        <xdr:cNvSpPr txBox="1"/>
      </xdr:nvSpPr>
      <xdr:spPr>
        <a:xfrm>
          <a:off x="6446520" y="4099837"/>
          <a:ext cx="1836000" cy="216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PH" sz="1100" b="1">
              <a:solidFill>
                <a:schemeClr val="bg1">
                  <a:lumMod val="95000"/>
                </a:schemeClr>
              </a:solidFill>
            </a:rPr>
            <a:t>Customer Acquistion Source</a:t>
          </a:r>
        </a:p>
      </xdr:txBody>
    </xdr:sp>
    <xdr:clientData/>
  </xdr:twoCellAnchor>
  <xdr:twoCellAnchor>
    <xdr:from>
      <xdr:col>3</xdr:col>
      <xdr:colOff>601980</xdr:colOff>
      <xdr:row>21</xdr:row>
      <xdr:rowOff>158280</xdr:rowOff>
    </xdr:from>
    <xdr:to>
      <xdr:col>9</xdr:col>
      <xdr:colOff>292380</xdr:colOff>
      <xdr:row>37</xdr:row>
      <xdr:rowOff>76200</xdr:rowOff>
    </xdr:to>
    <xdr:sp macro="" textlink="">
      <xdr:nvSpPr>
        <xdr:cNvPr id="12" name="Rectangle: Rounded Corners 11">
          <a:extLst>
            <a:ext uri="{FF2B5EF4-FFF2-40B4-BE49-F238E27FC236}">
              <a16:creationId xmlns:a16="http://schemas.microsoft.com/office/drawing/2014/main" id="{D602C1E1-487D-4A0F-9DE9-F2EBFD9F35C7}"/>
            </a:ext>
          </a:extLst>
        </xdr:cNvPr>
        <xdr:cNvSpPr/>
      </xdr:nvSpPr>
      <xdr:spPr>
        <a:xfrm>
          <a:off x="2430780" y="3998760"/>
          <a:ext cx="3348000" cy="2844000"/>
        </a:xfrm>
        <a:prstGeom prst="roundRect">
          <a:avLst>
            <a:gd name="adj" fmla="val 2673"/>
          </a:avLst>
        </a:prstGeom>
        <a:solidFill>
          <a:srgbClr val="000922">
            <a:alpha val="75000"/>
          </a:srgbClr>
        </a:solidFill>
        <a:ln>
          <a:noFill/>
        </a:ln>
        <a:effectLst>
          <a:outerShdw blurRad="50800" dist="38100" dir="8100000" algn="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H" sz="1100"/>
        </a:p>
      </xdr:txBody>
    </xdr:sp>
    <xdr:clientData/>
  </xdr:twoCellAnchor>
  <xdr:twoCellAnchor>
    <xdr:from>
      <xdr:col>4</xdr:col>
      <xdr:colOff>0</xdr:colOff>
      <xdr:row>24</xdr:row>
      <xdr:rowOff>41537</xdr:rowOff>
    </xdr:from>
    <xdr:to>
      <xdr:col>9</xdr:col>
      <xdr:colOff>297180</xdr:colOff>
      <xdr:row>37</xdr:row>
      <xdr:rowOff>76200</xdr:rowOff>
    </xdr:to>
    <xdr:graphicFrame macro="">
      <xdr:nvGraphicFramePr>
        <xdr:cNvPr id="15" name="Chart 14">
          <a:extLst>
            <a:ext uri="{FF2B5EF4-FFF2-40B4-BE49-F238E27FC236}">
              <a16:creationId xmlns:a16="http://schemas.microsoft.com/office/drawing/2014/main" id="{98F9946E-4E36-4126-8BFA-5C331D57EC9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4</xdr:col>
      <xdr:colOff>381000</xdr:colOff>
      <xdr:row>22</xdr:row>
      <xdr:rowOff>58477</xdr:rowOff>
    </xdr:from>
    <xdr:to>
      <xdr:col>6</xdr:col>
      <xdr:colOff>313800</xdr:colOff>
      <xdr:row>23</xdr:row>
      <xdr:rowOff>145091</xdr:rowOff>
    </xdr:to>
    <xdr:sp macro="" textlink="">
      <xdr:nvSpPr>
        <xdr:cNvPr id="16" name="Rectangle: Diagonal Corners Rounded 15">
          <a:extLst>
            <a:ext uri="{FF2B5EF4-FFF2-40B4-BE49-F238E27FC236}">
              <a16:creationId xmlns:a16="http://schemas.microsoft.com/office/drawing/2014/main" id="{FA014E87-F1D2-4CAE-898F-09DBA9FFAEAF}"/>
            </a:ext>
          </a:extLst>
        </xdr:cNvPr>
        <xdr:cNvSpPr/>
      </xdr:nvSpPr>
      <xdr:spPr>
        <a:xfrm>
          <a:off x="2819400" y="4081837"/>
          <a:ext cx="1152000" cy="269494"/>
        </a:xfrm>
        <a:prstGeom prst="round2DiagRect">
          <a:avLst/>
        </a:prstGeom>
        <a:solidFill>
          <a:schemeClr val="tx1">
            <a:lumMod val="75000"/>
            <a:lumOff val="2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H" sz="1100"/>
        </a:p>
      </xdr:txBody>
    </xdr:sp>
    <xdr:clientData/>
  </xdr:twoCellAnchor>
  <xdr:twoCellAnchor>
    <xdr:from>
      <xdr:col>4</xdr:col>
      <xdr:colOff>381000</xdr:colOff>
      <xdr:row>22</xdr:row>
      <xdr:rowOff>77727</xdr:rowOff>
    </xdr:from>
    <xdr:to>
      <xdr:col>6</xdr:col>
      <xdr:colOff>313800</xdr:colOff>
      <xdr:row>23</xdr:row>
      <xdr:rowOff>125842</xdr:rowOff>
    </xdr:to>
    <xdr:sp macro="" textlink="">
      <xdr:nvSpPr>
        <xdr:cNvPr id="17" name="TextBox 16">
          <a:extLst>
            <a:ext uri="{FF2B5EF4-FFF2-40B4-BE49-F238E27FC236}">
              <a16:creationId xmlns:a16="http://schemas.microsoft.com/office/drawing/2014/main" id="{4A1596E7-C509-45B7-AEEC-DA5DE0CDA3EC}"/>
            </a:ext>
          </a:extLst>
        </xdr:cNvPr>
        <xdr:cNvSpPr txBox="1"/>
      </xdr:nvSpPr>
      <xdr:spPr>
        <a:xfrm>
          <a:off x="2819400" y="4101087"/>
          <a:ext cx="1152000" cy="2309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PH" sz="1100" b="1">
              <a:solidFill>
                <a:schemeClr val="bg1">
                  <a:lumMod val="95000"/>
                </a:schemeClr>
              </a:solidFill>
            </a:rPr>
            <a:t>Revenue</a:t>
          </a:r>
          <a:r>
            <a:rPr lang="en-PH" sz="1100" b="1" baseline="0">
              <a:solidFill>
                <a:schemeClr val="bg1">
                  <a:lumMod val="95000"/>
                </a:schemeClr>
              </a:solidFill>
            </a:rPr>
            <a:t> vs Cost</a:t>
          </a:r>
          <a:endParaRPr lang="en-PH" sz="1100" b="1">
            <a:solidFill>
              <a:schemeClr val="bg1">
                <a:lumMod val="95000"/>
              </a:schemeClr>
            </a:solidFill>
          </a:endParaRPr>
        </a:p>
      </xdr:txBody>
    </xdr:sp>
    <xdr:clientData/>
  </xdr:twoCellAnchor>
  <xdr:twoCellAnchor>
    <xdr:from>
      <xdr:col>4</xdr:col>
      <xdr:colOff>76200</xdr:colOff>
      <xdr:row>22</xdr:row>
      <xdr:rowOff>58477</xdr:rowOff>
    </xdr:from>
    <xdr:to>
      <xdr:col>4</xdr:col>
      <xdr:colOff>328200</xdr:colOff>
      <xdr:row>23</xdr:row>
      <xdr:rowOff>145091</xdr:rowOff>
    </xdr:to>
    <xdr:pic>
      <xdr:nvPicPr>
        <xdr:cNvPr id="19" name="Graphic 18" descr="Bar graph with upward trend with solid fill">
          <a:extLst>
            <a:ext uri="{FF2B5EF4-FFF2-40B4-BE49-F238E27FC236}">
              <a16:creationId xmlns:a16="http://schemas.microsoft.com/office/drawing/2014/main" id="{D944EB97-625B-4A30-F5AD-FF096DABCF1A}"/>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2514600" y="4081837"/>
          <a:ext cx="252000" cy="269494"/>
        </a:xfrm>
        <a:prstGeom prst="rect">
          <a:avLst/>
        </a:prstGeom>
      </xdr:spPr>
    </xdr:pic>
    <xdr:clientData/>
  </xdr:twoCellAnchor>
  <xdr:twoCellAnchor>
    <xdr:from>
      <xdr:col>10</xdr:col>
      <xdr:colOff>38100</xdr:colOff>
      <xdr:row>24</xdr:row>
      <xdr:rowOff>0</xdr:rowOff>
    </xdr:from>
    <xdr:to>
      <xdr:col>14</xdr:col>
      <xdr:colOff>518160</xdr:colOff>
      <xdr:row>37</xdr:row>
      <xdr:rowOff>114300</xdr:rowOff>
    </xdr:to>
    <mc:AlternateContent xmlns:mc="http://schemas.openxmlformats.org/markup-compatibility/2006">
      <mc:Choice xmlns:cx1="http://schemas.microsoft.com/office/drawing/2015/9/8/chartex" Requires="cx1">
        <xdr:graphicFrame macro="">
          <xdr:nvGraphicFramePr>
            <xdr:cNvPr id="20" name="Chart 19">
              <a:extLst>
                <a:ext uri="{FF2B5EF4-FFF2-40B4-BE49-F238E27FC236}">
                  <a16:creationId xmlns:a16="http://schemas.microsoft.com/office/drawing/2014/main" id="{88F0EBB4-1EC7-4A72-AB1D-E2581D260588}"/>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9"/>
            </a:graphicData>
          </a:graphic>
        </xdr:graphicFrame>
      </mc:Choice>
      <mc:Fallback>
        <xdr:sp macro="" textlink="">
          <xdr:nvSpPr>
            <xdr:cNvPr id="0" name=""/>
            <xdr:cNvSpPr>
              <a:spLocks noTextEdit="1"/>
            </xdr:cNvSpPr>
          </xdr:nvSpPr>
          <xdr:spPr>
            <a:xfrm>
              <a:off x="6134100" y="4389120"/>
              <a:ext cx="2918460" cy="2491740"/>
            </a:xfrm>
            <a:prstGeom prst="rect">
              <a:avLst/>
            </a:prstGeom>
            <a:solidFill>
              <a:prstClr val="white"/>
            </a:solidFill>
            <a:ln w="1">
              <a:solidFill>
                <a:prstClr val="green"/>
              </a:solidFill>
            </a:ln>
          </xdr:spPr>
          <xdr:txBody>
            <a:bodyPr vertOverflow="clip" horzOverflow="clip"/>
            <a:lstStyle/>
            <a:p>
              <a:r>
                <a:rPr lang="en-PH"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16</xdr:col>
      <xdr:colOff>594360</xdr:colOff>
      <xdr:row>8</xdr:row>
      <xdr:rowOff>38100</xdr:rowOff>
    </xdr:from>
    <xdr:to>
      <xdr:col>21</xdr:col>
      <xdr:colOff>502920</xdr:colOff>
      <xdr:row>20</xdr:row>
      <xdr:rowOff>114300</xdr:rowOff>
    </xdr:to>
    <xdr:graphicFrame macro="">
      <xdr:nvGraphicFramePr>
        <xdr:cNvPr id="22" name="Chart 21">
          <a:extLst>
            <a:ext uri="{FF2B5EF4-FFF2-40B4-BE49-F238E27FC236}">
              <a16:creationId xmlns:a16="http://schemas.microsoft.com/office/drawing/2014/main" id="{5059816E-ED6F-4912-8D33-1DE6B43CD24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22</xdr:col>
      <xdr:colOff>152400</xdr:colOff>
      <xdr:row>9</xdr:row>
      <xdr:rowOff>83820</xdr:rowOff>
    </xdr:from>
    <xdr:to>
      <xdr:col>22</xdr:col>
      <xdr:colOff>533400</xdr:colOff>
      <xdr:row>10</xdr:row>
      <xdr:rowOff>137160</xdr:rowOff>
    </xdr:to>
    <xdr:sp macro="" textlink="">
      <xdr:nvSpPr>
        <xdr:cNvPr id="25" name="Rectangle: Rounded Corners 24">
          <a:extLst>
            <a:ext uri="{FF2B5EF4-FFF2-40B4-BE49-F238E27FC236}">
              <a16:creationId xmlns:a16="http://schemas.microsoft.com/office/drawing/2014/main" id="{1EA11D8A-BFCE-3F66-8A08-8A2BC183E767}"/>
            </a:ext>
          </a:extLst>
        </xdr:cNvPr>
        <xdr:cNvSpPr/>
      </xdr:nvSpPr>
      <xdr:spPr>
        <a:xfrm>
          <a:off x="13563600" y="1729740"/>
          <a:ext cx="381000" cy="236220"/>
        </a:xfrm>
        <a:prstGeom prst="roundRect">
          <a:avLst/>
        </a:prstGeom>
        <a:solidFill>
          <a:schemeClr val="tx1">
            <a:lumMod val="95000"/>
            <a:lumOff val="5000"/>
          </a:schemeClr>
        </a:solidFill>
        <a:ln>
          <a:solidFill>
            <a:schemeClr val="tx1"/>
          </a:solidFill>
        </a:ln>
        <a:effectLst>
          <a:glow rad="63500">
            <a:schemeClr val="accent6">
              <a:satMod val="175000"/>
              <a:alpha val="40000"/>
            </a:schemeClr>
          </a:glo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H" sz="1100"/>
        </a:p>
      </xdr:txBody>
    </xdr:sp>
    <xdr:clientData/>
  </xdr:twoCellAnchor>
  <xdr:twoCellAnchor>
    <xdr:from>
      <xdr:col>17</xdr:col>
      <xdr:colOff>365760</xdr:colOff>
      <xdr:row>6</xdr:row>
      <xdr:rowOff>101490</xdr:rowOff>
    </xdr:from>
    <xdr:to>
      <xdr:col>22</xdr:col>
      <xdr:colOff>233760</xdr:colOff>
      <xdr:row>7</xdr:row>
      <xdr:rowOff>170610</xdr:rowOff>
    </xdr:to>
    <xdr:sp macro="" textlink="">
      <xdr:nvSpPr>
        <xdr:cNvPr id="27" name="Rectangle: Diagonal Corners Rounded 26">
          <a:extLst>
            <a:ext uri="{FF2B5EF4-FFF2-40B4-BE49-F238E27FC236}">
              <a16:creationId xmlns:a16="http://schemas.microsoft.com/office/drawing/2014/main" id="{B1BA33BA-E602-4A91-B4BD-3D48DDD8EF10}"/>
            </a:ext>
          </a:extLst>
        </xdr:cNvPr>
        <xdr:cNvSpPr/>
      </xdr:nvSpPr>
      <xdr:spPr>
        <a:xfrm>
          <a:off x="10728960" y="1198770"/>
          <a:ext cx="2916000" cy="252000"/>
        </a:xfrm>
        <a:prstGeom prst="round2DiagRect">
          <a:avLst/>
        </a:prstGeom>
        <a:solidFill>
          <a:schemeClr val="tx1">
            <a:lumMod val="75000"/>
            <a:lumOff val="2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H" sz="1100"/>
        </a:p>
      </xdr:txBody>
    </xdr:sp>
    <xdr:clientData/>
  </xdr:twoCellAnchor>
  <xdr:twoCellAnchor>
    <xdr:from>
      <xdr:col>17</xdr:col>
      <xdr:colOff>365760</xdr:colOff>
      <xdr:row>6</xdr:row>
      <xdr:rowOff>119490</xdr:rowOff>
    </xdr:from>
    <xdr:to>
      <xdr:col>22</xdr:col>
      <xdr:colOff>233760</xdr:colOff>
      <xdr:row>7</xdr:row>
      <xdr:rowOff>152610</xdr:rowOff>
    </xdr:to>
    <xdr:sp macro="" textlink="">
      <xdr:nvSpPr>
        <xdr:cNvPr id="28" name="TextBox 27">
          <a:extLst>
            <a:ext uri="{FF2B5EF4-FFF2-40B4-BE49-F238E27FC236}">
              <a16:creationId xmlns:a16="http://schemas.microsoft.com/office/drawing/2014/main" id="{1C75D5D8-5F5C-4B21-AE96-3F583925256B}"/>
            </a:ext>
          </a:extLst>
        </xdr:cNvPr>
        <xdr:cNvSpPr txBox="1"/>
      </xdr:nvSpPr>
      <xdr:spPr>
        <a:xfrm>
          <a:off x="10728960" y="1216770"/>
          <a:ext cx="2916000" cy="216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PH" sz="1100" b="1">
              <a:solidFill>
                <a:schemeClr val="bg1">
                  <a:lumMod val="95000"/>
                </a:schemeClr>
              </a:solidFill>
            </a:rPr>
            <a:t>Top 5</a:t>
          </a:r>
          <a:r>
            <a:rPr lang="en-PH" sz="1100" b="1" baseline="0">
              <a:solidFill>
                <a:schemeClr val="bg1">
                  <a:lumMod val="95000"/>
                </a:schemeClr>
              </a:solidFill>
            </a:rPr>
            <a:t> </a:t>
          </a:r>
          <a:r>
            <a:rPr lang="en-PH" sz="1100" b="1">
              <a:solidFill>
                <a:schemeClr val="bg1">
                  <a:lumMod val="95000"/>
                </a:schemeClr>
              </a:solidFill>
            </a:rPr>
            <a:t>Products: Sales, Revenue</a:t>
          </a:r>
          <a:r>
            <a:rPr lang="en-PH" sz="1100" b="1" baseline="0">
              <a:solidFill>
                <a:schemeClr val="bg1">
                  <a:lumMod val="95000"/>
                </a:schemeClr>
              </a:solidFill>
            </a:rPr>
            <a:t> &amp; Sales Margin</a:t>
          </a:r>
          <a:endParaRPr lang="en-PH" sz="1100" b="1">
            <a:solidFill>
              <a:schemeClr val="bg1">
                <a:lumMod val="95000"/>
              </a:schemeClr>
            </a:solidFill>
          </a:endParaRPr>
        </a:p>
      </xdr:txBody>
    </xdr:sp>
    <xdr:clientData/>
  </xdr:twoCellAnchor>
  <xdr:twoCellAnchor editAs="oneCell">
    <xdr:from>
      <xdr:col>17</xdr:col>
      <xdr:colOff>76200</xdr:colOff>
      <xdr:row>6</xdr:row>
      <xdr:rowOff>99060</xdr:rowOff>
    </xdr:from>
    <xdr:to>
      <xdr:col>17</xdr:col>
      <xdr:colOff>328200</xdr:colOff>
      <xdr:row>7</xdr:row>
      <xdr:rowOff>168180</xdr:rowOff>
    </xdr:to>
    <xdr:pic>
      <xdr:nvPicPr>
        <xdr:cNvPr id="30" name="Graphic 29" descr="Search Inventory with solid fill">
          <a:extLst>
            <a:ext uri="{FF2B5EF4-FFF2-40B4-BE49-F238E27FC236}">
              <a16:creationId xmlns:a16="http://schemas.microsoft.com/office/drawing/2014/main" id="{2DB0C6AD-FFD1-68C5-F121-64E4824D73C3}"/>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 uri="{96DAC541-7B7A-43D3-8B79-37D633B846F1}">
              <asvg:svgBlip xmlns:asvg="http://schemas.microsoft.com/office/drawing/2016/SVG/main" r:embed="rId12"/>
            </a:ext>
          </a:extLst>
        </a:blip>
        <a:stretch>
          <a:fillRect/>
        </a:stretch>
      </xdr:blipFill>
      <xdr:spPr>
        <a:xfrm>
          <a:off x="10439400" y="1196340"/>
          <a:ext cx="252000" cy="252000"/>
        </a:xfrm>
        <a:prstGeom prst="rect">
          <a:avLst/>
        </a:prstGeom>
      </xdr:spPr>
    </xdr:pic>
    <xdr:clientData/>
  </xdr:twoCellAnchor>
  <xdr:twoCellAnchor>
    <xdr:from>
      <xdr:col>22</xdr:col>
      <xdr:colOff>129540</xdr:colOff>
      <xdr:row>9</xdr:row>
      <xdr:rowOff>89010</xdr:rowOff>
    </xdr:from>
    <xdr:to>
      <xdr:col>22</xdr:col>
      <xdr:colOff>561540</xdr:colOff>
      <xdr:row>10</xdr:row>
      <xdr:rowOff>122130</xdr:rowOff>
    </xdr:to>
    <xdr:sp macro="" textlink="'Top 5'!D4">
      <xdr:nvSpPr>
        <xdr:cNvPr id="31" name="TextBox 30">
          <a:extLst>
            <a:ext uri="{FF2B5EF4-FFF2-40B4-BE49-F238E27FC236}">
              <a16:creationId xmlns:a16="http://schemas.microsoft.com/office/drawing/2014/main" id="{C1656D55-1A2E-42C6-B240-A98D7FB96273}"/>
            </a:ext>
          </a:extLst>
        </xdr:cNvPr>
        <xdr:cNvSpPr txBox="1"/>
      </xdr:nvSpPr>
      <xdr:spPr>
        <a:xfrm>
          <a:off x="13540740" y="1734930"/>
          <a:ext cx="432000" cy="216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3AFF3DF-C0B6-4CB7-AE69-466D76090EAC}" type="TxLink">
            <a:rPr lang="en-US" sz="1100" b="1" i="0" u="none" strike="noStrike">
              <a:solidFill>
                <a:schemeClr val="bg1">
                  <a:lumMod val="85000"/>
                </a:schemeClr>
              </a:solidFill>
              <a:latin typeface="Calibri"/>
              <a:cs typeface="Calibri"/>
            </a:rPr>
            <a:pPr algn="ctr"/>
            <a:t>34%</a:t>
          </a:fld>
          <a:endParaRPr lang="en-PH" sz="1100" b="1">
            <a:solidFill>
              <a:schemeClr val="bg1">
                <a:lumMod val="85000"/>
              </a:schemeClr>
            </a:solidFill>
          </a:endParaRPr>
        </a:p>
      </xdr:txBody>
    </xdr:sp>
    <xdr:clientData/>
  </xdr:twoCellAnchor>
  <xdr:twoCellAnchor>
    <xdr:from>
      <xdr:col>22</xdr:col>
      <xdr:colOff>152400</xdr:colOff>
      <xdr:row>11</xdr:row>
      <xdr:rowOff>106680</xdr:rowOff>
    </xdr:from>
    <xdr:to>
      <xdr:col>22</xdr:col>
      <xdr:colOff>533400</xdr:colOff>
      <xdr:row>12</xdr:row>
      <xdr:rowOff>160020</xdr:rowOff>
    </xdr:to>
    <xdr:sp macro="" textlink="">
      <xdr:nvSpPr>
        <xdr:cNvPr id="32" name="Rectangle: Rounded Corners 31">
          <a:extLst>
            <a:ext uri="{FF2B5EF4-FFF2-40B4-BE49-F238E27FC236}">
              <a16:creationId xmlns:a16="http://schemas.microsoft.com/office/drawing/2014/main" id="{EB690430-5CC9-4572-9BC7-C3EF8F6C46C0}"/>
            </a:ext>
          </a:extLst>
        </xdr:cNvPr>
        <xdr:cNvSpPr/>
      </xdr:nvSpPr>
      <xdr:spPr>
        <a:xfrm>
          <a:off x="13563600" y="2118360"/>
          <a:ext cx="381000" cy="236220"/>
        </a:xfrm>
        <a:prstGeom prst="roundRect">
          <a:avLst/>
        </a:prstGeom>
        <a:solidFill>
          <a:schemeClr val="tx1">
            <a:lumMod val="95000"/>
            <a:lumOff val="5000"/>
          </a:schemeClr>
        </a:solidFill>
        <a:ln>
          <a:solidFill>
            <a:schemeClr val="tx1"/>
          </a:solidFill>
        </a:ln>
        <a:effectLst>
          <a:glow rad="63500">
            <a:schemeClr val="accent6">
              <a:satMod val="175000"/>
              <a:alpha val="40000"/>
            </a:schemeClr>
          </a:glo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H" sz="1100"/>
        </a:p>
      </xdr:txBody>
    </xdr:sp>
    <xdr:clientData/>
  </xdr:twoCellAnchor>
  <xdr:twoCellAnchor>
    <xdr:from>
      <xdr:col>22</xdr:col>
      <xdr:colOff>152400</xdr:colOff>
      <xdr:row>13</xdr:row>
      <xdr:rowOff>121920</xdr:rowOff>
    </xdr:from>
    <xdr:to>
      <xdr:col>22</xdr:col>
      <xdr:colOff>533400</xdr:colOff>
      <xdr:row>14</xdr:row>
      <xdr:rowOff>175260</xdr:rowOff>
    </xdr:to>
    <xdr:sp macro="" textlink="">
      <xdr:nvSpPr>
        <xdr:cNvPr id="33" name="Rectangle: Rounded Corners 32">
          <a:extLst>
            <a:ext uri="{FF2B5EF4-FFF2-40B4-BE49-F238E27FC236}">
              <a16:creationId xmlns:a16="http://schemas.microsoft.com/office/drawing/2014/main" id="{BA3DE695-17AC-49F8-815F-94716C695C39}"/>
            </a:ext>
          </a:extLst>
        </xdr:cNvPr>
        <xdr:cNvSpPr/>
      </xdr:nvSpPr>
      <xdr:spPr>
        <a:xfrm>
          <a:off x="13563600" y="2499360"/>
          <a:ext cx="381000" cy="236220"/>
        </a:xfrm>
        <a:prstGeom prst="roundRect">
          <a:avLst/>
        </a:prstGeom>
        <a:solidFill>
          <a:schemeClr val="tx1">
            <a:lumMod val="95000"/>
            <a:lumOff val="5000"/>
          </a:schemeClr>
        </a:solidFill>
        <a:ln>
          <a:solidFill>
            <a:schemeClr val="tx1"/>
          </a:solidFill>
        </a:ln>
        <a:effectLst>
          <a:glow rad="63500">
            <a:schemeClr val="accent6">
              <a:satMod val="175000"/>
              <a:alpha val="40000"/>
            </a:schemeClr>
          </a:glo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H" sz="1100"/>
        </a:p>
      </xdr:txBody>
    </xdr:sp>
    <xdr:clientData/>
  </xdr:twoCellAnchor>
  <xdr:twoCellAnchor>
    <xdr:from>
      <xdr:col>22</xdr:col>
      <xdr:colOff>152400</xdr:colOff>
      <xdr:row>15</xdr:row>
      <xdr:rowOff>137160</xdr:rowOff>
    </xdr:from>
    <xdr:to>
      <xdr:col>22</xdr:col>
      <xdr:colOff>533400</xdr:colOff>
      <xdr:row>17</xdr:row>
      <xdr:rowOff>7620</xdr:rowOff>
    </xdr:to>
    <xdr:sp macro="" textlink="">
      <xdr:nvSpPr>
        <xdr:cNvPr id="34" name="Rectangle: Rounded Corners 33">
          <a:extLst>
            <a:ext uri="{FF2B5EF4-FFF2-40B4-BE49-F238E27FC236}">
              <a16:creationId xmlns:a16="http://schemas.microsoft.com/office/drawing/2014/main" id="{DEBA45BA-F2FD-41C0-90E8-5F4B9BF67789}"/>
            </a:ext>
          </a:extLst>
        </xdr:cNvPr>
        <xdr:cNvSpPr/>
      </xdr:nvSpPr>
      <xdr:spPr>
        <a:xfrm>
          <a:off x="13563600" y="2880360"/>
          <a:ext cx="381000" cy="236220"/>
        </a:xfrm>
        <a:prstGeom prst="roundRect">
          <a:avLst/>
        </a:prstGeom>
        <a:solidFill>
          <a:schemeClr val="tx1">
            <a:lumMod val="95000"/>
            <a:lumOff val="5000"/>
          </a:schemeClr>
        </a:solidFill>
        <a:ln>
          <a:solidFill>
            <a:schemeClr val="tx1"/>
          </a:solidFill>
        </a:ln>
        <a:effectLst>
          <a:glow rad="63500">
            <a:schemeClr val="accent6">
              <a:satMod val="175000"/>
              <a:alpha val="40000"/>
            </a:schemeClr>
          </a:glo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H" sz="1100"/>
        </a:p>
      </xdr:txBody>
    </xdr:sp>
    <xdr:clientData/>
  </xdr:twoCellAnchor>
  <xdr:twoCellAnchor>
    <xdr:from>
      <xdr:col>22</xdr:col>
      <xdr:colOff>152400</xdr:colOff>
      <xdr:row>17</xdr:row>
      <xdr:rowOff>144780</xdr:rowOff>
    </xdr:from>
    <xdr:to>
      <xdr:col>22</xdr:col>
      <xdr:colOff>533400</xdr:colOff>
      <xdr:row>19</xdr:row>
      <xdr:rowOff>15240</xdr:rowOff>
    </xdr:to>
    <xdr:sp macro="" textlink="">
      <xdr:nvSpPr>
        <xdr:cNvPr id="35" name="Rectangle: Rounded Corners 34">
          <a:extLst>
            <a:ext uri="{FF2B5EF4-FFF2-40B4-BE49-F238E27FC236}">
              <a16:creationId xmlns:a16="http://schemas.microsoft.com/office/drawing/2014/main" id="{375CDD2C-A823-49A7-87E5-1C3C54F2189A}"/>
            </a:ext>
          </a:extLst>
        </xdr:cNvPr>
        <xdr:cNvSpPr/>
      </xdr:nvSpPr>
      <xdr:spPr>
        <a:xfrm>
          <a:off x="13563600" y="3253740"/>
          <a:ext cx="381000" cy="236220"/>
        </a:xfrm>
        <a:prstGeom prst="roundRect">
          <a:avLst/>
        </a:prstGeom>
        <a:solidFill>
          <a:schemeClr val="tx1">
            <a:lumMod val="95000"/>
            <a:lumOff val="5000"/>
          </a:schemeClr>
        </a:solidFill>
        <a:ln>
          <a:solidFill>
            <a:schemeClr val="tx1"/>
          </a:solidFill>
        </a:ln>
        <a:effectLst>
          <a:glow rad="63500">
            <a:schemeClr val="accent6">
              <a:satMod val="175000"/>
              <a:alpha val="40000"/>
            </a:schemeClr>
          </a:glo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H" sz="1100"/>
        </a:p>
      </xdr:txBody>
    </xdr:sp>
    <xdr:clientData/>
  </xdr:twoCellAnchor>
  <xdr:twoCellAnchor>
    <xdr:from>
      <xdr:col>22</xdr:col>
      <xdr:colOff>129540</xdr:colOff>
      <xdr:row>11</xdr:row>
      <xdr:rowOff>111870</xdr:rowOff>
    </xdr:from>
    <xdr:to>
      <xdr:col>22</xdr:col>
      <xdr:colOff>561540</xdr:colOff>
      <xdr:row>12</xdr:row>
      <xdr:rowOff>144990</xdr:rowOff>
    </xdr:to>
    <xdr:sp macro="" textlink="'Top 5'!D5">
      <xdr:nvSpPr>
        <xdr:cNvPr id="36" name="TextBox 35">
          <a:extLst>
            <a:ext uri="{FF2B5EF4-FFF2-40B4-BE49-F238E27FC236}">
              <a16:creationId xmlns:a16="http://schemas.microsoft.com/office/drawing/2014/main" id="{B46F3C08-1AF0-4AFD-9560-8DECA120F459}"/>
            </a:ext>
          </a:extLst>
        </xdr:cNvPr>
        <xdr:cNvSpPr txBox="1"/>
      </xdr:nvSpPr>
      <xdr:spPr>
        <a:xfrm>
          <a:off x="13540740" y="2123550"/>
          <a:ext cx="432000" cy="216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54C9EC57-4B84-4727-B368-FB5D78F6422C}" type="TxLink">
            <a:rPr lang="en-US" sz="1100" b="1" i="0" u="none" strike="noStrike">
              <a:solidFill>
                <a:schemeClr val="bg1">
                  <a:lumMod val="85000"/>
                </a:schemeClr>
              </a:solidFill>
              <a:latin typeface="Calibri"/>
              <a:cs typeface="Calibri"/>
            </a:rPr>
            <a:pPr algn="ctr"/>
            <a:t>34%</a:t>
          </a:fld>
          <a:endParaRPr lang="en-PH" sz="1100" b="1">
            <a:solidFill>
              <a:schemeClr val="bg1">
                <a:lumMod val="85000"/>
              </a:schemeClr>
            </a:solidFill>
          </a:endParaRPr>
        </a:p>
      </xdr:txBody>
    </xdr:sp>
    <xdr:clientData/>
  </xdr:twoCellAnchor>
  <xdr:twoCellAnchor>
    <xdr:from>
      <xdr:col>22</xdr:col>
      <xdr:colOff>129540</xdr:colOff>
      <xdr:row>13</xdr:row>
      <xdr:rowOff>127110</xdr:rowOff>
    </xdr:from>
    <xdr:to>
      <xdr:col>22</xdr:col>
      <xdr:colOff>561540</xdr:colOff>
      <xdr:row>14</xdr:row>
      <xdr:rowOff>160230</xdr:rowOff>
    </xdr:to>
    <xdr:sp macro="" textlink="'Top 5'!D6">
      <xdr:nvSpPr>
        <xdr:cNvPr id="37" name="TextBox 36">
          <a:extLst>
            <a:ext uri="{FF2B5EF4-FFF2-40B4-BE49-F238E27FC236}">
              <a16:creationId xmlns:a16="http://schemas.microsoft.com/office/drawing/2014/main" id="{376BB05D-2574-44B0-99D6-FA705F3222F7}"/>
            </a:ext>
          </a:extLst>
        </xdr:cNvPr>
        <xdr:cNvSpPr txBox="1"/>
      </xdr:nvSpPr>
      <xdr:spPr>
        <a:xfrm>
          <a:off x="13540740" y="2504550"/>
          <a:ext cx="432000" cy="216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E042A2AA-DB22-4804-AD15-AC92C201E9B2}" type="TxLink">
            <a:rPr lang="en-US" sz="1100" b="1" i="0" u="none" strike="noStrike">
              <a:solidFill>
                <a:schemeClr val="bg1">
                  <a:lumMod val="85000"/>
                </a:schemeClr>
              </a:solidFill>
              <a:latin typeface="Calibri"/>
              <a:cs typeface="Calibri"/>
            </a:rPr>
            <a:pPr algn="ctr"/>
            <a:t>35%</a:t>
          </a:fld>
          <a:endParaRPr lang="en-PH" sz="1100" b="1">
            <a:solidFill>
              <a:schemeClr val="bg1">
                <a:lumMod val="85000"/>
              </a:schemeClr>
            </a:solidFill>
          </a:endParaRPr>
        </a:p>
      </xdr:txBody>
    </xdr:sp>
    <xdr:clientData/>
  </xdr:twoCellAnchor>
  <xdr:twoCellAnchor>
    <xdr:from>
      <xdr:col>22</xdr:col>
      <xdr:colOff>129540</xdr:colOff>
      <xdr:row>15</xdr:row>
      <xdr:rowOff>142350</xdr:rowOff>
    </xdr:from>
    <xdr:to>
      <xdr:col>22</xdr:col>
      <xdr:colOff>561540</xdr:colOff>
      <xdr:row>16</xdr:row>
      <xdr:rowOff>175470</xdr:rowOff>
    </xdr:to>
    <xdr:sp macro="" textlink="'Top 5'!D7">
      <xdr:nvSpPr>
        <xdr:cNvPr id="38" name="TextBox 37">
          <a:extLst>
            <a:ext uri="{FF2B5EF4-FFF2-40B4-BE49-F238E27FC236}">
              <a16:creationId xmlns:a16="http://schemas.microsoft.com/office/drawing/2014/main" id="{A2C3B983-562C-4EE1-A7A3-E30A48433F42}"/>
            </a:ext>
          </a:extLst>
        </xdr:cNvPr>
        <xdr:cNvSpPr txBox="1"/>
      </xdr:nvSpPr>
      <xdr:spPr>
        <a:xfrm>
          <a:off x="13540740" y="2885550"/>
          <a:ext cx="432000" cy="216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DAE9CFBE-FC37-43CC-AB67-2B50E3BFCAE9}" type="TxLink">
            <a:rPr lang="en-US" sz="1100" b="1" i="0" u="none" strike="noStrike">
              <a:solidFill>
                <a:schemeClr val="bg1">
                  <a:lumMod val="85000"/>
                </a:schemeClr>
              </a:solidFill>
              <a:latin typeface="Calibri"/>
              <a:cs typeface="Calibri"/>
            </a:rPr>
            <a:pPr algn="ctr"/>
            <a:t>39%</a:t>
          </a:fld>
          <a:endParaRPr lang="en-PH" sz="1100" b="1">
            <a:solidFill>
              <a:schemeClr val="bg1">
                <a:lumMod val="85000"/>
              </a:schemeClr>
            </a:solidFill>
          </a:endParaRPr>
        </a:p>
      </xdr:txBody>
    </xdr:sp>
    <xdr:clientData/>
  </xdr:twoCellAnchor>
  <xdr:twoCellAnchor>
    <xdr:from>
      <xdr:col>22</xdr:col>
      <xdr:colOff>129540</xdr:colOff>
      <xdr:row>17</xdr:row>
      <xdr:rowOff>149970</xdr:rowOff>
    </xdr:from>
    <xdr:to>
      <xdr:col>22</xdr:col>
      <xdr:colOff>561540</xdr:colOff>
      <xdr:row>19</xdr:row>
      <xdr:rowOff>210</xdr:rowOff>
    </xdr:to>
    <xdr:sp macro="" textlink="'Top 5'!D8">
      <xdr:nvSpPr>
        <xdr:cNvPr id="39" name="TextBox 38">
          <a:extLst>
            <a:ext uri="{FF2B5EF4-FFF2-40B4-BE49-F238E27FC236}">
              <a16:creationId xmlns:a16="http://schemas.microsoft.com/office/drawing/2014/main" id="{B817A07B-469D-489F-AB72-25ADFC95071A}"/>
            </a:ext>
          </a:extLst>
        </xdr:cNvPr>
        <xdr:cNvSpPr txBox="1"/>
      </xdr:nvSpPr>
      <xdr:spPr>
        <a:xfrm>
          <a:off x="13540740" y="3258930"/>
          <a:ext cx="432000" cy="216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D9981437-B552-4213-98E7-D46E8C90435F}" type="TxLink">
            <a:rPr lang="en-US" sz="1100" b="1" i="0" u="none" strike="noStrike">
              <a:solidFill>
                <a:schemeClr val="bg1">
                  <a:lumMod val="85000"/>
                </a:schemeClr>
              </a:solidFill>
              <a:latin typeface="Calibri"/>
              <a:cs typeface="Calibri"/>
            </a:rPr>
            <a:pPr algn="ctr"/>
            <a:t>35%</a:t>
          </a:fld>
          <a:endParaRPr lang="en-PH" sz="1100" b="1">
            <a:solidFill>
              <a:schemeClr val="bg1">
                <a:lumMod val="85000"/>
              </a:schemeClr>
            </a:solidFill>
          </a:endParaRPr>
        </a:p>
      </xdr:txBody>
    </xdr:sp>
    <xdr:clientData/>
  </xdr:twoCellAnchor>
  <xdr:twoCellAnchor>
    <xdr:from>
      <xdr:col>15</xdr:col>
      <xdr:colOff>289560</xdr:colOff>
      <xdr:row>21</xdr:row>
      <xdr:rowOff>158280</xdr:rowOff>
    </xdr:from>
    <xdr:to>
      <xdr:col>23</xdr:col>
      <xdr:colOff>137160</xdr:colOff>
      <xdr:row>37</xdr:row>
      <xdr:rowOff>76200</xdr:rowOff>
    </xdr:to>
    <xdr:sp macro="" textlink="">
      <xdr:nvSpPr>
        <xdr:cNvPr id="40" name="Rectangle: Rounded Corners 39">
          <a:extLst>
            <a:ext uri="{FF2B5EF4-FFF2-40B4-BE49-F238E27FC236}">
              <a16:creationId xmlns:a16="http://schemas.microsoft.com/office/drawing/2014/main" id="{1D60CE58-8664-4CF9-90CD-8AABF6D9742F}"/>
            </a:ext>
          </a:extLst>
        </xdr:cNvPr>
        <xdr:cNvSpPr/>
      </xdr:nvSpPr>
      <xdr:spPr>
        <a:xfrm>
          <a:off x="9433560" y="3998760"/>
          <a:ext cx="4724400" cy="2844000"/>
        </a:xfrm>
        <a:prstGeom prst="roundRect">
          <a:avLst>
            <a:gd name="adj" fmla="val 2673"/>
          </a:avLst>
        </a:prstGeom>
        <a:solidFill>
          <a:srgbClr val="000922">
            <a:alpha val="75000"/>
          </a:srgbClr>
        </a:solidFill>
        <a:ln>
          <a:noFill/>
        </a:ln>
        <a:effectLst>
          <a:outerShdw blurRad="50800" dist="38100" dir="8100000" algn="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H" sz="1100"/>
        </a:p>
      </xdr:txBody>
    </xdr:sp>
    <xdr:clientData/>
  </xdr:twoCellAnchor>
  <xdr:twoCellAnchor editAs="oneCell">
    <xdr:from>
      <xdr:col>15</xdr:col>
      <xdr:colOff>381000</xdr:colOff>
      <xdr:row>22</xdr:row>
      <xdr:rowOff>58477</xdr:rowOff>
    </xdr:from>
    <xdr:to>
      <xdr:col>16</xdr:col>
      <xdr:colOff>23400</xdr:colOff>
      <xdr:row>23</xdr:row>
      <xdr:rowOff>127597</xdr:rowOff>
    </xdr:to>
    <xdr:pic>
      <xdr:nvPicPr>
        <xdr:cNvPr id="42" name="Graphic 41" descr="Clipboard Checked with solid fill">
          <a:extLst>
            <a:ext uri="{FF2B5EF4-FFF2-40B4-BE49-F238E27FC236}">
              <a16:creationId xmlns:a16="http://schemas.microsoft.com/office/drawing/2014/main" id="{F0B4D357-B13F-1560-A0D3-37F4F9DF45EF}"/>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 uri="{96DAC541-7B7A-43D3-8B79-37D633B846F1}">
              <asvg:svgBlip xmlns:asvg="http://schemas.microsoft.com/office/drawing/2016/SVG/main" r:embed="rId14"/>
            </a:ext>
          </a:extLst>
        </a:blip>
        <a:stretch>
          <a:fillRect/>
        </a:stretch>
      </xdr:blipFill>
      <xdr:spPr>
        <a:xfrm>
          <a:off x="9525000" y="4081837"/>
          <a:ext cx="252000" cy="252000"/>
        </a:xfrm>
        <a:prstGeom prst="rect">
          <a:avLst/>
        </a:prstGeom>
      </xdr:spPr>
    </xdr:pic>
    <xdr:clientData/>
  </xdr:twoCellAnchor>
  <xdr:twoCellAnchor>
    <xdr:from>
      <xdr:col>16</xdr:col>
      <xdr:colOff>60960</xdr:colOff>
      <xdr:row>22</xdr:row>
      <xdr:rowOff>58477</xdr:rowOff>
    </xdr:from>
    <xdr:to>
      <xdr:col>18</xdr:col>
      <xdr:colOff>389760</xdr:colOff>
      <xdr:row>23</xdr:row>
      <xdr:rowOff>127597</xdr:rowOff>
    </xdr:to>
    <xdr:sp macro="" textlink="">
      <xdr:nvSpPr>
        <xdr:cNvPr id="46" name="Rectangle: Diagonal Corners Rounded 45">
          <a:extLst>
            <a:ext uri="{FF2B5EF4-FFF2-40B4-BE49-F238E27FC236}">
              <a16:creationId xmlns:a16="http://schemas.microsoft.com/office/drawing/2014/main" id="{AF578964-6FFE-47D8-B257-49210D82457C}"/>
            </a:ext>
          </a:extLst>
        </xdr:cNvPr>
        <xdr:cNvSpPr/>
      </xdr:nvSpPr>
      <xdr:spPr>
        <a:xfrm>
          <a:off x="9814560" y="4081837"/>
          <a:ext cx="1548000" cy="252000"/>
        </a:xfrm>
        <a:prstGeom prst="round2DiagRect">
          <a:avLst/>
        </a:prstGeom>
        <a:solidFill>
          <a:schemeClr val="tx1">
            <a:lumMod val="75000"/>
            <a:lumOff val="2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H" sz="1100"/>
        </a:p>
      </xdr:txBody>
    </xdr:sp>
    <xdr:clientData/>
  </xdr:twoCellAnchor>
  <xdr:twoCellAnchor>
    <xdr:from>
      <xdr:col>16</xdr:col>
      <xdr:colOff>60960</xdr:colOff>
      <xdr:row>22</xdr:row>
      <xdr:rowOff>76477</xdr:rowOff>
    </xdr:from>
    <xdr:to>
      <xdr:col>18</xdr:col>
      <xdr:colOff>389760</xdr:colOff>
      <xdr:row>23</xdr:row>
      <xdr:rowOff>109597</xdr:rowOff>
    </xdr:to>
    <xdr:sp macro="" textlink="">
      <xdr:nvSpPr>
        <xdr:cNvPr id="43" name="TextBox 42">
          <a:extLst>
            <a:ext uri="{FF2B5EF4-FFF2-40B4-BE49-F238E27FC236}">
              <a16:creationId xmlns:a16="http://schemas.microsoft.com/office/drawing/2014/main" id="{8785716D-D75B-4514-AE47-B25E90A61FA3}"/>
            </a:ext>
          </a:extLst>
        </xdr:cNvPr>
        <xdr:cNvSpPr txBox="1"/>
      </xdr:nvSpPr>
      <xdr:spPr>
        <a:xfrm>
          <a:off x="9814560" y="4099837"/>
          <a:ext cx="1548000" cy="216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PH" sz="1100" b="1">
              <a:solidFill>
                <a:schemeClr val="bg1">
                  <a:lumMod val="95000"/>
                </a:schemeClr>
              </a:solidFill>
            </a:rPr>
            <a:t>Performance Indicators</a:t>
          </a:r>
        </a:p>
      </xdr:txBody>
    </xdr:sp>
    <xdr:clientData/>
  </xdr:twoCellAnchor>
  <xdr:twoCellAnchor>
    <xdr:from>
      <xdr:col>16</xdr:col>
      <xdr:colOff>561990</xdr:colOff>
      <xdr:row>26</xdr:row>
      <xdr:rowOff>66150</xdr:rowOff>
    </xdr:from>
    <xdr:to>
      <xdr:col>19</xdr:col>
      <xdr:colOff>65190</xdr:colOff>
      <xdr:row>27</xdr:row>
      <xdr:rowOff>99270</xdr:rowOff>
    </xdr:to>
    <xdr:sp macro="" textlink="">
      <xdr:nvSpPr>
        <xdr:cNvPr id="47" name="TextBox 46">
          <a:extLst>
            <a:ext uri="{FF2B5EF4-FFF2-40B4-BE49-F238E27FC236}">
              <a16:creationId xmlns:a16="http://schemas.microsoft.com/office/drawing/2014/main" id="{E31D7436-BC3D-474E-9D93-937786078AB2}"/>
            </a:ext>
          </a:extLst>
        </xdr:cNvPr>
        <xdr:cNvSpPr txBox="1"/>
      </xdr:nvSpPr>
      <xdr:spPr>
        <a:xfrm>
          <a:off x="10315590" y="4821030"/>
          <a:ext cx="1332000" cy="216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PH" sz="1100" b="1">
              <a:solidFill>
                <a:schemeClr val="bg1">
                  <a:lumMod val="85000"/>
                </a:schemeClr>
              </a:solidFill>
            </a:rPr>
            <a:t>Total</a:t>
          </a:r>
          <a:r>
            <a:rPr lang="en-PH" sz="1100" b="1" baseline="0">
              <a:solidFill>
                <a:schemeClr val="bg1">
                  <a:lumMod val="85000"/>
                </a:schemeClr>
              </a:solidFill>
            </a:rPr>
            <a:t> Annual Sales</a:t>
          </a:r>
          <a:endParaRPr lang="en-PH" sz="1100" b="1">
            <a:solidFill>
              <a:schemeClr val="bg1">
                <a:lumMod val="85000"/>
              </a:schemeClr>
            </a:solidFill>
          </a:endParaRPr>
        </a:p>
      </xdr:txBody>
    </xdr:sp>
    <xdr:clientData/>
  </xdr:twoCellAnchor>
  <xdr:twoCellAnchor>
    <xdr:from>
      <xdr:col>16</xdr:col>
      <xdr:colOff>561990</xdr:colOff>
      <xdr:row>25</xdr:row>
      <xdr:rowOff>32970</xdr:rowOff>
    </xdr:from>
    <xdr:to>
      <xdr:col>19</xdr:col>
      <xdr:colOff>65190</xdr:colOff>
      <xdr:row>26</xdr:row>
      <xdr:rowOff>66090</xdr:rowOff>
    </xdr:to>
    <xdr:sp macro="" textlink="'Total Sales'!C14">
      <xdr:nvSpPr>
        <xdr:cNvPr id="49" name="TextBox 48">
          <a:extLst>
            <a:ext uri="{FF2B5EF4-FFF2-40B4-BE49-F238E27FC236}">
              <a16:creationId xmlns:a16="http://schemas.microsoft.com/office/drawing/2014/main" id="{96F25715-8F03-46C6-B77D-2EA58776E38D}"/>
            </a:ext>
          </a:extLst>
        </xdr:cNvPr>
        <xdr:cNvSpPr txBox="1"/>
      </xdr:nvSpPr>
      <xdr:spPr>
        <a:xfrm>
          <a:off x="10315590" y="4604970"/>
          <a:ext cx="1332000" cy="216000"/>
        </a:xfrm>
        <a:prstGeom prst="rect">
          <a:avLst/>
        </a:prstGeom>
        <a:noFill/>
        <a:ln w="9525" cmpd="sng">
          <a:noFill/>
        </a:ln>
        <a:effectLst>
          <a:glow rad="139700">
            <a:schemeClr val="accent4">
              <a:satMod val="175000"/>
              <a:alpha val="40000"/>
            </a:schemeClr>
          </a:glo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0ED93A5E-D6E6-4F85-8449-9DB5999F1A48}" type="TxLink">
            <a:rPr lang="en-US" sz="1800" b="1" i="0" u="none" strike="noStrike">
              <a:solidFill>
                <a:schemeClr val="bg1">
                  <a:lumMod val="85000"/>
                </a:schemeClr>
              </a:solidFill>
              <a:effectLst>
                <a:glow rad="63500">
                  <a:schemeClr val="accent4">
                    <a:satMod val="175000"/>
                    <a:alpha val="40000"/>
                  </a:schemeClr>
                </a:glow>
              </a:effectLst>
              <a:latin typeface="Calibri"/>
              <a:cs typeface="Calibri"/>
            </a:rPr>
            <a:pPr algn="ctr"/>
            <a:t> $1,393,389 </a:t>
          </a:fld>
          <a:endParaRPr lang="en-PH" sz="1800" b="1" i="0" u="none" strike="noStrike">
            <a:solidFill>
              <a:schemeClr val="bg1">
                <a:lumMod val="85000"/>
              </a:schemeClr>
            </a:solidFill>
            <a:effectLst>
              <a:glow rad="63500">
                <a:schemeClr val="accent4">
                  <a:satMod val="175000"/>
                  <a:alpha val="40000"/>
                </a:schemeClr>
              </a:glow>
            </a:effectLst>
            <a:latin typeface="Calibri"/>
            <a:cs typeface="Calibri"/>
          </a:endParaRPr>
        </a:p>
      </xdr:txBody>
    </xdr:sp>
    <xdr:clientData/>
  </xdr:twoCellAnchor>
  <xdr:twoCellAnchor>
    <xdr:from>
      <xdr:col>19</xdr:col>
      <xdr:colOff>287670</xdr:colOff>
      <xdr:row>26</xdr:row>
      <xdr:rowOff>66150</xdr:rowOff>
    </xdr:from>
    <xdr:to>
      <xdr:col>21</xdr:col>
      <xdr:colOff>544470</xdr:colOff>
      <xdr:row>27</xdr:row>
      <xdr:rowOff>99270</xdr:rowOff>
    </xdr:to>
    <xdr:sp macro="" textlink="">
      <xdr:nvSpPr>
        <xdr:cNvPr id="50" name="TextBox 49">
          <a:extLst>
            <a:ext uri="{FF2B5EF4-FFF2-40B4-BE49-F238E27FC236}">
              <a16:creationId xmlns:a16="http://schemas.microsoft.com/office/drawing/2014/main" id="{8993B7B5-6361-421B-BCDA-187467E8DAC2}"/>
            </a:ext>
          </a:extLst>
        </xdr:cNvPr>
        <xdr:cNvSpPr txBox="1"/>
      </xdr:nvSpPr>
      <xdr:spPr>
        <a:xfrm>
          <a:off x="11870070" y="4821030"/>
          <a:ext cx="1476000" cy="216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PH" sz="1100" b="1" i="0" u="none" strike="noStrike">
              <a:solidFill>
                <a:schemeClr val="bg1">
                  <a:lumMod val="85000"/>
                </a:schemeClr>
              </a:solidFill>
              <a:latin typeface="Calibri"/>
              <a:cs typeface="Calibri"/>
            </a:rPr>
            <a:t>Total</a:t>
          </a:r>
          <a:r>
            <a:rPr lang="en-PH" sz="1100" b="1" i="0" u="none" strike="noStrike" baseline="0">
              <a:solidFill>
                <a:schemeClr val="bg1">
                  <a:lumMod val="85000"/>
                </a:schemeClr>
              </a:solidFill>
              <a:latin typeface="Calibri"/>
              <a:cs typeface="Calibri"/>
            </a:rPr>
            <a:t> Annual Revenue</a:t>
          </a:r>
        </a:p>
      </xdr:txBody>
    </xdr:sp>
    <xdr:clientData/>
  </xdr:twoCellAnchor>
  <xdr:twoCellAnchor>
    <xdr:from>
      <xdr:col>19</xdr:col>
      <xdr:colOff>305670</xdr:colOff>
      <xdr:row>25</xdr:row>
      <xdr:rowOff>32970</xdr:rowOff>
    </xdr:from>
    <xdr:to>
      <xdr:col>21</xdr:col>
      <xdr:colOff>526470</xdr:colOff>
      <xdr:row>26</xdr:row>
      <xdr:rowOff>66090</xdr:rowOff>
    </xdr:to>
    <xdr:sp macro="" textlink="'Total Revenue'!C14">
      <xdr:nvSpPr>
        <xdr:cNvPr id="51" name="TextBox 50">
          <a:extLst>
            <a:ext uri="{FF2B5EF4-FFF2-40B4-BE49-F238E27FC236}">
              <a16:creationId xmlns:a16="http://schemas.microsoft.com/office/drawing/2014/main" id="{84353344-1716-4B78-8FFB-7981F46E3EDB}"/>
            </a:ext>
          </a:extLst>
        </xdr:cNvPr>
        <xdr:cNvSpPr txBox="1"/>
      </xdr:nvSpPr>
      <xdr:spPr>
        <a:xfrm>
          <a:off x="11888070" y="4604970"/>
          <a:ext cx="1440000" cy="216000"/>
        </a:xfrm>
        <a:prstGeom prst="rect">
          <a:avLst/>
        </a:prstGeom>
        <a:noFill/>
        <a:ln w="9525" cmpd="sng">
          <a:noFill/>
        </a:ln>
        <a:effectLst>
          <a:glow rad="228600">
            <a:schemeClr val="accent4">
              <a:satMod val="175000"/>
              <a:alpha val="40000"/>
            </a:schemeClr>
          </a:glo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46C7BEFF-1A08-4D00-8F4F-751A92EF1ECF}" type="TxLink">
            <a:rPr lang="en-US" sz="1800" b="1" i="0" u="none" strike="noStrike">
              <a:solidFill>
                <a:schemeClr val="bg1">
                  <a:lumMod val="85000"/>
                </a:schemeClr>
              </a:solidFill>
              <a:effectLst>
                <a:glow rad="63500">
                  <a:schemeClr val="accent4">
                    <a:satMod val="175000"/>
                    <a:alpha val="40000"/>
                  </a:schemeClr>
                </a:glow>
              </a:effectLst>
              <a:latin typeface="Calibri"/>
              <a:cs typeface="Calibri"/>
            </a:rPr>
            <a:pPr algn="ctr"/>
            <a:t> $447,899 </a:t>
          </a:fld>
          <a:endParaRPr lang="en-PH" sz="3200" b="1" i="0" u="none" strike="noStrike">
            <a:solidFill>
              <a:schemeClr val="bg1">
                <a:lumMod val="85000"/>
              </a:schemeClr>
            </a:solidFill>
            <a:effectLst>
              <a:glow rad="63500">
                <a:schemeClr val="accent4">
                  <a:satMod val="175000"/>
                  <a:alpha val="40000"/>
                </a:schemeClr>
              </a:glow>
            </a:effectLst>
            <a:latin typeface="Calibri"/>
            <a:cs typeface="Calibri"/>
          </a:endParaRPr>
        </a:p>
      </xdr:txBody>
    </xdr:sp>
    <xdr:clientData/>
  </xdr:twoCellAnchor>
  <xdr:twoCellAnchor>
    <xdr:from>
      <xdr:col>15</xdr:col>
      <xdr:colOff>391590</xdr:colOff>
      <xdr:row>34</xdr:row>
      <xdr:rowOff>43290</xdr:rowOff>
    </xdr:from>
    <xdr:to>
      <xdr:col>18</xdr:col>
      <xdr:colOff>38790</xdr:colOff>
      <xdr:row>35</xdr:row>
      <xdr:rowOff>76410</xdr:rowOff>
    </xdr:to>
    <xdr:sp macro="" textlink="">
      <xdr:nvSpPr>
        <xdr:cNvPr id="53" name="TextBox 52">
          <a:extLst>
            <a:ext uri="{FF2B5EF4-FFF2-40B4-BE49-F238E27FC236}">
              <a16:creationId xmlns:a16="http://schemas.microsoft.com/office/drawing/2014/main" id="{DB9596B8-9D82-4A97-9DFE-93F69F2318A8}"/>
            </a:ext>
          </a:extLst>
        </xdr:cNvPr>
        <xdr:cNvSpPr txBox="1"/>
      </xdr:nvSpPr>
      <xdr:spPr>
        <a:xfrm>
          <a:off x="9535590" y="6261210"/>
          <a:ext cx="1476000" cy="216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PH" sz="1100" b="1" i="0" u="none" strike="noStrike">
              <a:solidFill>
                <a:schemeClr val="bg1">
                  <a:lumMod val="85000"/>
                </a:schemeClr>
              </a:solidFill>
              <a:latin typeface="Calibri"/>
              <a:cs typeface="Calibri"/>
            </a:rPr>
            <a:t>Average Sales Margin</a:t>
          </a:r>
          <a:endParaRPr lang="en-PH" sz="1100" b="1" i="0" u="none" strike="noStrike" baseline="0">
            <a:solidFill>
              <a:schemeClr val="bg1">
                <a:lumMod val="85000"/>
              </a:schemeClr>
            </a:solidFill>
            <a:latin typeface="Calibri"/>
            <a:cs typeface="Calibri"/>
          </a:endParaRPr>
        </a:p>
      </xdr:txBody>
    </xdr:sp>
    <xdr:clientData/>
  </xdr:twoCellAnchor>
  <xdr:twoCellAnchor>
    <xdr:from>
      <xdr:col>15</xdr:col>
      <xdr:colOff>409590</xdr:colOff>
      <xdr:row>30</xdr:row>
      <xdr:rowOff>166740</xdr:rowOff>
    </xdr:from>
    <xdr:to>
      <xdr:col>18</xdr:col>
      <xdr:colOff>20790</xdr:colOff>
      <xdr:row>32</xdr:row>
      <xdr:rowOff>16980</xdr:rowOff>
    </xdr:to>
    <xdr:sp macro="" textlink="'Ave Margin'!C5">
      <xdr:nvSpPr>
        <xdr:cNvPr id="54" name="TextBox 53">
          <a:extLst>
            <a:ext uri="{FF2B5EF4-FFF2-40B4-BE49-F238E27FC236}">
              <a16:creationId xmlns:a16="http://schemas.microsoft.com/office/drawing/2014/main" id="{D95403DF-CC51-4C17-8182-D2230A3AA8F3}"/>
            </a:ext>
          </a:extLst>
        </xdr:cNvPr>
        <xdr:cNvSpPr txBox="1"/>
      </xdr:nvSpPr>
      <xdr:spPr>
        <a:xfrm>
          <a:off x="9553590" y="5653140"/>
          <a:ext cx="1440000" cy="216000"/>
        </a:xfrm>
        <a:prstGeom prst="rect">
          <a:avLst/>
        </a:prstGeom>
        <a:noFill/>
        <a:ln w="9525" cmpd="sng">
          <a:noFill/>
        </a:ln>
        <a:effectLst>
          <a:glow rad="38100">
            <a:schemeClr val="accent6">
              <a:alpha val="40000"/>
            </a:schemeClr>
          </a:glo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58AFB3D-C27D-4F04-BBAE-785E72CB71EE}" type="TxLink">
            <a:rPr lang="en-US" sz="1800" b="1" i="0" u="none" strike="noStrike">
              <a:solidFill>
                <a:schemeClr val="bg1">
                  <a:lumMod val="85000"/>
                </a:schemeClr>
              </a:solidFill>
              <a:effectLst>
                <a:glow rad="63500">
                  <a:schemeClr val="accent4">
                    <a:satMod val="175000"/>
                    <a:alpha val="40000"/>
                  </a:schemeClr>
                </a:glow>
              </a:effectLst>
              <a:latin typeface="Calibri"/>
              <a:cs typeface="Calibri"/>
            </a:rPr>
            <a:pPr algn="ctr"/>
            <a:t>32%</a:t>
          </a:fld>
          <a:endParaRPr lang="en-PH" sz="4800" b="1" i="0" u="none" strike="noStrike">
            <a:solidFill>
              <a:schemeClr val="bg1">
                <a:lumMod val="85000"/>
              </a:schemeClr>
            </a:solidFill>
            <a:effectLst>
              <a:glow rad="63500">
                <a:schemeClr val="accent4">
                  <a:satMod val="175000"/>
                  <a:alpha val="40000"/>
                </a:schemeClr>
              </a:glow>
            </a:effectLst>
            <a:latin typeface="Calibri"/>
            <a:cs typeface="Calibri"/>
          </a:endParaRPr>
        </a:p>
      </xdr:txBody>
    </xdr:sp>
    <xdr:clientData/>
  </xdr:twoCellAnchor>
  <xdr:twoCellAnchor>
    <xdr:from>
      <xdr:col>16</xdr:col>
      <xdr:colOff>69990</xdr:colOff>
      <xdr:row>29</xdr:row>
      <xdr:rowOff>7620</xdr:rowOff>
    </xdr:from>
    <xdr:to>
      <xdr:col>17</xdr:col>
      <xdr:colOff>360390</xdr:colOff>
      <xdr:row>33</xdr:row>
      <xdr:rowOff>176100</xdr:rowOff>
    </xdr:to>
    <xdr:sp macro="" textlink="">
      <xdr:nvSpPr>
        <xdr:cNvPr id="55" name="Oval 54">
          <a:extLst>
            <a:ext uri="{FF2B5EF4-FFF2-40B4-BE49-F238E27FC236}">
              <a16:creationId xmlns:a16="http://schemas.microsoft.com/office/drawing/2014/main" id="{98314264-747F-CA85-5D70-D87D527DE54A}"/>
            </a:ext>
          </a:extLst>
        </xdr:cNvPr>
        <xdr:cNvSpPr/>
      </xdr:nvSpPr>
      <xdr:spPr>
        <a:xfrm>
          <a:off x="9823590" y="5311140"/>
          <a:ext cx="900000" cy="900000"/>
        </a:xfrm>
        <a:prstGeom prst="ellipse">
          <a:avLst/>
        </a:prstGeom>
        <a:noFill/>
        <a:ln w="69850">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H" sz="1100"/>
        </a:p>
      </xdr:txBody>
    </xdr:sp>
    <xdr:clientData/>
  </xdr:twoCellAnchor>
  <xdr:twoCellAnchor>
    <xdr:from>
      <xdr:col>15</xdr:col>
      <xdr:colOff>391590</xdr:colOff>
      <xdr:row>35</xdr:row>
      <xdr:rowOff>28050</xdr:rowOff>
    </xdr:from>
    <xdr:to>
      <xdr:col>18</xdr:col>
      <xdr:colOff>38790</xdr:colOff>
      <xdr:row>36</xdr:row>
      <xdr:rowOff>61170</xdr:rowOff>
    </xdr:to>
    <xdr:sp macro="" textlink="">
      <xdr:nvSpPr>
        <xdr:cNvPr id="56" name="TextBox 55">
          <a:extLst>
            <a:ext uri="{FF2B5EF4-FFF2-40B4-BE49-F238E27FC236}">
              <a16:creationId xmlns:a16="http://schemas.microsoft.com/office/drawing/2014/main" id="{710A9F24-A389-44F0-8E0D-30DC65A1B52E}"/>
            </a:ext>
          </a:extLst>
        </xdr:cNvPr>
        <xdr:cNvSpPr txBox="1"/>
      </xdr:nvSpPr>
      <xdr:spPr>
        <a:xfrm>
          <a:off x="9535590" y="6428850"/>
          <a:ext cx="1476000" cy="216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PH" sz="1100" b="1" i="0" u="none" strike="noStrike">
              <a:solidFill>
                <a:schemeClr val="bg1">
                  <a:lumMod val="85000"/>
                </a:schemeClr>
              </a:solidFill>
              <a:latin typeface="Calibri"/>
              <a:cs typeface="Calibri"/>
            </a:rPr>
            <a:t>Target: &gt; 33%</a:t>
          </a:r>
          <a:endParaRPr lang="en-PH" sz="1100" b="1" i="0" u="none" strike="noStrike" baseline="0">
            <a:solidFill>
              <a:schemeClr val="bg1">
                <a:lumMod val="85000"/>
              </a:schemeClr>
            </a:solidFill>
            <a:latin typeface="Calibri"/>
            <a:cs typeface="Calibri"/>
          </a:endParaRPr>
        </a:p>
      </xdr:txBody>
    </xdr:sp>
    <xdr:clientData/>
  </xdr:twoCellAnchor>
  <xdr:twoCellAnchor>
    <xdr:from>
      <xdr:col>18</xdr:col>
      <xdr:colOff>372960</xdr:colOff>
      <xdr:row>29</xdr:row>
      <xdr:rowOff>7620</xdr:rowOff>
    </xdr:from>
    <xdr:to>
      <xdr:col>20</xdr:col>
      <xdr:colOff>53760</xdr:colOff>
      <xdr:row>33</xdr:row>
      <xdr:rowOff>176100</xdr:rowOff>
    </xdr:to>
    <xdr:sp macro="" textlink="">
      <xdr:nvSpPr>
        <xdr:cNvPr id="18" name="Oval 17">
          <a:extLst>
            <a:ext uri="{FF2B5EF4-FFF2-40B4-BE49-F238E27FC236}">
              <a16:creationId xmlns:a16="http://schemas.microsoft.com/office/drawing/2014/main" id="{BF4609A7-4AC1-4D9E-BF68-4C22AA022D8F}"/>
            </a:ext>
          </a:extLst>
        </xdr:cNvPr>
        <xdr:cNvSpPr/>
      </xdr:nvSpPr>
      <xdr:spPr>
        <a:xfrm>
          <a:off x="11345760" y="5311140"/>
          <a:ext cx="900000" cy="900000"/>
        </a:xfrm>
        <a:prstGeom prst="ellipse">
          <a:avLst/>
        </a:prstGeom>
        <a:noFill/>
        <a:ln w="69850">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H" sz="1100"/>
        </a:p>
      </xdr:txBody>
    </xdr:sp>
    <xdr:clientData/>
  </xdr:twoCellAnchor>
  <xdr:twoCellAnchor>
    <xdr:from>
      <xdr:col>18</xdr:col>
      <xdr:colOff>102960</xdr:colOff>
      <xdr:row>30</xdr:row>
      <xdr:rowOff>166740</xdr:rowOff>
    </xdr:from>
    <xdr:to>
      <xdr:col>20</xdr:col>
      <xdr:colOff>323760</xdr:colOff>
      <xdr:row>32</xdr:row>
      <xdr:rowOff>16980</xdr:rowOff>
    </xdr:to>
    <xdr:sp macro="" textlink="'Delivery Duration (Days)'!C14">
      <xdr:nvSpPr>
        <xdr:cNvPr id="21" name="TextBox 20">
          <a:extLst>
            <a:ext uri="{FF2B5EF4-FFF2-40B4-BE49-F238E27FC236}">
              <a16:creationId xmlns:a16="http://schemas.microsoft.com/office/drawing/2014/main" id="{592ED837-5838-4886-98B7-5D06CC2477FF}"/>
            </a:ext>
          </a:extLst>
        </xdr:cNvPr>
        <xdr:cNvSpPr txBox="1"/>
      </xdr:nvSpPr>
      <xdr:spPr>
        <a:xfrm>
          <a:off x="11075760" y="5653140"/>
          <a:ext cx="1440000" cy="216000"/>
        </a:xfrm>
        <a:prstGeom prst="rect">
          <a:avLst/>
        </a:prstGeom>
        <a:noFill/>
        <a:ln w="9525" cmpd="sng">
          <a:noFill/>
        </a:ln>
        <a:effectLst>
          <a:glow rad="38100">
            <a:schemeClr val="accent6">
              <a:alpha val="40000"/>
            </a:schemeClr>
          </a:glo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80451448-4CEA-4D78-B01E-6C615726A4AD}" type="TxLink">
            <a:rPr lang="en-US" sz="1800" b="0" i="0" u="none" strike="noStrike">
              <a:solidFill>
                <a:schemeClr val="bg1">
                  <a:lumMod val="85000"/>
                </a:schemeClr>
              </a:solidFill>
              <a:effectLst>
                <a:glow rad="63500">
                  <a:schemeClr val="accent4">
                    <a:satMod val="175000"/>
                    <a:alpha val="40000"/>
                  </a:schemeClr>
                </a:glow>
              </a:effectLst>
              <a:latin typeface="Calibri"/>
              <a:cs typeface="Calibri"/>
            </a:rPr>
            <a:pPr algn="ctr"/>
            <a:t>4.09</a:t>
          </a:fld>
          <a:endParaRPr lang="en-PH" sz="7200" b="1" i="0" u="none" strike="noStrike">
            <a:solidFill>
              <a:schemeClr val="bg1">
                <a:lumMod val="85000"/>
              </a:schemeClr>
            </a:solidFill>
            <a:effectLst>
              <a:glow rad="63500">
                <a:schemeClr val="accent4">
                  <a:satMod val="175000"/>
                  <a:alpha val="40000"/>
                </a:schemeClr>
              </a:glow>
            </a:effectLst>
            <a:latin typeface="Calibri"/>
            <a:cs typeface="Calibri"/>
          </a:endParaRPr>
        </a:p>
      </xdr:txBody>
    </xdr:sp>
    <xdr:clientData/>
  </xdr:twoCellAnchor>
  <xdr:twoCellAnchor>
    <xdr:from>
      <xdr:col>17</xdr:col>
      <xdr:colOff>586560</xdr:colOff>
      <xdr:row>34</xdr:row>
      <xdr:rowOff>43290</xdr:rowOff>
    </xdr:from>
    <xdr:to>
      <xdr:col>20</xdr:col>
      <xdr:colOff>449760</xdr:colOff>
      <xdr:row>35</xdr:row>
      <xdr:rowOff>76410</xdr:rowOff>
    </xdr:to>
    <xdr:sp macro="" textlink="">
      <xdr:nvSpPr>
        <xdr:cNvPr id="24" name="TextBox 23">
          <a:extLst>
            <a:ext uri="{FF2B5EF4-FFF2-40B4-BE49-F238E27FC236}">
              <a16:creationId xmlns:a16="http://schemas.microsoft.com/office/drawing/2014/main" id="{DD29C23D-BA47-4769-AACF-B286C11277E0}"/>
            </a:ext>
          </a:extLst>
        </xdr:cNvPr>
        <xdr:cNvSpPr txBox="1"/>
      </xdr:nvSpPr>
      <xdr:spPr>
        <a:xfrm>
          <a:off x="10949760" y="6261210"/>
          <a:ext cx="1692000" cy="216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PH" sz="1100" b="1" i="0" u="none" strike="noStrike">
              <a:solidFill>
                <a:schemeClr val="bg1">
                  <a:lumMod val="85000"/>
                </a:schemeClr>
              </a:solidFill>
              <a:latin typeface="Calibri"/>
              <a:cs typeface="Calibri"/>
            </a:rPr>
            <a:t>Delivery Duration</a:t>
          </a:r>
          <a:r>
            <a:rPr lang="en-PH" sz="1100" b="1" i="0" u="none" strike="noStrike" baseline="0">
              <a:solidFill>
                <a:schemeClr val="bg1">
                  <a:lumMod val="85000"/>
                </a:schemeClr>
              </a:solidFill>
              <a:latin typeface="Calibri"/>
              <a:cs typeface="Calibri"/>
            </a:rPr>
            <a:t> in Days</a:t>
          </a:r>
        </a:p>
      </xdr:txBody>
    </xdr:sp>
    <xdr:clientData/>
  </xdr:twoCellAnchor>
  <xdr:twoCellAnchor>
    <xdr:from>
      <xdr:col>18</xdr:col>
      <xdr:colOff>84960</xdr:colOff>
      <xdr:row>35</xdr:row>
      <xdr:rowOff>28050</xdr:rowOff>
    </xdr:from>
    <xdr:to>
      <xdr:col>20</xdr:col>
      <xdr:colOff>341760</xdr:colOff>
      <xdr:row>36</xdr:row>
      <xdr:rowOff>61170</xdr:rowOff>
    </xdr:to>
    <xdr:sp macro="" textlink="">
      <xdr:nvSpPr>
        <xdr:cNvPr id="26" name="TextBox 25">
          <a:extLst>
            <a:ext uri="{FF2B5EF4-FFF2-40B4-BE49-F238E27FC236}">
              <a16:creationId xmlns:a16="http://schemas.microsoft.com/office/drawing/2014/main" id="{E3D7883D-76FF-426E-8E16-4630D9A18A5D}"/>
            </a:ext>
          </a:extLst>
        </xdr:cNvPr>
        <xdr:cNvSpPr txBox="1"/>
      </xdr:nvSpPr>
      <xdr:spPr>
        <a:xfrm>
          <a:off x="11057760" y="6428850"/>
          <a:ext cx="1476000" cy="216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PH" sz="1100" b="1" i="0" u="none" strike="noStrike">
              <a:solidFill>
                <a:schemeClr val="bg1">
                  <a:lumMod val="85000"/>
                </a:schemeClr>
              </a:solidFill>
              <a:latin typeface="Calibri"/>
              <a:cs typeface="Calibri"/>
            </a:rPr>
            <a:t>Target: &lt;</a:t>
          </a:r>
          <a:r>
            <a:rPr lang="en-PH" sz="1100" b="1" i="0" u="none" strike="noStrike" baseline="0">
              <a:solidFill>
                <a:schemeClr val="bg1">
                  <a:lumMod val="85000"/>
                </a:schemeClr>
              </a:solidFill>
              <a:latin typeface="Calibri"/>
              <a:cs typeface="Calibri"/>
            </a:rPr>
            <a:t> 2</a:t>
          </a:r>
        </a:p>
      </xdr:txBody>
    </xdr:sp>
    <xdr:clientData/>
  </xdr:twoCellAnchor>
  <xdr:twoCellAnchor>
    <xdr:from>
      <xdr:col>20</xdr:col>
      <xdr:colOff>262800</xdr:colOff>
      <xdr:row>28</xdr:row>
      <xdr:rowOff>30480</xdr:rowOff>
    </xdr:from>
    <xdr:to>
      <xdr:col>23</xdr:col>
      <xdr:colOff>186600</xdr:colOff>
      <xdr:row>35</xdr:row>
      <xdr:rowOff>0</xdr:rowOff>
    </xdr:to>
    <xdr:graphicFrame macro="">
      <xdr:nvGraphicFramePr>
        <xdr:cNvPr id="29" name="Chart 28">
          <a:extLst>
            <a:ext uri="{FF2B5EF4-FFF2-40B4-BE49-F238E27FC236}">
              <a16:creationId xmlns:a16="http://schemas.microsoft.com/office/drawing/2014/main" id="{4378826C-846A-4602-AF55-02A6900FF4E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20</xdr:col>
      <xdr:colOff>419100</xdr:colOff>
      <xdr:row>30</xdr:row>
      <xdr:rowOff>166740</xdr:rowOff>
    </xdr:from>
    <xdr:to>
      <xdr:col>23</xdr:col>
      <xdr:colOff>30300</xdr:colOff>
      <xdr:row>32</xdr:row>
      <xdr:rowOff>16980</xdr:rowOff>
    </xdr:to>
    <xdr:sp macro="" textlink="'Payment Mode'!C6">
      <xdr:nvSpPr>
        <xdr:cNvPr id="41" name="TextBox 40">
          <a:extLst>
            <a:ext uri="{FF2B5EF4-FFF2-40B4-BE49-F238E27FC236}">
              <a16:creationId xmlns:a16="http://schemas.microsoft.com/office/drawing/2014/main" id="{E20EA2BD-C47D-43EA-AA9E-CE8B0EAB6683}"/>
            </a:ext>
          </a:extLst>
        </xdr:cNvPr>
        <xdr:cNvSpPr txBox="1"/>
      </xdr:nvSpPr>
      <xdr:spPr>
        <a:xfrm>
          <a:off x="12611100" y="5653140"/>
          <a:ext cx="1440000" cy="216000"/>
        </a:xfrm>
        <a:prstGeom prst="rect">
          <a:avLst/>
        </a:prstGeom>
        <a:noFill/>
        <a:ln w="9525" cmpd="sng">
          <a:noFill/>
        </a:ln>
        <a:effectLst>
          <a:glow rad="38100">
            <a:schemeClr val="accent6">
              <a:alpha val="40000"/>
            </a:schemeClr>
          </a:glo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17F7BEBF-C797-4F23-B348-2A822C568B2D}" type="TxLink">
            <a:rPr lang="en-US" sz="1800" b="0" i="0" u="none" strike="noStrike">
              <a:solidFill>
                <a:schemeClr val="bg1">
                  <a:lumMod val="85000"/>
                </a:schemeClr>
              </a:solidFill>
              <a:effectLst>
                <a:glow rad="63500">
                  <a:schemeClr val="accent4">
                    <a:satMod val="175000"/>
                    <a:alpha val="40000"/>
                  </a:schemeClr>
                </a:glow>
              </a:effectLst>
              <a:latin typeface="Calibri"/>
              <a:cs typeface="Calibri"/>
            </a:rPr>
            <a:pPr algn="ctr"/>
            <a:t>50%</a:t>
          </a:fld>
          <a:endParaRPr lang="en-PH" sz="11500" b="1" i="0" u="none" strike="noStrike">
            <a:solidFill>
              <a:schemeClr val="bg1">
                <a:lumMod val="85000"/>
              </a:schemeClr>
            </a:solidFill>
            <a:effectLst>
              <a:glow rad="63500">
                <a:schemeClr val="accent4">
                  <a:satMod val="175000"/>
                  <a:alpha val="40000"/>
                </a:schemeClr>
              </a:glow>
            </a:effectLst>
            <a:latin typeface="Calibri"/>
            <a:cs typeface="Calibri"/>
          </a:endParaRPr>
        </a:p>
      </xdr:txBody>
    </xdr:sp>
    <xdr:clientData/>
  </xdr:twoCellAnchor>
  <xdr:twoCellAnchor>
    <xdr:from>
      <xdr:col>20</xdr:col>
      <xdr:colOff>293100</xdr:colOff>
      <xdr:row>34</xdr:row>
      <xdr:rowOff>43290</xdr:rowOff>
    </xdr:from>
    <xdr:to>
      <xdr:col>23</xdr:col>
      <xdr:colOff>156300</xdr:colOff>
      <xdr:row>35</xdr:row>
      <xdr:rowOff>76410</xdr:rowOff>
    </xdr:to>
    <xdr:sp macro="" textlink="">
      <xdr:nvSpPr>
        <xdr:cNvPr id="44" name="TextBox 43">
          <a:extLst>
            <a:ext uri="{FF2B5EF4-FFF2-40B4-BE49-F238E27FC236}">
              <a16:creationId xmlns:a16="http://schemas.microsoft.com/office/drawing/2014/main" id="{E51E7DC9-51F4-4E32-8EE9-E598081D048F}"/>
            </a:ext>
          </a:extLst>
        </xdr:cNvPr>
        <xdr:cNvSpPr txBox="1"/>
      </xdr:nvSpPr>
      <xdr:spPr>
        <a:xfrm>
          <a:off x="12485100" y="6261210"/>
          <a:ext cx="1692000" cy="216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PH" sz="1100" b="1" i="0" u="none" strike="noStrike">
              <a:solidFill>
                <a:schemeClr val="bg1">
                  <a:lumMod val="85000"/>
                </a:schemeClr>
              </a:solidFill>
              <a:latin typeface="Calibri"/>
              <a:cs typeface="Calibri"/>
            </a:rPr>
            <a:t>Cash Payments</a:t>
          </a:r>
          <a:endParaRPr lang="en-PH" sz="1100" b="1" i="0" u="none" strike="noStrike" baseline="0">
            <a:solidFill>
              <a:schemeClr val="bg1">
                <a:lumMod val="85000"/>
              </a:schemeClr>
            </a:solidFill>
            <a:latin typeface="Calibri"/>
            <a:cs typeface="Calibri"/>
          </a:endParaRPr>
        </a:p>
      </xdr:txBody>
    </xdr:sp>
    <xdr:clientData/>
  </xdr:twoCellAnchor>
  <xdr:twoCellAnchor>
    <xdr:from>
      <xdr:col>20</xdr:col>
      <xdr:colOff>401100</xdr:colOff>
      <xdr:row>35</xdr:row>
      <xdr:rowOff>28050</xdr:rowOff>
    </xdr:from>
    <xdr:to>
      <xdr:col>23</xdr:col>
      <xdr:colOff>48300</xdr:colOff>
      <xdr:row>36</xdr:row>
      <xdr:rowOff>61170</xdr:rowOff>
    </xdr:to>
    <xdr:sp macro="" textlink="">
      <xdr:nvSpPr>
        <xdr:cNvPr id="45" name="TextBox 44">
          <a:extLst>
            <a:ext uri="{FF2B5EF4-FFF2-40B4-BE49-F238E27FC236}">
              <a16:creationId xmlns:a16="http://schemas.microsoft.com/office/drawing/2014/main" id="{B22F0916-E7AC-41C4-B8CB-582161A8E2D0}"/>
            </a:ext>
          </a:extLst>
        </xdr:cNvPr>
        <xdr:cNvSpPr txBox="1"/>
      </xdr:nvSpPr>
      <xdr:spPr>
        <a:xfrm>
          <a:off x="12593100" y="6428850"/>
          <a:ext cx="1476000" cy="216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PH" sz="1100" b="1" i="0" u="none" strike="noStrike">
              <a:solidFill>
                <a:schemeClr val="bg1">
                  <a:lumMod val="85000"/>
                </a:schemeClr>
              </a:solidFill>
              <a:latin typeface="Calibri"/>
              <a:cs typeface="Calibri"/>
            </a:rPr>
            <a:t>Target: &gt;</a:t>
          </a:r>
          <a:r>
            <a:rPr lang="en-PH" sz="1100" b="1" i="0" u="none" strike="noStrike" baseline="0">
              <a:solidFill>
                <a:schemeClr val="bg1">
                  <a:lumMod val="85000"/>
                </a:schemeClr>
              </a:solidFill>
              <a:latin typeface="Calibri"/>
              <a:cs typeface="Calibri"/>
            </a:rPr>
            <a:t> 65%</a:t>
          </a:r>
        </a:p>
      </xdr:txBody>
    </xdr:sp>
    <xdr:clientData/>
  </xdr:twoCellAnchor>
  <xdr:twoCellAnchor>
    <xdr:from>
      <xdr:col>4</xdr:col>
      <xdr:colOff>30480</xdr:colOff>
      <xdr:row>8</xdr:row>
      <xdr:rowOff>45720</xdr:rowOff>
    </xdr:from>
    <xdr:to>
      <xdr:col>13</xdr:col>
      <xdr:colOff>114300</xdr:colOff>
      <xdr:row>20</xdr:row>
      <xdr:rowOff>53340</xdr:rowOff>
    </xdr:to>
    <xdr:graphicFrame macro="">
      <xdr:nvGraphicFramePr>
        <xdr:cNvPr id="52" name="Line_Chart_Revenue" hidden="1">
          <a:extLst>
            <a:ext uri="{FF2B5EF4-FFF2-40B4-BE49-F238E27FC236}">
              <a16:creationId xmlns:a16="http://schemas.microsoft.com/office/drawing/2014/main" id="{319A6511-82D5-4CB6-9985-88753FA1E23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4</xdr:col>
      <xdr:colOff>30480</xdr:colOff>
      <xdr:row>8</xdr:row>
      <xdr:rowOff>38100</xdr:rowOff>
    </xdr:from>
    <xdr:to>
      <xdr:col>13</xdr:col>
      <xdr:colOff>121920</xdr:colOff>
      <xdr:row>20</xdr:row>
      <xdr:rowOff>60960</xdr:rowOff>
    </xdr:to>
    <xdr:graphicFrame macro="">
      <xdr:nvGraphicFramePr>
        <xdr:cNvPr id="48" name="Line_Chart_Sales" hidden="1">
          <a:extLst>
            <a:ext uri="{FF2B5EF4-FFF2-40B4-BE49-F238E27FC236}">
              <a16:creationId xmlns:a16="http://schemas.microsoft.com/office/drawing/2014/main" id="{51C52166-F212-420E-81F3-07D02B900E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xdr:col>
      <xdr:colOff>30480</xdr:colOff>
      <xdr:row>8</xdr:row>
      <xdr:rowOff>30480</xdr:rowOff>
    </xdr:from>
    <xdr:to>
      <xdr:col>13</xdr:col>
      <xdr:colOff>114300</xdr:colOff>
      <xdr:row>20</xdr:row>
      <xdr:rowOff>60960</xdr:rowOff>
    </xdr:to>
    <xdr:graphicFrame macro="">
      <xdr:nvGraphicFramePr>
        <xdr:cNvPr id="8" name="Line_Chart_Both">
          <a:extLst>
            <a:ext uri="{FF2B5EF4-FFF2-40B4-BE49-F238E27FC236}">
              <a16:creationId xmlns:a16="http://schemas.microsoft.com/office/drawing/2014/main" id="{3F8024D0-8F35-4265-B2CD-6FBA0334B58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13</xdr:col>
      <xdr:colOff>148590</xdr:colOff>
      <xdr:row>6</xdr:row>
      <xdr:rowOff>98488</xdr:rowOff>
    </xdr:from>
    <xdr:to>
      <xdr:col>14</xdr:col>
      <xdr:colOff>222990</xdr:colOff>
      <xdr:row>7</xdr:row>
      <xdr:rowOff>167608</xdr:rowOff>
    </xdr:to>
    <xdr:grpSp>
      <xdr:nvGrpSpPr>
        <xdr:cNvPr id="74" name="Tab_Button_Sales_Inactive">
          <a:extLst>
            <a:ext uri="{FF2B5EF4-FFF2-40B4-BE49-F238E27FC236}">
              <a16:creationId xmlns:a16="http://schemas.microsoft.com/office/drawing/2014/main" id="{E2D10CDD-F924-DF96-5182-A3DEA20686B6}"/>
            </a:ext>
          </a:extLst>
        </xdr:cNvPr>
        <xdr:cNvGrpSpPr/>
      </xdr:nvGrpSpPr>
      <xdr:grpSpPr>
        <a:xfrm>
          <a:off x="8073390" y="1195768"/>
          <a:ext cx="684000" cy="252000"/>
          <a:chOff x="10005060" y="9114283"/>
          <a:chExt cx="684000" cy="252000"/>
        </a:xfrm>
      </xdr:grpSpPr>
      <xdr:sp macro="" textlink="">
        <xdr:nvSpPr>
          <xdr:cNvPr id="57" name="Rectangle: Rounded Corners 56">
            <a:extLst>
              <a:ext uri="{FF2B5EF4-FFF2-40B4-BE49-F238E27FC236}">
                <a16:creationId xmlns:a16="http://schemas.microsoft.com/office/drawing/2014/main" id="{DC507D2E-905F-E36A-FBD9-7CFA12669924}"/>
              </a:ext>
            </a:extLst>
          </xdr:cNvPr>
          <xdr:cNvSpPr/>
        </xdr:nvSpPr>
        <xdr:spPr>
          <a:xfrm>
            <a:off x="10041060" y="9114283"/>
            <a:ext cx="612000" cy="252000"/>
          </a:xfrm>
          <a:prstGeom prst="roundRect">
            <a:avLst/>
          </a:prstGeom>
          <a:solidFill>
            <a:schemeClr val="bg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H" sz="1100"/>
          </a:p>
        </xdr:txBody>
      </xdr:sp>
      <xdr:sp macro="[0]!ThisWorkbook.Display_Chart_Sales" textlink="">
        <xdr:nvSpPr>
          <xdr:cNvPr id="60" name="TextBox 59">
            <a:extLst>
              <a:ext uri="{FF2B5EF4-FFF2-40B4-BE49-F238E27FC236}">
                <a16:creationId xmlns:a16="http://schemas.microsoft.com/office/drawing/2014/main" id="{84956ACF-CC54-45B4-9DB4-4E27DB1E02FF}"/>
              </a:ext>
            </a:extLst>
          </xdr:cNvPr>
          <xdr:cNvSpPr txBox="1"/>
        </xdr:nvSpPr>
        <xdr:spPr>
          <a:xfrm>
            <a:off x="10005060" y="9114283"/>
            <a:ext cx="684000" cy="252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PH" sz="1100" b="1">
                <a:solidFill>
                  <a:schemeClr val="tx1">
                    <a:lumMod val="95000"/>
                    <a:lumOff val="5000"/>
                  </a:schemeClr>
                </a:solidFill>
              </a:rPr>
              <a:t>Sales</a:t>
            </a:r>
          </a:p>
        </xdr:txBody>
      </xdr:sp>
    </xdr:grpSp>
    <xdr:clientData/>
  </xdr:twoCellAnchor>
  <xdr:twoCellAnchor>
    <xdr:from>
      <xdr:col>14</xdr:col>
      <xdr:colOff>482160</xdr:colOff>
      <xdr:row>6</xdr:row>
      <xdr:rowOff>98488</xdr:rowOff>
    </xdr:from>
    <xdr:to>
      <xdr:col>15</xdr:col>
      <xdr:colOff>592560</xdr:colOff>
      <xdr:row>7</xdr:row>
      <xdr:rowOff>167608</xdr:rowOff>
    </xdr:to>
    <xdr:grpSp>
      <xdr:nvGrpSpPr>
        <xdr:cNvPr id="67" name="Tab_Button_Revenue_Inactive">
          <a:extLst>
            <a:ext uri="{FF2B5EF4-FFF2-40B4-BE49-F238E27FC236}">
              <a16:creationId xmlns:a16="http://schemas.microsoft.com/office/drawing/2014/main" id="{D205F806-496F-AB84-346E-B9E335824440}"/>
            </a:ext>
          </a:extLst>
        </xdr:cNvPr>
        <xdr:cNvGrpSpPr/>
      </xdr:nvGrpSpPr>
      <xdr:grpSpPr>
        <a:xfrm>
          <a:off x="9016560" y="1195768"/>
          <a:ext cx="720000" cy="252000"/>
          <a:chOff x="9325170" y="7523226"/>
          <a:chExt cx="720000" cy="252000"/>
        </a:xfrm>
      </xdr:grpSpPr>
      <xdr:sp macro="" textlink="">
        <xdr:nvSpPr>
          <xdr:cNvPr id="58" name="Rectangle: Rounded Corners 57">
            <a:extLst>
              <a:ext uri="{FF2B5EF4-FFF2-40B4-BE49-F238E27FC236}">
                <a16:creationId xmlns:a16="http://schemas.microsoft.com/office/drawing/2014/main" id="{C0CBD995-9194-4B4F-9CD7-79982E33B182}"/>
              </a:ext>
            </a:extLst>
          </xdr:cNvPr>
          <xdr:cNvSpPr/>
        </xdr:nvSpPr>
        <xdr:spPr>
          <a:xfrm>
            <a:off x="9343170" y="7523226"/>
            <a:ext cx="684000" cy="252000"/>
          </a:xfrm>
          <a:prstGeom prst="roundRect">
            <a:avLst/>
          </a:prstGeom>
          <a:solidFill>
            <a:schemeClr val="bg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H" sz="1100"/>
          </a:p>
        </xdr:txBody>
      </xdr:sp>
      <xdr:sp macro="[0]!ThisWorkbook.Display_Chart_Revenue" textlink="">
        <xdr:nvSpPr>
          <xdr:cNvPr id="61" name="TextBox 60">
            <a:extLst>
              <a:ext uri="{FF2B5EF4-FFF2-40B4-BE49-F238E27FC236}">
                <a16:creationId xmlns:a16="http://schemas.microsoft.com/office/drawing/2014/main" id="{CF4DD58A-9A1A-47B7-A066-85B89A187A6C}"/>
              </a:ext>
            </a:extLst>
          </xdr:cNvPr>
          <xdr:cNvSpPr txBox="1"/>
        </xdr:nvSpPr>
        <xdr:spPr>
          <a:xfrm>
            <a:off x="9325170" y="7523226"/>
            <a:ext cx="720000" cy="252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PH" sz="1100" b="1">
                <a:solidFill>
                  <a:schemeClr val="tx1">
                    <a:lumMod val="95000"/>
                    <a:lumOff val="5000"/>
                  </a:schemeClr>
                </a:solidFill>
              </a:rPr>
              <a:t>Revenue</a:t>
            </a:r>
          </a:p>
        </xdr:txBody>
      </xdr:sp>
    </xdr:grpSp>
    <xdr:clientData/>
  </xdr:twoCellAnchor>
  <xdr:twoCellAnchor>
    <xdr:from>
      <xdr:col>10</xdr:col>
      <xdr:colOff>514154</xdr:colOff>
      <xdr:row>6</xdr:row>
      <xdr:rowOff>98488</xdr:rowOff>
    </xdr:from>
    <xdr:to>
      <xdr:col>12</xdr:col>
      <xdr:colOff>446954</xdr:colOff>
      <xdr:row>7</xdr:row>
      <xdr:rowOff>167608</xdr:rowOff>
    </xdr:to>
    <xdr:grpSp>
      <xdr:nvGrpSpPr>
        <xdr:cNvPr id="69" name="Tab_Button_Both_Inactive" hidden="1">
          <a:extLst>
            <a:ext uri="{FF2B5EF4-FFF2-40B4-BE49-F238E27FC236}">
              <a16:creationId xmlns:a16="http://schemas.microsoft.com/office/drawing/2014/main" id="{2BB61300-E099-6459-1249-E6834AF3E7B3}"/>
            </a:ext>
          </a:extLst>
        </xdr:cNvPr>
        <xdr:cNvGrpSpPr/>
      </xdr:nvGrpSpPr>
      <xdr:grpSpPr>
        <a:xfrm>
          <a:off x="6610154" y="1195768"/>
          <a:ext cx="1152000" cy="252000"/>
          <a:chOff x="8572304" y="9122283"/>
          <a:chExt cx="1152000" cy="252000"/>
        </a:xfrm>
      </xdr:grpSpPr>
      <xdr:sp macro="" textlink="">
        <xdr:nvSpPr>
          <xdr:cNvPr id="59" name="Rectangle: Rounded Corners 58" hidden="1">
            <a:extLst>
              <a:ext uri="{FF2B5EF4-FFF2-40B4-BE49-F238E27FC236}">
                <a16:creationId xmlns:a16="http://schemas.microsoft.com/office/drawing/2014/main" id="{E174A6E5-859C-4D00-87AE-6489A8F27FAD}"/>
              </a:ext>
            </a:extLst>
          </xdr:cNvPr>
          <xdr:cNvSpPr/>
        </xdr:nvSpPr>
        <xdr:spPr>
          <a:xfrm>
            <a:off x="8572304" y="9122283"/>
            <a:ext cx="1152000" cy="252000"/>
          </a:xfrm>
          <a:prstGeom prst="roundRect">
            <a:avLst/>
          </a:prstGeom>
          <a:solidFill>
            <a:schemeClr val="bg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H" sz="1100"/>
          </a:p>
        </xdr:txBody>
      </xdr:sp>
      <xdr:sp macro="[0]!ThisWorkbook.Display_Chart_Sales_and_Revenue" textlink="">
        <xdr:nvSpPr>
          <xdr:cNvPr id="62" name="TextBox 61" hidden="1">
            <a:extLst>
              <a:ext uri="{FF2B5EF4-FFF2-40B4-BE49-F238E27FC236}">
                <a16:creationId xmlns:a16="http://schemas.microsoft.com/office/drawing/2014/main" id="{85996A03-064C-47F0-A9AD-6B1BC41DB4C3}"/>
              </a:ext>
            </a:extLst>
          </xdr:cNvPr>
          <xdr:cNvSpPr txBox="1"/>
        </xdr:nvSpPr>
        <xdr:spPr>
          <a:xfrm>
            <a:off x="8572304" y="9122283"/>
            <a:ext cx="1152000" cy="252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PH" sz="1100" b="1">
                <a:solidFill>
                  <a:schemeClr val="tx1">
                    <a:lumMod val="95000"/>
                    <a:lumOff val="5000"/>
                  </a:schemeClr>
                </a:solidFill>
              </a:rPr>
              <a:t>Sales</a:t>
            </a:r>
            <a:r>
              <a:rPr lang="en-PH" sz="1100" b="1" baseline="0">
                <a:solidFill>
                  <a:schemeClr val="tx1">
                    <a:lumMod val="95000"/>
                    <a:lumOff val="5000"/>
                  </a:schemeClr>
                </a:solidFill>
              </a:rPr>
              <a:t> &amp; Revenue</a:t>
            </a:r>
            <a:endParaRPr lang="en-PH" sz="1100" b="1">
              <a:solidFill>
                <a:schemeClr val="tx1">
                  <a:lumMod val="95000"/>
                  <a:lumOff val="5000"/>
                </a:schemeClr>
              </a:solidFill>
            </a:endParaRPr>
          </a:p>
        </xdr:txBody>
      </xdr:sp>
    </xdr:grpSp>
    <xdr:clientData/>
  </xdr:twoCellAnchor>
  <xdr:twoCellAnchor>
    <xdr:from>
      <xdr:col>10</xdr:col>
      <xdr:colOff>514154</xdr:colOff>
      <xdr:row>6</xdr:row>
      <xdr:rowOff>98488</xdr:rowOff>
    </xdr:from>
    <xdr:to>
      <xdr:col>12</xdr:col>
      <xdr:colOff>446954</xdr:colOff>
      <xdr:row>7</xdr:row>
      <xdr:rowOff>167608</xdr:rowOff>
    </xdr:to>
    <xdr:grpSp>
      <xdr:nvGrpSpPr>
        <xdr:cNvPr id="73" name="Tab_Button_Both_Active">
          <a:extLst>
            <a:ext uri="{FF2B5EF4-FFF2-40B4-BE49-F238E27FC236}">
              <a16:creationId xmlns:a16="http://schemas.microsoft.com/office/drawing/2014/main" id="{91A58CD8-29F9-1FD4-223E-14540B7D5A4D}"/>
            </a:ext>
          </a:extLst>
        </xdr:cNvPr>
        <xdr:cNvGrpSpPr/>
      </xdr:nvGrpSpPr>
      <xdr:grpSpPr>
        <a:xfrm>
          <a:off x="6610154" y="1195768"/>
          <a:ext cx="1152000" cy="252000"/>
          <a:chOff x="8732324" y="9922383"/>
          <a:chExt cx="1152000" cy="252000"/>
        </a:xfrm>
      </xdr:grpSpPr>
      <xdr:sp macro="" textlink="">
        <xdr:nvSpPr>
          <xdr:cNvPr id="71" name="Rectangle: Rounded Corners 70">
            <a:extLst>
              <a:ext uri="{FF2B5EF4-FFF2-40B4-BE49-F238E27FC236}">
                <a16:creationId xmlns:a16="http://schemas.microsoft.com/office/drawing/2014/main" id="{3FAEEFF9-85CD-BB8F-22E9-129945F0F185}"/>
              </a:ext>
            </a:extLst>
          </xdr:cNvPr>
          <xdr:cNvSpPr/>
        </xdr:nvSpPr>
        <xdr:spPr>
          <a:xfrm>
            <a:off x="8732324" y="9922383"/>
            <a:ext cx="1152000" cy="252000"/>
          </a:xfrm>
          <a:prstGeom prst="roundRect">
            <a:avLst/>
          </a:prstGeom>
          <a:solidFill>
            <a:schemeClr val="bg1">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H" sz="1100"/>
          </a:p>
        </xdr:txBody>
      </xdr:sp>
      <xdr:sp macro="[0]!ThisWorkbook.Display_Chart_Sales_and_Revenue" textlink="">
        <xdr:nvSpPr>
          <xdr:cNvPr id="72" name="TextBox 71">
            <a:extLst>
              <a:ext uri="{FF2B5EF4-FFF2-40B4-BE49-F238E27FC236}">
                <a16:creationId xmlns:a16="http://schemas.microsoft.com/office/drawing/2014/main" id="{84D023D8-9712-84DB-E331-C73FB99E1541}"/>
              </a:ext>
            </a:extLst>
          </xdr:cNvPr>
          <xdr:cNvSpPr txBox="1"/>
        </xdr:nvSpPr>
        <xdr:spPr>
          <a:xfrm>
            <a:off x="8732324" y="9922383"/>
            <a:ext cx="1152000" cy="252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PH" sz="1100" b="1">
                <a:solidFill>
                  <a:schemeClr val="tx1">
                    <a:lumMod val="95000"/>
                    <a:lumOff val="5000"/>
                  </a:schemeClr>
                </a:solidFill>
              </a:rPr>
              <a:t>Sales</a:t>
            </a:r>
            <a:r>
              <a:rPr lang="en-PH" sz="1100" b="1" baseline="0">
                <a:solidFill>
                  <a:schemeClr val="tx1">
                    <a:lumMod val="95000"/>
                    <a:lumOff val="5000"/>
                  </a:schemeClr>
                </a:solidFill>
              </a:rPr>
              <a:t> &amp; Revenue</a:t>
            </a:r>
            <a:endParaRPr lang="en-PH" sz="1100" b="1">
              <a:solidFill>
                <a:schemeClr val="tx1">
                  <a:lumMod val="95000"/>
                  <a:lumOff val="5000"/>
                </a:schemeClr>
              </a:solidFill>
            </a:endParaRPr>
          </a:p>
        </xdr:txBody>
      </xdr:sp>
    </xdr:grpSp>
    <xdr:clientData/>
  </xdr:twoCellAnchor>
  <xdr:twoCellAnchor>
    <xdr:from>
      <xdr:col>13</xdr:col>
      <xdr:colOff>148590</xdr:colOff>
      <xdr:row>6</xdr:row>
      <xdr:rowOff>98488</xdr:rowOff>
    </xdr:from>
    <xdr:to>
      <xdr:col>14</xdr:col>
      <xdr:colOff>222990</xdr:colOff>
      <xdr:row>7</xdr:row>
      <xdr:rowOff>167608</xdr:rowOff>
    </xdr:to>
    <xdr:grpSp>
      <xdr:nvGrpSpPr>
        <xdr:cNvPr id="78" name="Tab_Button_Sales_Active" hidden="1">
          <a:extLst>
            <a:ext uri="{FF2B5EF4-FFF2-40B4-BE49-F238E27FC236}">
              <a16:creationId xmlns:a16="http://schemas.microsoft.com/office/drawing/2014/main" id="{A8706FD8-94EB-1E50-0D51-74E6B07C9A51}"/>
            </a:ext>
          </a:extLst>
        </xdr:cNvPr>
        <xdr:cNvGrpSpPr/>
      </xdr:nvGrpSpPr>
      <xdr:grpSpPr>
        <a:xfrm>
          <a:off x="8073390" y="1195768"/>
          <a:ext cx="684000" cy="252000"/>
          <a:chOff x="10005060" y="9472423"/>
          <a:chExt cx="684000" cy="252000"/>
        </a:xfrm>
      </xdr:grpSpPr>
      <xdr:sp macro="" textlink="">
        <xdr:nvSpPr>
          <xdr:cNvPr id="76" name="Rectangle: Rounded Corners 75" hidden="1">
            <a:extLst>
              <a:ext uri="{FF2B5EF4-FFF2-40B4-BE49-F238E27FC236}">
                <a16:creationId xmlns:a16="http://schemas.microsoft.com/office/drawing/2014/main" id="{21744464-03C2-B3CC-AC4D-B5E63530B8B3}"/>
              </a:ext>
            </a:extLst>
          </xdr:cNvPr>
          <xdr:cNvSpPr/>
        </xdr:nvSpPr>
        <xdr:spPr>
          <a:xfrm>
            <a:off x="10041060" y="9472423"/>
            <a:ext cx="612000" cy="252000"/>
          </a:xfrm>
          <a:prstGeom prst="roundRect">
            <a:avLst/>
          </a:prstGeom>
          <a:solidFill>
            <a:schemeClr val="bg1">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H" sz="1100"/>
          </a:p>
        </xdr:txBody>
      </xdr:sp>
      <xdr:sp macro="[0]!ThisWorkbook.Display_Chart_Sales" textlink="">
        <xdr:nvSpPr>
          <xdr:cNvPr id="77" name="TextBox 76" hidden="1">
            <a:extLst>
              <a:ext uri="{FF2B5EF4-FFF2-40B4-BE49-F238E27FC236}">
                <a16:creationId xmlns:a16="http://schemas.microsoft.com/office/drawing/2014/main" id="{758FF1ED-0DA3-248F-8F6C-6B25293DBDC2}"/>
              </a:ext>
            </a:extLst>
          </xdr:cNvPr>
          <xdr:cNvSpPr txBox="1"/>
        </xdr:nvSpPr>
        <xdr:spPr>
          <a:xfrm>
            <a:off x="10005060" y="9472423"/>
            <a:ext cx="684000" cy="252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PH" sz="1100" b="1">
                <a:solidFill>
                  <a:schemeClr val="tx1">
                    <a:lumMod val="95000"/>
                    <a:lumOff val="5000"/>
                  </a:schemeClr>
                </a:solidFill>
              </a:rPr>
              <a:t>Sales</a:t>
            </a:r>
          </a:p>
        </xdr:txBody>
      </xdr:sp>
    </xdr:grpSp>
    <xdr:clientData/>
  </xdr:twoCellAnchor>
  <xdr:twoCellAnchor>
    <xdr:from>
      <xdr:col>14</xdr:col>
      <xdr:colOff>482160</xdr:colOff>
      <xdr:row>6</xdr:row>
      <xdr:rowOff>98488</xdr:rowOff>
    </xdr:from>
    <xdr:to>
      <xdr:col>15</xdr:col>
      <xdr:colOff>592560</xdr:colOff>
      <xdr:row>7</xdr:row>
      <xdr:rowOff>167608</xdr:rowOff>
    </xdr:to>
    <xdr:grpSp>
      <xdr:nvGrpSpPr>
        <xdr:cNvPr id="82" name="Tab_Button_Revenue_Active" hidden="1">
          <a:extLst>
            <a:ext uri="{FF2B5EF4-FFF2-40B4-BE49-F238E27FC236}">
              <a16:creationId xmlns:a16="http://schemas.microsoft.com/office/drawing/2014/main" id="{473589EB-3D7A-65AC-2428-A55D6758328A}"/>
            </a:ext>
          </a:extLst>
        </xdr:cNvPr>
        <xdr:cNvGrpSpPr/>
      </xdr:nvGrpSpPr>
      <xdr:grpSpPr>
        <a:xfrm>
          <a:off x="9016560" y="1195768"/>
          <a:ext cx="720000" cy="252000"/>
          <a:chOff x="11009190" y="9466326"/>
          <a:chExt cx="720000" cy="252000"/>
        </a:xfrm>
      </xdr:grpSpPr>
      <xdr:sp macro="" textlink="">
        <xdr:nvSpPr>
          <xdr:cNvPr id="80" name="Rectangle: Rounded Corners 79" hidden="1">
            <a:extLst>
              <a:ext uri="{FF2B5EF4-FFF2-40B4-BE49-F238E27FC236}">
                <a16:creationId xmlns:a16="http://schemas.microsoft.com/office/drawing/2014/main" id="{B89F4994-FF96-C85F-B440-2D5CDA5FB40B}"/>
              </a:ext>
            </a:extLst>
          </xdr:cNvPr>
          <xdr:cNvSpPr/>
        </xdr:nvSpPr>
        <xdr:spPr>
          <a:xfrm>
            <a:off x="11027190" y="9466326"/>
            <a:ext cx="684000" cy="252000"/>
          </a:xfrm>
          <a:prstGeom prst="roundRect">
            <a:avLst/>
          </a:prstGeom>
          <a:solidFill>
            <a:schemeClr val="bg1">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H" sz="1100"/>
          </a:p>
        </xdr:txBody>
      </xdr:sp>
      <xdr:sp macro="" textlink="">
        <xdr:nvSpPr>
          <xdr:cNvPr id="81" name="TextBox 80" hidden="1">
            <a:extLst>
              <a:ext uri="{FF2B5EF4-FFF2-40B4-BE49-F238E27FC236}">
                <a16:creationId xmlns:a16="http://schemas.microsoft.com/office/drawing/2014/main" id="{6A3D2F7C-B8AF-5C7A-69DA-1C6D291B987F}"/>
              </a:ext>
            </a:extLst>
          </xdr:cNvPr>
          <xdr:cNvSpPr txBox="1"/>
        </xdr:nvSpPr>
        <xdr:spPr>
          <a:xfrm>
            <a:off x="11009190" y="9466326"/>
            <a:ext cx="720000" cy="252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PH" sz="1100" b="1">
                <a:solidFill>
                  <a:schemeClr val="tx1">
                    <a:lumMod val="95000"/>
                    <a:lumOff val="5000"/>
                  </a:schemeClr>
                </a:solidFill>
              </a:rPr>
              <a:t>Revenue</a:t>
            </a:r>
          </a:p>
        </xdr:txBody>
      </xdr:sp>
    </xdr:grpSp>
    <xdr:clientData/>
  </xdr:twoCellAnchor>
  <xdr:twoCellAnchor editAs="oneCell">
    <xdr:from>
      <xdr:col>0</xdr:col>
      <xdr:colOff>338880</xdr:colOff>
      <xdr:row>7</xdr:row>
      <xdr:rowOff>7619</xdr:rowOff>
    </xdr:from>
    <xdr:to>
      <xdr:col>3</xdr:col>
      <xdr:colOff>338880</xdr:colOff>
      <xdr:row>13</xdr:row>
      <xdr:rowOff>62339</xdr:rowOff>
    </xdr:to>
    <mc:AlternateContent xmlns:mc="http://schemas.openxmlformats.org/markup-compatibility/2006">
      <mc:Choice xmlns:a14="http://schemas.microsoft.com/office/drawing/2010/main" Requires="a14">
        <xdr:graphicFrame macro="">
          <xdr:nvGraphicFramePr>
            <xdr:cNvPr id="65" name="Years">
              <a:extLst>
                <a:ext uri="{FF2B5EF4-FFF2-40B4-BE49-F238E27FC236}">
                  <a16:creationId xmlns:a16="http://schemas.microsoft.com/office/drawing/2014/main" id="{04F57A81-7A1C-32A9-C8B6-9691ECCFFC59}"/>
                </a:ext>
              </a:extLst>
            </xdr:cNvPr>
            <xdr:cNvGraphicFramePr/>
          </xdr:nvGraphicFramePr>
          <xdr:xfrm>
            <a:off x="0" y="0"/>
            <a:ext cx="0" cy="0"/>
          </xdr:xfrm>
          <a:graphic>
            <a:graphicData uri="http://schemas.microsoft.com/office/drawing/2010/slicer">
              <sle:slicer xmlns:sle="http://schemas.microsoft.com/office/drawing/2010/slicer" name="Years"/>
            </a:graphicData>
          </a:graphic>
        </xdr:graphicFrame>
      </mc:Choice>
      <mc:Fallback>
        <xdr:sp macro="" textlink="">
          <xdr:nvSpPr>
            <xdr:cNvPr id="0" name=""/>
            <xdr:cNvSpPr>
              <a:spLocks noTextEdit="1"/>
            </xdr:cNvSpPr>
          </xdr:nvSpPr>
          <xdr:spPr>
            <a:xfrm>
              <a:off x="338880" y="1287779"/>
              <a:ext cx="1828800" cy="1152000"/>
            </a:xfrm>
            <a:prstGeom prst="rect">
              <a:avLst/>
            </a:prstGeom>
            <a:solidFill>
              <a:prstClr val="white"/>
            </a:solidFill>
            <a:ln w="1">
              <a:solidFill>
                <a:prstClr val="green"/>
              </a:solidFill>
            </a:ln>
          </xdr:spPr>
          <xdr:txBody>
            <a:bodyPr vertOverflow="clip" horzOverflow="clip"/>
            <a:lstStyle/>
            <a:p>
              <a:r>
                <a:rPr lang="en-PH"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338880</xdr:colOff>
      <xdr:row>13</xdr:row>
      <xdr:rowOff>83820</xdr:rowOff>
    </xdr:from>
    <xdr:to>
      <xdr:col>3</xdr:col>
      <xdr:colOff>338880</xdr:colOff>
      <xdr:row>19</xdr:row>
      <xdr:rowOff>138540</xdr:rowOff>
    </xdr:to>
    <mc:AlternateContent xmlns:mc="http://schemas.openxmlformats.org/markup-compatibility/2006">
      <mc:Choice xmlns:a14="http://schemas.microsoft.com/office/drawing/2010/main" Requires="a14">
        <xdr:graphicFrame macro="">
          <xdr:nvGraphicFramePr>
            <xdr:cNvPr id="66" name="Location">
              <a:extLst>
                <a:ext uri="{FF2B5EF4-FFF2-40B4-BE49-F238E27FC236}">
                  <a16:creationId xmlns:a16="http://schemas.microsoft.com/office/drawing/2014/main" id="{603A7F78-5191-63AE-1D08-8B5718E0742B}"/>
                </a:ext>
              </a:extLst>
            </xdr:cNvPr>
            <xdr:cNvGraphicFramePr/>
          </xdr:nvGraphicFramePr>
          <xdr:xfrm>
            <a:off x="0" y="0"/>
            <a:ext cx="0" cy="0"/>
          </xdr:xfrm>
          <a:graphic>
            <a:graphicData uri="http://schemas.microsoft.com/office/drawing/2010/slicer">
              <sle:slicer xmlns:sle="http://schemas.microsoft.com/office/drawing/2010/slicer" name="Location"/>
            </a:graphicData>
          </a:graphic>
        </xdr:graphicFrame>
      </mc:Choice>
      <mc:Fallback>
        <xdr:sp macro="" textlink="">
          <xdr:nvSpPr>
            <xdr:cNvPr id="0" name=""/>
            <xdr:cNvSpPr>
              <a:spLocks noTextEdit="1"/>
            </xdr:cNvSpPr>
          </xdr:nvSpPr>
          <xdr:spPr>
            <a:xfrm>
              <a:off x="338880" y="2461260"/>
              <a:ext cx="1828800" cy="1152000"/>
            </a:xfrm>
            <a:prstGeom prst="rect">
              <a:avLst/>
            </a:prstGeom>
            <a:solidFill>
              <a:prstClr val="white"/>
            </a:solidFill>
            <a:ln w="1">
              <a:solidFill>
                <a:prstClr val="green"/>
              </a:solidFill>
            </a:ln>
          </xdr:spPr>
          <xdr:txBody>
            <a:bodyPr vertOverflow="clip" horzOverflow="clip"/>
            <a:lstStyle/>
            <a:p>
              <a:r>
                <a:rPr lang="en-PH"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335280</xdr:colOff>
      <xdr:row>19</xdr:row>
      <xdr:rowOff>152401</xdr:rowOff>
    </xdr:from>
    <xdr:to>
      <xdr:col>3</xdr:col>
      <xdr:colOff>342480</xdr:colOff>
      <xdr:row>26</xdr:row>
      <xdr:rowOff>24241</xdr:rowOff>
    </xdr:to>
    <mc:AlternateContent xmlns:mc="http://schemas.openxmlformats.org/markup-compatibility/2006">
      <mc:Choice xmlns:a14="http://schemas.microsoft.com/office/drawing/2010/main" Requires="a14">
        <xdr:graphicFrame macro="">
          <xdr:nvGraphicFramePr>
            <xdr:cNvPr id="68" name="Product">
              <a:extLst>
                <a:ext uri="{FF2B5EF4-FFF2-40B4-BE49-F238E27FC236}">
                  <a16:creationId xmlns:a16="http://schemas.microsoft.com/office/drawing/2014/main" id="{3ACED14E-A605-AA68-4F68-A50A4B7717A8}"/>
                </a:ext>
              </a:extLst>
            </xdr:cNvPr>
            <xdr:cNvGraphicFramePr/>
          </xdr:nvGraphicFramePr>
          <xdr:xfrm>
            <a:off x="0" y="0"/>
            <a:ext cx="0" cy="0"/>
          </xdr:xfrm>
          <a:graphic>
            <a:graphicData uri="http://schemas.microsoft.com/office/drawing/2010/slicer">
              <sle:slicer xmlns:sle="http://schemas.microsoft.com/office/drawing/2010/slicer" name="Product"/>
            </a:graphicData>
          </a:graphic>
        </xdr:graphicFrame>
      </mc:Choice>
      <mc:Fallback>
        <xdr:sp macro="" textlink="">
          <xdr:nvSpPr>
            <xdr:cNvPr id="0" name=""/>
            <xdr:cNvSpPr>
              <a:spLocks noTextEdit="1"/>
            </xdr:cNvSpPr>
          </xdr:nvSpPr>
          <xdr:spPr>
            <a:xfrm>
              <a:off x="335280" y="3627121"/>
              <a:ext cx="1836000" cy="1152000"/>
            </a:xfrm>
            <a:prstGeom prst="rect">
              <a:avLst/>
            </a:prstGeom>
            <a:solidFill>
              <a:prstClr val="white"/>
            </a:solidFill>
            <a:ln w="1">
              <a:solidFill>
                <a:prstClr val="green"/>
              </a:solidFill>
            </a:ln>
          </xdr:spPr>
          <xdr:txBody>
            <a:bodyPr vertOverflow="clip" horzOverflow="clip"/>
            <a:lstStyle/>
            <a:p>
              <a:r>
                <a:rPr lang="en-PH"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338880</xdr:colOff>
      <xdr:row>26</xdr:row>
      <xdr:rowOff>22860</xdr:rowOff>
    </xdr:from>
    <xdr:to>
      <xdr:col>3</xdr:col>
      <xdr:colOff>338880</xdr:colOff>
      <xdr:row>32</xdr:row>
      <xdr:rowOff>77580</xdr:rowOff>
    </xdr:to>
    <mc:AlternateContent xmlns:mc="http://schemas.openxmlformats.org/markup-compatibility/2006">
      <mc:Choice xmlns:a14="http://schemas.microsoft.com/office/drawing/2010/main" Requires="a14">
        <xdr:graphicFrame macro="">
          <xdr:nvGraphicFramePr>
            <xdr:cNvPr id="70" name="Customer Acquisition">
              <a:extLst>
                <a:ext uri="{FF2B5EF4-FFF2-40B4-BE49-F238E27FC236}">
                  <a16:creationId xmlns:a16="http://schemas.microsoft.com/office/drawing/2014/main" id="{22C1CD73-6141-EBB0-8EF8-2E1BB2EA813F}"/>
                </a:ext>
              </a:extLst>
            </xdr:cNvPr>
            <xdr:cNvGraphicFramePr/>
          </xdr:nvGraphicFramePr>
          <xdr:xfrm>
            <a:off x="0" y="0"/>
            <a:ext cx="0" cy="0"/>
          </xdr:xfrm>
          <a:graphic>
            <a:graphicData uri="http://schemas.microsoft.com/office/drawing/2010/slicer">
              <sle:slicer xmlns:sle="http://schemas.microsoft.com/office/drawing/2010/slicer" name="Customer Acquisition"/>
            </a:graphicData>
          </a:graphic>
        </xdr:graphicFrame>
      </mc:Choice>
      <mc:Fallback>
        <xdr:sp macro="" textlink="">
          <xdr:nvSpPr>
            <xdr:cNvPr id="0" name=""/>
            <xdr:cNvSpPr>
              <a:spLocks noTextEdit="1"/>
            </xdr:cNvSpPr>
          </xdr:nvSpPr>
          <xdr:spPr>
            <a:xfrm>
              <a:off x="338880" y="4777740"/>
              <a:ext cx="1828800" cy="1152000"/>
            </a:xfrm>
            <a:prstGeom prst="rect">
              <a:avLst/>
            </a:prstGeom>
            <a:solidFill>
              <a:prstClr val="white"/>
            </a:solidFill>
            <a:ln w="1">
              <a:solidFill>
                <a:prstClr val="green"/>
              </a:solidFill>
            </a:ln>
          </xdr:spPr>
          <xdr:txBody>
            <a:bodyPr vertOverflow="clip" horzOverflow="clip"/>
            <a:lstStyle/>
            <a:p>
              <a:r>
                <a:rPr lang="en-PH"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338880</xdr:colOff>
      <xdr:row>32</xdr:row>
      <xdr:rowOff>76200</xdr:rowOff>
    </xdr:from>
    <xdr:to>
      <xdr:col>3</xdr:col>
      <xdr:colOff>338880</xdr:colOff>
      <xdr:row>37</xdr:row>
      <xdr:rowOff>61800</xdr:rowOff>
    </xdr:to>
    <mc:AlternateContent xmlns:mc="http://schemas.openxmlformats.org/markup-compatibility/2006">
      <mc:Choice xmlns:a14="http://schemas.microsoft.com/office/drawing/2010/main" Requires="a14">
        <xdr:graphicFrame macro="">
          <xdr:nvGraphicFramePr>
            <xdr:cNvPr id="75" name="Payment Mode">
              <a:extLst>
                <a:ext uri="{FF2B5EF4-FFF2-40B4-BE49-F238E27FC236}">
                  <a16:creationId xmlns:a16="http://schemas.microsoft.com/office/drawing/2014/main" id="{3AC22F09-E76C-9A66-109C-6141765F0CA0}"/>
                </a:ext>
              </a:extLst>
            </xdr:cNvPr>
            <xdr:cNvGraphicFramePr/>
          </xdr:nvGraphicFramePr>
          <xdr:xfrm>
            <a:off x="0" y="0"/>
            <a:ext cx="0" cy="0"/>
          </xdr:xfrm>
          <a:graphic>
            <a:graphicData uri="http://schemas.microsoft.com/office/drawing/2010/slicer">
              <sle:slicer xmlns:sle="http://schemas.microsoft.com/office/drawing/2010/slicer" name="Payment Mode"/>
            </a:graphicData>
          </a:graphic>
        </xdr:graphicFrame>
      </mc:Choice>
      <mc:Fallback>
        <xdr:sp macro="" textlink="">
          <xdr:nvSpPr>
            <xdr:cNvPr id="0" name=""/>
            <xdr:cNvSpPr>
              <a:spLocks noTextEdit="1"/>
            </xdr:cNvSpPr>
          </xdr:nvSpPr>
          <xdr:spPr>
            <a:xfrm>
              <a:off x="338880" y="5928360"/>
              <a:ext cx="1828800" cy="900000"/>
            </a:xfrm>
            <a:prstGeom prst="rect">
              <a:avLst/>
            </a:prstGeom>
            <a:solidFill>
              <a:prstClr val="white"/>
            </a:solidFill>
            <a:ln w="1">
              <a:solidFill>
                <a:prstClr val="green"/>
              </a:solidFill>
            </a:ln>
          </xdr:spPr>
          <xdr:txBody>
            <a:bodyPr vertOverflow="clip" horzOverflow="clip"/>
            <a:lstStyle/>
            <a:p>
              <a:r>
                <a:rPr lang="en-PH"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3</xdr:col>
      <xdr:colOff>121920</xdr:colOff>
      <xdr:row>9</xdr:row>
      <xdr:rowOff>133350</xdr:rowOff>
    </xdr:from>
    <xdr:to>
      <xdr:col>10</xdr:col>
      <xdr:colOff>411480</xdr:colOff>
      <xdr:row>24</xdr:row>
      <xdr:rowOff>133350</xdr:rowOff>
    </xdr:to>
    <mc:AlternateContent xmlns:mc="http://schemas.openxmlformats.org/markup-compatibility/2006">
      <mc:Choice xmlns:cx4="http://schemas.microsoft.com/office/drawing/2016/5/10/chartex" Requires="cx4">
        <xdr:graphicFrame macro="">
          <xdr:nvGraphicFramePr>
            <xdr:cNvPr id="4" name="Chart 3">
              <a:extLst>
                <a:ext uri="{FF2B5EF4-FFF2-40B4-BE49-F238E27FC236}">
                  <a16:creationId xmlns:a16="http://schemas.microsoft.com/office/drawing/2014/main" id="{9D325682-B446-1F3B-4671-926FDF486324}"/>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2758440" y="1779270"/>
              <a:ext cx="4549140" cy="2743200"/>
            </a:xfrm>
            <a:prstGeom prst="rect">
              <a:avLst/>
            </a:prstGeom>
            <a:solidFill>
              <a:prstClr val="white"/>
            </a:solidFill>
            <a:ln w="1">
              <a:solidFill>
                <a:prstClr val="green"/>
              </a:solidFill>
            </a:ln>
          </xdr:spPr>
          <xdr:txBody>
            <a:bodyPr vertOverflow="clip" horzOverflow="clip"/>
            <a:lstStyle/>
            <a:p>
              <a:r>
                <a:rPr lang="en-PH" sz="1100"/>
                <a:t>This chart isn't available in your version of Excel.
Editing this shape or saving this workbook into a different file format will permanently break the chart.</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3</xdr:col>
      <xdr:colOff>449580</xdr:colOff>
      <xdr:row>11</xdr:row>
      <xdr:rowOff>49530</xdr:rowOff>
    </xdr:from>
    <xdr:to>
      <xdr:col>15</xdr:col>
      <xdr:colOff>548640</xdr:colOff>
      <xdr:row>26</xdr:row>
      <xdr:rowOff>49530</xdr:rowOff>
    </xdr:to>
    <xdr:graphicFrame macro="">
      <xdr:nvGraphicFramePr>
        <xdr:cNvPr id="2" name="Chart 1">
          <a:extLst>
            <a:ext uri="{FF2B5EF4-FFF2-40B4-BE49-F238E27FC236}">
              <a16:creationId xmlns:a16="http://schemas.microsoft.com/office/drawing/2014/main" id="{8B532133-20EC-BD3D-203E-A6BBEAE297D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4</xdr:col>
      <xdr:colOff>99060</xdr:colOff>
      <xdr:row>11</xdr:row>
      <xdr:rowOff>49530</xdr:rowOff>
    </xdr:from>
    <xdr:to>
      <xdr:col>11</xdr:col>
      <xdr:colOff>403860</xdr:colOff>
      <xdr:row>26</xdr:row>
      <xdr:rowOff>49530</xdr:rowOff>
    </xdr:to>
    <xdr:graphicFrame macro="">
      <xdr:nvGraphicFramePr>
        <xdr:cNvPr id="3" name="Chart 2">
          <a:extLst>
            <a:ext uri="{FF2B5EF4-FFF2-40B4-BE49-F238E27FC236}">
              <a16:creationId xmlns:a16="http://schemas.microsoft.com/office/drawing/2014/main" id="{90669241-B823-5F50-E187-7D604106C04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3</xdr:col>
      <xdr:colOff>449580</xdr:colOff>
      <xdr:row>11</xdr:row>
      <xdr:rowOff>49530</xdr:rowOff>
    </xdr:from>
    <xdr:to>
      <xdr:col>11</xdr:col>
      <xdr:colOff>144780</xdr:colOff>
      <xdr:row>26</xdr:row>
      <xdr:rowOff>49530</xdr:rowOff>
    </xdr:to>
    <xdr:graphicFrame macro="">
      <xdr:nvGraphicFramePr>
        <xdr:cNvPr id="2" name="Chart 1">
          <a:extLst>
            <a:ext uri="{FF2B5EF4-FFF2-40B4-BE49-F238E27FC236}">
              <a16:creationId xmlns:a16="http://schemas.microsoft.com/office/drawing/2014/main" id="{8C6E9079-738A-39D0-9F8B-9FFD3122809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3</xdr:col>
      <xdr:colOff>541020</xdr:colOff>
      <xdr:row>11</xdr:row>
      <xdr:rowOff>49530</xdr:rowOff>
    </xdr:from>
    <xdr:to>
      <xdr:col>11</xdr:col>
      <xdr:colOff>426720</xdr:colOff>
      <xdr:row>26</xdr:row>
      <xdr:rowOff>49530</xdr:rowOff>
    </xdr:to>
    <xdr:graphicFrame macro="">
      <xdr:nvGraphicFramePr>
        <xdr:cNvPr id="6" name="Chart 5">
          <a:extLst>
            <a:ext uri="{FF2B5EF4-FFF2-40B4-BE49-F238E27FC236}">
              <a16:creationId xmlns:a16="http://schemas.microsoft.com/office/drawing/2014/main" id="{C0E811BB-182F-F57A-5DD4-FA781054B1B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7</xdr:col>
      <xdr:colOff>419100</xdr:colOff>
      <xdr:row>11</xdr:row>
      <xdr:rowOff>49530</xdr:rowOff>
    </xdr:from>
    <xdr:to>
      <xdr:col>21</xdr:col>
      <xdr:colOff>45720</xdr:colOff>
      <xdr:row>26</xdr:row>
      <xdr:rowOff>49530</xdr:rowOff>
    </xdr:to>
    <mc:AlternateContent xmlns:mc="http://schemas.openxmlformats.org/markup-compatibility/2006">
      <mc:Choice xmlns:cx1="http://schemas.microsoft.com/office/drawing/2015/9/8/chartex" Requires="cx1">
        <xdr:graphicFrame macro="">
          <xdr:nvGraphicFramePr>
            <xdr:cNvPr id="2" name="Chart 1">
              <a:extLst>
                <a:ext uri="{FF2B5EF4-FFF2-40B4-BE49-F238E27FC236}">
                  <a16:creationId xmlns:a16="http://schemas.microsoft.com/office/drawing/2014/main" id="{B6F254DD-348A-6F00-C964-811AFED8ADB3}"/>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4800600" y="2061210"/>
              <a:ext cx="4572000" cy="2743200"/>
            </a:xfrm>
            <a:prstGeom prst="rect">
              <a:avLst/>
            </a:prstGeom>
            <a:solidFill>
              <a:prstClr val="white"/>
            </a:solidFill>
            <a:ln w="1">
              <a:solidFill>
                <a:prstClr val="green"/>
              </a:solidFill>
            </a:ln>
          </xdr:spPr>
          <xdr:txBody>
            <a:bodyPr vertOverflow="clip" horzOverflow="clip"/>
            <a:lstStyle/>
            <a:p>
              <a:r>
                <a:rPr lang="en-PH" sz="1100"/>
                <a:t>This chart isn't available in your version of Excel.
Editing this shape or saving this workbook into a different file format will permanently break the chart.</a:t>
              </a:r>
            </a:p>
          </xdr:txBody>
        </xdr:sp>
      </mc:Fallback>
    </mc:AlternateContent>
    <xdr:clientData/>
  </xdr:twoCellAnchor>
</xdr:wsDr>
</file>

<file path=xl/drawings/drawing8.xml><?xml version="1.0" encoding="utf-8"?>
<xdr:wsDr xmlns:xdr="http://schemas.openxmlformats.org/drawingml/2006/spreadsheetDrawing" xmlns:a="http://schemas.openxmlformats.org/drawingml/2006/main">
  <xdr:twoCellAnchor>
    <xdr:from>
      <xdr:col>3</xdr:col>
      <xdr:colOff>0</xdr:colOff>
      <xdr:row>10</xdr:row>
      <xdr:rowOff>49530</xdr:rowOff>
    </xdr:from>
    <xdr:to>
      <xdr:col>8</xdr:col>
      <xdr:colOff>7620</xdr:colOff>
      <xdr:row>25</xdr:row>
      <xdr:rowOff>49530</xdr:rowOff>
    </xdr:to>
    <xdr:graphicFrame macro="">
      <xdr:nvGraphicFramePr>
        <xdr:cNvPr id="2" name="Chart 1">
          <a:extLst>
            <a:ext uri="{FF2B5EF4-FFF2-40B4-BE49-F238E27FC236}">
              <a16:creationId xmlns:a16="http://schemas.microsoft.com/office/drawing/2014/main" id="{2BDDD466-2388-B731-38EB-396FC13AB06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4</xdr:col>
      <xdr:colOff>342900</xdr:colOff>
      <xdr:row>10</xdr:row>
      <xdr:rowOff>64770</xdr:rowOff>
    </xdr:from>
    <xdr:to>
      <xdr:col>10</xdr:col>
      <xdr:colOff>297180</xdr:colOff>
      <xdr:row>25</xdr:row>
      <xdr:rowOff>64770</xdr:rowOff>
    </xdr:to>
    <xdr:graphicFrame macro="">
      <xdr:nvGraphicFramePr>
        <xdr:cNvPr id="4" name="Chart 3">
          <a:extLst>
            <a:ext uri="{FF2B5EF4-FFF2-40B4-BE49-F238E27FC236}">
              <a16:creationId xmlns:a16="http://schemas.microsoft.com/office/drawing/2014/main" id="{777909E8-A95A-4D22-2ADD-007E443E6CD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liel John J Malabar" refreshedDate="44854.474432523151" createdVersion="8" refreshedVersion="8" minRefreshableVersion="3" recordCount="1006" xr:uid="{6AE4E989-23E1-4FC6-A9C1-1BC2886CF4E7}">
  <cacheSource type="worksheet">
    <worksheetSource name="SalesData_2"/>
  </cacheSource>
  <cacheFields count="16">
    <cacheField name="Order Date" numFmtId="14">
      <sharedItems containsSemiMixedTypes="0" containsNonDate="0" containsDate="1" containsString="0" minDate="2020-01-01T00:00:00" maxDate="2022-10-01T00:00:00" count="633">
        <d v="2020-01-01T00:00:00"/>
        <d v="2020-01-04T00:00:00"/>
        <d v="2020-01-05T00:00:00"/>
        <d v="2020-01-06T00:00:00"/>
        <d v="2020-01-07T00:00:00"/>
        <d v="2020-01-09T00:00:00"/>
        <d v="2020-01-10T00:00:00"/>
        <d v="2020-01-11T00:00:00"/>
        <d v="2020-01-14T00:00:00"/>
        <d v="2020-01-15T00:00:00"/>
        <d v="2020-01-17T00:00:00"/>
        <d v="2020-01-20T00:00:00"/>
        <d v="2020-01-23T00:00:00"/>
        <d v="2020-01-26T00:00:00"/>
        <d v="2020-01-27T00:00:00"/>
        <d v="2020-01-28T00:00:00"/>
        <d v="2020-01-29T00:00:00"/>
        <d v="2020-02-01T00:00:00"/>
        <d v="2020-02-02T00:00:00"/>
        <d v="2020-02-03T00:00:00"/>
        <d v="2020-02-05T00:00:00"/>
        <d v="2020-02-07T00:00:00"/>
        <d v="2020-02-09T00:00:00"/>
        <d v="2020-02-12T00:00:00"/>
        <d v="2020-02-13T00:00:00"/>
        <d v="2020-02-14T00:00:00"/>
        <d v="2020-02-18T00:00:00"/>
        <d v="2020-02-19T00:00:00"/>
        <d v="2020-02-20T00:00:00"/>
        <d v="2020-02-21T00:00:00"/>
        <d v="2020-02-22T00:00:00"/>
        <d v="2020-02-23T00:00:00"/>
        <d v="2020-02-24T00:00:00"/>
        <d v="2020-02-25T00:00:00"/>
        <d v="2020-02-26T00:00:00"/>
        <d v="2020-02-28T00:00:00"/>
        <d v="2020-02-29T00:00:00"/>
        <d v="2020-03-01T00:00:00"/>
        <d v="2020-03-03T00:00:00"/>
        <d v="2020-03-04T00:00:00"/>
        <d v="2020-03-05T00:00:00"/>
        <d v="2020-03-06T00:00:00"/>
        <d v="2020-03-07T00:00:00"/>
        <d v="2020-03-10T00:00:00"/>
        <d v="2020-03-11T00:00:00"/>
        <d v="2020-03-12T00:00:00"/>
        <d v="2020-03-15T00:00:00"/>
        <d v="2020-03-16T00:00:00"/>
        <d v="2020-03-17T00:00:00"/>
        <d v="2020-03-18T00:00:00"/>
        <d v="2020-03-19T00:00:00"/>
        <d v="2020-03-20T00:00:00"/>
        <d v="2020-03-23T00:00:00"/>
        <d v="2020-03-25T00:00:00"/>
        <d v="2020-03-26T00:00:00"/>
        <d v="2020-03-28T00:00:00"/>
        <d v="2020-03-29T00:00:00"/>
        <d v="2020-03-30T00:00:00"/>
        <d v="2020-03-31T00:00:00"/>
        <d v="2020-04-01T00:00:00"/>
        <d v="2020-04-04T00:00:00"/>
        <d v="2020-04-05T00:00:00"/>
        <d v="2020-04-06T00:00:00"/>
        <d v="2020-04-07T00:00:00"/>
        <d v="2020-04-08T00:00:00"/>
        <d v="2020-04-09T00:00:00"/>
        <d v="2020-04-11T00:00:00"/>
        <d v="2020-04-13T00:00:00"/>
        <d v="2020-04-14T00:00:00"/>
        <d v="2020-04-15T00:00:00"/>
        <d v="2020-04-16T00:00:00"/>
        <d v="2020-04-17T00:00:00"/>
        <d v="2020-04-18T00:00:00"/>
        <d v="2020-04-20T00:00:00"/>
        <d v="2020-04-22T00:00:00"/>
        <d v="2020-04-23T00:00:00"/>
        <d v="2020-04-24T00:00:00"/>
        <d v="2020-04-25T00:00:00"/>
        <d v="2020-04-27T00:00:00"/>
        <d v="2020-04-29T00:00:00"/>
        <d v="2020-04-30T00:00:00"/>
        <d v="2020-05-04T00:00:00"/>
        <d v="2020-05-05T00:00:00"/>
        <d v="2020-05-06T00:00:00"/>
        <d v="2020-05-07T00:00:00"/>
        <d v="2020-05-08T00:00:00"/>
        <d v="2020-05-09T00:00:00"/>
        <d v="2020-05-11T00:00:00"/>
        <d v="2020-05-12T00:00:00"/>
        <d v="2020-05-14T00:00:00"/>
        <d v="2020-05-16T00:00:00"/>
        <d v="2020-05-17T00:00:00"/>
        <d v="2020-05-18T00:00:00"/>
        <d v="2020-05-19T00:00:00"/>
        <d v="2020-05-20T00:00:00"/>
        <d v="2020-05-21T00:00:00"/>
        <d v="2020-05-23T00:00:00"/>
        <d v="2020-05-25T00:00:00"/>
        <d v="2020-05-27T00:00:00"/>
        <d v="2020-05-28T00:00:00"/>
        <d v="2020-05-29T00:00:00"/>
        <d v="2020-05-30T00:00:00"/>
        <d v="2020-06-01T00:00:00"/>
        <d v="2020-06-03T00:00:00"/>
        <d v="2020-06-04T00:00:00"/>
        <d v="2020-06-07T00:00:00"/>
        <d v="2020-06-08T00:00:00"/>
        <d v="2020-06-09T00:00:00"/>
        <d v="2020-06-10T00:00:00"/>
        <d v="2020-06-11T00:00:00"/>
        <d v="2020-06-12T00:00:00"/>
        <d v="2020-06-16T00:00:00"/>
        <d v="2020-06-19T00:00:00"/>
        <d v="2020-06-20T00:00:00"/>
        <d v="2020-06-22T00:00:00"/>
        <d v="2020-06-23T00:00:00"/>
        <d v="2020-06-24T00:00:00"/>
        <d v="2020-06-26T00:00:00"/>
        <d v="2020-06-27T00:00:00"/>
        <d v="2020-06-28T00:00:00"/>
        <d v="2020-06-29T00:00:00"/>
        <d v="2020-07-01T00:00:00"/>
        <d v="2020-07-04T00:00:00"/>
        <d v="2020-07-05T00:00:00"/>
        <d v="2020-07-06T00:00:00"/>
        <d v="2020-07-07T00:00:00"/>
        <d v="2020-07-08T00:00:00"/>
        <d v="2020-07-09T00:00:00"/>
        <d v="2020-07-11T00:00:00"/>
        <d v="2020-07-12T00:00:00"/>
        <d v="2020-07-13T00:00:00"/>
        <d v="2020-07-15T00:00:00"/>
        <d v="2020-07-17T00:00:00"/>
        <d v="2020-07-22T00:00:00"/>
        <d v="2020-07-23T00:00:00"/>
        <d v="2020-07-27T00:00:00"/>
        <d v="2020-07-28T00:00:00"/>
        <d v="2020-07-29T00:00:00"/>
        <d v="2020-07-31T00:00:00"/>
        <d v="2020-08-01T00:00:00"/>
        <d v="2020-08-03T00:00:00"/>
        <d v="2020-08-06T00:00:00"/>
        <d v="2020-08-07T00:00:00"/>
        <d v="2020-08-08T00:00:00"/>
        <d v="2020-08-12T00:00:00"/>
        <d v="2020-08-13T00:00:00"/>
        <d v="2020-08-14T00:00:00"/>
        <d v="2020-08-15T00:00:00"/>
        <d v="2020-08-18T00:00:00"/>
        <d v="2020-08-20T00:00:00"/>
        <d v="2020-08-21T00:00:00"/>
        <d v="2020-08-22T00:00:00"/>
        <d v="2020-08-26T00:00:00"/>
        <d v="2020-08-29T00:00:00"/>
        <d v="2020-08-30T00:00:00"/>
        <d v="2020-08-31T00:00:00"/>
        <d v="2020-09-01T00:00:00"/>
        <d v="2020-09-02T00:00:00"/>
        <d v="2020-09-06T00:00:00"/>
        <d v="2020-09-07T00:00:00"/>
        <d v="2020-09-08T00:00:00"/>
        <d v="2020-09-09T00:00:00"/>
        <d v="2020-09-10T00:00:00"/>
        <d v="2020-09-12T00:00:00"/>
        <d v="2020-09-13T00:00:00"/>
        <d v="2020-09-15T00:00:00"/>
        <d v="2020-09-18T00:00:00"/>
        <d v="2020-09-19T00:00:00"/>
        <d v="2020-09-20T00:00:00"/>
        <d v="2020-09-21T00:00:00"/>
        <d v="2020-09-24T00:00:00"/>
        <d v="2020-09-25T00:00:00"/>
        <d v="2020-10-02T00:00:00"/>
        <d v="2020-10-03T00:00:00"/>
        <d v="2020-10-04T00:00:00"/>
        <d v="2020-10-05T00:00:00"/>
        <d v="2020-10-07T00:00:00"/>
        <d v="2020-10-08T00:00:00"/>
        <d v="2020-10-09T00:00:00"/>
        <d v="2020-10-10T00:00:00"/>
        <d v="2020-10-11T00:00:00"/>
        <d v="2020-10-12T00:00:00"/>
        <d v="2020-10-13T00:00:00"/>
        <d v="2020-10-14T00:00:00"/>
        <d v="2020-10-15T00:00:00"/>
        <d v="2020-10-16T00:00:00"/>
        <d v="2020-10-17T00:00:00"/>
        <d v="2020-10-18T00:00:00"/>
        <d v="2020-10-21T00:00:00"/>
        <d v="2020-10-23T00:00:00"/>
        <d v="2020-10-24T00:00:00"/>
        <d v="2020-10-25T00:00:00"/>
        <d v="2020-10-27T00:00:00"/>
        <d v="2020-10-28T00:00:00"/>
        <d v="2020-10-30T00:00:00"/>
        <d v="2020-11-01T00:00:00"/>
        <d v="2020-11-02T00:00:00"/>
        <d v="2020-11-03T00:00:00"/>
        <d v="2020-11-04T00:00:00"/>
        <d v="2020-11-06T00:00:00"/>
        <d v="2020-11-07T00:00:00"/>
        <d v="2020-11-10T00:00:00"/>
        <d v="2020-11-12T00:00:00"/>
        <d v="2020-11-13T00:00:00"/>
        <d v="2020-11-14T00:00:00"/>
        <d v="2020-11-16T00:00:00"/>
        <d v="2020-11-17T00:00:00"/>
        <d v="2020-11-18T00:00:00"/>
        <d v="2020-11-20T00:00:00"/>
        <d v="2020-11-21T00:00:00"/>
        <d v="2020-11-23T00:00:00"/>
        <d v="2020-11-25T00:00:00"/>
        <d v="2020-11-27T00:00:00"/>
        <d v="2020-11-30T00:00:00"/>
        <d v="2020-12-01T00:00:00"/>
        <d v="2020-12-02T00:00:00"/>
        <d v="2020-12-04T00:00:00"/>
        <d v="2020-12-05T00:00:00"/>
        <d v="2020-12-10T00:00:00"/>
        <d v="2020-12-11T00:00:00"/>
        <d v="2020-12-13T00:00:00"/>
        <d v="2020-12-14T00:00:00"/>
        <d v="2020-12-17T00:00:00"/>
        <d v="2020-12-18T00:00:00"/>
        <d v="2020-12-20T00:00:00"/>
        <d v="2020-12-21T00:00:00"/>
        <d v="2020-12-23T00:00:00"/>
        <d v="2020-12-24T00:00:00"/>
        <d v="2020-12-25T00:00:00"/>
        <d v="2020-12-27T00:00:00"/>
        <d v="2020-12-30T00:00:00"/>
        <d v="2021-01-04T00:00:00"/>
        <d v="2021-01-05T00:00:00"/>
        <d v="2021-01-06T00:00:00"/>
        <d v="2021-01-07T00:00:00"/>
        <d v="2021-01-09T00:00:00"/>
        <d v="2021-01-10T00:00:00"/>
        <d v="2021-01-11T00:00:00"/>
        <d v="2021-01-12T00:00:00"/>
        <d v="2021-01-13T00:00:00"/>
        <d v="2021-01-14T00:00:00"/>
        <d v="2021-01-17T00:00:00"/>
        <d v="2021-01-18T00:00:00"/>
        <d v="2021-01-21T00:00:00"/>
        <d v="2021-01-22T00:00:00"/>
        <d v="2021-01-24T00:00:00"/>
        <d v="2021-01-25T00:00:00"/>
        <d v="2021-01-26T00:00:00"/>
        <d v="2021-01-27T00:00:00"/>
        <d v="2021-01-28T00:00:00"/>
        <d v="2021-01-29T00:00:00"/>
        <d v="2021-02-01T00:00:00"/>
        <d v="2021-02-03T00:00:00"/>
        <d v="2021-02-05T00:00:00"/>
        <d v="2021-02-08T00:00:00"/>
        <d v="2021-02-09T00:00:00"/>
        <d v="2021-02-10T00:00:00"/>
        <d v="2021-02-12T00:00:00"/>
        <d v="2021-02-13T00:00:00"/>
        <d v="2021-02-14T00:00:00"/>
        <d v="2021-02-18T00:00:00"/>
        <d v="2021-02-19T00:00:00"/>
        <d v="2021-02-20T00:00:00"/>
        <d v="2021-02-22T00:00:00"/>
        <d v="2021-02-23T00:00:00"/>
        <d v="2021-02-24T00:00:00"/>
        <d v="2021-02-26T00:00:00"/>
        <d v="2021-02-27T00:00:00"/>
        <d v="2021-02-28T00:00:00"/>
        <d v="2021-03-03T00:00:00"/>
        <d v="2021-03-04T00:00:00"/>
        <d v="2021-03-10T00:00:00"/>
        <d v="2021-03-11T00:00:00"/>
        <d v="2021-03-12T00:00:00"/>
        <d v="2021-03-13T00:00:00"/>
        <d v="2021-03-15T00:00:00"/>
        <d v="2021-03-16T00:00:00"/>
        <d v="2021-03-18T00:00:00"/>
        <d v="2021-03-19T00:00:00"/>
        <d v="2021-03-20T00:00:00"/>
        <d v="2021-03-21T00:00:00"/>
        <d v="2021-03-22T00:00:00"/>
        <d v="2021-03-24T00:00:00"/>
        <d v="2021-03-26T00:00:00"/>
        <d v="2021-03-27T00:00:00"/>
        <d v="2021-03-29T00:00:00"/>
        <d v="2021-03-30T00:00:00"/>
        <d v="2021-03-31T00:00:00"/>
        <d v="2021-04-01T00:00:00"/>
        <d v="2021-04-02T00:00:00"/>
        <d v="2021-04-05T00:00:00"/>
        <d v="2021-04-06T00:00:00"/>
        <d v="2021-04-07T00:00:00"/>
        <d v="2021-04-08T00:00:00"/>
        <d v="2021-04-11T00:00:00"/>
        <d v="2021-04-12T00:00:00"/>
        <d v="2021-04-15T00:00:00"/>
        <d v="2021-04-17T00:00:00"/>
        <d v="2021-04-20T00:00:00"/>
        <d v="2021-04-21T00:00:00"/>
        <d v="2021-04-22T00:00:00"/>
        <d v="2021-04-23T00:00:00"/>
        <d v="2021-04-24T00:00:00"/>
        <d v="2021-04-26T00:00:00"/>
        <d v="2021-04-28T00:00:00"/>
        <d v="2021-04-29T00:00:00"/>
        <d v="2021-04-30T00:00:00"/>
        <d v="2021-05-02T00:00:00"/>
        <d v="2021-05-03T00:00:00"/>
        <d v="2021-05-05T00:00:00"/>
        <d v="2021-05-06T00:00:00"/>
        <d v="2021-05-08T00:00:00"/>
        <d v="2021-05-10T00:00:00"/>
        <d v="2021-05-12T00:00:00"/>
        <d v="2021-05-13T00:00:00"/>
        <d v="2021-05-14T00:00:00"/>
        <d v="2021-05-16T00:00:00"/>
        <d v="2021-05-17T00:00:00"/>
        <d v="2021-05-19T00:00:00"/>
        <d v="2021-05-22T00:00:00"/>
        <d v="2021-05-24T00:00:00"/>
        <d v="2021-05-25T00:00:00"/>
        <d v="2021-05-26T00:00:00"/>
        <d v="2021-05-28T00:00:00"/>
        <d v="2021-05-29T00:00:00"/>
        <d v="2021-05-31T00:00:00"/>
        <d v="2021-06-01T00:00:00"/>
        <d v="2021-06-05T00:00:00"/>
        <d v="2021-06-06T00:00:00"/>
        <d v="2021-06-07T00:00:00"/>
        <d v="2021-06-09T00:00:00"/>
        <d v="2021-06-10T00:00:00"/>
        <d v="2021-06-12T00:00:00"/>
        <d v="2021-06-13T00:00:00"/>
        <d v="2021-06-17T00:00:00"/>
        <d v="2021-06-18T00:00:00"/>
        <d v="2021-06-19T00:00:00"/>
        <d v="2021-06-20T00:00:00"/>
        <d v="2021-06-22T00:00:00"/>
        <d v="2021-06-23T00:00:00"/>
        <d v="2021-06-24T00:00:00"/>
        <d v="2021-06-25T00:00:00"/>
        <d v="2021-06-26T00:00:00"/>
        <d v="2021-06-28T00:00:00"/>
        <d v="2021-06-29T00:00:00"/>
        <d v="2021-06-30T00:00:00"/>
        <d v="2021-07-07T00:00:00"/>
        <d v="2021-07-09T00:00:00"/>
        <d v="2021-07-10T00:00:00"/>
        <d v="2021-07-11T00:00:00"/>
        <d v="2021-07-14T00:00:00"/>
        <d v="2021-07-15T00:00:00"/>
        <d v="2021-07-17T00:00:00"/>
        <d v="2021-07-18T00:00:00"/>
        <d v="2021-07-21T00:00:00"/>
        <d v="2021-07-24T00:00:00"/>
        <d v="2021-07-26T00:00:00"/>
        <d v="2021-07-29T00:00:00"/>
        <d v="2021-07-30T00:00:00"/>
        <d v="2021-07-31T00:00:00"/>
        <d v="2021-08-01T00:00:00"/>
        <d v="2021-08-02T00:00:00"/>
        <d v="2021-08-06T00:00:00"/>
        <d v="2021-08-07T00:00:00"/>
        <d v="2021-08-08T00:00:00"/>
        <d v="2021-08-09T00:00:00"/>
        <d v="2021-08-15T00:00:00"/>
        <d v="2021-08-16T00:00:00"/>
        <d v="2021-08-17T00:00:00"/>
        <d v="2021-08-18T00:00:00"/>
        <d v="2021-08-22T00:00:00"/>
        <d v="2021-08-24T00:00:00"/>
        <d v="2021-08-25T00:00:00"/>
        <d v="2021-08-26T00:00:00"/>
        <d v="2021-08-27T00:00:00"/>
        <d v="2021-08-28T00:00:00"/>
        <d v="2021-08-29T00:00:00"/>
        <d v="2021-08-31T00:00:00"/>
        <d v="2021-09-01T00:00:00"/>
        <d v="2021-09-03T00:00:00"/>
        <d v="2021-09-05T00:00:00"/>
        <d v="2021-09-08T00:00:00"/>
        <d v="2021-09-10T00:00:00"/>
        <d v="2021-09-11T00:00:00"/>
        <d v="2021-09-14T00:00:00"/>
        <d v="2021-09-16T00:00:00"/>
        <d v="2021-09-17T00:00:00"/>
        <d v="2021-09-20T00:00:00"/>
        <d v="2021-09-21T00:00:00"/>
        <d v="2021-09-22T00:00:00"/>
        <d v="2021-09-23T00:00:00"/>
        <d v="2021-09-24T00:00:00"/>
        <d v="2021-09-25T00:00:00"/>
        <d v="2021-09-26T00:00:00"/>
        <d v="2021-09-27T00:00:00"/>
        <d v="2021-09-28T00:00:00"/>
        <d v="2021-10-02T00:00:00"/>
        <d v="2021-10-03T00:00:00"/>
        <d v="2021-10-08T00:00:00"/>
        <d v="2021-10-09T00:00:00"/>
        <d v="2021-10-10T00:00:00"/>
        <d v="2021-10-11T00:00:00"/>
        <d v="2021-10-12T00:00:00"/>
        <d v="2021-10-13T00:00:00"/>
        <d v="2021-10-14T00:00:00"/>
        <d v="2021-10-17T00:00:00"/>
        <d v="2021-10-18T00:00:00"/>
        <d v="2021-10-19T00:00:00"/>
        <d v="2021-10-24T00:00:00"/>
        <d v="2021-10-28T00:00:00"/>
        <d v="2021-10-29T00:00:00"/>
        <d v="2021-11-01T00:00:00"/>
        <d v="2021-11-06T00:00:00"/>
        <d v="2021-11-09T00:00:00"/>
        <d v="2021-11-10T00:00:00"/>
        <d v="2021-11-11T00:00:00"/>
        <d v="2021-11-12T00:00:00"/>
        <d v="2021-11-14T00:00:00"/>
        <d v="2021-11-17T00:00:00"/>
        <d v="2021-11-18T00:00:00"/>
        <d v="2021-11-19T00:00:00"/>
        <d v="2021-11-22T00:00:00"/>
        <d v="2021-11-23T00:00:00"/>
        <d v="2021-11-24T00:00:00"/>
        <d v="2021-11-26T00:00:00"/>
        <d v="2021-11-27T00:00:00"/>
        <d v="2021-11-29T00:00:00"/>
        <d v="2021-11-30T00:00:00"/>
        <d v="2021-12-01T00:00:00"/>
        <d v="2021-12-02T00:00:00"/>
        <d v="2021-12-03T00:00:00"/>
        <d v="2021-12-04T00:00:00"/>
        <d v="2021-12-05T00:00:00"/>
        <d v="2021-12-06T00:00:00"/>
        <d v="2021-12-08T00:00:00"/>
        <d v="2021-12-10T00:00:00"/>
        <d v="2021-12-11T00:00:00"/>
        <d v="2021-12-13T00:00:00"/>
        <d v="2021-12-14T00:00:00"/>
        <d v="2021-12-16T00:00:00"/>
        <d v="2021-12-17T00:00:00"/>
        <d v="2021-12-21T00:00:00"/>
        <d v="2021-12-24T00:00:00"/>
        <d v="2021-12-25T00:00:00"/>
        <d v="2021-12-26T00:00:00"/>
        <d v="2021-12-27T00:00:00"/>
        <d v="2021-12-28T00:00:00"/>
        <d v="2021-12-29T00:00:00"/>
        <d v="2021-12-30T00:00:00"/>
        <d v="2021-12-31T00:00:00"/>
        <d v="2022-01-01T00:00:00"/>
        <d v="2022-01-03T00:00:00"/>
        <d v="2022-01-04T00:00:00"/>
        <d v="2022-01-07T00:00:00"/>
        <d v="2022-01-08T00:00:00"/>
        <d v="2022-01-09T00:00:00"/>
        <d v="2022-01-11T00:00:00"/>
        <d v="2022-01-12T00:00:00"/>
        <d v="2022-01-13T00:00:00"/>
        <d v="2022-01-14T00:00:00"/>
        <d v="2022-01-17T00:00:00"/>
        <d v="2022-01-19T00:00:00"/>
        <d v="2022-01-21T00:00:00"/>
        <d v="2022-01-22T00:00:00"/>
        <d v="2022-01-23T00:00:00"/>
        <d v="2022-01-24T00:00:00"/>
        <d v="2022-01-25T00:00:00"/>
        <d v="2022-01-26T00:00:00"/>
        <d v="2022-01-27T00:00:00"/>
        <d v="2022-01-28T00:00:00"/>
        <d v="2022-02-01T00:00:00"/>
        <d v="2022-02-04T00:00:00"/>
        <d v="2022-02-05T00:00:00"/>
        <d v="2022-02-06T00:00:00"/>
        <d v="2022-02-07T00:00:00"/>
        <d v="2022-02-08T00:00:00"/>
        <d v="2022-02-12T00:00:00"/>
        <d v="2022-02-13T00:00:00"/>
        <d v="2022-02-14T00:00:00"/>
        <d v="2022-02-15T00:00:00"/>
        <d v="2022-02-16T00:00:00"/>
        <d v="2022-02-18T00:00:00"/>
        <d v="2022-02-19T00:00:00"/>
        <d v="2022-02-20T00:00:00"/>
        <d v="2022-02-22T00:00:00"/>
        <d v="2022-02-23T00:00:00"/>
        <d v="2022-02-24T00:00:00"/>
        <d v="2022-02-25T00:00:00"/>
        <d v="2022-02-26T00:00:00"/>
        <d v="2022-02-27T00:00:00"/>
        <d v="2022-02-28T00:00:00"/>
        <d v="2022-03-01T00:00:00"/>
        <d v="2022-03-02T00:00:00"/>
        <d v="2022-03-03T00:00:00"/>
        <d v="2022-03-04T00:00:00"/>
        <d v="2022-03-05T00:00:00"/>
        <d v="2022-03-06T00:00:00"/>
        <d v="2022-03-08T00:00:00"/>
        <d v="2022-03-12T00:00:00"/>
        <d v="2022-03-13T00:00:00"/>
        <d v="2022-03-14T00:00:00"/>
        <d v="2022-03-15T00:00:00"/>
        <d v="2022-03-16T00:00:00"/>
        <d v="2022-03-18T00:00:00"/>
        <d v="2022-03-20T00:00:00"/>
        <d v="2022-03-21T00:00:00"/>
        <d v="2022-03-23T00:00:00"/>
        <d v="2022-03-24T00:00:00"/>
        <d v="2022-03-25T00:00:00"/>
        <d v="2022-03-26T00:00:00"/>
        <d v="2022-03-27T00:00:00"/>
        <d v="2022-03-28T00:00:00"/>
        <d v="2022-03-31T00:00:00"/>
        <d v="2022-04-01T00:00:00"/>
        <d v="2022-04-02T00:00:00"/>
        <d v="2022-04-06T00:00:00"/>
        <d v="2022-04-07T00:00:00"/>
        <d v="2022-04-11T00:00:00"/>
        <d v="2022-04-13T00:00:00"/>
        <d v="2022-04-16T00:00:00"/>
        <d v="2022-04-17T00:00:00"/>
        <d v="2022-04-18T00:00:00"/>
        <d v="2022-04-24T00:00:00"/>
        <d v="2022-04-25T00:00:00"/>
        <d v="2022-04-27T00:00:00"/>
        <d v="2022-04-30T00:00:00"/>
        <d v="2022-05-01T00:00:00"/>
        <d v="2022-05-04T00:00:00"/>
        <d v="2022-05-05T00:00:00"/>
        <d v="2022-05-06T00:00:00"/>
        <d v="2022-05-08T00:00:00"/>
        <d v="2022-05-09T00:00:00"/>
        <d v="2022-05-10T00:00:00"/>
        <d v="2022-05-12T00:00:00"/>
        <d v="2022-05-15T00:00:00"/>
        <d v="2022-05-16T00:00:00"/>
        <d v="2022-05-17T00:00:00"/>
        <d v="2022-05-18T00:00:00"/>
        <d v="2022-05-19T00:00:00"/>
        <d v="2022-05-21T00:00:00"/>
        <d v="2022-05-22T00:00:00"/>
        <d v="2022-05-23T00:00:00"/>
        <d v="2022-05-24T00:00:00"/>
        <d v="2022-05-26T00:00:00"/>
        <d v="2022-05-27T00:00:00"/>
        <d v="2022-05-28T00:00:00"/>
        <d v="2022-05-29T00:00:00"/>
        <d v="2022-05-30T00:00:00"/>
        <d v="2022-06-01T00:00:00"/>
        <d v="2022-06-02T00:00:00"/>
        <d v="2022-06-03T00:00:00"/>
        <d v="2022-06-05T00:00:00"/>
        <d v="2022-06-06T00:00:00"/>
        <d v="2022-06-07T00:00:00"/>
        <d v="2022-06-08T00:00:00"/>
        <d v="2022-06-09T00:00:00"/>
        <d v="2022-06-10T00:00:00"/>
        <d v="2022-06-11T00:00:00"/>
        <d v="2022-06-13T00:00:00"/>
        <d v="2022-06-14T00:00:00"/>
        <d v="2022-06-15T00:00:00"/>
        <d v="2022-06-18T00:00:00"/>
        <d v="2022-06-22T00:00:00"/>
        <d v="2022-06-25T00:00:00"/>
        <d v="2022-06-27T00:00:00"/>
        <d v="2022-06-28T00:00:00"/>
        <d v="2022-07-01T00:00:00"/>
        <d v="2022-07-03T00:00:00"/>
        <d v="2022-07-04T00:00:00"/>
        <d v="2022-07-05T00:00:00"/>
        <d v="2022-07-09T00:00:00"/>
        <d v="2022-07-11T00:00:00"/>
        <d v="2022-07-12T00:00:00"/>
        <d v="2022-07-13T00:00:00"/>
        <d v="2022-07-14T00:00:00"/>
        <d v="2022-07-15T00:00:00"/>
        <d v="2022-07-16T00:00:00"/>
        <d v="2022-07-17T00:00:00"/>
        <d v="2022-07-18T00:00:00"/>
        <d v="2022-07-19T00:00:00"/>
        <d v="2022-07-20T00:00:00"/>
        <d v="2022-07-21T00:00:00"/>
        <d v="2022-07-23T00:00:00"/>
        <d v="2022-07-24T00:00:00"/>
        <d v="2022-07-26T00:00:00"/>
        <d v="2022-07-28T00:00:00"/>
        <d v="2022-07-30T00:00:00"/>
        <d v="2022-07-31T00:00:00"/>
        <d v="2022-08-01T00:00:00"/>
        <d v="2022-08-02T00:00:00"/>
        <d v="2022-08-04T00:00:00"/>
        <d v="2022-08-06T00:00:00"/>
        <d v="2022-08-07T00:00:00"/>
        <d v="2022-08-08T00:00:00"/>
        <d v="2022-08-11T00:00:00"/>
        <d v="2022-08-13T00:00:00"/>
        <d v="2022-08-14T00:00:00"/>
        <d v="2022-08-16T00:00:00"/>
        <d v="2022-08-18T00:00:00"/>
        <d v="2022-08-19T00:00:00"/>
        <d v="2022-08-20T00:00:00"/>
        <d v="2022-08-21T00:00:00"/>
        <d v="2022-08-22T00:00:00"/>
        <d v="2022-08-23T00:00:00"/>
        <d v="2022-08-24T00:00:00"/>
        <d v="2022-08-25T00:00:00"/>
        <d v="2022-08-26T00:00:00"/>
        <d v="2022-08-27T00:00:00"/>
        <d v="2022-08-28T00:00:00"/>
        <d v="2022-08-29T00:00:00"/>
        <d v="2022-08-31T00:00:00"/>
        <d v="2022-09-01T00:00:00"/>
        <d v="2022-09-02T00:00:00"/>
        <d v="2022-09-04T00:00:00"/>
        <d v="2022-09-06T00:00:00"/>
        <d v="2022-09-07T00:00:00"/>
        <d v="2022-09-10T00:00:00"/>
        <d v="2022-09-11T00:00:00"/>
        <d v="2022-09-12T00:00:00"/>
        <d v="2022-09-13T00:00:00"/>
        <d v="2022-09-14T00:00:00"/>
        <d v="2022-09-15T00:00:00"/>
        <d v="2022-09-16T00:00:00"/>
        <d v="2022-09-19T00:00:00"/>
        <d v="2022-09-20T00:00:00"/>
        <d v="2022-09-21T00:00:00"/>
        <d v="2022-09-22T00:00:00"/>
        <d v="2022-09-23T00:00:00"/>
        <d v="2022-09-24T00:00:00"/>
        <d v="2022-09-25T00:00:00"/>
        <d v="2022-09-27T00:00:00"/>
        <d v="2022-09-28T00:00:00"/>
        <d v="2022-09-30T00:00:00"/>
      </sharedItems>
      <fieldGroup par="15" base="0">
        <rangePr groupBy="months" startDate="2020-01-01T00:00:00" endDate="2022-10-01T00:00:00"/>
        <groupItems count="14">
          <s v="&lt;1 01 2020"/>
          <s v="Jan"/>
          <s v="Feb"/>
          <s v="Mar"/>
          <s v="Apr"/>
          <s v="May"/>
          <s v="Jun"/>
          <s v="Jul"/>
          <s v="Aug"/>
          <s v="Sep"/>
          <s v="Oct"/>
          <s v="Nov"/>
          <s v="Dec"/>
          <s v="&gt;1 10 2022"/>
        </groupItems>
      </fieldGroup>
    </cacheField>
    <cacheField name="Delivery Date" numFmtId="14">
      <sharedItems containsSemiMixedTypes="0" containsNonDate="0" containsDate="1" containsString="0" minDate="2020-01-03T00:00:00" maxDate="2022-10-05T00:00:00"/>
    </cacheField>
    <cacheField name="Delivery Duration (Days)" numFmtId="0">
      <sharedItems containsSemiMixedTypes="0" containsString="0" containsNumber="1" containsInteger="1" minValue="1" maxValue="7"/>
    </cacheField>
    <cacheField name="Product" numFmtId="0">
      <sharedItems count="22">
        <s v="Product 5"/>
        <s v="Product 3"/>
        <s v="Product 12"/>
        <s v="Product 17"/>
        <s v="Product 16"/>
        <s v="Product 6"/>
        <s v="Product 4"/>
        <s v="Product 22"/>
        <s v="Product 18"/>
        <s v="Product 19"/>
        <s v="Product 7"/>
        <s v="Product 11"/>
        <s v="Product 1"/>
        <s v="Product 2"/>
        <s v="Product 10"/>
        <s v="Product 13"/>
        <s v="Product 14"/>
        <s v="Product 21"/>
        <s v="Product 9"/>
        <s v="Product 15"/>
        <s v="Product 20"/>
        <s v="Product 8"/>
      </sharedItems>
    </cacheField>
    <cacheField name="Unit Price" numFmtId="164">
      <sharedItems containsSemiMixedTypes="0" containsString="0" containsNumber="1" containsInteger="1" minValue="59" maxValue="490"/>
    </cacheField>
    <cacheField name="Unit Cost" numFmtId="164">
      <sharedItems containsSemiMixedTypes="0" containsString="0" containsNumber="1" minValue="41.3" maxValue="303.60000000000002"/>
    </cacheField>
    <cacheField name="Units Sold" numFmtId="0">
      <sharedItems containsSemiMixedTypes="0" containsString="0" containsNumber="1" containsInteger="1" minValue="1" maxValue="9"/>
    </cacheField>
    <cacheField name="Sales" numFmtId="164">
      <sharedItems containsSemiMixedTypes="0" containsString="0" containsNumber="1" containsInteger="1" minValue="59" maxValue="4410"/>
    </cacheField>
    <cacheField name="COGS" numFmtId="164">
      <sharedItems containsSemiMixedTypes="0" containsString="0" containsNumber="1" minValue="41.3" maxValue="2732.4"/>
    </cacheField>
    <cacheField name="Revenue" numFmtId="164">
      <sharedItems containsSemiMixedTypes="0" containsString="0" containsNumber="1" minValue="17.700000000000003" maxValue="1719.9"/>
    </cacheField>
    <cacheField name="Profit  Margin " numFmtId="9">
      <sharedItems containsSemiMixedTypes="0" containsString="0" containsNumber="1" minValue="0.25" maxValue="0.39000000000000007"/>
    </cacheField>
    <cacheField name="Location" numFmtId="0">
      <sharedItems count="48">
        <s v="Mississippi"/>
        <s v="Maine"/>
        <s v="New York"/>
        <s v="Pennsylvania"/>
        <s v="Delaware"/>
        <s v="Alabama"/>
        <s v="Virgninia"/>
        <s v="New Mexico"/>
        <s v="South Carolina"/>
        <s v="Utah"/>
        <s v="Florida"/>
        <s v="Connecticut"/>
        <s v="Illinois"/>
        <s v="New Jersey"/>
        <s v="Minnesota"/>
        <s v="Michigan"/>
        <s v="Oklahoma"/>
        <s v="Vermont"/>
        <s v="Kansas"/>
        <s v="Tennessee"/>
        <s v="Kentucky"/>
        <s v="Rhode Island"/>
        <s v="California"/>
        <s v="Washington"/>
        <s v="Missouri"/>
        <s v="Nevada"/>
        <s v="West Virginina"/>
        <s v="Ohio"/>
        <s v="Oregon"/>
        <s v="Massachusetts"/>
        <s v="Arizona"/>
        <s v="New Hampshire"/>
        <s v="Indiana"/>
        <s v="Nebraska"/>
        <s v="Colorado"/>
        <s v="Arkansas"/>
        <s v="South Dakota"/>
        <s v="Louisiana"/>
        <s v="Georgia"/>
        <s v="Idaho"/>
        <s v="Maryland"/>
        <s v="Wyoming"/>
        <s v="Iowa"/>
        <s v="Wisconsin"/>
        <s v="Texas"/>
        <s v="North Carolina"/>
        <s v="Montana"/>
        <s v="North Dakota"/>
      </sharedItems>
    </cacheField>
    <cacheField name="Customer Acquisition" numFmtId="0">
      <sharedItems count="5">
        <s v="Organic"/>
        <s v="Referral Promo"/>
        <s v="TV Ads"/>
        <s v="Return Customer"/>
        <s v="Online Ads"/>
      </sharedItems>
    </cacheField>
    <cacheField name="Payment Mode" numFmtId="0">
      <sharedItems count="2">
        <s v="Installment"/>
        <s v="Cash"/>
      </sharedItems>
    </cacheField>
    <cacheField name="Quarters" numFmtId="0" databaseField="0">
      <fieldGroup base="0">
        <rangePr groupBy="quarters" startDate="2020-01-01T00:00:00" endDate="2022-10-01T00:00:00"/>
        <groupItems count="6">
          <s v="&lt;1 01 2020"/>
          <s v="Qtr1"/>
          <s v="Qtr2"/>
          <s v="Qtr3"/>
          <s v="Qtr4"/>
          <s v="&gt;1 10 2022"/>
        </groupItems>
      </fieldGroup>
    </cacheField>
    <cacheField name="Years" numFmtId="0" databaseField="0">
      <fieldGroup base="0">
        <rangePr groupBy="years" startDate="2020-01-01T00:00:00" endDate="2022-10-01T00:00:00"/>
        <groupItems count="5">
          <s v="&lt;1 01 2020"/>
          <s v="2020"/>
          <s v="2021"/>
          <s v="2022"/>
          <s v="&gt;1 10 2022"/>
        </groupItems>
      </fieldGroup>
    </cacheField>
  </cacheFields>
  <extLst>
    <ext xmlns:x14="http://schemas.microsoft.com/office/spreadsheetml/2009/9/main" uri="{725AE2AE-9491-48be-B2B4-4EB974FC3084}">
      <x14:pivotCacheDefinition pivotCacheId="300929959"/>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6">
  <r>
    <x v="0"/>
    <d v="2020-01-04T00:00:00"/>
    <n v="3"/>
    <x v="0"/>
    <n v="99"/>
    <n v="62.37"/>
    <n v="7"/>
    <n v="693"/>
    <n v="436.59"/>
    <n v="256.41000000000003"/>
    <n v="0.37000000000000005"/>
    <x v="0"/>
    <x v="0"/>
    <x v="0"/>
  </r>
  <r>
    <x v="0"/>
    <d v="2020-01-03T00:00:00"/>
    <n v="2"/>
    <x v="1"/>
    <n v="390"/>
    <n v="288.60000000000002"/>
    <n v="9"/>
    <n v="3510"/>
    <n v="2597.4"/>
    <n v="912.59999999999991"/>
    <n v="0.25999999999999995"/>
    <x v="1"/>
    <x v="1"/>
    <x v="0"/>
  </r>
  <r>
    <x v="1"/>
    <d v="2020-01-10T00:00:00"/>
    <n v="6"/>
    <x v="2"/>
    <n v="445"/>
    <n v="280.35000000000002"/>
    <n v="7"/>
    <n v="3115"/>
    <n v="1962.4500000000003"/>
    <n v="1152.5499999999997"/>
    <n v="0.36999999999999994"/>
    <x v="2"/>
    <x v="1"/>
    <x v="1"/>
  </r>
  <r>
    <x v="1"/>
    <d v="2020-01-10T00:00:00"/>
    <n v="6"/>
    <x v="3"/>
    <n v="80"/>
    <n v="48.8"/>
    <n v="6"/>
    <n v="480"/>
    <n v="292.79999999999995"/>
    <n v="187.20000000000005"/>
    <n v="0.39000000000000007"/>
    <x v="3"/>
    <x v="0"/>
    <x v="0"/>
  </r>
  <r>
    <x v="2"/>
    <d v="2020-01-11T00:00:00"/>
    <n v="6"/>
    <x v="4"/>
    <n v="195"/>
    <n v="138.44999999999999"/>
    <n v="5"/>
    <n v="975"/>
    <n v="692.25"/>
    <n v="282.75"/>
    <n v="0.28999999999999998"/>
    <x v="4"/>
    <x v="0"/>
    <x v="1"/>
  </r>
  <r>
    <x v="2"/>
    <d v="2020-01-08T00:00:00"/>
    <n v="3"/>
    <x v="0"/>
    <n v="99"/>
    <n v="62.37"/>
    <n v="4"/>
    <n v="396"/>
    <n v="249.48"/>
    <n v="146.52000000000001"/>
    <n v="0.37000000000000005"/>
    <x v="5"/>
    <x v="1"/>
    <x v="0"/>
  </r>
  <r>
    <x v="2"/>
    <d v="2020-01-10T00:00:00"/>
    <n v="5"/>
    <x v="5"/>
    <n v="250"/>
    <n v="167.5"/>
    <n v="4"/>
    <n v="1000"/>
    <n v="670"/>
    <n v="330"/>
    <n v="0.33"/>
    <x v="2"/>
    <x v="2"/>
    <x v="0"/>
  </r>
  <r>
    <x v="3"/>
    <d v="2020-01-07T00:00:00"/>
    <n v="1"/>
    <x v="6"/>
    <n v="290"/>
    <n v="185.6"/>
    <n v="5"/>
    <n v="1450"/>
    <n v="928"/>
    <n v="522"/>
    <n v="0.36"/>
    <x v="6"/>
    <x v="0"/>
    <x v="0"/>
  </r>
  <r>
    <x v="4"/>
    <d v="2020-01-12T00:00:00"/>
    <n v="5"/>
    <x v="6"/>
    <n v="290"/>
    <n v="185.6"/>
    <n v="9"/>
    <n v="2610"/>
    <n v="1670.3999999999999"/>
    <n v="939.60000000000014"/>
    <n v="0.36000000000000004"/>
    <x v="2"/>
    <x v="2"/>
    <x v="0"/>
  </r>
  <r>
    <x v="5"/>
    <d v="2020-01-10T00:00:00"/>
    <n v="1"/>
    <x v="7"/>
    <n v="275"/>
    <n v="200.75"/>
    <n v="7"/>
    <n v="1925"/>
    <n v="1405.25"/>
    <n v="519.75"/>
    <n v="0.27"/>
    <x v="7"/>
    <x v="2"/>
    <x v="1"/>
  </r>
  <r>
    <x v="6"/>
    <d v="2020-01-13T00:00:00"/>
    <n v="3"/>
    <x v="2"/>
    <n v="445"/>
    <n v="280.35000000000002"/>
    <n v="5"/>
    <n v="2225"/>
    <n v="1401.75"/>
    <n v="823.25"/>
    <n v="0.37"/>
    <x v="8"/>
    <x v="3"/>
    <x v="1"/>
  </r>
  <r>
    <x v="7"/>
    <d v="2020-01-18T00:00:00"/>
    <n v="7"/>
    <x v="2"/>
    <n v="445"/>
    <n v="280.35000000000002"/>
    <n v="1"/>
    <n v="445"/>
    <n v="280.35000000000002"/>
    <n v="164.64999999999998"/>
    <n v="0.36999999999999994"/>
    <x v="9"/>
    <x v="3"/>
    <x v="1"/>
  </r>
  <r>
    <x v="8"/>
    <d v="2020-01-18T00:00:00"/>
    <n v="4"/>
    <x v="8"/>
    <n v="220"/>
    <n v="154"/>
    <n v="6"/>
    <n v="1320"/>
    <n v="924"/>
    <n v="396"/>
    <n v="0.3"/>
    <x v="10"/>
    <x v="0"/>
    <x v="1"/>
  </r>
  <r>
    <x v="9"/>
    <d v="2020-01-20T00:00:00"/>
    <n v="5"/>
    <x v="9"/>
    <n v="440"/>
    <n v="286"/>
    <n v="6"/>
    <n v="2640"/>
    <n v="1716"/>
    <n v="924"/>
    <n v="0.35"/>
    <x v="11"/>
    <x v="2"/>
    <x v="1"/>
  </r>
  <r>
    <x v="10"/>
    <d v="2020-01-24T00:00:00"/>
    <n v="7"/>
    <x v="10"/>
    <n v="59"/>
    <n v="41.3"/>
    <n v="4"/>
    <n v="236"/>
    <n v="165.2"/>
    <n v="70.800000000000011"/>
    <n v="0.30000000000000004"/>
    <x v="12"/>
    <x v="4"/>
    <x v="1"/>
  </r>
  <r>
    <x v="11"/>
    <d v="2020-01-26T00:00:00"/>
    <n v="6"/>
    <x v="11"/>
    <n v="320"/>
    <n v="233.6"/>
    <n v="1"/>
    <n v="320"/>
    <n v="233.6"/>
    <n v="86.4"/>
    <n v="0.27"/>
    <x v="4"/>
    <x v="3"/>
    <x v="1"/>
  </r>
  <r>
    <x v="12"/>
    <d v="2020-01-25T00:00:00"/>
    <n v="2"/>
    <x v="12"/>
    <n v="250"/>
    <n v="187.5"/>
    <n v="8"/>
    <n v="2000"/>
    <n v="1500"/>
    <n v="500"/>
    <n v="0.25"/>
    <x v="3"/>
    <x v="4"/>
    <x v="1"/>
  </r>
  <r>
    <x v="12"/>
    <d v="2020-01-25T00:00:00"/>
    <n v="2"/>
    <x v="6"/>
    <n v="290"/>
    <n v="185.6"/>
    <n v="7"/>
    <n v="2030"/>
    <n v="1299.2"/>
    <n v="730.8"/>
    <n v="0.36"/>
    <x v="13"/>
    <x v="1"/>
    <x v="1"/>
  </r>
  <r>
    <x v="13"/>
    <d v="2020-01-28T00:00:00"/>
    <n v="2"/>
    <x v="12"/>
    <n v="250"/>
    <n v="187.5"/>
    <n v="6"/>
    <n v="1500"/>
    <n v="1125"/>
    <n v="375"/>
    <n v="0.25"/>
    <x v="14"/>
    <x v="3"/>
    <x v="0"/>
  </r>
  <r>
    <x v="14"/>
    <d v="2020-02-02T00:00:00"/>
    <n v="6"/>
    <x v="6"/>
    <n v="290"/>
    <n v="185.6"/>
    <n v="8"/>
    <n v="2320"/>
    <n v="1484.8"/>
    <n v="835.2"/>
    <n v="0.36000000000000004"/>
    <x v="11"/>
    <x v="0"/>
    <x v="0"/>
  </r>
  <r>
    <x v="14"/>
    <d v="2020-01-28T00:00:00"/>
    <n v="1"/>
    <x v="13"/>
    <n v="95"/>
    <n v="60.8"/>
    <n v="1"/>
    <n v="95"/>
    <n v="60.8"/>
    <n v="34.200000000000003"/>
    <n v="0.36000000000000004"/>
    <x v="15"/>
    <x v="0"/>
    <x v="1"/>
  </r>
  <r>
    <x v="14"/>
    <d v="2020-01-31T00:00:00"/>
    <n v="4"/>
    <x v="1"/>
    <n v="390"/>
    <n v="288.60000000000002"/>
    <n v="3"/>
    <n v="1170"/>
    <n v="865.80000000000007"/>
    <n v="304.19999999999993"/>
    <n v="0.25999999999999995"/>
    <x v="9"/>
    <x v="1"/>
    <x v="0"/>
  </r>
  <r>
    <x v="15"/>
    <d v="2020-01-30T00:00:00"/>
    <n v="2"/>
    <x v="1"/>
    <n v="390"/>
    <n v="288.60000000000002"/>
    <n v="5"/>
    <n v="1950"/>
    <n v="1443"/>
    <n v="507"/>
    <n v="0.26"/>
    <x v="2"/>
    <x v="0"/>
    <x v="0"/>
  </r>
  <r>
    <x v="15"/>
    <d v="2020-02-03T00:00:00"/>
    <n v="6"/>
    <x v="4"/>
    <n v="195"/>
    <n v="138.44999999999999"/>
    <n v="6"/>
    <n v="1170"/>
    <n v="830.69999999999993"/>
    <n v="339.30000000000007"/>
    <n v="0.29000000000000004"/>
    <x v="12"/>
    <x v="2"/>
    <x v="0"/>
  </r>
  <r>
    <x v="16"/>
    <d v="2020-02-05T00:00:00"/>
    <n v="7"/>
    <x v="8"/>
    <n v="220"/>
    <n v="154"/>
    <n v="2"/>
    <n v="440"/>
    <n v="308"/>
    <n v="132"/>
    <n v="0.3"/>
    <x v="16"/>
    <x v="4"/>
    <x v="1"/>
  </r>
  <r>
    <x v="16"/>
    <d v="2020-02-01T00:00:00"/>
    <n v="3"/>
    <x v="13"/>
    <n v="95"/>
    <n v="60.8"/>
    <n v="6"/>
    <n v="570"/>
    <n v="364.79999999999995"/>
    <n v="205.20000000000005"/>
    <n v="0.3600000000000001"/>
    <x v="4"/>
    <x v="4"/>
    <x v="0"/>
  </r>
  <r>
    <x v="17"/>
    <d v="2020-02-03T00:00:00"/>
    <n v="2"/>
    <x v="0"/>
    <n v="99"/>
    <n v="62.37"/>
    <n v="7"/>
    <n v="693"/>
    <n v="436.59"/>
    <n v="256.41000000000003"/>
    <n v="0.37000000000000005"/>
    <x v="3"/>
    <x v="0"/>
    <x v="1"/>
  </r>
  <r>
    <x v="18"/>
    <d v="2020-02-07T00:00:00"/>
    <n v="5"/>
    <x v="0"/>
    <n v="99"/>
    <n v="62.37"/>
    <n v="1"/>
    <n v="99"/>
    <n v="62.37"/>
    <n v="36.630000000000003"/>
    <n v="0.37000000000000005"/>
    <x v="17"/>
    <x v="4"/>
    <x v="0"/>
  </r>
  <r>
    <x v="19"/>
    <d v="2020-02-04T00:00:00"/>
    <n v="1"/>
    <x v="14"/>
    <n v="490"/>
    <n v="298.89999999999998"/>
    <n v="5"/>
    <n v="2450"/>
    <n v="1494.5"/>
    <n v="955.5"/>
    <n v="0.39"/>
    <x v="18"/>
    <x v="3"/>
    <x v="1"/>
  </r>
  <r>
    <x v="19"/>
    <d v="2020-02-07T00:00:00"/>
    <n v="4"/>
    <x v="7"/>
    <n v="275"/>
    <n v="200.75"/>
    <n v="6"/>
    <n v="1650"/>
    <n v="1204.5"/>
    <n v="445.5"/>
    <n v="0.27"/>
    <x v="19"/>
    <x v="0"/>
    <x v="0"/>
  </r>
  <r>
    <x v="20"/>
    <d v="2020-02-07T00:00:00"/>
    <n v="2"/>
    <x v="7"/>
    <n v="275"/>
    <n v="200.75"/>
    <n v="3"/>
    <n v="825"/>
    <n v="602.25"/>
    <n v="222.75"/>
    <n v="0.27"/>
    <x v="3"/>
    <x v="1"/>
    <x v="1"/>
  </r>
  <r>
    <x v="20"/>
    <d v="2020-02-07T00:00:00"/>
    <n v="2"/>
    <x v="15"/>
    <n v="375"/>
    <n v="247.5"/>
    <n v="8"/>
    <n v="3000"/>
    <n v="1980"/>
    <n v="1020"/>
    <n v="0.34"/>
    <x v="20"/>
    <x v="0"/>
    <x v="1"/>
  </r>
  <r>
    <x v="20"/>
    <d v="2020-02-09T00:00:00"/>
    <n v="4"/>
    <x v="6"/>
    <n v="290"/>
    <n v="185.6"/>
    <n v="6"/>
    <n v="1740"/>
    <n v="1113.5999999999999"/>
    <n v="626.40000000000009"/>
    <n v="0.36000000000000004"/>
    <x v="10"/>
    <x v="2"/>
    <x v="1"/>
  </r>
  <r>
    <x v="21"/>
    <d v="2020-02-10T00:00:00"/>
    <n v="3"/>
    <x v="9"/>
    <n v="440"/>
    <n v="286"/>
    <n v="6"/>
    <n v="2640"/>
    <n v="1716"/>
    <n v="924"/>
    <n v="0.35"/>
    <x v="21"/>
    <x v="1"/>
    <x v="1"/>
  </r>
  <r>
    <x v="21"/>
    <d v="2020-02-10T00:00:00"/>
    <n v="3"/>
    <x v="5"/>
    <n v="250"/>
    <n v="167.5"/>
    <n v="8"/>
    <n v="2000"/>
    <n v="1340"/>
    <n v="660"/>
    <n v="0.33"/>
    <x v="22"/>
    <x v="0"/>
    <x v="1"/>
  </r>
  <r>
    <x v="22"/>
    <d v="2020-02-16T00:00:00"/>
    <n v="7"/>
    <x v="7"/>
    <n v="275"/>
    <n v="200.75"/>
    <n v="2"/>
    <n v="550"/>
    <n v="401.5"/>
    <n v="148.5"/>
    <n v="0.27"/>
    <x v="23"/>
    <x v="0"/>
    <x v="0"/>
  </r>
  <r>
    <x v="23"/>
    <d v="2020-02-15T00:00:00"/>
    <n v="3"/>
    <x v="4"/>
    <n v="195"/>
    <n v="138.44999999999999"/>
    <n v="9"/>
    <n v="1755"/>
    <n v="1246.05"/>
    <n v="508.95000000000005"/>
    <n v="0.29000000000000004"/>
    <x v="24"/>
    <x v="4"/>
    <x v="1"/>
  </r>
  <r>
    <x v="24"/>
    <d v="2020-02-18T00:00:00"/>
    <n v="5"/>
    <x v="16"/>
    <n v="110"/>
    <n v="78.099999999999994"/>
    <n v="5"/>
    <n v="550"/>
    <n v="390.5"/>
    <n v="159.5"/>
    <n v="0.28999999999999998"/>
    <x v="25"/>
    <x v="4"/>
    <x v="0"/>
  </r>
  <r>
    <x v="25"/>
    <d v="2020-02-21T00:00:00"/>
    <n v="7"/>
    <x v="15"/>
    <n v="375"/>
    <n v="247.5"/>
    <n v="1"/>
    <n v="375"/>
    <n v="247.5"/>
    <n v="127.5"/>
    <n v="0.34"/>
    <x v="22"/>
    <x v="1"/>
    <x v="1"/>
  </r>
  <r>
    <x v="25"/>
    <d v="2020-02-19T00:00:00"/>
    <n v="5"/>
    <x v="17"/>
    <n v="460"/>
    <n v="303.60000000000002"/>
    <n v="6"/>
    <n v="2760"/>
    <n v="1821.6000000000001"/>
    <n v="938.39999999999986"/>
    <n v="0.33999999999999997"/>
    <x v="11"/>
    <x v="0"/>
    <x v="0"/>
  </r>
  <r>
    <x v="25"/>
    <d v="2020-02-18T00:00:00"/>
    <n v="4"/>
    <x v="1"/>
    <n v="390"/>
    <n v="288.60000000000002"/>
    <n v="7"/>
    <n v="2730"/>
    <n v="2020.2000000000003"/>
    <n v="709.79999999999973"/>
    <n v="0.2599999999999999"/>
    <x v="14"/>
    <x v="4"/>
    <x v="1"/>
  </r>
  <r>
    <x v="25"/>
    <d v="2020-02-15T00:00:00"/>
    <n v="1"/>
    <x v="8"/>
    <n v="220"/>
    <n v="154"/>
    <n v="8"/>
    <n v="1760"/>
    <n v="1232"/>
    <n v="528"/>
    <n v="0.3"/>
    <x v="26"/>
    <x v="3"/>
    <x v="0"/>
  </r>
  <r>
    <x v="26"/>
    <d v="2020-02-23T00:00:00"/>
    <n v="5"/>
    <x v="3"/>
    <n v="80"/>
    <n v="48.8"/>
    <n v="2"/>
    <n v="160"/>
    <n v="97.6"/>
    <n v="62.400000000000006"/>
    <n v="0.39"/>
    <x v="27"/>
    <x v="4"/>
    <x v="0"/>
  </r>
  <r>
    <x v="27"/>
    <d v="2020-02-20T00:00:00"/>
    <n v="1"/>
    <x v="18"/>
    <n v="390"/>
    <n v="253.5"/>
    <n v="9"/>
    <n v="3510"/>
    <n v="2281.5"/>
    <n v="1228.5"/>
    <n v="0.35"/>
    <x v="14"/>
    <x v="0"/>
    <x v="0"/>
  </r>
  <r>
    <x v="28"/>
    <d v="2020-02-23T00:00:00"/>
    <n v="3"/>
    <x v="10"/>
    <n v="59"/>
    <n v="41.3"/>
    <n v="3"/>
    <n v="177"/>
    <n v="123.89999999999999"/>
    <n v="53.100000000000009"/>
    <n v="0.30000000000000004"/>
    <x v="28"/>
    <x v="4"/>
    <x v="1"/>
  </r>
  <r>
    <x v="29"/>
    <d v="2020-02-23T00:00:00"/>
    <n v="2"/>
    <x v="14"/>
    <n v="490"/>
    <n v="298.89999999999998"/>
    <n v="3"/>
    <n v="1470"/>
    <n v="896.69999999999993"/>
    <n v="573.30000000000007"/>
    <n v="0.39000000000000007"/>
    <x v="29"/>
    <x v="4"/>
    <x v="1"/>
  </r>
  <r>
    <x v="30"/>
    <d v="2020-02-25T00:00:00"/>
    <n v="3"/>
    <x v="10"/>
    <n v="59"/>
    <n v="41.3"/>
    <n v="9"/>
    <n v="531"/>
    <n v="371.7"/>
    <n v="159.30000000000001"/>
    <n v="0.30000000000000004"/>
    <x v="30"/>
    <x v="1"/>
    <x v="1"/>
  </r>
  <r>
    <x v="30"/>
    <d v="2020-02-28T00:00:00"/>
    <n v="6"/>
    <x v="9"/>
    <n v="440"/>
    <n v="286"/>
    <n v="4"/>
    <n v="1760"/>
    <n v="1144"/>
    <n v="616"/>
    <n v="0.35"/>
    <x v="8"/>
    <x v="1"/>
    <x v="0"/>
  </r>
  <r>
    <x v="31"/>
    <d v="2020-02-28T00:00:00"/>
    <n v="5"/>
    <x v="9"/>
    <n v="440"/>
    <n v="286"/>
    <n v="6"/>
    <n v="2640"/>
    <n v="1716"/>
    <n v="924"/>
    <n v="0.35"/>
    <x v="31"/>
    <x v="3"/>
    <x v="1"/>
  </r>
  <r>
    <x v="31"/>
    <d v="2020-02-25T00:00:00"/>
    <n v="2"/>
    <x v="18"/>
    <n v="390"/>
    <n v="253.5"/>
    <n v="9"/>
    <n v="3510"/>
    <n v="2281.5"/>
    <n v="1228.5"/>
    <n v="0.35"/>
    <x v="32"/>
    <x v="2"/>
    <x v="0"/>
  </r>
  <r>
    <x v="32"/>
    <d v="2020-02-25T00:00:00"/>
    <n v="1"/>
    <x v="17"/>
    <n v="460"/>
    <n v="303.60000000000002"/>
    <n v="5"/>
    <n v="2300"/>
    <n v="1518"/>
    <n v="782"/>
    <n v="0.34"/>
    <x v="33"/>
    <x v="2"/>
    <x v="0"/>
  </r>
  <r>
    <x v="32"/>
    <d v="2020-03-02T00:00:00"/>
    <n v="7"/>
    <x v="12"/>
    <n v="250"/>
    <n v="187.5"/>
    <n v="4"/>
    <n v="1000"/>
    <n v="750"/>
    <n v="250"/>
    <n v="0.25"/>
    <x v="34"/>
    <x v="3"/>
    <x v="1"/>
  </r>
  <r>
    <x v="33"/>
    <d v="2020-02-27T00:00:00"/>
    <n v="2"/>
    <x v="1"/>
    <n v="390"/>
    <n v="288.60000000000002"/>
    <n v="2"/>
    <n v="780"/>
    <n v="577.20000000000005"/>
    <n v="202.79999999999995"/>
    <n v="0.25999999999999995"/>
    <x v="21"/>
    <x v="4"/>
    <x v="1"/>
  </r>
  <r>
    <x v="34"/>
    <d v="2020-02-29T00:00:00"/>
    <n v="3"/>
    <x v="7"/>
    <n v="275"/>
    <n v="200.75"/>
    <n v="8"/>
    <n v="2200"/>
    <n v="1606"/>
    <n v="594"/>
    <n v="0.27"/>
    <x v="17"/>
    <x v="3"/>
    <x v="0"/>
  </r>
  <r>
    <x v="35"/>
    <d v="2020-03-04T00:00:00"/>
    <n v="5"/>
    <x v="1"/>
    <n v="390"/>
    <n v="288.60000000000002"/>
    <n v="5"/>
    <n v="1950"/>
    <n v="1443"/>
    <n v="507"/>
    <n v="0.26"/>
    <x v="15"/>
    <x v="2"/>
    <x v="1"/>
  </r>
  <r>
    <x v="35"/>
    <d v="2020-03-04T00:00:00"/>
    <n v="5"/>
    <x v="9"/>
    <n v="440"/>
    <n v="286"/>
    <n v="3"/>
    <n v="1320"/>
    <n v="858"/>
    <n v="462"/>
    <n v="0.35"/>
    <x v="23"/>
    <x v="4"/>
    <x v="1"/>
  </r>
  <r>
    <x v="35"/>
    <d v="2020-03-06T00:00:00"/>
    <n v="7"/>
    <x v="17"/>
    <n v="460"/>
    <n v="303.60000000000002"/>
    <n v="2"/>
    <n v="920"/>
    <n v="607.20000000000005"/>
    <n v="312.79999999999995"/>
    <n v="0.33999999999999997"/>
    <x v="22"/>
    <x v="2"/>
    <x v="1"/>
  </r>
  <r>
    <x v="36"/>
    <d v="2020-03-02T00:00:00"/>
    <n v="2"/>
    <x v="14"/>
    <n v="490"/>
    <n v="298.89999999999998"/>
    <n v="4"/>
    <n v="1960"/>
    <n v="1195.5999999999999"/>
    <n v="764.40000000000009"/>
    <n v="0.39000000000000007"/>
    <x v="33"/>
    <x v="3"/>
    <x v="0"/>
  </r>
  <r>
    <x v="37"/>
    <d v="2020-03-05T00:00:00"/>
    <n v="4"/>
    <x v="11"/>
    <n v="320"/>
    <n v="233.6"/>
    <n v="6"/>
    <n v="1920"/>
    <n v="1401.6"/>
    <n v="518.40000000000009"/>
    <n v="0.27000000000000007"/>
    <x v="34"/>
    <x v="4"/>
    <x v="0"/>
  </r>
  <r>
    <x v="38"/>
    <d v="2020-03-07T00:00:00"/>
    <n v="4"/>
    <x v="17"/>
    <n v="460"/>
    <n v="303.60000000000002"/>
    <n v="5"/>
    <n v="2300"/>
    <n v="1518"/>
    <n v="782"/>
    <n v="0.34"/>
    <x v="9"/>
    <x v="4"/>
    <x v="0"/>
  </r>
  <r>
    <x v="39"/>
    <d v="2020-03-07T00:00:00"/>
    <n v="3"/>
    <x v="3"/>
    <n v="80"/>
    <n v="48.8"/>
    <n v="1"/>
    <n v="80"/>
    <n v="48.8"/>
    <n v="31.200000000000003"/>
    <n v="0.39"/>
    <x v="21"/>
    <x v="4"/>
    <x v="0"/>
  </r>
  <r>
    <x v="39"/>
    <d v="2020-03-05T00:00:00"/>
    <n v="1"/>
    <x v="19"/>
    <n v="145"/>
    <n v="105.85"/>
    <n v="6"/>
    <n v="870"/>
    <n v="635.09999999999991"/>
    <n v="234.90000000000009"/>
    <n v="0.27000000000000013"/>
    <x v="28"/>
    <x v="3"/>
    <x v="0"/>
  </r>
  <r>
    <x v="40"/>
    <d v="2020-03-11T00:00:00"/>
    <n v="6"/>
    <x v="16"/>
    <n v="110"/>
    <n v="78.099999999999994"/>
    <n v="8"/>
    <n v="880"/>
    <n v="624.79999999999995"/>
    <n v="255.20000000000005"/>
    <n v="0.29000000000000004"/>
    <x v="7"/>
    <x v="0"/>
    <x v="0"/>
  </r>
  <r>
    <x v="41"/>
    <d v="2020-03-11T00:00:00"/>
    <n v="5"/>
    <x v="14"/>
    <n v="490"/>
    <n v="298.89999999999998"/>
    <n v="4"/>
    <n v="1960"/>
    <n v="1195.5999999999999"/>
    <n v="764.40000000000009"/>
    <n v="0.39000000000000007"/>
    <x v="15"/>
    <x v="0"/>
    <x v="0"/>
  </r>
  <r>
    <x v="41"/>
    <d v="2020-03-13T00:00:00"/>
    <n v="7"/>
    <x v="6"/>
    <n v="290"/>
    <n v="185.6"/>
    <n v="7"/>
    <n v="2030"/>
    <n v="1299.2"/>
    <n v="730.8"/>
    <n v="0.36"/>
    <x v="35"/>
    <x v="3"/>
    <x v="1"/>
  </r>
  <r>
    <x v="42"/>
    <d v="2020-03-14T00:00:00"/>
    <n v="7"/>
    <x v="11"/>
    <n v="320"/>
    <n v="233.6"/>
    <n v="7"/>
    <n v="2240"/>
    <n v="1635.2"/>
    <n v="604.79999999999995"/>
    <n v="0.26999999999999996"/>
    <x v="36"/>
    <x v="3"/>
    <x v="0"/>
  </r>
  <r>
    <x v="42"/>
    <d v="2020-03-12T00:00:00"/>
    <n v="5"/>
    <x v="18"/>
    <n v="390"/>
    <n v="253.5"/>
    <n v="1"/>
    <n v="390"/>
    <n v="253.5"/>
    <n v="136.5"/>
    <n v="0.35"/>
    <x v="24"/>
    <x v="1"/>
    <x v="1"/>
  </r>
  <r>
    <x v="43"/>
    <d v="2020-03-14T00:00:00"/>
    <n v="4"/>
    <x v="5"/>
    <n v="250"/>
    <n v="167.5"/>
    <n v="9"/>
    <n v="2250"/>
    <n v="1507.5"/>
    <n v="742.5"/>
    <n v="0.33"/>
    <x v="3"/>
    <x v="4"/>
    <x v="0"/>
  </r>
  <r>
    <x v="43"/>
    <d v="2020-03-16T00:00:00"/>
    <n v="6"/>
    <x v="9"/>
    <n v="440"/>
    <n v="286"/>
    <n v="7"/>
    <n v="3080"/>
    <n v="2002"/>
    <n v="1078"/>
    <n v="0.35"/>
    <x v="5"/>
    <x v="0"/>
    <x v="1"/>
  </r>
  <r>
    <x v="44"/>
    <d v="2020-03-15T00:00:00"/>
    <n v="4"/>
    <x v="14"/>
    <n v="490"/>
    <n v="298.89999999999998"/>
    <n v="5"/>
    <n v="2450"/>
    <n v="1494.5"/>
    <n v="955.5"/>
    <n v="0.39"/>
    <x v="34"/>
    <x v="3"/>
    <x v="0"/>
  </r>
  <r>
    <x v="45"/>
    <d v="2020-03-17T00:00:00"/>
    <n v="5"/>
    <x v="19"/>
    <n v="145"/>
    <n v="105.85"/>
    <n v="9"/>
    <n v="1305"/>
    <n v="952.65"/>
    <n v="352.35"/>
    <n v="0.27"/>
    <x v="25"/>
    <x v="3"/>
    <x v="1"/>
  </r>
  <r>
    <x v="46"/>
    <d v="2020-03-16T00:00:00"/>
    <n v="1"/>
    <x v="8"/>
    <n v="220"/>
    <n v="154"/>
    <n v="5"/>
    <n v="1100"/>
    <n v="770"/>
    <n v="330"/>
    <n v="0.3"/>
    <x v="1"/>
    <x v="1"/>
    <x v="0"/>
  </r>
  <r>
    <x v="46"/>
    <d v="2020-03-18T00:00:00"/>
    <n v="3"/>
    <x v="20"/>
    <n v="355"/>
    <n v="252.05"/>
    <n v="7"/>
    <n v="2485"/>
    <n v="1764.3500000000001"/>
    <n v="720.64999999999986"/>
    <n v="0.28999999999999992"/>
    <x v="37"/>
    <x v="4"/>
    <x v="0"/>
  </r>
  <r>
    <x v="47"/>
    <d v="2020-03-19T00:00:00"/>
    <n v="3"/>
    <x v="18"/>
    <n v="390"/>
    <n v="253.5"/>
    <n v="6"/>
    <n v="2340"/>
    <n v="1521"/>
    <n v="819"/>
    <n v="0.35"/>
    <x v="38"/>
    <x v="0"/>
    <x v="0"/>
  </r>
  <r>
    <x v="47"/>
    <d v="2020-03-17T00:00:00"/>
    <n v="1"/>
    <x v="7"/>
    <n v="275"/>
    <n v="200.75"/>
    <n v="6"/>
    <n v="1650"/>
    <n v="1204.5"/>
    <n v="445.5"/>
    <n v="0.27"/>
    <x v="8"/>
    <x v="2"/>
    <x v="1"/>
  </r>
  <r>
    <x v="48"/>
    <d v="2020-03-18T00:00:00"/>
    <n v="1"/>
    <x v="11"/>
    <n v="320"/>
    <n v="233.6"/>
    <n v="7"/>
    <n v="2240"/>
    <n v="1635.2"/>
    <n v="604.79999999999995"/>
    <n v="0.26999999999999996"/>
    <x v="31"/>
    <x v="4"/>
    <x v="0"/>
  </r>
  <r>
    <x v="49"/>
    <d v="2020-03-25T00:00:00"/>
    <n v="7"/>
    <x v="4"/>
    <n v="195"/>
    <n v="138.44999999999999"/>
    <n v="6"/>
    <n v="1170"/>
    <n v="830.69999999999993"/>
    <n v="339.30000000000007"/>
    <n v="0.29000000000000004"/>
    <x v="11"/>
    <x v="3"/>
    <x v="1"/>
  </r>
  <r>
    <x v="49"/>
    <d v="2020-03-23T00:00:00"/>
    <n v="5"/>
    <x v="5"/>
    <n v="250"/>
    <n v="167.5"/>
    <n v="4"/>
    <n v="1000"/>
    <n v="670"/>
    <n v="330"/>
    <n v="0.33"/>
    <x v="24"/>
    <x v="1"/>
    <x v="0"/>
  </r>
  <r>
    <x v="50"/>
    <d v="2020-03-20T00:00:00"/>
    <n v="1"/>
    <x v="11"/>
    <n v="320"/>
    <n v="233.6"/>
    <n v="5"/>
    <n v="1600"/>
    <n v="1168"/>
    <n v="432"/>
    <n v="0.27"/>
    <x v="32"/>
    <x v="4"/>
    <x v="0"/>
  </r>
  <r>
    <x v="51"/>
    <d v="2020-03-27T00:00:00"/>
    <n v="7"/>
    <x v="5"/>
    <n v="250"/>
    <n v="167.5"/>
    <n v="9"/>
    <n v="2250"/>
    <n v="1507.5"/>
    <n v="742.5"/>
    <n v="0.33"/>
    <x v="29"/>
    <x v="4"/>
    <x v="0"/>
  </r>
  <r>
    <x v="52"/>
    <d v="2020-03-24T00:00:00"/>
    <n v="1"/>
    <x v="16"/>
    <n v="110"/>
    <n v="78.099999999999994"/>
    <n v="5"/>
    <n v="550"/>
    <n v="390.5"/>
    <n v="159.5"/>
    <n v="0.28999999999999998"/>
    <x v="32"/>
    <x v="1"/>
    <x v="0"/>
  </r>
  <r>
    <x v="53"/>
    <d v="2020-03-30T00:00:00"/>
    <n v="5"/>
    <x v="6"/>
    <n v="290"/>
    <n v="185.6"/>
    <n v="9"/>
    <n v="2610"/>
    <n v="1670.3999999999999"/>
    <n v="939.60000000000014"/>
    <n v="0.36000000000000004"/>
    <x v="39"/>
    <x v="0"/>
    <x v="0"/>
  </r>
  <r>
    <x v="54"/>
    <d v="2020-04-02T00:00:00"/>
    <n v="7"/>
    <x v="9"/>
    <n v="440"/>
    <n v="286"/>
    <n v="6"/>
    <n v="2640"/>
    <n v="1716"/>
    <n v="924"/>
    <n v="0.35"/>
    <x v="8"/>
    <x v="3"/>
    <x v="1"/>
  </r>
  <r>
    <x v="55"/>
    <d v="2020-03-31T00:00:00"/>
    <n v="3"/>
    <x v="2"/>
    <n v="445"/>
    <n v="280.35000000000002"/>
    <n v="1"/>
    <n v="445"/>
    <n v="280.35000000000002"/>
    <n v="164.64999999999998"/>
    <n v="0.36999999999999994"/>
    <x v="8"/>
    <x v="0"/>
    <x v="0"/>
  </r>
  <r>
    <x v="56"/>
    <d v="2020-04-04T00:00:00"/>
    <n v="6"/>
    <x v="3"/>
    <n v="80"/>
    <n v="48.8"/>
    <n v="6"/>
    <n v="480"/>
    <n v="292.79999999999995"/>
    <n v="187.20000000000005"/>
    <n v="0.39000000000000007"/>
    <x v="1"/>
    <x v="4"/>
    <x v="0"/>
  </r>
  <r>
    <x v="57"/>
    <d v="2020-04-06T00:00:00"/>
    <n v="7"/>
    <x v="16"/>
    <n v="110"/>
    <n v="78.099999999999994"/>
    <n v="9"/>
    <n v="990"/>
    <n v="702.9"/>
    <n v="287.10000000000002"/>
    <n v="0.29000000000000004"/>
    <x v="13"/>
    <x v="0"/>
    <x v="0"/>
  </r>
  <r>
    <x v="58"/>
    <d v="2020-04-07T00:00:00"/>
    <n v="7"/>
    <x v="7"/>
    <n v="275"/>
    <n v="200.75"/>
    <n v="1"/>
    <n v="275"/>
    <n v="200.75"/>
    <n v="74.25"/>
    <n v="0.27"/>
    <x v="10"/>
    <x v="2"/>
    <x v="0"/>
  </r>
  <r>
    <x v="58"/>
    <d v="2020-04-01T00:00:00"/>
    <n v="1"/>
    <x v="7"/>
    <n v="275"/>
    <n v="200.75"/>
    <n v="8"/>
    <n v="2200"/>
    <n v="1606"/>
    <n v="594"/>
    <n v="0.27"/>
    <x v="5"/>
    <x v="4"/>
    <x v="1"/>
  </r>
  <r>
    <x v="59"/>
    <d v="2020-04-07T00:00:00"/>
    <n v="6"/>
    <x v="20"/>
    <n v="355"/>
    <n v="252.05"/>
    <n v="3"/>
    <n v="1065"/>
    <n v="756.15000000000009"/>
    <n v="308.84999999999991"/>
    <n v="0.28999999999999992"/>
    <x v="27"/>
    <x v="0"/>
    <x v="0"/>
  </r>
  <r>
    <x v="60"/>
    <d v="2020-04-09T00:00:00"/>
    <n v="5"/>
    <x v="4"/>
    <n v="195"/>
    <n v="138.44999999999999"/>
    <n v="7"/>
    <n v="1365"/>
    <n v="969.14999999999986"/>
    <n v="395.85000000000014"/>
    <n v="0.29000000000000009"/>
    <x v="13"/>
    <x v="3"/>
    <x v="0"/>
  </r>
  <r>
    <x v="61"/>
    <d v="2020-04-10T00:00:00"/>
    <n v="5"/>
    <x v="20"/>
    <n v="355"/>
    <n v="252.05"/>
    <n v="7"/>
    <n v="2485"/>
    <n v="1764.3500000000001"/>
    <n v="720.64999999999986"/>
    <n v="0.28999999999999992"/>
    <x v="1"/>
    <x v="4"/>
    <x v="1"/>
  </r>
  <r>
    <x v="61"/>
    <d v="2020-04-07T00:00:00"/>
    <n v="2"/>
    <x v="8"/>
    <n v="220"/>
    <n v="154"/>
    <n v="1"/>
    <n v="220"/>
    <n v="154"/>
    <n v="66"/>
    <n v="0.3"/>
    <x v="1"/>
    <x v="0"/>
    <x v="0"/>
  </r>
  <r>
    <x v="62"/>
    <d v="2020-04-10T00:00:00"/>
    <n v="4"/>
    <x v="0"/>
    <n v="99"/>
    <n v="62.37"/>
    <n v="1"/>
    <n v="99"/>
    <n v="62.37"/>
    <n v="36.630000000000003"/>
    <n v="0.37000000000000005"/>
    <x v="39"/>
    <x v="4"/>
    <x v="1"/>
  </r>
  <r>
    <x v="63"/>
    <d v="2020-04-13T00:00:00"/>
    <n v="6"/>
    <x v="11"/>
    <n v="320"/>
    <n v="233.6"/>
    <n v="1"/>
    <n v="320"/>
    <n v="233.6"/>
    <n v="86.4"/>
    <n v="0.27"/>
    <x v="19"/>
    <x v="1"/>
    <x v="1"/>
  </r>
  <r>
    <x v="64"/>
    <d v="2020-04-13T00:00:00"/>
    <n v="5"/>
    <x v="8"/>
    <n v="220"/>
    <n v="154"/>
    <n v="4"/>
    <n v="880"/>
    <n v="616"/>
    <n v="264"/>
    <n v="0.3"/>
    <x v="40"/>
    <x v="0"/>
    <x v="0"/>
  </r>
  <r>
    <x v="64"/>
    <d v="2020-04-14T00:00:00"/>
    <n v="6"/>
    <x v="12"/>
    <n v="250"/>
    <n v="187.5"/>
    <n v="9"/>
    <n v="2250"/>
    <n v="1687.5"/>
    <n v="562.5"/>
    <n v="0.25"/>
    <x v="13"/>
    <x v="0"/>
    <x v="1"/>
  </r>
  <r>
    <x v="65"/>
    <d v="2020-04-13T00:00:00"/>
    <n v="4"/>
    <x v="4"/>
    <n v="195"/>
    <n v="138.44999999999999"/>
    <n v="7"/>
    <n v="1365"/>
    <n v="969.14999999999986"/>
    <n v="395.85000000000014"/>
    <n v="0.29000000000000009"/>
    <x v="30"/>
    <x v="3"/>
    <x v="1"/>
  </r>
  <r>
    <x v="66"/>
    <d v="2020-04-12T00:00:00"/>
    <n v="1"/>
    <x v="12"/>
    <n v="250"/>
    <n v="187.5"/>
    <n v="5"/>
    <n v="1250"/>
    <n v="937.5"/>
    <n v="312.5"/>
    <n v="0.25"/>
    <x v="41"/>
    <x v="1"/>
    <x v="0"/>
  </r>
  <r>
    <x v="67"/>
    <d v="2020-04-20T00:00:00"/>
    <n v="7"/>
    <x v="6"/>
    <n v="290"/>
    <n v="185.6"/>
    <n v="5"/>
    <n v="1450"/>
    <n v="928"/>
    <n v="522"/>
    <n v="0.36"/>
    <x v="13"/>
    <x v="4"/>
    <x v="1"/>
  </r>
  <r>
    <x v="67"/>
    <d v="2020-04-19T00:00:00"/>
    <n v="6"/>
    <x v="6"/>
    <n v="290"/>
    <n v="185.6"/>
    <n v="2"/>
    <n v="580"/>
    <n v="371.2"/>
    <n v="208.8"/>
    <n v="0.36000000000000004"/>
    <x v="35"/>
    <x v="0"/>
    <x v="0"/>
  </r>
  <r>
    <x v="67"/>
    <d v="2020-04-14T00:00:00"/>
    <n v="1"/>
    <x v="17"/>
    <n v="460"/>
    <n v="303.60000000000002"/>
    <n v="9"/>
    <n v="4140"/>
    <n v="2732.4"/>
    <n v="1407.6"/>
    <n v="0.33999999999999997"/>
    <x v="22"/>
    <x v="0"/>
    <x v="1"/>
  </r>
  <r>
    <x v="68"/>
    <d v="2020-04-21T00:00:00"/>
    <n v="7"/>
    <x v="11"/>
    <n v="320"/>
    <n v="233.6"/>
    <n v="7"/>
    <n v="2240"/>
    <n v="1635.2"/>
    <n v="604.79999999999995"/>
    <n v="0.26999999999999996"/>
    <x v="32"/>
    <x v="1"/>
    <x v="1"/>
  </r>
  <r>
    <x v="69"/>
    <d v="2020-04-22T00:00:00"/>
    <n v="7"/>
    <x v="12"/>
    <n v="250"/>
    <n v="187.5"/>
    <n v="5"/>
    <n v="1250"/>
    <n v="937.5"/>
    <n v="312.5"/>
    <n v="0.25"/>
    <x v="33"/>
    <x v="4"/>
    <x v="0"/>
  </r>
  <r>
    <x v="70"/>
    <d v="2020-04-18T00:00:00"/>
    <n v="2"/>
    <x v="11"/>
    <n v="320"/>
    <n v="233.6"/>
    <n v="4"/>
    <n v="1280"/>
    <n v="934.4"/>
    <n v="345.6"/>
    <n v="0.27"/>
    <x v="42"/>
    <x v="2"/>
    <x v="0"/>
  </r>
  <r>
    <x v="70"/>
    <d v="2020-04-23T00:00:00"/>
    <n v="7"/>
    <x v="10"/>
    <n v="59"/>
    <n v="41.3"/>
    <n v="3"/>
    <n v="177"/>
    <n v="123.89999999999999"/>
    <n v="53.100000000000009"/>
    <n v="0.30000000000000004"/>
    <x v="5"/>
    <x v="0"/>
    <x v="0"/>
  </r>
  <r>
    <x v="71"/>
    <d v="2020-04-18T00:00:00"/>
    <n v="1"/>
    <x v="21"/>
    <n v="215"/>
    <n v="152.65"/>
    <n v="3"/>
    <n v="645"/>
    <n v="457.95000000000005"/>
    <n v="187.04999999999995"/>
    <n v="0.28999999999999992"/>
    <x v="5"/>
    <x v="3"/>
    <x v="1"/>
  </r>
  <r>
    <x v="72"/>
    <d v="2020-04-20T00:00:00"/>
    <n v="2"/>
    <x v="10"/>
    <n v="59"/>
    <n v="41.3"/>
    <n v="6"/>
    <n v="354"/>
    <n v="247.79999999999998"/>
    <n v="106.20000000000002"/>
    <n v="0.30000000000000004"/>
    <x v="11"/>
    <x v="3"/>
    <x v="1"/>
  </r>
  <r>
    <x v="72"/>
    <d v="2020-04-22T00:00:00"/>
    <n v="4"/>
    <x v="11"/>
    <n v="320"/>
    <n v="233.6"/>
    <n v="6"/>
    <n v="1920"/>
    <n v="1401.6"/>
    <n v="518.40000000000009"/>
    <n v="0.27000000000000007"/>
    <x v="1"/>
    <x v="1"/>
    <x v="0"/>
  </r>
  <r>
    <x v="73"/>
    <d v="2020-04-23T00:00:00"/>
    <n v="3"/>
    <x v="5"/>
    <n v="250"/>
    <n v="167.5"/>
    <n v="2"/>
    <n v="500"/>
    <n v="335"/>
    <n v="165"/>
    <n v="0.33"/>
    <x v="20"/>
    <x v="1"/>
    <x v="0"/>
  </r>
  <r>
    <x v="73"/>
    <d v="2020-04-27T00:00:00"/>
    <n v="7"/>
    <x v="10"/>
    <n v="59"/>
    <n v="41.3"/>
    <n v="7"/>
    <n v="413"/>
    <n v="289.09999999999997"/>
    <n v="123.90000000000003"/>
    <n v="0.3000000000000001"/>
    <x v="21"/>
    <x v="0"/>
    <x v="0"/>
  </r>
  <r>
    <x v="74"/>
    <d v="2020-04-23T00:00:00"/>
    <n v="1"/>
    <x v="5"/>
    <n v="250"/>
    <n v="167.5"/>
    <n v="6"/>
    <n v="1500"/>
    <n v="1005"/>
    <n v="495"/>
    <n v="0.33"/>
    <x v="40"/>
    <x v="2"/>
    <x v="0"/>
  </r>
  <r>
    <x v="75"/>
    <d v="2020-04-28T00:00:00"/>
    <n v="5"/>
    <x v="4"/>
    <n v="195"/>
    <n v="138.44999999999999"/>
    <n v="4"/>
    <n v="780"/>
    <n v="553.79999999999995"/>
    <n v="226.20000000000005"/>
    <n v="0.29000000000000004"/>
    <x v="35"/>
    <x v="1"/>
    <x v="1"/>
  </r>
  <r>
    <x v="76"/>
    <d v="2020-04-30T00:00:00"/>
    <n v="6"/>
    <x v="11"/>
    <n v="320"/>
    <n v="233.6"/>
    <n v="2"/>
    <n v="640"/>
    <n v="467.2"/>
    <n v="172.8"/>
    <n v="0.27"/>
    <x v="42"/>
    <x v="4"/>
    <x v="1"/>
  </r>
  <r>
    <x v="76"/>
    <d v="2020-04-25T00:00:00"/>
    <n v="1"/>
    <x v="12"/>
    <n v="250"/>
    <n v="187.5"/>
    <n v="1"/>
    <n v="250"/>
    <n v="187.5"/>
    <n v="62.5"/>
    <n v="0.25"/>
    <x v="34"/>
    <x v="0"/>
    <x v="0"/>
  </r>
  <r>
    <x v="77"/>
    <d v="2020-05-02T00:00:00"/>
    <n v="7"/>
    <x v="6"/>
    <n v="290"/>
    <n v="185.6"/>
    <n v="8"/>
    <n v="2320"/>
    <n v="1484.8"/>
    <n v="835.2"/>
    <n v="0.36000000000000004"/>
    <x v="8"/>
    <x v="2"/>
    <x v="0"/>
  </r>
  <r>
    <x v="77"/>
    <d v="2020-04-26T00:00:00"/>
    <n v="1"/>
    <x v="16"/>
    <n v="110"/>
    <n v="78.099999999999994"/>
    <n v="8"/>
    <n v="880"/>
    <n v="624.79999999999995"/>
    <n v="255.20000000000005"/>
    <n v="0.29000000000000004"/>
    <x v="40"/>
    <x v="0"/>
    <x v="0"/>
  </r>
  <r>
    <x v="78"/>
    <d v="2020-05-02T00:00:00"/>
    <n v="5"/>
    <x v="4"/>
    <n v="195"/>
    <n v="138.44999999999999"/>
    <n v="9"/>
    <n v="1755"/>
    <n v="1246.05"/>
    <n v="508.95000000000005"/>
    <n v="0.29000000000000004"/>
    <x v="43"/>
    <x v="3"/>
    <x v="0"/>
  </r>
  <r>
    <x v="78"/>
    <d v="2020-04-30T00:00:00"/>
    <n v="3"/>
    <x v="11"/>
    <n v="320"/>
    <n v="233.6"/>
    <n v="3"/>
    <n v="960"/>
    <n v="700.8"/>
    <n v="259.20000000000005"/>
    <n v="0.27000000000000007"/>
    <x v="13"/>
    <x v="1"/>
    <x v="0"/>
  </r>
  <r>
    <x v="79"/>
    <d v="2020-05-03T00:00:00"/>
    <n v="4"/>
    <x v="3"/>
    <n v="80"/>
    <n v="48.8"/>
    <n v="7"/>
    <n v="560"/>
    <n v="341.59999999999997"/>
    <n v="218.40000000000003"/>
    <n v="0.39000000000000007"/>
    <x v="10"/>
    <x v="3"/>
    <x v="0"/>
  </r>
  <r>
    <x v="79"/>
    <d v="2020-05-05T00:00:00"/>
    <n v="6"/>
    <x v="4"/>
    <n v="195"/>
    <n v="138.44999999999999"/>
    <n v="6"/>
    <n v="1170"/>
    <n v="830.69999999999993"/>
    <n v="339.30000000000007"/>
    <n v="0.29000000000000004"/>
    <x v="36"/>
    <x v="3"/>
    <x v="1"/>
  </r>
  <r>
    <x v="80"/>
    <d v="2020-05-01T00:00:00"/>
    <n v="1"/>
    <x v="6"/>
    <n v="290"/>
    <n v="185.6"/>
    <n v="6"/>
    <n v="1740"/>
    <n v="1113.5999999999999"/>
    <n v="626.40000000000009"/>
    <n v="0.36000000000000004"/>
    <x v="8"/>
    <x v="3"/>
    <x v="0"/>
  </r>
  <r>
    <x v="81"/>
    <d v="2020-05-10T00:00:00"/>
    <n v="6"/>
    <x v="10"/>
    <n v="59"/>
    <n v="41.3"/>
    <n v="3"/>
    <n v="177"/>
    <n v="123.89999999999999"/>
    <n v="53.100000000000009"/>
    <n v="0.30000000000000004"/>
    <x v="42"/>
    <x v="2"/>
    <x v="0"/>
  </r>
  <r>
    <x v="82"/>
    <d v="2020-05-12T00:00:00"/>
    <n v="7"/>
    <x v="11"/>
    <n v="320"/>
    <n v="233.6"/>
    <n v="5"/>
    <n v="1600"/>
    <n v="1168"/>
    <n v="432"/>
    <n v="0.27"/>
    <x v="20"/>
    <x v="2"/>
    <x v="0"/>
  </r>
  <r>
    <x v="83"/>
    <d v="2020-05-07T00:00:00"/>
    <n v="1"/>
    <x v="18"/>
    <n v="390"/>
    <n v="253.5"/>
    <n v="7"/>
    <n v="2730"/>
    <n v="1774.5"/>
    <n v="955.5"/>
    <n v="0.35"/>
    <x v="31"/>
    <x v="0"/>
    <x v="0"/>
  </r>
  <r>
    <x v="84"/>
    <d v="2020-05-08T00:00:00"/>
    <n v="1"/>
    <x v="15"/>
    <n v="375"/>
    <n v="247.5"/>
    <n v="2"/>
    <n v="750"/>
    <n v="495"/>
    <n v="255"/>
    <n v="0.34"/>
    <x v="35"/>
    <x v="3"/>
    <x v="1"/>
  </r>
  <r>
    <x v="85"/>
    <d v="2020-05-11T00:00:00"/>
    <n v="3"/>
    <x v="7"/>
    <n v="275"/>
    <n v="200.75"/>
    <n v="8"/>
    <n v="2200"/>
    <n v="1606"/>
    <n v="594"/>
    <n v="0.27"/>
    <x v="19"/>
    <x v="0"/>
    <x v="1"/>
  </r>
  <r>
    <x v="86"/>
    <d v="2020-05-11T00:00:00"/>
    <n v="2"/>
    <x v="3"/>
    <n v="80"/>
    <n v="48.8"/>
    <n v="3"/>
    <n v="240"/>
    <n v="146.39999999999998"/>
    <n v="93.600000000000023"/>
    <n v="0.39000000000000007"/>
    <x v="14"/>
    <x v="1"/>
    <x v="1"/>
  </r>
  <r>
    <x v="86"/>
    <d v="2020-05-12T00:00:00"/>
    <n v="3"/>
    <x v="7"/>
    <n v="275"/>
    <n v="200.75"/>
    <n v="5"/>
    <n v="1375"/>
    <n v="1003.75"/>
    <n v="371.25"/>
    <n v="0.27"/>
    <x v="36"/>
    <x v="0"/>
    <x v="1"/>
  </r>
  <r>
    <x v="87"/>
    <d v="2020-05-14T00:00:00"/>
    <n v="3"/>
    <x v="20"/>
    <n v="355"/>
    <n v="252.05"/>
    <n v="5"/>
    <n v="1775"/>
    <n v="1260.25"/>
    <n v="514.75"/>
    <n v="0.28999999999999998"/>
    <x v="21"/>
    <x v="2"/>
    <x v="1"/>
  </r>
  <r>
    <x v="88"/>
    <d v="2020-05-15T00:00:00"/>
    <n v="3"/>
    <x v="21"/>
    <n v="215"/>
    <n v="152.65"/>
    <n v="1"/>
    <n v="215"/>
    <n v="152.65"/>
    <n v="62.349999999999994"/>
    <n v="0.28999999999999998"/>
    <x v="0"/>
    <x v="3"/>
    <x v="0"/>
  </r>
  <r>
    <x v="89"/>
    <d v="2020-05-20T00:00:00"/>
    <n v="6"/>
    <x v="15"/>
    <n v="375"/>
    <n v="247.5"/>
    <n v="9"/>
    <n v="3375"/>
    <n v="2227.5"/>
    <n v="1147.5"/>
    <n v="0.34"/>
    <x v="16"/>
    <x v="1"/>
    <x v="1"/>
  </r>
  <r>
    <x v="90"/>
    <d v="2020-05-20T00:00:00"/>
    <n v="4"/>
    <x v="7"/>
    <n v="275"/>
    <n v="200.75"/>
    <n v="9"/>
    <n v="2475"/>
    <n v="1806.75"/>
    <n v="668.25"/>
    <n v="0.27"/>
    <x v="14"/>
    <x v="0"/>
    <x v="1"/>
  </r>
  <r>
    <x v="91"/>
    <d v="2020-05-23T00:00:00"/>
    <n v="6"/>
    <x v="4"/>
    <n v="195"/>
    <n v="138.44999999999999"/>
    <n v="2"/>
    <n v="390"/>
    <n v="276.89999999999998"/>
    <n v="113.10000000000002"/>
    <n v="0.29000000000000004"/>
    <x v="42"/>
    <x v="2"/>
    <x v="1"/>
  </r>
  <r>
    <x v="91"/>
    <d v="2020-05-23T00:00:00"/>
    <n v="6"/>
    <x v="2"/>
    <n v="445"/>
    <n v="280.35000000000002"/>
    <n v="5"/>
    <n v="2225"/>
    <n v="1401.75"/>
    <n v="823.25"/>
    <n v="0.37"/>
    <x v="44"/>
    <x v="3"/>
    <x v="0"/>
  </r>
  <r>
    <x v="92"/>
    <d v="2020-05-21T00:00:00"/>
    <n v="3"/>
    <x v="11"/>
    <n v="320"/>
    <n v="233.6"/>
    <n v="6"/>
    <n v="1920"/>
    <n v="1401.6"/>
    <n v="518.40000000000009"/>
    <n v="0.27000000000000007"/>
    <x v="43"/>
    <x v="1"/>
    <x v="0"/>
  </r>
  <r>
    <x v="92"/>
    <d v="2020-05-20T00:00:00"/>
    <n v="2"/>
    <x v="2"/>
    <n v="445"/>
    <n v="280.35000000000002"/>
    <n v="2"/>
    <n v="890"/>
    <n v="560.70000000000005"/>
    <n v="329.29999999999995"/>
    <n v="0.36999999999999994"/>
    <x v="12"/>
    <x v="1"/>
    <x v="1"/>
  </r>
  <r>
    <x v="93"/>
    <d v="2020-05-24T00:00:00"/>
    <n v="5"/>
    <x v="1"/>
    <n v="390"/>
    <n v="288.60000000000002"/>
    <n v="3"/>
    <n v="1170"/>
    <n v="865.80000000000007"/>
    <n v="304.19999999999993"/>
    <n v="0.25999999999999995"/>
    <x v="28"/>
    <x v="2"/>
    <x v="0"/>
  </r>
  <r>
    <x v="94"/>
    <d v="2020-05-22T00:00:00"/>
    <n v="2"/>
    <x v="16"/>
    <n v="110"/>
    <n v="78.099999999999994"/>
    <n v="8"/>
    <n v="880"/>
    <n v="624.79999999999995"/>
    <n v="255.20000000000005"/>
    <n v="0.29000000000000004"/>
    <x v="36"/>
    <x v="0"/>
    <x v="1"/>
  </r>
  <r>
    <x v="94"/>
    <d v="2020-05-24T00:00:00"/>
    <n v="4"/>
    <x v="0"/>
    <n v="99"/>
    <n v="62.37"/>
    <n v="4"/>
    <n v="396"/>
    <n v="249.48"/>
    <n v="146.52000000000001"/>
    <n v="0.37000000000000005"/>
    <x v="37"/>
    <x v="0"/>
    <x v="0"/>
  </r>
  <r>
    <x v="94"/>
    <d v="2020-05-21T00:00:00"/>
    <n v="1"/>
    <x v="21"/>
    <n v="215"/>
    <n v="152.65"/>
    <n v="9"/>
    <n v="1935"/>
    <n v="1373.8500000000001"/>
    <n v="561.14999999999986"/>
    <n v="0.28999999999999992"/>
    <x v="18"/>
    <x v="3"/>
    <x v="0"/>
  </r>
  <r>
    <x v="95"/>
    <d v="2020-05-25T00:00:00"/>
    <n v="4"/>
    <x v="3"/>
    <n v="80"/>
    <n v="48.8"/>
    <n v="3"/>
    <n v="240"/>
    <n v="146.39999999999998"/>
    <n v="93.600000000000023"/>
    <n v="0.39000000000000007"/>
    <x v="28"/>
    <x v="1"/>
    <x v="0"/>
  </r>
  <r>
    <x v="95"/>
    <d v="2020-05-24T00:00:00"/>
    <n v="3"/>
    <x v="4"/>
    <n v="195"/>
    <n v="138.44999999999999"/>
    <n v="4"/>
    <n v="780"/>
    <n v="553.79999999999995"/>
    <n v="226.20000000000005"/>
    <n v="0.29000000000000004"/>
    <x v="29"/>
    <x v="4"/>
    <x v="1"/>
  </r>
  <r>
    <x v="96"/>
    <d v="2020-05-26T00:00:00"/>
    <n v="3"/>
    <x v="16"/>
    <n v="110"/>
    <n v="78.099999999999994"/>
    <n v="6"/>
    <n v="660"/>
    <n v="468.59999999999997"/>
    <n v="191.40000000000003"/>
    <n v="0.29000000000000004"/>
    <x v="38"/>
    <x v="0"/>
    <x v="0"/>
  </r>
  <r>
    <x v="97"/>
    <d v="2020-06-01T00:00:00"/>
    <n v="7"/>
    <x v="6"/>
    <n v="290"/>
    <n v="185.6"/>
    <n v="5"/>
    <n v="1450"/>
    <n v="928"/>
    <n v="522"/>
    <n v="0.36"/>
    <x v="38"/>
    <x v="3"/>
    <x v="0"/>
  </r>
  <r>
    <x v="97"/>
    <d v="2020-05-28T00:00:00"/>
    <n v="3"/>
    <x v="14"/>
    <n v="490"/>
    <n v="298.89999999999998"/>
    <n v="7"/>
    <n v="3430"/>
    <n v="2092.2999999999997"/>
    <n v="1337.7000000000003"/>
    <n v="0.39000000000000007"/>
    <x v="16"/>
    <x v="1"/>
    <x v="1"/>
  </r>
  <r>
    <x v="98"/>
    <d v="2020-06-03T00:00:00"/>
    <n v="7"/>
    <x v="7"/>
    <n v="275"/>
    <n v="200.75"/>
    <n v="7"/>
    <n v="1925"/>
    <n v="1405.25"/>
    <n v="519.75"/>
    <n v="0.27"/>
    <x v="12"/>
    <x v="4"/>
    <x v="0"/>
  </r>
  <r>
    <x v="99"/>
    <d v="2020-06-01T00:00:00"/>
    <n v="4"/>
    <x v="13"/>
    <n v="95"/>
    <n v="60.8"/>
    <n v="9"/>
    <n v="855"/>
    <n v="547.19999999999993"/>
    <n v="307.80000000000007"/>
    <n v="0.3600000000000001"/>
    <x v="30"/>
    <x v="1"/>
    <x v="0"/>
  </r>
  <r>
    <x v="100"/>
    <d v="2020-06-01T00:00:00"/>
    <n v="3"/>
    <x v="18"/>
    <n v="390"/>
    <n v="253.5"/>
    <n v="4"/>
    <n v="1560"/>
    <n v="1014"/>
    <n v="546"/>
    <n v="0.35"/>
    <x v="37"/>
    <x v="4"/>
    <x v="1"/>
  </r>
  <r>
    <x v="101"/>
    <d v="2020-06-02T00:00:00"/>
    <n v="3"/>
    <x v="17"/>
    <n v="460"/>
    <n v="303.60000000000002"/>
    <n v="3"/>
    <n v="1380"/>
    <n v="910.80000000000007"/>
    <n v="469.19999999999993"/>
    <n v="0.33999999999999997"/>
    <x v="35"/>
    <x v="2"/>
    <x v="0"/>
  </r>
  <r>
    <x v="101"/>
    <d v="2020-05-31T00:00:00"/>
    <n v="1"/>
    <x v="13"/>
    <n v="95"/>
    <n v="60.8"/>
    <n v="2"/>
    <n v="190"/>
    <n v="121.6"/>
    <n v="68.400000000000006"/>
    <n v="0.36000000000000004"/>
    <x v="38"/>
    <x v="3"/>
    <x v="1"/>
  </r>
  <r>
    <x v="101"/>
    <d v="2020-06-06T00:00:00"/>
    <n v="7"/>
    <x v="18"/>
    <n v="390"/>
    <n v="253.5"/>
    <n v="5"/>
    <n v="1950"/>
    <n v="1267.5"/>
    <n v="682.5"/>
    <n v="0.35"/>
    <x v="31"/>
    <x v="0"/>
    <x v="1"/>
  </r>
  <r>
    <x v="102"/>
    <d v="2020-06-08T00:00:00"/>
    <n v="7"/>
    <x v="13"/>
    <n v="95"/>
    <n v="60.8"/>
    <n v="6"/>
    <n v="570"/>
    <n v="364.79999999999995"/>
    <n v="205.20000000000005"/>
    <n v="0.3600000000000001"/>
    <x v="13"/>
    <x v="4"/>
    <x v="1"/>
  </r>
  <r>
    <x v="103"/>
    <d v="2020-06-10T00:00:00"/>
    <n v="7"/>
    <x v="11"/>
    <n v="320"/>
    <n v="233.6"/>
    <n v="2"/>
    <n v="640"/>
    <n v="467.2"/>
    <n v="172.8"/>
    <n v="0.27"/>
    <x v="16"/>
    <x v="4"/>
    <x v="0"/>
  </r>
  <r>
    <x v="104"/>
    <d v="2020-06-07T00:00:00"/>
    <n v="3"/>
    <x v="20"/>
    <n v="355"/>
    <n v="252.05"/>
    <n v="8"/>
    <n v="2840"/>
    <n v="2016.4"/>
    <n v="823.59999999999991"/>
    <n v="0.28999999999999998"/>
    <x v="29"/>
    <x v="1"/>
    <x v="1"/>
  </r>
  <r>
    <x v="104"/>
    <d v="2020-06-06T00:00:00"/>
    <n v="2"/>
    <x v="3"/>
    <n v="80"/>
    <n v="48.8"/>
    <n v="6"/>
    <n v="480"/>
    <n v="292.79999999999995"/>
    <n v="187.20000000000005"/>
    <n v="0.39000000000000007"/>
    <x v="43"/>
    <x v="1"/>
    <x v="0"/>
  </r>
  <r>
    <x v="104"/>
    <d v="2020-06-05T00:00:00"/>
    <n v="1"/>
    <x v="17"/>
    <n v="460"/>
    <n v="303.60000000000002"/>
    <n v="5"/>
    <n v="2300"/>
    <n v="1518"/>
    <n v="782"/>
    <n v="0.34"/>
    <x v="42"/>
    <x v="1"/>
    <x v="0"/>
  </r>
  <r>
    <x v="104"/>
    <d v="2020-06-07T00:00:00"/>
    <n v="3"/>
    <x v="14"/>
    <n v="490"/>
    <n v="298.89999999999998"/>
    <n v="4"/>
    <n v="1960"/>
    <n v="1195.5999999999999"/>
    <n v="764.40000000000009"/>
    <n v="0.39000000000000007"/>
    <x v="15"/>
    <x v="4"/>
    <x v="0"/>
  </r>
  <r>
    <x v="105"/>
    <d v="2020-06-11T00:00:00"/>
    <n v="4"/>
    <x v="18"/>
    <n v="390"/>
    <n v="253.5"/>
    <n v="5"/>
    <n v="1950"/>
    <n v="1267.5"/>
    <n v="682.5"/>
    <n v="0.35"/>
    <x v="10"/>
    <x v="4"/>
    <x v="1"/>
  </r>
  <r>
    <x v="105"/>
    <d v="2020-06-08T00:00:00"/>
    <n v="1"/>
    <x v="9"/>
    <n v="440"/>
    <n v="286"/>
    <n v="8"/>
    <n v="3520"/>
    <n v="2288"/>
    <n v="1232"/>
    <n v="0.35"/>
    <x v="21"/>
    <x v="4"/>
    <x v="0"/>
  </r>
  <r>
    <x v="106"/>
    <d v="2020-06-09T00:00:00"/>
    <n v="1"/>
    <x v="8"/>
    <n v="220"/>
    <n v="154"/>
    <n v="2"/>
    <n v="440"/>
    <n v="308"/>
    <n v="132"/>
    <n v="0.3"/>
    <x v="9"/>
    <x v="2"/>
    <x v="1"/>
  </r>
  <r>
    <x v="106"/>
    <d v="2020-06-15T00:00:00"/>
    <n v="7"/>
    <x v="4"/>
    <n v="195"/>
    <n v="138.44999999999999"/>
    <n v="9"/>
    <n v="1755"/>
    <n v="1246.05"/>
    <n v="508.95000000000005"/>
    <n v="0.29000000000000004"/>
    <x v="3"/>
    <x v="1"/>
    <x v="1"/>
  </r>
  <r>
    <x v="107"/>
    <d v="2020-06-15T00:00:00"/>
    <n v="6"/>
    <x v="2"/>
    <n v="445"/>
    <n v="280.35000000000002"/>
    <n v="6"/>
    <n v="2670"/>
    <n v="1682.1000000000001"/>
    <n v="987.89999999999986"/>
    <n v="0.36999999999999994"/>
    <x v="14"/>
    <x v="0"/>
    <x v="0"/>
  </r>
  <r>
    <x v="108"/>
    <d v="2020-06-14T00:00:00"/>
    <n v="4"/>
    <x v="1"/>
    <n v="390"/>
    <n v="288.60000000000002"/>
    <n v="8"/>
    <n v="3120"/>
    <n v="2308.8000000000002"/>
    <n v="811.19999999999982"/>
    <n v="0.25999999999999995"/>
    <x v="40"/>
    <x v="1"/>
    <x v="0"/>
  </r>
  <r>
    <x v="109"/>
    <d v="2020-06-17T00:00:00"/>
    <n v="6"/>
    <x v="3"/>
    <n v="80"/>
    <n v="48.8"/>
    <n v="7"/>
    <n v="560"/>
    <n v="341.59999999999997"/>
    <n v="218.40000000000003"/>
    <n v="0.39000000000000007"/>
    <x v="32"/>
    <x v="2"/>
    <x v="1"/>
  </r>
  <r>
    <x v="110"/>
    <d v="2020-06-19T00:00:00"/>
    <n v="7"/>
    <x v="12"/>
    <n v="250"/>
    <n v="187.5"/>
    <n v="7"/>
    <n v="1750"/>
    <n v="1312.5"/>
    <n v="437.5"/>
    <n v="0.25"/>
    <x v="18"/>
    <x v="0"/>
    <x v="0"/>
  </r>
  <r>
    <x v="111"/>
    <d v="2020-06-17T00:00:00"/>
    <n v="1"/>
    <x v="20"/>
    <n v="355"/>
    <n v="252.05"/>
    <n v="9"/>
    <n v="3195"/>
    <n v="2268.4500000000003"/>
    <n v="926.54999999999973"/>
    <n v="0.28999999999999992"/>
    <x v="6"/>
    <x v="3"/>
    <x v="0"/>
  </r>
  <r>
    <x v="111"/>
    <d v="2020-06-20T00:00:00"/>
    <n v="4"/>
    <x v="8"/>
    <n v="220"/>
    <n v="154"/>
    <n v="8"/>
    <n v="1760"/>
    <n v="1232"/>
    <n v="528"/>
    <n v="0.3"/>
    <x v="10"/>
    <x v="0"/>
    <x v="0"/>
  </r>
  <r>
    <x v="112"/>
    <d v="2020-06-25T00:00:00"/>
    <n v="6"/>
    <x v="17"/>
    <n v="460"/>
    <n v="303.60000000000002"/>
    <n v="5"/>
    <n v="2300"/>
    <n v="1518"/>
    <n v="782"/>
    <n v="0.34"/>
    <x v="15"/>
    <x v="3"/>
    <x v="1"/>
  </r>
  <r>
    <x v="112"/>
    <d v="2020-06-21T00:00:00"/>
    <n v="2"/>
    <x v="16"/>
    <n v="110"/>
    <n v="78.099999999999994"/>
    <n v="2"/>
    <n v="220"/>
    <n v="156.19999999999999"/>
    <n v="63.800000000000011"/>
    <n v="0.29000000000000004"/>
    <x v="45"/>
    <x v="1"/>
    <x v="1"/>
  </r>
  <r>
    <x v="112"/>
    <d v="2020-06-26T00:00:00"/>
    <n v="7"/>
    <x v="4"/>
    <n v="195"/>
    <n v="138.44999999999999"/>
    <n v="1"/>
    <n v="195"/>
    <n v="138.44999999999999"/>
    <n v="56.550000000000011"/>
    <n v="0.29000000000000004"/>
    <x v="2"/>
    <x v="1"/>
    <x v="1"/>
  </r>
  <r>
    <x v="113"/>
    <d v="2020-06-27T00:00:00"/>
    <n v="7"/>
    <x v="3"/>
    <n v="80"/>
    <n v="48.8"/>
    <n v="4"/>
    <n v="320"/>
    <n v="195.2"/>
    <n v="124.80000000000001"/>
    <n v="0.39"/>
    <x v="32"/>
    <x v="4"/>
    <x v="1"/>
  </r>
  <r>
    <x v="114"/>
    <d v="2020-06-24T00:00:00"/>
    <n v="2"/>
    <x v="3"/>
    <n v="80"/>
    <n v="48.8"/>
    <n v="5"/>
    <n v="400"/>
    <n v="244"/>
    <n v="156"/>
    <n v="0.39"/>
    <x v="28"/>
    <x v="0"/>
    <x v="0"/>
  </r>
  <r>
    <x v="115"/>
    <d v="2020-06-29T00:00:00"/>
    <n v="6"/>
    <x v="4"/>
    <n v="195"/>
    <n v="138.44999999999999"/>
    <n v="3"/>
    <n v="585"/>
    <n v="415.34999999999997"/>
    <n v="169.65000000000003"/>
    <n v="0.29000000000000004"/>
    <x v="38"/>
    <x v="1"/>
    <x v="0"/>
  </r>
  <r>
    <x v="116"/>
    <d v="2020-06-30T00:00:00"/>
    <n v="6"/>
    <x v="15"/>
    <n v="375"/>
    <n v="247.5"/>
    <n v="1"/>
    <n v="375"/>
    <n v="247.5"/>
    <n v="127.5"/>
    <n v="0.34"/>
    <x v="23"/>
    <x v="2"/>
    <x v="0"/>
  </r>
  <r>
    <x v="117"/>
    <d v="2020-06-27T00:00:00"/>
    <n v="1"/>
    <x v="21"/>
    <n v="215"/>
    <n v="152.65"/>
    <n v="2"/>
    <n v="430"/>
    <n v="305.3"/>
    <n v="124.69999999999999"/>
    <n v="0.28999999999999998"/>
    <x v="8"/>
    <x v="0"/>
    <x v="0"/>
  </r>
  <r>
    <x v="117"/>
    <d v="2020-06-27T00:00:00"/>
    <n v="1"/>
    <x v="0"/>
    <n v="99"/>
    <n v="62.37"/>
    <n v="4"/>
    <n v="396"/>
    <n v="249.48"/>
    <n v="146.52000000000001"/>
    <n v="0.37000000000000005"/>
    <x v="45"/>
    <x v="0"/>
    <x v="0"/>
  </r>
  <r>
    <x v="118"/>
    <d v="2020-07-03T00:00:00"/>
    <n v="6"/>
    <x v="16"/>
    <n v="110"/>
    <n v="78.099999999999994"/>
    <n v="8"/>
    <n v="880"/>
    <n v="624.79999999999995"/>
    <n v="255.20000000000005"/>
    <n v="0.29000000000000004"/>
    <x v="11"/>
    <x v="2"/>
    <x v="0"/>
  </r>
  <r>
    <x v="119"/>
    <d v="2020-06-29T00:00:00"/>
    <n v="1"/>
    <x v="0"/>
    <n v="99"/>
    <n v="62.37"/>
    <n v="7"/>
    <n v="693"/>
    <n v="436.59"/>
    <n v="256.41000000000003"/>
    <n v="0.37000000000000005"/>
    <x v="43"/>
    <x v="0"/>
    <x v="1"/>
  </r>
  <r>
    <x v="119"/>
    <d v="2020-07-03T00:00:00"/>
    <n v="5"/>
    <x v="18"/>
    <n v="390"/>
    <n v="253.5"/>
    <n v="6"/>
    <n v="2340"/>
    <n v="1521"/>
    <n v="819"/>
    <n v="0.35"/>
    <x v="26"/>
    <x v="2"/>
    <x v="1"/>
  </r>
  <r>
    <x v="120"/>
    <d v="2020-07-02T00:00:00"/>
    <n v="3"/>
    <x v="0"/>
    <n v="99"/>
    <n v="62.37"/>
    <n v="6"/>
    <n v="594"/>
    <n v="374.21999999999997"/>
    <n v="219.78000000000003"/>
    <n v="0.37000000000000005"/>
    <x v="45"/>
    <x v="1"/>
    <x v="1"/>
  </r>
  <r>
    <x v="120"/>
    <d v="2020-07-04T00:00:00"/>
    <n v="5"/>
    <x v="9"/>
    <n v="440"/>
    <n v="286"/>
    <n v="6"/>
    <n v="2640"/>
    <n v="1716"/>
    <n v="924"/>
    <n v="0.35"/>
    <x v="4"/>
    <x v="0"/>
    <x v="0"/>
  </r>
  <r>
    <x v="120"/>
    <d v="2020-07-05T00:00:00"/>
    <n v="6"/>
    <x v="4"/>
    <n v="195"/>
    <n v="138.44999999999999"/>
    <n v="4"/>
    <n v="780"/>
    <n v="553.79999999999995"/>
    <n v="226.20000000000005"/>
    <n v="0.29000000000000004"/>
    <x v="5"/>
    <x v="2"/>
    <x v="1"/>
  </r>
  <r>
    <x v="121"/>
    <d v="2020-07-07T00:00:00"/>
    <n v="6"/>
    <x v="1"/>
    <n v="390"/>
    <n v="288.60000000000002"/>
    <n v="7"/>
    <n v="2730"/>
    <n v="2020.2000000000003"/>
    <n v="709.79999999999973"/>
    <n v="0.2599999999999999"/>
    <x v="36"/>
    <x v="4"/>
    <x v="1"/>
  </r>
  <r>
    <x v="121"/>
    <d v="2020-07-02T00:00:00"/>
    <n v="1"/>
    <x v="11"/>
    <n v="320"/>
    <n v="233.6"/>
    <n v="9"/>
    <n v="2880"/>
    <n v="2102.4"/>
    <n v="777.59999999999991"/>
    <n v="0.26999999999999996"/>
    <x v="30"/>
    <x v="0"/>
    <x v="0"/>
  </r>
  <r>
    <x v="122"/>
    <d v="2020-07-11T00:00:00"/>
    <n v="7"/>
    <x v="2"/>
    <n v="445"/>
    <n v="280.35000000000002"/>
    <n v="7"/>
    <n v="3115"/>
    <n v="1962.4500000000003"/>
    <n v="1152.5499999999997"/>
    <n v="0.36999999999999994"/>
    <x v="29"/>
    <x v="1"/>
    <x v="1"/>
  </r>
  <r>
    <x v="123"/>
    <d v="2020-07-09T00:00:00"/>
    <n v="4"/>
    <x v="5"/>
    <n v="250"/>
    <n v="167.5"/>
    <n v="3"/>
    <n v="750"/>
    <n v="502.5"/>
    <n v="247.5"/>
    <n v="0.33"/>
    <x v="44"/>
    <x v="3"/>
    <x v="1"/>
  </r>
  <r>
    <x v="123"/>
    <d v="2020-07-12T00:00:00"/>
    <n v="7"/>
    <x v="18"/>
    <n v="390"/>
    <n v="253.5"/>
    <n v="9"/>
    <n v="3510"/>
    <n v="2281.5"/>
    <n v="1228.5"/>
    <n v="0.35"/>
    <x v="13"/>
    <x v="0"/>
    <x v="0"/>
  </r>
  <r>
    <x v="124"/>
    <d v="2020-07-08T00:00:00"/>
    <n v="2"/>
    <x v="1"/>
    <n v="390"/>
    <n v="288.60000000000002"/>
    <n v="7"/>
    <n v="2730"/>
    <n v="2020.2000000000003"/>
    <n v="709.79999999999973"/>
    <n v="0.2599999999999999"/>
    <x v="43"/>
    <x v="1"/>
    <x v="1"/>
  </r>
  <r>
    <x v="125"/>
    <d v="2020-07-10T00:00:00"/>
    <n v="3"/>
    <x v="20"/>
    <n v="355"/>
    <n v="252.05"/>
    <n v="3"/>
    <n v="1065"/>
    <n v="756.15000000000009"/>
    <n v="308.84999999999991"/>
    <n v="0.28999999999999992"/>
    <x v="26"/>
    <x v="1"/>
    <x v="0"/>
  </r>
  <r>
    <x v="126"/>
    <d v="2020-07-13T00:00:00"/>
    <n v="5"/>
    <x v="2"/>
    <n v="445"/>
    <n v="280.35000000000002"/>
    <n v="3"/>
    <n v="1335"/>
    <n v="841.05000000000007"/>
    <n v="493.94999999999993"/>
    <n v="0.36999999999999994"/>
    <x v="46"/>
    <x v="4"/>
    <x v="1"/>
  </r>
  <r>
    <x v="126"/>
    <d v="2020-07-13T00:00:00"/>
    <n v="5"/>
    <x v="12"/>
    <n v="250"/>
    <n v="187.5"/>
    <n v="1"/>
    <n v="250"/>
    <n v="187.5"/>
    <n v="62.5"/>
    <n v="0.25"/>
    <x v="36"/>
    <x v="4"/>
    <x v="1"/>
  </r>
  <r>
    <x v="127"/>
    <d v="2020-07-11T00:00:00"/>
    <n v="2"/>
    <x v="15"/>
    <n v="375"/>
    <n v="247.5"/>
    <n v="4"/>
    <n v="1500"/>
    <n v="990"/>
    <n v="510"/>
    <n v="0.34"/>
    <x v="33"/>
    <x v="3"/>
    <x v="1"/>
  </r>
  <r>
    <x v="127"/>
    <d v="2020-07-16T00:00:00"/>
    <n v="7"/>
    <x v="11"/>
    <n v="320"/>
    <n v="233.6"/>
    <n v="7"/>
    <n v="2240"/>
    <n v="1635.2"/>
    <n v="604.79999999999995"/>
    <n v="0.26999999999999996"/>
    <x v="3"/>
    <x v="1"/>
    <x v="0"/>
  </r>
  <r>
    <x v="128"/>
    <d v="2020-07-16T00:00:00"/>
    <n v="5"/>
    <x v="8"/>
    <n v="220"/>
    <n v="154"/>
    <n v="6"/>
    <n v="1320"/>
    <n v="924"/>
    <n v="396"/>
    <n v="0.3"/>
    <x v="44"/>
    <x v="2"/>
    <x v="1"/>
  </r>
  <r>
    <x v="128"/>
    <d v="2020-07-13T00:00:00"/>
    <n v="2"/>
    <x v="7"/>
    <n v="275"/>
    <n v="200.75"/>
    <n v="5"/>
    <n v="1375"/>
    <n v="1003.75"/>
    <n v="371.25"/>
    <n v="0.27"/>
    <x v="29"/>
    <x v="0"/>
    <x v="0"/>
  </r>
  <r>
    <x v="129"/>
    <d v="2020-07-18T00:00:00"/>
    <n v="6"/>
    <x v="5"/>
    <n v="250"/>
    <n v="167.5"/>
    <n v="5"/>
    <n v="1250"/>
    <n v="837.5"/>
    <n v="412.5"/>
    <n v="0.33"/>
    <x v="38"/>
    <x v="2"/>
    <x v="1"/>
  </r>
  <r>
    <x v="130"/>
    <d v="2020-07-19T00:00:00"/>
    <n v="6"/>
    <x v="7"/>
    <n v="275"/>
    <n v="200.75"/>
    <n v="8"/>
    <n v="2200"/>
    <n v="1606"/>
    <n v="594"/>
    <n v="0.27"/>
    <x v="32"/>
    <x v="3"/>
    <x v="0"/>
  </r>
  <r>
    <x v="130"/>
    <d v="2020-07-14T00:00:00"/>
    <n v="1"/>
    <x v="6"/>
    <n v="290"/>
    <n v="185.6"/>
    <n v="6"/>
    <n v="1740"/>
    <n v="1113.5999999999999"/>
    <n v="626.40000000000009"/>
    <n v="0.36000000000000004"/>
    <x v="11"/>
    <x v="3"/>
    <x v="1"/>
  </r>
  <r>
    <x v="131"/>
    <d v="2020-07-19T00:00:00"/>
    <n v="4"/>
    <x v="12"/>
    <n v="250"/>
    <n v="187.5"/>
    <n v="7"/>
    <n v="1750"/>
    <n v="1312.5"/>
    <n v="437.5"/>
    <n v="0.25"/>
    <x v="12"/>
    <x v="4"/>
    <x v="0"/>
  </r>
  <r>
    <x v="132"/>
    <d v="2020-07-19T00:00:00"/>
    <n v="2"/>
    <x v="3"/>
    <n v="80"/>
    <n v="48.8"/>
    <n v="2"/>
    <n v="160"/>
    <n v="97.6"/>
    <n v="62.400000000000006"/>
    <n v="0.39"/>
    <x v="43"/>
    <x v="0"/>
    <x v="1"/>
  </r>
  <r>
    <x v="132"/>
    <d v="2020-07-24T00:00:00"/>
    <n v="7"/>
    <x v="7"/>
    <n v="275"/>
    <n v="200.75"/>
    <n v="6"/>
    <n v="1650"/>
    <n v="1204.5"/>
    <n v="445.5"/>
    <n v="0.27"/>
    <x v="9"/>
    <x v="1"/>
    <x v="1"/>
  </r>
  <r>
    <x v="133"/>
    <d v="2020-07-25T00:00:00"/>
    <n v="3"/>
    <x v="19"/>
    <n v="145"/>
    <n v="105.85"/>
    <n v="8"/>
    <n v="1160"/>
    <n v="846.8"/>
    <n v="313.20000000000005"/>
    <n v="0.27"/>
    <x v="36"/>
    <x v="0"/>
    <x v="0"/>
  </r>
  <r>
    <x v="133"/>
    <d v="2020-07-25T00:00:00"/>
    <n v="3"/>
    <x v="14"/>
    <n v="490"/>
    <n v="298.89999999999998"/>
    <n v="4"/>
    <n v="1960"/>
    <n v="1195.5999999999999"/>
    <n v="764.40000000000009"/>
    <n v="0.39000000000000007"/>
    <x v="17"/>
    <x v="3"/>
    <x v="0"/>
  </r>
  <r>
    <x v="134"/>
    <d v="2020-07-29T00:00:00"/>
    <n v="6"/>
    <x v="8"/>
    <n v="220"/>
    <n v="154"/>
    <n v="9"/>
    <n v="1980"/>
    <n v="1386"/>
    <n v="594"/>
    <n v="0.3"/>
    <x v="43"/>
    <x v="0"/>
    <x v="0"/>
  </r>
  <r>
    <x v="134"/>
    <d v="2020-07-27T00:00:00"/>
    <n v="4"/>
    <x v="17"/>
    <n v="460"/>
    <n v="303.60000000000002"/>
    <n v="6"/>
    <n v="2760"/>
    <n v="1821.6000000000001"/>
    <n v="938.39999999999986"/>
    <n v="0.33999999999999997"/>
    <x v="44"/>
    <x v="3"/>
    <x v="1"/>
  </r>
  <r>
    <x v="135"/>
    <d v="2020-07-30T00:00:00"/>
    <n v="3"/>
    <x v="18"/>
    <n v="390"/>
    <n v="253.5"/>
    <n v="4"/>
    <n v="1560"/>
    <n v="1014"/>
    <n v="546"/>
    <n v="0.35"/>
    <x v="47"/>
    <x v="3"/>
    <x v="1"/>
  </r>
  <r>
    <x v="136"/>
    <d v="2020-08-04T00:00:00"/>
    <n v="7"/>
    <x v="20"/>
    <n v="355"/>
    <n v="252.05"/>
    <n v="1"/>
    <n v="355"/>
    <n v="252.05"/>
    <n v="102.94999999999999"/>
    <n v="0.28999999999999998"/>
    <x v="26"/>
    <x v="3"/>
    <x v="1"/>
  </r>
  <r>
    <x v="136"/>
    <d v="2020-07-29T00:00:00"/>
    <n v="1"/>
    <x v="12"/>
    <n v="250"/>
    <n v="187.5"/>
    <n v="7"/>
    <n v="1750"/>
    <n v="1312.5"/>
    <n v="437.5"/>
    <n v="0.25"/>
    <x v="17"/>
    <x v="1"/>
    <x v="0"/>
  </r>
  <r>
    <x v="136"/>
    <d v="2020-07-30T00:00:00"/>
    <n v="2"/>
    <x v="12"/>
    <n v="250"/>
    <n v="187.5"/>
    <n v="8"/>
    <n v="2000"/>
    <n v="1500"/>
    <n v="500"/>
    <n v="0.25"/>
    <x v="17"/>
    <x v="3"/>
    <x v="1"/>
  </r>
  <r>
    <x v="137"/>
    <d v="2020-07-31T00:00:00"/>
    <n v="2"/>
    <x v="1"/>
    <n v="390"/>
    <n v="288.60000000000002"/>
    <n v="8"/>
    <n v="3120"/>
    <n v="2308.8000000000002"/>
    <n v="811.19999999999982"/>
    <n v="0.25999999999999995"/>
    <x v="40"/>
    <x v="3"/>
    <x v="1"/>
  </r>
  <r>
    <x v="137"/>
    <d v="2020-08-03T00:00:00"/>
    <n v="5"/>
    <x v="10"/>
    <n v="59"/>
    <n v="41.3"/>
    <n v="5"/>
    <n v="295"/>
    <n v="206.5"/>
    <n v="88.5"/>
    <n v="0.3"/>
    <x v="32"/>
    <x v="2"/>
    <x v="1"/>
  </r>
  <r>
    <x v="137"/>
    <d v="2020-08-03T00:00:00"/>
    <n v="5"/>
    <x v="6"/>
    <n v="290"/>
    <n v="185.6"/>
    <n v="5"/>
    <n v="1450"/>
    <n v="928"/>
    <n v="522"/>
    <n v="0.36"/>
    <x v="32"/>
    <x v="2"/>
    <x v="1"/>
  </r>
  <r>
    <x v="138"/>
    <d v="2020-08-01T00:00:00"/>
    <n v="1"/>
    <x v="8"/>
    <n v="220"/>
    <n v="154"/>
    <n v="2"/>
    <n v="440"/>
    <n v="308"/>
    <n v="132"/>
    <n v="0.3"/>
    <x v="34"/>
    <x v="2"/>
    <x v="1"/>
  </r>
  <r>
    <x v="138"/>
    <d v="2020-08-03T00:00:00"/>
    <n v="3"/>
    <x v="6"/>
    <n v="290"/>
    <n v="185.6"/>
    <n v="7"/>
    <n v="2030"/>
    <n v="1299.2"/>
    <n v="730.8"/>
    <n v="0.36"/>
    <x v="17"/>
    <x v="4"/>
    <x v="1"/>
  </r>
  <r>
    <x v="139"/>
    <d v="2020-08-07T00:00:00"/>
    <n v="6"/>
    <x v="18"/>
    <n v="390"/>
    <n v="253.5"/>
    <n v="5"/>
    <n v="1950"/>
    <n v="1267.5"/>
    <n v="682.5"/>
    <n v="0.35"/>
    <x v="46"/>
    <x v="0"/>
    <x v="1"/>
  </r>
  <r>
    <x v="139"/>
    <d v="2020-08-03T00:00:00"/>
    <n v="2"/>
    <x v="21"/>
    <n v="215"/>
    <n v="152.65"/>
    <n v="6"/>
    <n v="1290"/>
    <n v="915.90000000000009"/>
    <n v="374.09999999999991"/>
    <n v="0.28999999999999992"/>
    <x v="41"/>
    <x v="4"/>
    <x v="1"/>
  </r>
  <r>
    <x v="140"/>
    <d v="2020-08-07T00:00:00"/>
    <n v="4"/>
    <x v="4"/>
    <n v="195"/>
    <n v="138.44999999999999"/>
    <n v="3"/>
    <n v="585"/>
    <n v="415.34999999999997"/>
    <n v="169.65000000000003"/>
    <n v="0.29000000000000004"/>
    <x v="38"/>
    <x v="3"/>
    <x v="0"/>
  </r>
  <r>
    <x v="141"/>
    <d v="2020-08-09T00:00:00"/>
    <n v="3"/>
    <x v="0"/>
    <n v="99"/>
    <n v="62.37"/>
    <n v="7"/>
    <n v="693"/>
    <n v="436.59"/>
    <n v="256.41000000000003"/>
    <n v="0.37000000000000005"/>
    <x v="38"/>
    <x v="1"/>
    <x v="0"/>
  </r>
  <r>
    <x v="141"/>
    <d v="2020-08-11T00:00:00"/>
    <n v="5"/>
    <x v="6"/>
    <n v="290"/>
    <n v="185.6"/>
    <n v="1"/>
    <n v="290"/>
    <n v="185.6"/>
    <n v="104.4"/>
    <n v="0.36000000000000004"/>
    <x v="46"/>
    <x v="0"/>
    <x v="0"/>
  </r>
  <r>
    <x v="142"/>
    <d v="2020-08-12T00:00:00"/>
    <n v="5"/>
    <x v="9"/>
    <n v="440"/>
    <n v="286"/>
    <n v="1"/>
    <n v="440"/>
    <n v="286"/>
    <n v="154"/>
    <n v="0.35"/>
    <x v="13"/>
    <x v="1"/>
    <x v="0"/>
  </r>
  <r>
    <x v="143"/>
    <d v="2020-08-10T00:00:00"/>
    <n v="2"/>
    <x v="12"/>
    <n v="250"/>
    <n v="187.5"/>
    <n v="3"/>
    <n v="750"/>
    <n v="562.5"/>
    <n v="187.5"/>
    <n v="0.25"/>
    <x v="44"/>
    <x v="1"/>
    <x v="0"/>
  </r>
  <r>
    <x v="143"/>
    <d v="2020-08-09T00:00:00"/>
    <n v="1"/>
    <x v="18"/>
    <n v="390"/>
    <n v="253.5"/>
    <n v="6"/>
    <n v="2340"/>
    <n v="1521"/>
    <n v="819"/>
    <n v="0.35"/>
    <x v="45"/>
    <x v="0"/>
    <x v="1"/>
  </r>
  <r>
    <x v="144"/>
    <d v="2020-08-13T00:00:00"/>
    <n v="1"/>
    <x v="14"/>
    <n v="490"/>
    <n v="298.89999999999998"/>
    <n v="3"/>
    <n v="1470"/>
    <n v="896.69999999999993"/>
    <n v="573.30000000000007"/>
    <n v="0.39000000000000007"/>
    <x v="20"/>
    <x v="2"/>
    <x v="1"/>
  </r>
  <r>
    <x v="145"/>
    <d v="2020-08-20T00:00:00"/>
    <n v="7"/>
    <x v="15"/>
    <n v="375"/>
    <n v="247.5"/>
    <n v="2"/>
    <n v="750"/>
    <n v="495"/>
    <n v="255"/>
    <n v="0.34"/>
    <x v="34"/>
    <x v="0"/>
    <x v="1"/>
  </r>
  <r>
    <x v="146"/>
    <d v="2020-08-16T00:00:00"/>
    <n v="2"/>
    <x v="9"/>
    <n v="440"/>
    <n v="286"/>
    <n v="3"/>
    <n v="1320"/>
    <n v="858"/>
    <n v="462"/>
    <n v="0.35"/>
    <x v="43"/>
    <x v="2"/>
    <x v="1"/>
  </r>
  <r>
    <x v="146"/>
    <d v="2020-08-17T00:00:00"/>
    <n v="3"/>
    <x v="16"/>
    <n v="110"/>
    <n v="78.099999999999994"/>
    <n v="2"/>
    <n v="220"/>
    <n v="156.19999999999999"/>
    <n v="63.800000000000011"/>
    <n v="0.29000000000000004"/>
    <x v="38"/>
    <x v="4"/>
    <x v="1"/>
  </r>
  <r>
    <x v="147"/>
    <d v="2020-08-17T00:00:00"/>
    <n v="2"/>
    <x v="14"/>
    <n v="490"/>
    <n v="298.89999999999998"/>
    <n v="7"/>
    <n v="3430"/>
    <n v="2092.2999999999997"/>
    <n v="1337.7000000000003"/>
    <n v="0.39000000000000007"/>
    <x v="47"/>
    <x v="2"/>
    <x v="1"/>
  </r>
  <r>
    <x v="148"/>
    <d v="2020-08-25T00:00:00"/>
    <n v="7"/>
    <x v="19"/>
    <n v="145"/>
    <n v="105.85"/>
    <n v="2"/>
    <n v="290"/>
    <n v="211.7"/>
    <n v="78.300000000000011"/>
    <n v="0.27"/>
    <x v="34"/>
    <x v="0"/>
    <x v="0"/>
  </r>
  <r>
    <x v="149"/>
    <d v="2020-08-26T00:00:00"/>
    <n v="6"/>
    <x v="1"/>
    <n v="390"/>
    <n v="288.60000000000002"/>
    <n v="8"/>
    <n v="3120"/>
    <n v="2308.8000000000002"/>
    <n v="811.19999999999982"/>
    <n v="0.25999999999999995"/>
    <x v="27"/>
    <x v="4"/>
    <x v="1"/>
  </r>
  <r>
    <x v="150"/>
    <d v="2020-08-22T00:00:00"/>
    <n v="1"/>
    <x v="0"/>
    <n v="99"/>
    <n v="62.37"/>
    <n v="1"/>
    <n v="99"/>
    <n v="62.37"/>
    <n v="36.630000000000003"/>
    <n v="0.37000000000000005"/>
    <x v="4"/>
    <x v="4"/>
    <x v="0"/>
  </r>
  <r>
    <x v="151"/>
    <d v="2020-08-26T00:00:00"/>
    <n v="4"/>
    <x v="1"/>
    <n v="390"/>
    <n v="288.60000000000002"/>
    <n v="5"/>
    <n v="1950"/>
    <n v="1443"/>
    <n v="507"/>
    <n v="0.26"/>
    <x v="25"/>
    <x v="3"/>
    <x v="1"/>
  </r>
  <r>
    <x v="152"/>
    <d v="2020-08-28T00:00:00"/>
    <n v="2"/>
    <x v="13"/>
    <n v="95"/>
    <n v="60.8"/>
    <n v="6"/>
    <n v="570"/>
    <n v="364.79999999999995"/>
    <n v="205.20000000000005"/>
    <n v="0.3600000000000001"/>
    <x v="27"/>
    <x v="1"/>
    <x v="0"/>
  </r>
  <r>
    <x v="152"/>
    <d v="2020-08-28T00:00:00"/>
    <n v="2"/>
    <x v="15"/>
    <n v="375"/>
    <n v="247.5"/>
    <n v="9"/>
    <n v="3375"/>
    <n v="2227.5"/>
    <n v="1147.5"/>
    <n v="0.34"/>
    <x v="3"/>
    <x v="0"/>
    <x v="0"/>
  </r>
  <r>
    <x v="153"/>
    <d v="2020-09-04T00:00:00"/>
    <n v="6"/>
    <x v="15"/>
    <n v="375"/>
    <n v="247.5"/>
    <n v="1"/>
    <n v="375"/>
    <n v="247.5"/>
    <n v="127.5"/>
    <n v="0.34"/>
    <x v="46"/>
    <x v="2"/>
    <x v="0"/>
  </r>
  <r>
    <x v="153"/>
    <d v="2020-09-04T00:00:00"/>
    <n v="6"/>
    <x v="14"/>
    <n v="490"/>
    <n v="298.89999999999998"/>
    <n v="6"/>
    <n v="2940"/>
    <n v="1793.3999999999999"/>
    <n v="1146.6000000000001"/>
    <n v="0.39000000000000007"/>
    <x v="37"/>
    <x v="0"/>
    <x v="1"/>
  </r>
  <r>
    <x v="153"/>
    <d v="2020-08-31T00:00:00"/>
    <n v="2"/>
    <x v="17"/>
    <n v="460"/>
    <n v="303.60000000000002"/>
    <n v="8"/>
    <n v="3680"/>
    <n v="2428.8000000000002"/>
    <n v="1251.1999999999998"/>
    <n v="0.33999999999999997"/>
    <x v="25"/>
    <x v="2"/>
    <x v="1"/>
  </r>
  <r>
    <x v="154"/>
    <d v="2020-09-04T00:00:00"/>
    <n v="5"/>
    <x v="10"/>
    <n v="59"/>
    <n v="41.3"/>
    <n v="1"/>
    <n v="59"/>
    <n v="41.3"/>
    <n v="17.700000000000003"/>
    <n v="0.30000000000000004"/>
    <x v="0"/>
    <x v="2"/>
    <x v="0"/>
  </r>
  <r>
    <x v="155"/>
    <d v="2020-09-05T00:00:00"/>
    <n v="5"/>
    <x v="3"/>
    <n v="80"/>
    <n v="48.8"/>
    <n v="5"/>
    <n v="400"/>
    <n v="244"/>
    <n v="156"/>
    <n v="0.39"/>
    <x v="45"/>
    <x v="1"/>
    <x v="0"/>
  </r>
  <r>
    <x v="156"/>
    <d v="2020-09-07T00:00:00"/>
    <n v="6"/>
    <x v="9"/>
    <n v="440"/>
    <n v="286"/>
    <n v="8"/>
    <n v="3520"/>
    <n v="2288"/>
    <n v="1232"/>
    <n v="0.35"/>
    <x v="26"/>
    <x v="3"/>
    <x v="0"/>
  </r>
  <r>
    <x v="156"/>
    <d v="2020-09-05T00:00:00"/>
    <n v="4"/>
    <x v="17"/>
    <n v="460"/>
    <n v="303.60000000000002"/>
    <n v="7"/>
    <n v="3220"/>
    <n v="2125.2000000000003"/>
    <n v="1094.7999999999997"/>
    <n v="0.33999999999999991"/>
    <x v="5"/>
    <x v="3"/>
    <x v="1"/>
  </r>
  <r>
    <x v="156"/>
    <d v="2020-09-04T00:00:00"/>
    <n v="3"/>
    <x v="8"/>
    <n v="220"/>
    <n v="154"/>
    <n v="1"/>
    <n v="220"/>
    <n v="154"/>
    <n v="66"/>
    <n v="0.3"/>
    <x v="35"/>
    <x v="4"/>
    <x v="0"/>
  </r>
  <r>
    <x v="157"/>
    <d v="2020-09-06T00:00:00"/>
    <n v="4"/>
    <x v="12"/>
    <n v="250"/>
    <n v="187.5"/>
    <n v="5"/>
    <n v="1250"/>
    <n v="937.5"/>
    <n v="312.5"/>
    <n v="0.25"/>
    <x v="32"/>
    <x v="4"/>
    <x v="0"/>
  </r>
  <r>
    <x v="158"/>
    <d v="2020-09-09T00:00:00"/>
    <n v="3"/>
    <x v="8"/>
    <n v="220"/>
    <n v="154"/>
    <n v="9"/>
    <n v="1980"/>
    <n v="1386"/>
    <n v="594"/>
    <n v="0.3"/>
    <x v="17"/>
    <x v="0"/>
    <x v="1"/>
  </r>
  <r>
    <x v="159"/>
    <d v="2020-09-13T00:00:00"/>
    <n v="6"/>
    <x v="21"/>
    <n v="215"/>
    <n v="152.65"/>
    <n v="8"/>
    <n v="1720"/>
    <n v="1221.2"/>
    <n v="498.79999999999995"/>
    <n v="0.28999999999999998"/>
    <x v="1"/>
    <x v="3"/>
    <x v="0"/>
  </r>
  <r>
    <x v="159"/>
    <d v="2020-09-13T00:00:00"/>
    <n v="6"/>
    <x v="10"/>
    <n v="59"/>
    <n v="41.3"/>
    <n v="4"/>
    <n v="236"/>
    <n v="165.2"/>
    <n v="70.800000000000011"/>
    <n v="0.30000000000000004"/>
    <x v="39"/>
    <x v="2"/>
    <x v="1"/>
  </r>
  <r>
    <x v="159"/>
    <d v="2020-09-09T00:00:00"/>
    <n v="2"/>
    <x v="7"/>
    <n v="275"/>
    <n v="200.75"/>
    <n v="3"/>
    <n v="825"/>
    <n v="602.25"/>
    <n v="222.75"/>
    <n v="0.27"/>
    <x v="38"/>
    <x v="4"/>
    <x v="0"/>
  </r>
  <r>
    <x v="159"/>
    <d v="2020-09-11T00:00:00"/>
    <n v="4"/>
    <x v="18"/>
    <n v="390"/>
    <n v="253.5"/>
    <n v="6"/>
    <n v="2340"/>
    <n v="1521"/>
    <n v="819"/>
    <n v="0.35"/>
    <x v="3"/>
    <x v="4"/>
    <x v="1"/>
  </r>
  <r>
    <x v="159"/>
    <d v="2020-09-14T00:00:00"/>
    <n v="7"/>
    <x v="12"/>
    <n v="250"/>
    <n v="187.5"/>
    <n v="7"/>
    <n v="1750"/>
    <n v="1312.5"/>
    <n v="437.5"/>
    <n v="0.25"/>
    <x v="30"/>
    <x v="2"/>
    <x v="0"/>
  </r>
  <r>
    <x v="160"/>
    <d v="2020-09-11T00:00:00"/>
    <n v="3"/>
    <x v="10"/>
    <n v="59"/>
    <n v="41.3"/>
    <n v="8"/>
    <n v="472"/>
    <n v="330.4"/>
    <n v="141.60000000000002"/>
    <n v="0.30000000000000004"/>
    <x v="40"/>
    <x v="2"/>
    <x v="1"/>
  </r>
  <r>
    <x v="160"/>
    <d v="2020-09-14T00:00:00"/>
    <n v="6"/>
    <x v="10"/>
    <n v="59"/>
    <n v="41.3"/>
    <n v="9"/>
    <n v="531"/>
    <n v="371.7"/>
    <n v="159.30000000000001"/>
    <n v="0.30000000000000004"/>
    <x v="25"/>
    <x v="4"/>
    <x v="0"/>
  </r>
  <r>
    <x v="160"/>
    <d v="2020-09-14T00:00:00"/>
    <n v="6"/>
    <x v="13"/>
    <n v="95"/>
    <n v="60.8"/>
    <n v="7"/>
    <n v="665"/>
    <n v="425.59999999999997"/>
    <n v="239.40000000000003"/>
    <n v="0.36000000000000004"/>
    <x v="3"/>
    <x v="4"/>
    <x v="1"/>
  </r>
  <r>
    <x v="161"/>
    <d v="2020-09-14T00:00:00"/>
    <n v="5"/>
    <x v="10"/>
    <n v="59"/>
    <n v="41.3"/>
    <n v="2"/>
    <n v="118"/>
    <n v="82.6"/>
    <n v="35.400000000000006"/>
    <n v="0.30000000000000004"/>
    <x v="2"/>
    <x v="2"/>
    <x v="1"/>
  </r>
  <r>
    <x v="161"/>
    <d v="2020-09-16T00:00:00"/>
    <n v="7"/>
    <x v="10"/>
    <n v="59"/>
    <n v="41.3"/>
    <n v="5"/>
    <n v="295"/>
    <n v="206.5"/>
    <n v="88.5"/>
    <n v="0.3"/>
    <x v="36"/>
    <x v="0"/>
    <x v="1"/>
  </r>
  <r>
    <x v="161"/>
    <d v="2020-09-16T00:00:00"/>
    <n v="7"/>
    <x v="13"/>
    <n v="95"/>
    <n v="60.8"/>
    <n v="2"/>
    <n v="190"/>
    <n v="121.6"/>
    <n v="68.400000000000006"/>
    <n v="0.36000000000000004"/>
    <x v="33"/>
    <x v="3"/>
    <x v="1"/>
  </r>
  <r>
    <x v="162"/>
    <d v="2020-09-14T00:00:00"/>
    <n v="4"/>
    <x v="11"/>
    <n v="320"/>
    <n v="233.6"/>
    <n v="6"/>
    <n v="1920"/>
    <n v="1401.6"/>
    <n v="518.40000000000009"/>
    <n v="0.27000000000000007"/>
    <x v="7"/>
    <x v="2"/>
    <x v="0"/>
  </r>
  <r>
    <x v="163"/>
    <d v="2020-09-17T00:00:00"/>
    <n v="5"/>
    <x v="7"/>
    <n v="275"/>
    <n v="200.75"/>
    <n v="5"/>
    <n v="1375"/>
    <n v="1003.75"/>
    <n v="371.25"/>
    <n v="0.27"/>
    <x v="40"/>
    <x v="2"/>
    <x v="1"/>
  </r>
  <r>
    <x v="164"/>
    <d v="2020-09-19T00:00:00"/>
    <n v="6"/>
    <x v="16"/>
    <n v="110"/>
    <n v="78.099999999999994"/>
    <n v="1"/>
    <n v="110"/>
    <n v="78.099999999999994"/>
    <n v="31.900000000000006"/>
    <n v="0.29000000000000004"/>
    <x v="29"/>
    <x v="2"/>
    <x v="1"/>
  </r>
  <r>
    <x v="165"/>
    <d v="2020-09-21T00:00:00"/>
    <n v="6"/>
    <x v="14"/>
    <n v="490"/>
    <n v="298.89999999999998"/>
    <n v="8"/>
    <n v="3920"/>
    <n v="2391.1999999999998"/>
    <n v="1528.8000000000002"/>
    <n v="0.39000000000000007"/>
    <x v="19"/>
    <x v="2"/>
    <x v="1"/>
  </r>
  <r>
    <x v="165"/>
    <d v="2020-09-16T00:00:00"/>
    <n v="1"/>
    <x v="20"/>
    <n v="355"/>
    <n v="252.05"/>
    <n v="8"/>
    <n v="2840"/>
    <n v="2016.4"/>
    <n v="823.59999999999991"/>
    <n v="0.28999999999999998"/>
    <x v="38"/>
    <x v="2"/>
    <x v="0"/>
  </r>
  <r>
    <x v="166"/>
    <d v="2020-09-25T00:00:00"/>
    <n v="7"/>
    <x v="8"/>
    <n v="220"/>
    <n v="154"/>
    <n v="7"/>
    <n v="1540"/>
    <n v="1078"/>
    <n v="462"/>
    <n v="0.3"/>
    <x v="7"/>
    <x v="3"/>
    <x v="0"/>
  </r>
  <r>
    <x v="167"/>
    <d v="2020-09-21T00:00:00"/>
    <n v="2"/>
    <x v="9"/>
    <n v="440"/>
    <n v="286"/>
    <n v="1"/>
    <n v="440"/>
    <n v="286"/>
    <n v="154"/>
    <n v="0.35"/>
    <x v="8"/>
    <x v="1"/>
    <x v="1"/>
  </r>
  <r>
    <x v="167"/>
    <d v="2020-09-24T00:00:00"/>
    <n v="5"/>
    <x v="20"/>
    <n v="355"/>
    <n v="252.05"/>
    <n v="4"/>
    <n v="1420"/>
    <n v="1008.2"/>
    <n v="411.79999999999995"/>
    <n v="0.28999999999999998"/>
    <x v="25"/>
    <x v="4"/>
    <x v="1"/>
  </r>
  <r>
    <x v="168"/>
    <d v="2020-09-23T00:00:00"/>
    <n v="3"/>
    <x v="6"/>
    <n v="290"/>
    <n v="185.6"/>
    <n v="8"/>
    <n v="2320"/>
    <n v="1484.8"/>
    <n v="835.2"/>
    <n v="0.36000000000000004"/>
    <x v="10"/>
    <x v="0"/>
    <x v="0"/>
  </r>
  <r>
    <x v="168"/>
    <d v="2020-09-22T00:00:00"/>
    <n v="2"/>
    <x v="12"/>
    <n v="250"/>
    <n v="187.5"/>
    <n v="7"/>
    <n v="1750"/>
    <n v="1312.5"/>
    <n v="437.5"/>
    <n v="0.25"/>
    <x v="23"/>
    <x v="3"/>
    <x v="1"/>
  </r>
  <r>
    <x v="169"/>
    <d v="2020-09-26T00:00:00"/>
    <n v="5"/>
    <x v="18"/>
    <n v="390"/>
    <n v="253.5"/>
    <n v="5"/>
    <n v="1950"/>
    <n v="1267.5"/>
    <n v="682.5"/>
    <n v="0.35"/>
    <x v="41"/>
    <x v="1"/>
    <x v="1"/>
  </r>
  <r>
    <x v="170"/>
    <d v="2020-09-28T00:00:00"/>
    <n v="4"/>
    <x v="1"/>
    <n v="390"/>
    <n v="288.60000000000002"/>
    <n v="7"/>
    <n v="2730"/>
    <n v="2020.2000000000003"/>
    <n v="709.79999999999973"/>
    <n v="0.2599999999999999"/>
    <x v="2"/>
    <x v="0"/>
    <x v="0"/>
  </r>
  <r>
    <x v="170"/>
    <d v="2020-09-29T00:00:00"/>
    <n v="5"/>
    <x v="6"/>
    <n v="290"/>
    <n v="185.6"/>
    <n v="3"/>
    <n v="870"/>
    <n v="556.79999999999995"/>
    <n v="313.20000000000005"/>
    <n v="0.36000000000000004"/>
    <x v="28"/>
    <x v="3"/>
    <x v="1"/>
  </r>
  <r>
    <x v="171"/>
    <d v="2020-09-27T00:00:00"/>
    <n v="2"/>
    <x v="14"/>
    <n v="490"/>
    <n v="298.89999999999998"/>
    <n v="5"/>
    <n v="2450"/>
    <n v="1494.5"/>
    <n v="955.5"/>
    <n v="0.39"/>
    <x v="30"/>
    <x v="1"/>
    <x v="0"/>
  </r>
  <r>
    <x v="172"/>
    <d v="2020-10-07T00:00:00"/>
    <n v="5"/>
    <x v="15"/>
    <n v="375"/>
    <n v="247.5"/>
    <n v="4"/>
    <n v="1500"/>
    <n v="990"/>
    <n v="510"/>
    <n v="0.34"/>
    <x v="46"/>
    <x v="0"/>
    <x v="0"/>
  </r>
  <r>
    <x v="173"/>
    <d v="2020-10-07T00:00:00"/>
    <n v="4"/>
    <x v="2"/>
    <n v="445"/>
    <n v="280.35000000000002"/>
    <n v="3"/>
    <n v="1335"/>
    <n v="841.05000000000007"/>
    <n v="493.94999999999993"/>
    <n v="0.36999999999999994"/>
    <x v="41"/>
    <x v="0"/>
    <x v="0"/>
  </r>
  <r>
    <x v="173"/>
    <d v="2020-10-05T00:00:00"/>
    <n v="2"/>
    <x v="21"/>
    <n v="215"/>
    <n v="152.65"/>
    <n v="3"/>
    <n v="645"/>
    <n v="457.95000000000005"/>
    <n v="187.04999999999995"/>
    <n v="0.28999999999999992"/>
    <x v="20"/>
    <x v="2"/>
    <x v="1"/>
  </r>
  <r>
    <x v="174"/>
    <d v="2020-10-05T00:00:00"/>
    <n v="1"/>
    <x v="9"/>
    <n v="440"/>
    <n v="286"/>
    <n v="5"/>
    <n v="2200"/>
    <n v="1430"/>
    <n v="770"/>
    <n v="0.35"/>
    <x v="26"/>
    <x v="4"/>
    <x v="1"/>
  </r>
  <r>
    <x v="175"/>
    <d v="2020-10-12T00:00:00"/>
    <n v="7"/>
    <x v="10"/>
    <n v="59"/>
    <n v="41.3"/>
    <n v="8"/>
    <n v="472"/>
    <n v="330.4"/>
    <n v="141.60000000000002"/>
    <n v="0.30000000000000004"/>
    <x v="10"/>
    <x v="0"/>
    <x v="0"/>
  </r>
  <r>
    <x v="175"/>
    <d v="2020-10-12T00:00:00"/>
    <n v="7"/>
    <x v="21"/>
    <n v="215"/>
    <n v="152.65"/>
    <n v="2"/>
    <n v="430"/>
    <n v="305.3"/>
    <n v="124.69999999999999"/>
    <n v="0.28999999999999998"/>
    <x v="45"/>
    <x v="4"/>
    <x v="0"/>
  </r>
  <r>
    <x v="176"/>
    <d v="2020-10-10T00:00:00"/>
    <n v="3"/>
    <x v="5"/>
    <n v="250"/>
    <n v="167.5"/>
    <n v="6"/>
    <n v="1500"/>
    <n v="1005"/>
    <n v="495"/>
    <n v="0.33"/>
    <x v="16"/>
    <x v="4"/>
    <x v="0"/>
  </r>
  <r>
    <x v="176"/>
    <d v="2020-10-11T00:00:00"/>
    <n v="4"/>
    <x v="16"/>
    <n v="110"/>
    <n v="78.099999999999994"/>
    <n v="7"/>
    <n v="770"/>
    <n v="546.69999999999993"/>
    <n v="223.30000000000007"/>
    <n v="0.29000000000000009"/>
    <x v="18"/>
    <x v="2"/>
    <x v="1"/>
  </r>
  <r>
    <x v="176"/>
    <d v="2020-10-13T00:00:00"/>
    <n v="6"/>
    <x v="0"/>
    <n v="99"/>
    <n v="62.37"/>
    <n v="9"/>
    <n v="891"/>
    <n v="561.32999999999993"/>
    <n v="329.67000000000007"/>
    <n v="0.37000000000000011"/>
    <x v="14"/>
    <x v="0"/>
    <x v="0"/>
  </r>
  <r>
    <x v="176"/>
    <d v="2020-10-08T00:00:00"/>
    <n v="1"/>
    <x v="15"/>
    <n v="375"/>
    <n v="247.5"/>
    <n v="4"/>
    <n v="1500"/>
    <n v="990"/>
    <n v="510"/>
    <n v="0.34"/>
    <x v="13"/>
    <x v="2"/>
    <x v="1"/>
  </r>
  <r>
    <x v="177"/>
    <d v="2020-10-11T00:00:00"/>
    <n v="3"/>
    <x v="4"/>
    <n v="195"/>
    <n v="138.44999999999999"/>
    <n v="1"/>
    <n v="195"/>
    <n v="138.44999999999999"/>
    <n v="56.550000000000011"/>
    <n v="0.29000000000000004"/>
    <x v="22"/>
    <x v="1"/>
    <x v="1"/>
  </r>
  <r>
    <x v="178"/>
    <d v="2020-10-14T00:00:00"/>
    <n v="5"/>
    <x v="19"/>
    <n v="145"/>
    <n v="105.85"/>
    <n v="5"/>
    <n v="725"/>
    <n v="529.25"/>
    <n v="195.75"/>
    <n v="0.27"/>
    <x v="25"/>
    <x v="2"/>
    <x v="0"/>
  </r>
  <r>
    <x v="179"/>
    <d v="2020-10-13T00:00:00"/>
    <n v="3"/>
    <x v="6"/>
    <n v="290"/>
    <n v="185.6"/>
    <n v="4"/>
    <n v="1160"/>
    <n v="742.4"/>
    <n v="417.6"/>
    <n v="0.36000000000000004"/>
    <x v="3"/>
    <x v="4"/>
    <x v="0"/>
  </r>
  <r>
    <x v="179"/>
    <d v="2020-10-12T00:00:00"/>
    <n v="2"/>
    <x v="13"/>
    <n v="95"/>
    <n v="60.8"/>
    <n v="2"/>
    <n v="190"/>
    <n v="121.6"/>
    <n v="68.400000000000006"/>
    <n v="0.36000000000000004"/>
    <x v="46"/>
    <x v="1"/>
    <x v="0"/>
  </r>
  <r>
    <x v="180"/>
    <d v="2020-10-14T00:00:00"/>
    <n v="3"/>
    <x v="16"/>
    <n v="110"/>
    <n v="78.099999999999994"/>
    <n v="8"/>
    <n v="880"/>
    <n v="624.79999999999995"/>
    <n v="255.20000000000005"/>
    <n v="0.29000000000000004"/>
    <x v="11"/>
    <x v="1"/>
    <x v="0"/>
  </r>
  <r>
    <x v="181"/>
    <d v="2020-10-19T00:00:00"/>
    <n v="7"/>
    <x v="20"/>
    <n v="355"/>
    <n v="252.05"/>
    <n v="6"/>
    <n v="2130"/>
    <n v="1512.3000000000002"/>
    <n v="617.69999999999982"/>
    <n v="0.28999999999999992"/>
    <x v="30"/>
    <x v="1"/>
    <x v="1"/>
  </r>
  <r>
    <x v="182"/>
    <d v="2020-10-19T00:00:00"/>
    <n v="6"/>
    <x v="15"/>
    <n v="375"/>
    <n v="247.5"/>
    <n v="3"/>
    <n v="1125"/>
    <n v="742.5"/>
    <n v="382.5"/>
    <n v="0.34"/>
    <x v="11"/>
    <x v="0"/>
    <x v="1"/>
  </r>
  <r>
    <x v="182"/>
    <d v="2020-10-20T00:00:00"/>
    <n v="7"/>
    <x v="11"/>
    <n v="320"/>
    <n v="233.6"/>
    <n v="4"/>
    <n v="1280"/>
    <n v="934.4"/>
    <n v="345.6"/>
    <n v="0.27"/>
    <x v="41"/>
    <x v="1"/>
    <x v="1"/>
  </r>
  <r>
    <x v="183"/>
    <d v="2020-10-20T00:00:00"/>
    <n v="6"/>
    <x v="0"/>
    <n v="99"/>
    <n v="62.37"/>
    <n v="5"/>
    <n v="495"/>
    <n v="311.84999999999997"/>
    <n v="183.15000000000003"/>
    <n v="0.37000000000000005"/>
    <x v="42"/>
    <x v="0"/>
    <x v="1"/>
  </r>
  <r>
    <x v="184"/>
    <d v="2020-10-16T00:00:00"/>
    <n v="1"/>
    <x v="6"/>
    <n v="290"/>
    <n v="185.6"/>
    <n v="9"/>
    <n v="2610"/>
    <n v="1670.3999999999999"/>
    <n v="939.60000000000014"/>
    <n v="0.36000000000000004"/>
    <x v="42"/>
    <x v="1"/>
    <x v="0"/>
  </r>
  <r>
    <x v="184"/>
    <d v="2020-10-17T00:00:00"/>
    <n v="2"/>
    <x v="18"/>
    <n v="390"/>
    <n v="253.5"/>
    <n v="1"/>
    <n v="390"/>
    <n v="253.5"/>
    <n v="136.5"/>
    <n v="0.35"/>
    <x v="47"/>
    <x v="3"/>
    <x v="1"/>
  </r>
  <r>
    <x v="184"/>
    <d v="2020-10-17T00:00:00"/>
    <n v="2"/>
    <x v="12"/>
    <n v="250"/>
    <n v="187.5"/>
    <n v="4"/>
    <n v="1000"/>
    <n v="750"/>
    <n v="250"/>
    <n v="0.25"/>
    <x v="40"/>
    <x v="3"/>
    <x v="0"/>
  </r>
  <r>
    <x v="185"/>
    <d v="2020-10-19T00:00:00"/>
    <n v="3"/>
    <x v="12"/>
    <n v="250"/>
    <n v="187.5"/>
    <n v="1"/>
    <n v="250"/>
    <n v="187.5"/>
    <n v="62.5"/>
    <n v="0.25"/>
    <x v="24"/>
    <x v="1"/>
    <x v="1"/>
  </r>
  <r>
    <x v="185"/>
    <d v="2020-10-22T00:00:00"/>
    <n v="6"/>
    <x v="11"/>
    <n v="320"/>
    <n v="233.6"/>
    <n v="8"/>
    <n v="2560"/>
    <n v="1868.8"/>
    <n v="691.2"/>
    <n v="0.27"/>
    <x v="35"/>
    <x v="1"/>
    <x v="1"/>
  </r>
  <r>
    <x v="186"/>
    <d v="2020-10-19T00:00:00"/>
    <n v="2"/>
    <x v="21"/>
    <n v="215"/>
    <n v="152.65"/>
    <n v="9"/>
    <n v="1935"/>
    <n v="1373.8500000000001"/>
    <n v="561.14999999999986"/>
    <n v="0.28999999999999992"/>
    <x v="40"/>
    <x v="0"/>
    <x v="1"/>
  </r>
  <r>
    <x v="187"/>
    <d v="2020-10-20T00:00:00"/>
    <n v="2"/>
    <x v="5"/>
    <n v="250"/>
    <n v="167.5"/>
    <n v="5"/>
    <n v="1250"/>
    <n v="837.5"/>
    <n v="412.5"/>
    <n v="0.33"/>
    <x v="26"/>
    <x v="0"/>
    <x v="0"/>
  </r>
  <r>
    <x v="188"/>
    <d v="2020-10-28T00:00:00"/>
    <n v="7"/>
    <x v="16"/>
    <n v="110"/>
    <n v="78.099999999999994"/>
    <n v="8"/>
    <n v="880"/>
    <n v="624.79999999999995"/>
    <n v="255.20000000000005"/>
    <n v="0.29000000000000004"/>
    <x v="3"/>
    <x v="0"/>
    <x v="1"/>
  </r>
  <r>
    <x v="189"/>
    <d v="2020-10-29T00:00:00"/>
    <n v="6"/>
    <x v="15"/>
    <n v="375"/>
    <n v="247.5"/>
    <n v="4"/>
    <n v="1500"/>
    <n v="990"/>
    <n v="510"/>
    <n v="0.34"/>
    <x v="24"/>
    <x v="1"/>
    <x v="0"/>
  </r>
  <r>
    <x v="189"/>
    <d v="2020-10-26T00:00:00"/>
    <n v="3"/>
    <x v="1"/>
    <n v="390"/>
    <n v="288.60000000000002"/>
    <n v="9"/>
    <n v="3510"/>
    <n v="2597.4"/>
    <n v="912.59999999999991"/>
    <n v="0.25999999999999995"/>
    <x v="42"/>
    <x v="0"/>
    <x v="0"/>
  </r>
  <r>
    <x v="190"/>
    <d v="2020-10-26T00:00:00"/>
    <n v="2"/>
    <x v="21"/>
    <n v="215"/>
    <n v="152.65"/>
    <n v="6"/>
    <n v="1290"/>
    <n v="915.90000000000009"/>
    <n v="374.09999999999991"/>
    <n v="0.28999999999999992"/>
    <x v="2"/>
    <x v="3"/>
    <x v="0"/>
  </r>
  <r>
    <x v="191"/>
    <d v="2020-11-01T00:00:00"/>
    <n v="7"/>
    <x v="7"/>
    <n v="275"/>
    <n v="200.75"/>
    <n v="6"/>
    <n v="1650"/>
    <n v="1204.5"/>
    <n v="445.5"/>
    <n v="0.27"/>
    <x v="6"/>
    <x v="3"/>
    <x v="0"/>
  </r>
  <r>
    <x v="192"/>
    <d v="2020-10-31T00:00:00"/>
    <n v="4"/>
    <x v="12"/>
    <n v="250"/>
    <n v="187.5"/>
    <n v="4"/>
    <n v="1000"/>
    <n v="750"/>
    <n v="250"/>
    <n v="0.25"/>
    <x v="35"/>
    <x v="4"/>
    <x v="0"/>
  </r>
  <r>
    <x v="193"/>
    <d v="2020-11-03T00:00:00"/>
    <n v="6"/>
    <x v="10"/>
    <n v="59"/>
    <n v="41.3"/>
    <n v="1"/>
    <n v="59"/>
    <n v="41.3"/>
    <n v="17.700000000000003"/>
    <n v="0.30000000000000004"/>
    <x v="26"/>
    <x v="0"/>
    <x v="0"/>
  </r>
  <r>
    <x v="193"/>
    <d v="2020-10-31T00:00:00"/>
    <n v="3"/>
    <x v="4"/>
    <n v="195"/>
    <n v="138.44999999999999"/>
    <n v="1"/>
    <n v="195"/>
    <n v="138.44999999999999"/>
    <n v="56.550000000000011"/>
    <n v="0.29000000000000004"/>
    <x v="46"/>
    <x v="1"/>
    <x v="0"/>
  </r>
  <r>
    <x v="193"/>
    <d v="2020-11-03T00:00:00"/>
    <n v="6"/>
    <x v="4"/>
    <n v="195"/>
    <n v="138.44999999999999"/>
    <n v="2"/>
    <n v="390"/>
    <n v="276.89999999999998"/>
    <n v="113.10000000000002"/>
    <n v="0.29000000000000004"/>
    <x v="32"/>
    <x v="0"/>
    <x v="0"/>
  </r>
  <r>
    <x v="194"/>
    <d v="2020-11-01T00:00:00"/>
    <n v="2"/>
    <x v="7"/>
    <n v="275"/>
    <n v="200.75"/>
    <n v="8"/>
    <n v="2200"/>
    <n v="1606"/>
    <n v="594"/>
    <n v="0.27"/>
    <x v="40"/>
    <x v="2"/>
    <x v="0"/>
  </r>
  <r>
    <x v="195"/>
    <d v="2020-11-05T00:00:00"/>
    <n v="4"/>
    <x v="9"/>
    <n v="440"/>
    <n v="286"/>
    <n v="3"/>
    <n v="1320"/>
    <n v="858"/>
    <n v="462"/>
    <n v="0.35"/>
    <x v="18"/>
    <x v="3"/>
    <x v="0"/>
  </r>
  <r>
    <x v="196"/>
    <d v="2020-11-08T00:00:00"/>
    <n v="6"/>
    <x v="21"/>
    <n v="215"/>
    <n v="152.65"/>
    <n v="4"/>
    <n v="860"/>
    <n v="610.6"/>
    <n v="249.39999999999998"/>
    <n v="0.28999999999999998"/>
    <x v="46"/>
    <x v="0"/>
    <x v="0"/>
  </r>
  <r>
    <x v="197"/>
    <d v="2020-11-05T00:00:00"/>
    <n v="2"/>
    <x v="6"/>
    <n v="290"/>
    <n v="185.6"/>
    <n v="3"/>
    <n v="870"/>
    <n v="556.79999999999995"/>
    <n v="313.20000000000005"/>
    <n v="0.36000000000000004"/>
    <x v="4"/>
    <x v="3"/>
    <x v="1"/>
  </r>
  <r>
    <x v="197"/>
    <d v="2020-11-10T00:00:00"/>
    <n v="7"/>
    <x v="17"/>
    <n v="460"/>
    <n v="303.60000000000002"/>
    <n v="5"/>
    <n v="2300"/>
    <n v="1518"/>
    <n v="782"/>
    <n v="0.34"/>
    <x v="0"/>
    <x v="1"/>
    <x v="0"/>
  </r>
  <r>
    <x v="198"/>
    <d v="2020-11-08T00:00:00"/>
    <n v="4"/>
    <x v="18"/>
    <n v="390"/>
    <n v="253.5"/>
    <n v="7"/>
    <n v="2730"/>
    <n v="1774.5"/>
    <n v="955.5"/>
    <n v="0.35"/>
    <x v="40"/>
    <x v="0"/>
    <x v="1"/>
  </r>
  <r>
    <x v="199"/>
    <d v="2020-11-09T00:00:00"/>
    <n v="3"/>
    <x v="16"/>
    <n v="110"/>
    <n v="78.099999999999994"/>
    <n v="4"/>
    <n v="440"/>
    <n v="312.39999999999998"/>
    <n v="127.60000000000002"/>
    <n v="0.29000000000000004"/>
    <x v="42"/>
    <x v="0"/>
    <x v="0"/>
  </r>
  <r>
    <x v="199"/>
    <d v="2020-11-12T00:00:00"/>
    <n v="6"/>
    <x v="2"/>
    <n v="445"/>
    <n v="280.35000000000002"/>
    <n v="8"/>
    <n v="3560"/>
    <n v="2242.8000000000002"/>
    <n v="1317.1999999999998"/>
    <n v="0.36999999999999994"/>
    <x v="42"/>
    <x v="0"/>
    <x v="0"/>
  </r>
  <r>
    <x v="200"/>
    <d v="2020-11-10T00:00:00"/>
    <n v="3"/>
    <x v="2"/>
    <n v="445"/>
    <n v="280.35000000000002"/>
    <n v="7"/>
    <n v="3115"/>
    <n v="1962.4500000000003"/>
    <n v="1152.5499999999997"/>
    <n v="0.36999999999999994"/>
    <x v="18"/>
    <x v="0"/>
    <x v="1"/>
  </r>
  <r>
    <x v="200"/>
    <d v="2020-11-10T00:00:00"/>
    <n v="3"/>
    <x v="13"/>
    <n v="95"/>
    <n v="60.8"/>
    <n v="3"/>
    <n v="285"/>
    <n v="182.39999999999998"/>
    <n v="102.60000000000002"/>
    <n v="0.3600000000000001"/>
    <x v="26"/>
    <x v="2"/>
    <x v="1"/>
  </r>
  <r>
    <x v="200"/>
    <d v="2020-11-11T00:00:00"/>
    <n v="4"/>
    <x v="11"/>
    <n v="320"/>
    <n v="233.6"/>
    <n v="5"/>
    <n v="1600"/>
    <n v="1168"/>
    <n v="432"/>
    <n v="0.27"/>
    <x v="1"/>
    <x v="2"/>
    <x v="1"/>
  </r>
  <r>
    <x v="201"/>
    <d v="2020-11-17T00:00:00"/>
    <n v="7"/>
    <x v="2"/>
    <n v="445"/>
    <n v="280.35000000000002"/>
    <n v="4"/>
    <n v="1780"/>
    <n v="1121.4000000000001"/>
    <n v="658.59999999999991"/>
    <n v="0.36999999999999994"/>
    <x v="40"/>
    <x v="2"/>
    <x v="0"/>
  </r>
  <r>
    <x v="201"/>
    <d v="2020-11-17T00:00:00"/>
    <n v="7"/>
    <x v="15"/>
    <n v="375"/>
    <n v="247.5"/>
    <n v="2"/>
    <n v="750"/>
    <n v="495"/>
    <n v="255"/>
    <n v="0.34"/>
    <x v="29"/>
    <x v="3"/>
    <x v="1"/>
  </r>
  <r>
    <x v="202"/>
    <d v="2020-11-13T00:00:00"/>
    <n v="1"/>
    <x v="1"/>
    <n v="390"/>
    <n v="288.60000000000002"/>
    <n v="7"/>
    <n v="2730"/>
    <n v="2020.2000000000003"/>
    <n v="709.79999999999973"/>
    <n v="0.2599999999999999"/>
    <x v="27"/>
    <x v="0"/>
    <x v="1"/>
  </r>
  <r>
    <x v="202"/>
    <d v="2020-11-19T00:00:00"/>
    <n v="7"/>
    <x v="11"/>
    <n v="320"/>
    <n v="233.6"/>
    <n v="3"/>
    <n v="960"/>
    <n v="700.8"/>
    <n v="259.20000000000005"/>
    <n v="0.27000000000000007"/>
    <x v="43"/>
    <x v="2"/>
    <x v="0"/>
  </r>
  <r>
    <x v="202"/>
    <d v="2020-11-17T00:00:00"/>
    <n v="5"/>
    <x v="20"/>
    <n v="355"/>
    <n v="252.05"/>
    <n v="3"/>
    <n v="1065"/>
    <n v="756.15000000000009"/>
    <n v="308.84999999999991"/>
    <n v="0.28999999999999992"/>
    <x v="20"/>
    <x v="2"/>
    <x v="1"/>
  </r>
  <r>
    <x v="202"/>
    <d v="2020-11-18T00:00:00"/>
    <n v="6"/>
    <x v="2"/>
    <n v="445"/>
    <n v="280.35000000000002"/>
    <n v="4"/>
    <n v="1780"/>
    <n v="1121.4000000000001"/>
    <n v="658.59999999999991"/>
    <n v="0.36999999999999994"/>
    <x v="17"/>
    <x v="1"/>
    <x v="1"/>
  </r>
  <r>
    <x v="203"/>
    <d v="2020-11-15T00:00:00"/>
    <n v="2"/>
    <x v="3"/>
    <n v="80"/>
    <n v="48.8"/>
    <n v="5"/>
    <n v="400"/>
    <n v="244"/>
    <n v="156"/>
    <n v="0.39"/>
    <x v="12"/>
    <x v="3"/>
    <x v="1"/>
  </r>
  <r>
    <x v="204"/>
    <d v="2020-11-16T00:00:00"/>
    <n v="2"/>
    <x v="7"/>
    <n v="275"/>
    <n v="200.75"/>
    <n v="1"/>
    <n v="275"/>
    <n v="200.75"/>
    <n v="74.25"/>
    <n v="0.27"/>
    <x v="8"/>
    <x v="4"/>
    <x v="1"/>
  </r>
  <r>
    <x v="205"/>
    <d v="2020-11-23T00:00:00"/>
    <n v="7"/>
    <x v="1"/>
    <n v="390"/>
    <n v="288.60000000000002"/>
    <n v="4"/>
    <n v="1560"/>
    <n v="1154.4000000000001"/>
    <n v="405.59999999999991"/>
    <n v="0.25999999999999995"/>
    <x v="21"/>
    <x v="3"/>
    <x v="0"/>
  </r>
  <r>
    <x v="205"/>
    <d v="2020-11-17T00:00:00"/>
    <n v="1"/>
    <x v="19"/>
    <n v="145"/>
    <n v="105.85"/>
    <n v="1"/>
    <n v="145"/>
    <n v="105.85"/>
    <n v="39.150000000000006"/>
    <n v="0.27"/>
    <x v="45"/>
    <x v="3"/>
    <x v="0"/>
  </r>
  <r>
    <x v="206"/>
    <d v="2020-11-20T00:00:00"/>
    <n v="3"/>
    <x v="17"/>
    <n v="460"/>
    <n v="303.60000000000002"/>
    <n v="8"/>
    <n v="3680"/>
    <n v="2428.8000000000002"/>
    <n v="1251.1999999999998"/>
    <n v="0.33999999999999997"/>
    <x v="0"/>
    <x v="2"/>
    <x v="1"/>
  </r>
  <r>
    <x v="207"/>
    <d v="2020-11-25T00:00:00"/>
    <n v="7"/>
    <x v="20"/>
    <n v="355"/>
    <n v="252.05"/>
    <n v="7"/>
    <n v="2485"/>
    <n v="1764.3500000000001"/>
    <n v="720.64999999999986"/>
    <n v="0.28999999999999992"/>
    <x v="9"/>
    <x v="4"/>
    <x v="1"/>
  </r>
  <r>
    <x v="207"/>
    <d v="2020-11-23T00:00:00"/>
    <n v="5"/>
    <x v="2"/>
    <n v="445"/>
    <n v="280.35000000000002"/>
    <n v="3"/>
    <n v="1335"/>
    <n v="841.05000000000007"/>
    <n v="493.94999999999993"/>
    <n v="0.36999999999999994"/>
    <x v="42"/>
    <x v="0"/>
    <x v="0"/>
  </r>
  <r>
    <x v="207"/>
    <d v="2020-11-25T00:00:00"/>
    <n v="7"/>
    <x v="1"/>
    <n v="390"/>
    <n v="288.60000000000002"/>
    <n v="9"/>
    <n v="3510"/>
    <n v="2597.4"/>
    <n v="912.59999999999991"/>
    <n v="0.25999999999999995"/>
    <x v="27"/>
    <x v="2"/>
    <x v="1"/>
  </r>
  <r>
    <x v="208"/>
    <d v="2020-11-27T00:00:00"/>
    <n v="7"/>
    <x v="4"/>
    <n v="195"/>
    <n v="138.44999999999999"/>
    <n v="2"/>
    <n v="390"/>
    <n v="276.89999999999998"/>
    <n v="113.10000000000002"/>
    <n v="0.29000000000000004"/>
    <x v="26"/>
    <x v="4"/>
    <x v="0"/>
  </r>
  <r>
    <x v="209"/>
    <d v="2020-11-27T00:00:00"/>
    <n v="6"/>
    <x v="19"/>
    <n v="145"/>
    <n v="105.85"/>
    <n v="3"/>
    <n v="435"/>
    <n v="317.54999999999995"/>
    <n v="117.45000000000005"/>
    <n v="0.27000000000000013"/>
    <x v="19"/>
    <x v="2"/>
    <x v="1"/>
  </r>
  <r>
    <x v="210"/>
    <d v="2020-11-26T00:00:00"/>
    <n v="3"/>
    <x v="6"/>
    <n v="290"/>
    <n v="185.6"/>
    <n v="5"/>
    <n v="1450"/>
    <n v="928"/>
    <n v="522"/>
    <n v="0.36"/>
    <x v="43"/>
    <x v="0"/>
    <x v="0"/>
  </r>
  <r>
    <x v="210"/>
    <d v="2020-11-24T00:00:00"/>
    <n v="1"/>
    <x v="6"/>
    <n v="290"/>
    <n v="185.6"/>
    <n v="6"/>
    <n v="1740"/>
    <n v="1113.5999999999999"/>
    <n v="626.40000000000009"/>
    <n v="0.36000000000000004"/>
    <x v="19"/>
    <x v="4"/>
    <x v="0"/>
  </r>
  <r>
    <x v="211"/>
    <d v="2020-11-30T00:00:00"/>
    <n v="5"/>
    <x v="15"/>
    <n v="375"/>
    <n v="247.5"/>
    <n v="4"/>
    <n v="1500"/>
    <n v="990"/>
    <n v="510"/>
    <n v="0.34"/>
    <x v="37"/>
    <x v="2"/>
    <x v="1"/>
  </r>
  <r>
    <x v="211"/>
    <d v="2020-11-28T00:00:00"/>
    <n v="3"/>
    <x v="15"/>
    <n v="375"/>
    <n v="247.5"/>
    <n v="5"/>
    <n v="1875"/>
    <n v="1237.5"/>
    <n v="637.5"/>
    <n v="0.34"/>
    <x v="7"/>
    <x v="2"/>
    <x v="1"/>
  </r>
  <r>
    <x v="212"/>
    <d v="2020-12-04T00:00:00"/>
    <n v="7"/>
    <x v="5"/>
    <n v="250"/>
    <n v="167.5"/>
    <n v="4"/>
    <n v="1000"/>
    <n v="670"/>
    <n v="330"/>
    <n v="0.33"/>
    <x v="20"/>
    <x v="4"/>
    <x v="0"/>
  </r>
  <r>
    <x v="213"/>
    <d v="2020-12-05T00:00:00"/>
    <n v="5"/>
    <x v="2"/>
    <n v="445"/>
    <n v="280.35000000000002"/>
    <n v="1"/>
    <n v="445"/>
    <n v="280.35000000000002"/>
    <n v="164.64999999999998"/>
    <n v="0.36999999999999994"/>
    <x v="9"/>
    <x v="3"/>
    <x v="0"/>
  </r>
  <r>
    <x v="214"/>
    <d v="2020-12-04T00:00:00"/>
    <n v="3"/>
    <x v="6"/>
    <n v="290"/>
    <n v="185.6"/>
    <n v="9"/>
    <n v="2610"/>
    <n v="1670.3999999999999"/>
    <n v="939.60000000000014"/>
    <n v="0.36000000000000004"/>
    <x v="24"/>
    <x v="2"/>
    <x v="0"/>
  </r>
  <r>
    <x v="215"/>
    <d v="2020-12-04T00:00:00"/>
    <n v="2"/>
    <x v="1"/>
    <n v="390"/>
    <n v="288.60000000000002"/>
    <n v="2"/>
    <n v="780"/>
    <n v="577.20000000000005"/>
    <n v="202.79999999999995"/>
    <n v="0.25999999999999995"/>
    <x v="34"/>
    <x v="0"/>
    <x v="0"/>
  </r>
  <r>
    <x v="216"/>
    <d v="2020-12-06T00:00:00"/>
    <n v="2"/>
    <x v="2"/>
    <n v="445"/>
    <n v="280.35000000000002"/>
    <n v="4"/>
    <n v="1780"/>
    <n v="1121.4000000000001"/>
    <n v="658.59999999999991"/>
    <n v="0.36999999999999994"/>
    <x v="8"/>
    <x v="4"/>
    <x v="1"/>
  </r>
  <r>
    <x v="217"/>
    <d v="2020-12-12T00:00:00"/>
    <n v="7"/>
    <x v="5"/>
    <n v="250"/>
    <n v="167.5"/>
    <n v="8"/>
    <n v="2000"/>
    <n v="1340"/>
    <n v="660"/>
    <n v="0.33"/>
    <x v="39"/>
    <x v="0"/>
    <x v="0"/>
  </r>
  <r>
    <x v="218"/>
    <d v="2020-12-14T00:00:00"/>
    <n v="4"/>
    <x v="10"/>
    <n v="59"/>
    <n v="41.3"/>
    <n v="3"/>
    <n v="177"/>
    <n v="123.89999999999999"/>
    <n v="53.100000000000009"/>
    <n v="0.30000000000000004"/>
    <x v="11"/>
    <x v="0"/>
    <x v="0"/>
  </r>
  <r>
    <x v="218"/>
    <d v="2020-12-17T00:00:00"/>
    <n v="7"/>
    <x v="7"/>
    <n v="275"/>
    <n v="200.75"/>
    <n v="9"/>
    <n v="2475"/>
    <n v="1806.75"/>
    <n v="668.25"/>
    <n v="0.27"/>
    <x v="24"/>
    <x v="0"/>
    <x v="1"/>
  </r>
  <r>
    <x v="219"/>
    <d v="2020-12-17T00:00:00"/>
    <n v="6"/>
    <x v="1"/>
    <n v="390"/>
    <n v="288.60000000000002"/>
    <n v="7"/>
    <n v="2730"/>
    <n v="2020.2000000000003"/>
    <n v="709.79999999999973"/>
    <n v="0.2599999999999999"/>
    <x v="43"/>
    <x v="4"/>
    <x v="0"/>
  </r>
  <r>
    <x v="220"/>
    <d v="2020-12-18T00:00:00"/>
    <n v="5"/>
    <x v="6"/>
    <n v="290"/>
    <n v="185.6"/>
    <n v="7"/>
    <n v="2030"/>
    <n v="1299.2"/>
    <n v="730.8"/>
    <n v="0.36"/>
    <x v="42"/>
    <x v="0"/>
    <x v="0"/>
  </r>
  <r>
    <x v="221"/>
    <d v="2020-12-16T00:00:00"/>
    <n v="2"/>
    <x v="19"/>
    <n v="145"/>
    <n v="105.85"/>
    <n v="1"/>
    <n v="145"/>
    <n v="105.85"/>
    <n v="39.150000000000006"/>
    <n v="0.27"/>
    <x v="15"/>
    <x v="0"/>
    <x v="1"/>
  </r>
  <r>
    <x v="222"/>
    <d v="2020-12-20T00:00:00"/>
    <n v="3"/>
    <x v="5"/>
    <n v="250"/>
    <n v="167.5"/>
    <n v="5"/>
    <n v="1250"/>
    <n v="837.5"/>
    <n v="412.5"/>
    <n v="0.33"/>
    <x v="20"/>
    <x v="4"/>
    <x v="0"/>
  </r>
  <r>
    <x v="223"/>
    <d v="2020-12-20T00:00:00"/>
    <n v="2"/>
    <x v="5"/>
    <n v="250"/>
    <n v="167.5"/>
    <n v="9"/>
    <n v="2250"/>
    <n v="1507.5"/>
    <n v="742.5"/>
    <n v="0.33"/>
    <x v="41"/>
    <x v="2"/>
    <x v="1"/>
  </r>
  <r>
    <x v="224"/>
    <d v="2020-12-26T00:00:00"/>
    <n v="6"/>
    <x v="5"/>
    <n v="250"/>
    <n v="167.5"/>
    <n v="5"/>
    <n v="1250"/>
    <n v="837.5"/>
    <n v="412.5"/>
    <n v="0.33"/>
    <x v="44"/>
    <x v="3"/>
    <x v="0"/>
  </r>
  <r>
    <x v="225"/>
    <d v="2020-12-22T00:00:00"/>
    <n v="1"/>
    <x v="16"/>
    <n v="110"/>
    <n v="78.099999999999994"/>
    <n v="1"/>
    <n v="110"/>
    <n v="78.099999999999994"/>
    <n v="31.900000000000006"/>
    <n v="0.29000000000000004"/>
    <x v="34"/>
    <x v="0"/>
    <x v="0"/>
  </r>
  <r>
    <x v="226"/>
    <d v="2020-12-30T00:00:00"/>
    <n v="7"/>
    <x v="9"/>
    <n v="440"/>
    <n v="286"/>
    <n v="9"/>
    <n v="3960"/>
    <n v="2574"/>
    <n v="1386"/>
    <n v="0.35"/>
    <x v="36"/>
    <x v="4"/>
    <x v="0"/>
  </r>
  <r>
    <x v="227"/>
    <d v="2020-12-31T00:00:00"/>
    <n v="7"/>
    <x v="8"/>
    <n v="220"/>
    <n v="154"/>
    <n v="3"/>
    <n v="660"/>
    <n v="462"/>
    <n v="198"/>
    <n v="0.3"/>
    <x v="24"/>
    <x v="4"/>
    <x v="1"/>
  </r>
  <r>
    <x v="228"/>
    <d v="2020-12-31T00:00:00"/>
    <n v="6"/>
    <x v="10"/>
    <n v="59"/>
    <n v="41.3"/>
    <n v="2"/>
    <n v="118"/>
    <n v="82.6"/>
    <n v="35.400000000000006"/>
    <n v="0.30000000000000004"/>
    <x v="18"/>
    <x v="3"/>
    <x v="0"/>
  </r>
  <r>
    <x v="229"/>
    <d v="2020-12-31T00:00:00"/>
    <n v="4"/>
    <x v="5"/>
    <n v="250"/>
    <n v="167.5"/>
    <n v="3"/>
    <n v="750"/>
    <n v="502.5"/>
    <n v="247.5"/>
    <n v="0.33"/>
    <x v="41"/>
    <x v="2"/>
    <x v="0"/>
  </r>
  <r>
    <x v="230"/>
    <d v="2021-01-06T00:00:00"/>
    <n v="7"/>
    <x v="10"/>
    <n v="59"/>
    <n v="41.3"/>
    <n v="6"/>
    <n v="354"/>
    <n v="247.79999999999998"/>
    <n v="106.20000000000002"/>
    <n v="0.30000000000000004"/>
    <x v="45"/>
    <x v="4"/>
    <x v="0"/>
  </r>
  <r>
    <x v="231"/>
    <d v="2021-01-10T00:00:00"/>
    <n v="6"/>
    <x v="3"/>
    <n v="80"/>
    <n v="48.8"/>
    <n v="3"/>
    <n v="240"/>
    <n v="146.39999999999998"/>
    <n v="93.600000000000023"/>
    <n v="0.39000000000000007"/>
    <x v="2"/>
    <x v="3"/>
    <x v="1"/>
  </r>
  <r>
    <x v="231"/>
    <d v="2021-01-06T00:00:00"/>
    <n v="2"/>
    <x v="12"/>
    <n v="250"/>
    <n v="187.5"/>
    <n v="7"/>
    <n v="1750"/>
    <n v="1312.5"/>
    <n v="437.5"/>
    <n v="0.25"/>
    <x v="12"/>
    <x v="2"/>
    <x v="1"/>
  </r>
  <r>
    <x v="232"/>
    <d v="2021-01-10T00:00:00"/>
    <n v="5"/>
    <x v="21"/>
    <n v="215"/>
    <n v="152.65"/>
    <n v="3"/>
    <n v="645"/>
    <n v="457.95000000000005"/>
    <n v="187.04999999999995"/>
    <n v="0.28999999999999992"/>
    <x v="21"/>
    <x v="3"/>
    <x v="0"/>
  </r>
  <r>
    <x v="232"/>
    <d v="2021-01-07T00:00:00"/>
    <n v="2"/>
    <x v="12"/>
    <n v="250"/>
    <n v="187.5"/>
    <n v="9"/>
    <n v="2250"/>
    <n v="1687.5"/>
    <n v="562.5"/>
    <n v="0.25"/>
    <x v="30"/>
    <x v="4"/>
    <x v="0"/>
  </r>
  <r>
    <x v="232"/>
    <d v="2021-01-12T00:00:00"/>
    <n v="7"/>
    <x v="10"/>
    <n v="59"/>
    <n v="41.3"/>
    <n v="6"/>
    <n v="354"/>
    <n v="247.79999999999998"/>
    <n v="106.20000000000002"/>
    <n v="0.30000000000000004"/>
    <x v="3"/>
    <x v="1"/>
    <x v="0"/>
  </r>
  <r>
    <x v="232"/>
    <d v="2021-01-07T00:00:00"/>
    <n v="2"/>
    <x v="17"/>
    <n v="460"/>
    <n v="303.60000000000002"/>
    <n v="8"/>
    <n v="3680"/>
    <n v="2428.8000000000002"/>
    <n v="1251.1999999999998"/>
    <n v="0.33999999999999997"/>
    <x v="10"/>
    <x v="0"/>
    <x v="0"/>
  </r>
  <r>
    <x v="232"/>
    <d v="2021-01-09T00:00:00"/>
    <n v="4"/>
    <x v="20"/>
    <n v="355"/>
    <n v="252.05"/>
    <n v="1"/>
    <n v="355"/>
    <n v="252.05"/>
    <n v="102.94999999999999"/>
    <n v="0.28999999999999998"/>
    <x v="3"/>
    <x v="2"/>
    <x v="0"/>
  </r>
  <r>
    <x v="232"/>
    <d v="2021-01-11T00:00:00"/>
    <n v="6"/>
    <x v="0"/>
    <n v="99"/>
    <n v="62.37"/>
    <n v="2"/>
    <n v="198"/>
    <n v="124.74"/>
    <n v="73.260000000000005"/>
    <n v="0.37000000000000005"/>
    <x v="11"/>
    <x v="2"/>
    <x v="0"/>
  </r>
  <r>
    <x v="233"/>
    <d v="2021-01-07T00:00:00"/>
    <n v="1"/>
    <x v="16"/>
    <n v="110"/>
    <n v="78.099999999999994"/>
    <n v="4"/>
    <n v="440"/>
    <n v="312.39999999999998"/>
    <n v="127.60000000000002"/>
    <n v="0.29000000000000004"/>
    <x v="2"/>
    <x v="0"/>
    <x v="1"/>
  </r>
  <r>
    <x v="233"/>
    <d v="2021-01-13T00:00:00"/>
    <n v="7"/>
    <x v="13"/>
    <n v="95"/>
    <n v="60.8"/>
    <n v="8"/>
    <n v="760"/>
    <n v="486.4"/>
    <n v="273.60000000000002"/>
    <n v="0.36000000000000004"/>
    <x v="25"/>
    <x v="4"/>
    <x v="1"/>
  </r>
  <r>
    <x v="234"/>
    <d v="2021-01-14T00:00:00"/>
    <n v="7"/>
    <x v="16"/>
    <n v="110"/>
    <n v="78.099999999999994"/>
    <n v="3"/>
    <n v="330"/>
    <n v="234.29999999999998"/>
    <n v="95.700000000000017"/>
    <n v="0.29000000000000004"/>
    <x v="45"/>
    <x v="1"/>
    <x v="0"/>
  </r>
  <r>
    <x v="235"/>
    <d v="2021-01-15T00:00:00"/>
    <n v="6"/>
    <x v="8"/>
    <n v="220"/>
    <n v="154"/>
    <n v="8"/>
    <n v="1760"/>
    <n v="1232"/>
    <n v="528"/>
    <n v="0.3"/>
    <x v="30"/>
    <x v="3"/>
    <x v="1"/>
  </r>
  <r>
    <x v="236"/>
    <d v="2021-01-17T00:00:00"/>
    <n v="7"/>
    <x v="9"/>
    <n v="440"/>
    <n v="286"/>
    <n v="1"/>
    <n v="440"/>
    <n v="286"/>
    <n v="154"/>
    <n v="0.35"/>
    <x v="25"/>
    <x v="1"/>
    <x v="0"/>
  </r>
  <r>
    <x v="237"/>
    <d v="2021-01-16T00:00:00"/>
    <n v="5"/>
    <x v="16"/>
    <n v="110"/>
    <n v="78.099999999999994"/>
    <n v="1"/>
    <n v="110"/>
    <n v="78.099999999999994"/>
    <n v="31.900000000000006"/>
    <n v="0.29000000000000004"/>
    <x v="40"/>
    <x v="3"/>
    <x v="0"/>
  </r>
  <r>
    <x v="238"/>
    <d v="2021-01-13T00:00:00"/>
    <n v="1"/>
    <x v="5"/>
    <n v="250"/>
    <n v="167.5"/>
    <n v="7"/>
    <n v="1750"/>
    <n v="1172.5"/>
    <n v="577.5"/>
    <n v="0.33"/>
    <x v="43"/>
    <x v="3"/>
    <x v="0"/>
  </r>
  <r>
    <x v="239"/>
    <d v="2021-01-20T00:00:00"/>
    <n v="7"/>
    <x v="20"/>
    <n v="355"/>
    <n v="252.05"/>
    <n v="9"/>
    <n v="3195"/>
    <n v="2268.4500000000003"/>
    <n v="926.54999999999973"/>
    <n v="0.28999999999999992"/>
    <x v="19"/>
    <x v="0"/>
    <x v="1"/>
  </r>
  <r>
    <x v="240"/>
    <d v="2021-01-17T00:00:00"/>
    <n v="3"/>
    <x v="8"/>
    <n v="220"/>
    <n v="154"/>
    <n v="9"/>
    <n v="1980"/>
    <n v="1386"/>
    <n v="594"/>
    <n v="0.3"/>
    <x v="8"/>
    <x v="4"/>
    <x v="0"/>
  </r>
  <r>
    <x v="240"/>
    <d v="2021-01-19T00:00:00"/>
    <n v="5"/>
    <x v="13"/>
    <n v="95"/>
    <n v="60.8"/>
    <n v="5"/>
    <n v="475"/>
    <n v="304"/>
    <n v="171"/>
    <n v="0.36"/>
    <x v="8"/>
    <x v="3"/>
    <x v="0"/>
  </r>
  <r>
    <x v="241"/>
    <d v="2021-01-23T00:00:00"/>
    <n v="6"/>
    <x v="0"/>
    <n v="99"/>
    <n v="62.37"/>
    <n v="5"/>
    <n v="495"/>
    <n v="311.84999999999997"/>
    <n v="183.15000000000003"/>
    <n v="0.37000000000000005"/>
    <x v="1"/>
    <x v="0"/>
    <x v="0"/>
  </r>
  <r>
    <x v="242"/>
    <d v="2021-01-21T00:00:00"/>
    <n v="3"/>
    <x v="9"/>
    <n v="440"/>
    <n v="286"/>
    <n v="1"/>
    <n v="440"/>
    <n v="286"/>
    <n v="154"/>
    <n v="0.35"/>
    <x v="13"/>
    <x v="1"/>
    <x v="0"/>
  </r>
  <r>
    <x v="242"/>
    <d v="2021-01-23T00:00:00"/>
    <n v="5"/>
    <x v="12"/>
    <n v="250"/>
    <n v="187.5"/>
    <n v="2"/>
    <n v="500"/>
    <n v="375"/>
    <n v="125"/>
    <n v="0.25"/>
    <x v="1"/>
    <x v="3"/>
    <x v="0"/>
  </r>
  <r>
    <x v="242"/>
    <d v="2021-01-24T00:00:00"/>
    <n v="6"/>
    <x v="17"/>
    <n v="460"/>
    <n v="303.60000000000002"/>
    <n v="2"/>
    <n v="920"/>
    <n v="607.20000000000005"/>
    <n v="312.79999999999995"/>
    <n v="0.33999999999999997"/>
    <x v="22"/>
    <x v="3"/>
    <x v="0"/>
  </r>
  <r>
    <x v="242"/>
    <d v="2021-01-19T00:00:00"/>
    <n v="1"/>
    <x v="20"/>
    <n v="355"/>
    <n v="252.05"/>
    <n v="8"/>
    <n v="2840"/>
    <n v="2016.4"/>
    <n v="823.59999999999991"/>
    <n v="0.28999999999999998"/>
    <x v="46"/>
    <x v="3"/>
    <x v="1"/>
  </r>
  <r>
    <x v="243"/>
    <d v="2021-01-28T00:00:00"/>
    <n v="7"/>
    <x v="19"/>
    <n v="145"/>
    <n v="105.85"/>
    <n v="3"/>
    <n v="435"/>
    <n v="317.54999999999995"/>
    <n v="117.45000000000005"/>
    <n v="0.27000000000000013"/>
    <x v="18"/>
    <x v="2"/>
    <x v="1"/>
  </r>
  <r>
    <x v="243"/>
    <d v="2021-01-25T00:00:00"/>
    <n v="4"/>
    <x v="6"/>
    <n v="290"/>
    <n v="185.6"/>
    <n v="2"/>
    <n v="580"/>
    <n v="371.2"/>
    <n v="208.8"/>
    <n v="0.36000000000000004"/>
    <x v="30"/>
    <x v="3"/>
    <x v="1"/>
  </r>
  <r>
    <x v="243"/>
    <d v="2021-01-22T00:00:00"/>
    <n v="1"/>
    <x v="21"/>
    <n v="215"/>
    <n v="152.65"/>
    <n v="5"/>
    <n v="1075"/>
    <n v="763.25"/>
    <n v="311.75"/>
    <n v="0.28999999999999998"/>
    <x v="18"/>
    <x v="3"/>
    <x v="0"/>
  </r>
  <r>
    <x v="244"/>
    <d v="2021-01-27T00:00:00"/>
    <n v="5"/>
    <x v="0"/>
    <n v="99"/>
    <n v="62.37"/>
    <n v="6"/>
    <n v="594"/>
    <n v="374.21999999999997"/>
    <n v="219.78000000000003"/>
    <n v="0.37000000000000005"/>
    <x v="7"/>
    <x v="2"/>
    <x v="1"/>
  </r>
  <r>
    <x v="245"/>
    <d v="2021-01-25T00:00:00"/>
    <n v="1"/>
    <x v="0"/>
    <n v="99"/>
    <n v="62.37"/>
    <n v="7"/>
    <n v="693"/>
    <n v="436.59"/>
    <n v="256.41000000000003"/>
    <n v="0.37000000000000005"/>
    <x v="8"/>
    <x v="4"/>
    <x v="0"/>
  </r>
  <r>
    <x v="246"/>
    <d v="2021-01-31T00:00:00"/>
    <n v="6"/>
    <x v="21"/>
    <n v="215"/>
    <n v="152.65"/>
    <n v="1"/>
    <n v="215"/>
    <n v="152.65"/>
    <n v="62.349999999999994"/>
    <n v="0.28999999999999998"/>
    <x v="36"/>
    <x v="0"/>
    <x v="0"/>
  </r>
  <r>
    <x v="247"/>
    <d v="2021-01-28T00:00:00"/>
    <n v="2"/>
    <x v="18"/>
    <n v="390"/>
    <n v="253.5"/>
    <n v="1"/>
    <n v="390"/>
    <n v="253.5"/>
    <n v="136.5"/>
    <n v="0.35"/>
    <x v="16"/>
    <x v="3"/>
    <x v="0"/>
  </r>
  <r>
    <x v="248"/>
    <d v="2021-01-29T00:00:00"/>
    <n v="2"/>
    <x v="4"/>
    <n v="195"/>
    <n v="138.44999999999999"/>
    <n v="5"/>
    <n v="975"/>
    <n v="692.25"/>
    <n v="282.75"/>
    <n v="0.28999999999999998"/>
    <x v="34"/>
    <x v="3"/>
    <x v="1"/>
  </r>
  <r>
    <x v="249"/>
    <d v="2021-02-03T00:00:00"/>
    <n v="6"/>
    <x v="6"/>
    <n v="290"/>
    <n v="185.6"/>
    <n v="2"/>
    <n v="580"/>
    <n v="371.2"/>
    <n v="208.8"/>
    <n v="0.36000000000000004"/>
    <x v="37"/>
    <x v="1"/>
    <x v="0"/>
  </r>
  <r>
    <x v="250"/>
    <d v="2021-02-04T00:00:00"/>
    <n v="6"/>
    <x v="0"/>
    <n v="99"/>
    <n v="62.37"/>
    <n v="3"/>
    <n v="297"/>
    <n v="187.10999999999999"/>
    <n v="109.89000000000001"/>
    <n v="0.37000000000000005"/>
    <x v="36"/>
    <x v="1"/>
    <x v="0"/>
  </r>
  <r>
    <x v="250"/>
    <d v="2021-02-02T00:00:00"/>
    <n v="4"/>
    <x v="7"/>
    <n v="275"/>
    <n v="200.75"/>
    <n v="7"/>
    <n v="1925"/>
    <n v="1405.25"/>
    <n v="519.75"/>
    <n v="0.27"/>
    <x v="31"/>
    <x v="3"/>
    <x v="1"/>
  </r>
  <r>
    <x v="251"/>
    <d v="2021-02-02T00:00:00"/>
    <n v="1"/>
    <x v="15"/>
    <n v="375"/>
    <n v="247.5"/>
    <n v="4"/>
    <n v="1500"/>
    <n v="990"/>
    <n v="510"/>
    <n v="0.34"/>
    <x v="3"/>
    <x v="1"/>
    <x v="0"/>
  </r>
  <r>
    <x v="252"/>
    <d v="2021-02-04T00:00:00"/>
    <n v="1"/>
    <x v="7"/>
    <n v="275"/>
    <n v="200.75"/>
    <n v="2"/>
    <n v="550"/>
    <n v="401.5"/>
    <n v="148.5"/>
    <n v="0.27"/>
    <x v="32"/>
    <x v="2"/>
    <x v="0"/>
  </r>
  <r>
    <x v="253"/>
    <d v="2021-02-12T00:00:00"/>
    <n v="7"/>
    <x v="17"/>
    <n v="460"/>
    <n v="303.60000000000002"/>
    <n v="8"/>
    <n v="3680"/>
    <n v="2428.8000000000002"/>
    <n v="1251.1999999999998"/>
    <n v="0.33999999999999997"/>
    <x v="0"/>
    <x v="4"/>
    <x v="0"/>
  </r>
  <r>
    <x v="254"/>
    <d v="2021-02-12T00:00:00"/>
    <n v="4"/>
    <x v="7"/>
    <n v="275"/>
    <n v="200.75"/>
    <n v="5"/>
    <n v="1375"/>
    <n v="1003.75"/>
    <n v="371.25"/>
    <n v="0.27"/>
    <x v="11"/>
    <x v="2"/>
    <x v="0"/>
  </r>
  <r>
    <x v="255"/>
    <d v="2021-02-11T00:00:00"/>
    <n v="2"/>
    <x v="6"/>
    <n v="290"/>
    <n v="185.6"/>
    <n v="4"/>
    <n v="1160"/>
    <n v="742.4"/>
    <n v="417.6"/>
    <n v="0.36000000000000004"/>
    <x v="35"/>
    <x v="0"/>
    <x v="0"/>
  </r>
  <r>
    <x v="255"/>
    <d v="2021-02-14T00:00:00"/>
    <n v="5"/>
    <x v="12"/>
    <n v="250"/>
    <n v="187.5"/>
    <n v="7"/>
    <n v="1750"/>
    <n v="1312.5"/>
    <n v="437.5"/>
    <n v="0.25"/>
    <x v="38"/>
    <x v="3"/>
    <x v="0"/>
  </r>
  <r>
    <x v="256"/>
    <d v="2021-02-13T00:00:00"/>
    <n v="3"/>
    <x v="9"/>
    <n v="440"/>
    <n v="286"/>
    <n v="4"/>
    <n v="1760"/>
    <n v="1144"/>
    <n v="616"/>
    <n v="0.35"/>
    <x v="7"/>
    <x v="3"/>
    <x v="0"/>
  </r>
  <r>
    <x v="257"/>
    <d v="2021-02-13T00:00:00"/>
    <n v="1"/>
    <x v="13"/>
    <n v="95"/>
    <n v="60.8"/>
    <n v="6"/>
    <n v="570"/>
    <n v="364.79999999999995"/>
    <n v="205.20000000000005"/>
    <n v="0.3600000000000001"/>
    <x v="18"/>
    <x v="1"/>
    <x v="1"/>
  </r>
  <r>
    <x v="257"/>
    <d v="2021-02-14T00:00:00"/>
    <n v="2"/>
    <x v="21"/>
    <n v="215"/>
    <n v="152.65"/>
    <n v="6"/>
    <n v="1290"/>
    <n v="915.90000000000009"/>
    <n v="374.09999999999991"/>
    <n v="0.28999999999999992"/>
    <x v="25"/>
    <x v="4"/>
    <x v="1"/>
  </r>
  <r>
    <x v="258"/>
    <d v="2021-02-16T00:00:00"/>
    <n v="3"/>
    <x v="2"/>
    <n v="445"/>
    <n v="280.35000000000002"/>
    <n v="6"/>
    <n v="2670"/>
    <n v="1682.1000000000001"/>
    <n v="987.89999999999986"/>
    <n v="0.36999999999999994"/>
    <x v="28"/>
    <x v="2"/>
    <x v="0"/>
  </r>
  <r>
    <x v="259"/>
    <d v="2021-02-15T00:00:00"/>
    <n v="1"/>
    <x v="15"/>
    <n v="375"/>
    <n v="247.5"/>
    <n v="1"/>
    <n v="375"/>
    <n v="247.5"/>
    <n v="127.5"/>
    <n v="0.34"/>
    <x v="0"/>
    <x v="4"/>
    <x v="0"/>
  </r>
  <r>
    <x v="260"/>
    <d v="2021-02-21T00:00:00"/>
    <n v="3"/>
    <x v="4"/>
    <n v="195"/>
    <n v="138.44999999999999"/>
    <n v="3"/>
    <n v="585"/>
    <n v="415.34999999999997"/>
    <n v="169.65000000000003"/>
    <n v="0.29000000000000004"/>
    <x v="40"/>
    <x v="1"/>
    <x v="0"/>
  </r>
  <r>
    <x v="261"/>
    <d v="2021-02-20T00:00:00"/>
    <n v="1"/>
    <x v="6"/>
    <n v="290"/>
    <n v="185.6"/>
    <n v="3"/>
    <n v="870"/>
    <n v="556.79999999999995"/>
    <n v="313.20000000000005"/>
    <n v="0.36000000000000004"/>
    <x v="35"/>
    <x v="0"/>
    <x v="1"/>
  </r>
  <r>
    <x v="262"/>
    <d v="2021-02-25T00:00:00"/>
    <n v="5"/>
    <x v="4"/>
    <n v="195"/>
    <n v="138.44999999999999"/>
    <n v="3"/>
    <n v="585"/>
    <n v="415.34999999999997"/>
    <n v="169.65000000000003"/>
    <n v="0.29000000000000004"/>
    <x v="36"/>
    <x v="4"/>
    <x v="0"/>
  </r>
  <r>
    <x v="262"/>
    <d v="2021-02-26T00:00:00"/>
    <n v="6"/>
    <x v="20"/>
    <n v="355"/>
    <n v="252.05"/>
    <n v="7"/>
    <n v="2485"/>
    <n v="1764.3500000000001"/>
    <n v="720.64999999999986"/>
    <n v="0.28999999999999992"/>
    <x v="1"/>
    <x v="4"/>
    <x v="0"/>
  </r>
  <r>
    <x v="263"/>
    <d v="2021-02-27T00:00:00"/>
    <n v="5"/>
    <x v="10"/>
    <n v="59"/>
    <n v="41.3"/>
    <n v="1"/>
    <n v="59"/>
    <n v="41.3"/>
    <n v="17.700000000000003"/>
    <n v="0.30000000000000004"/>
    <x v="18"/>
    <x v="0"/>
    <x v="0"/>
  </r>
  <r>
    <x v="263"/>
    <d v="2021-02-25T00:00:00"/>
    <n v="3"/>
    <x v="11"/>
    <n v="320"/>
    <n v="233.6"/>
    <n v="8"/>
    <n v="2560"/>
    <n v="1868.8"/>
    <n v="691.2"/>
    <n v="0.27"/>
    <x v="9"/>
    <x v="3"/>
    <x v="0"/>
  </r>
  <r>
    <x v="263"/>
    <d v="2021-02-23T00:00:00"/>
    <n v="1"/>
    <x v="14"/>
    <n v="490"/>
    <n v="298.89999999999998"/>
    <n v="5"/>
    <n v="2450"/>
    <n v="1494.5"/>
    <n v="955.5"/>
    <n v="0.39"/>
    <x v="18"/>
    <x v="4"/>
    <x v="0"/>
  </r>
  <r>
    <x v="264"/>
    <d v="2021-03-01T00:00:00"/>
    <n v="6"/>
    <x v="6"/>
    <n v="290"/>
    <n v="185.6"/>
    <n v="2"/>
    <n v="580"/>
    <n v="371.2"/>
    <n v="208.8"/>
    <n v="0.36000000000000004"/>
    <x v="27"/>
    <x v="1"/>
    <x v="1"/>
  </r>
  <r>
    <x v="265"/>
    <d v="2021-03-03T00:00:00"/>
    <n v="7"/>
    <x v="12"/>
    <n v="250"/>
    <n v="187.5"/>
    <n v="7"/>
    <n v="1750"/>
    <n v="1312.5"/>
    <n v="437.5"/>
    <n v="0.25"/>
    <x v="14"/>
    <x v="3"/>
    <x v="1"/>
  </r>
  <r>
    <x v="265"/>
    <d v="2021-02-28T00:00:00"/>
    <n v="4"/>
    <x v="20"/>
    <n v="355"/>
    <n v="252.05"/>
    <n v="4"/>
    <n v="1420"/>
    <n v="1008.2"/>
    <n v="411.79999999999995"/>
    <n v="0.28999999999999998"/>
    <x v="30"/>
    <x v="4"/>
    <x v="0"/>
  </r>
  <r>
    <x v="265"/>
    <d v="2021-03-01T00:00:00"/>
    <n v="5"/>
    <x v="14"/>
    <n v="490"/>
    <n v="298.89999999999998"/>
    <n v="1"/>
    <n v="490"/>
    <n v="298.89999999999998"/>
    <n v="191.10000000000002"/>
    <n v="0.39000000000000007"/>
    <x v="12"/>
    <x v="2"/>
    <x v="1"/>
  </r>
  <r>
    <x v="266"/>
    <d v="2021-03-02T00:00:00"/>
    <n v="4"/>
    <x v="6"/>
    <n v="290"/>
    <n v="185.6"/>
    <n v="7"/>
    <n v="2030"/>
    <n v="1299.2"/>
    <n v="730.8"/>
    <n v="0.36"/>
    <x v="12"/>
    <x v="2"/>
    <x v="1"/>
  </r>
  <r>
    <x v="267"/>
    <d v="2021-03-05T00:00:00"/>
    <n v="6"/>
    <x v="17"/>
    <n v="460"/>
    <n v="303.60000000000002"/>
    <n v="4"/>
    <n v="1840"/>
    <n v="1214.4000000000001"/>
    <n v="625.59999999999991"/>
    <n v="0.33999999999999997"/>
    <x v="25"/>
    <x v="2"/>
    <x v="1"/>
  </r>
  <r>
    <x v="267"/>
    <d v="2021-03-04T00:00:00"/>
    <n v="5"/>
    <x v="8"/>
    <n v="220"/>
    <n v="154"/>
    <n v="1"/>
    <n v="220"/>
    <n v="154"/>
    <n v="66"/>
    <n v="0.3"/>
    <x v="16"/>
    <x v="1"/>
    <x v="1"/>
  </r>
  <r>
    <x v="268"/>
    <d v="2021-03-03T00:00:00"/>
    <n v="3"/>
    <x v="5"/>
    <n v="250"/>
    <n v="167.5"/>
    <n v="5"/>
    <n v="1250"/>
    <n v="837.5"/>
    <n v="412.5"/>
    <n v="0.33"/>
    <x v="22"/>
    <x v="1"/>
    <x v="1"/>
  </r>
  <r>
    <x v="268"/>
    <d v="2021-03-05T00:00:00"/>
    <n v="5"/>
    <x v="2"/>
    <n v="445"/>
    <n v="280.35000000000002"/>
    <n v="1"/>
    <n v="445"/>
    <n v="280.35000000000002"/>
    <n v="164.64999999999998"/>
    <n v="0.36999999999999994"/>
    <x v="13"/>
    <x v="1"/>
    <x v="1"/>
  </r>
  <r>
    <x v="268"/>
    <d v="2021-03-01T00:00:00"/>
    <n v="1"/>
    <x v="1"/>
    <n v="390"/>
    <n v="288.60000000000002"/>
    <n v="1"/>
    <n v="390"/>
    <n v="288.60000000000002"/>
    <n v="101.39999999999998"/>
    <n v="0.25999999999999995"/>
    <x v="38"/>
    <x v="3"/>
    <x v="0"/>
  </r>
  <r>
    <x v="269"/>
    <d v="2021-03-06T00:00:00"/>
    <n v="3"/>
    <x v="21"/>
    <n v="215"/>
    <n v="152.65"/>
    <n v="4"/>
    <n v="860"/>
    <n v="610.6"/>
    <n v="249.39999999999998"/>
    <n v="0.28999999999999998"/>
    <x v="16"/>
    <x v="4"/>
    <x v="1"/>
  </r>
  <r>
    <x v="270"/>
    <d v="2021-03-08T00:00:00"/>
    <n v="4"/>
    <x v="9"/>
    <n v="440"/>
    <n v="286"/>
    <n v="2"/>
    <n v="880"/>
    <n v="572"/>
    <n v="308"/>
    <n v="0.35"/>
    <x v="20"/>
    <x v="3"/>
    <x v="1"/>
  </r>
  <r>
    <x v="271"/>
    <d v="2021-03-14T00:00:00"/>
    <n v="4"/>
    <x v="7"/>
    <n v="275"/>
    <n v="200.75"/>
    <n v="8"/>
    <n v="2200"/>
    <n v="1606"/>
    <n v="594"/>
    <n v="0.27"/>
    <x v="25"/>
    <x v="2"/>
    <x v="1"/>
  </r>
  <r>
    <x v="272"/>
    <d v="2021-03-12T00:00:00"/>
    <n v="1"/>
    <x v="19"/>
    <n v="145"/>
    <n v="105.85"/>
    <n v="5"/>
    <n v="725"/>
    <n v="529.25"/>
    <n v="195.75"/>
    <n v="0.27"/>
    <x v="0"/>
    <x v="4"/>
    <x v="1"/>
  </r>
  <r>
    <x v="272"/>
    <d v="2021-03-15T00:00:00"/>
    <n v="4"/>
    <x v="3"/>
    <n v="80"/>
    <n v="48.8"/>
    <n v="3"/>
    <n v="240"/>
    <n v="146.39999999999998"/>
    <n v="93.600000000000023"/>
    <n v="0.39000000000000007"/>
    <x v="11"/>
    <x v="0"/>
    <x v="0"/>
  </r>
  <r>
    <x v="272"/>
    <d v="2021-03-15T00:00:00"/>
    <n v="4"/>
    <x v="16"/>
    <n v="110"/>
    <n v="78.099999999999994"/>
    <n v="5"/>
    <n v="550"/>
    <n v="390.5"/>
    <n v="159.5"/>
    <n v="0.28999999999999998"/>
    <x v="39"/>
    <x v="3"/>
    <x v="1"/>
  </r>
  <r>
    <x v="273"/>
    <d v="2021-03-13T00:00:00"/>
    <n v="1"/>
    <x v="9"/>
    <n v="440"/>
    <n v="286"/>
    <n v="3"/>
    <n v="1320"/>
    <n v="858"/>
    <n v="462"/>
    <n v="0.35"/>
    <x v="47"/>
    <x v="0"/>
    <x v="1"/>
  </r>
  <r>
    <x v="274"/>
    <d v="2021-03-17T00:00:00"/>
    <n v="4"/>
    <x v="16"/>
    <n v="110"/>
    <n v="78.099999999999994"/>
    <n v="7"/>
    <n v="770"/>
    <n v="546.69999999999993"/>
    <n v="223.30000000000007"/>
    <n v="0.29000000000000009"/>
    <x v="12"/>
    <x v="3"/>
    <x v="1"/>
  </r>
  <r>
    <x v="274"/>
    <d v="2021-03-16T00:00:00"/>
    <n v="3"/>
    <x v="13"/>
    <n v="95"/>
    <n v="60.8"/>
    <n v="4"/>
    <n v="380"/>
    <n v="243.2"/>
    <n v="136.80000000000001"/>
    <n v="0.36000000000000004"/>
    <x v="9"/>
    <x v="4"/>
    <x v="0"/>
  </r>
  <r>
    <x v="274"/>
    <d v="2021-03-14T00:00:00"/>
    <n v="1"/>
    <x v="14"/>
    <n v="490"/>
    <n v="298.89999999999998"/>
    <n v="1"/>
    <n v="490"/>
    <n v="298.89999999999998"/>
    <n v="191.10000000000002"/>
    <n v="0.39000000000000007"/>
    <x v="33"/>
    <x v="1"/>
    <x v="1"/>
  </r>
  <r>
    <x v="275"/>
    <d v="2021-03-16T00:00:00"/>
    <n v="1"/>
    <x v="19"/>
    <n v="145"/>
    <n v="105.85"/>
    <n v="3"/>
    <n v="435"/>
    <n v="317.54999999999995"/>
    <n v="117.45000000000005"/>
    <n v="0.27000000000000013"/>
    <x v="19"/>
    <x v="2"/>
    <x v="1"/>
  </r>
  <r>
    <x v="276"/>
    <d v="2021-03-19T00:00:00"/>
    <n v="3"/>
    <x v="9"/>
    <n v="440"/>
    <n v="286"/>
    <n v="9"/>
    <n v="3960"/>
    <n v="2574"/>
    <n v="1386"/>
    <n v="0.35"/>
    <x v="6"/>
    <x v="3"/>
    <x v="0"/>
  </r>
  <r>
    <x v="276"/>
    <d v="2021-03-23T00:00:00"/>
    <n v="7"/>
    <x v="8"/>
    <n v="220"/>
    <n v="154"/>
    <n v="9"/>
    <n v="1980"/>
    <n v="1386"/>
    <n v="594"/>
    <n v="0.3"/>
    <x v="33"/>
    <x v="4"/>
    <x v="0"/>
  </r>
  <r>
    <x v="277"/>
    <d v="2021-03-25T00:00:00"/>
    <n v="7"/>
    <x v="5"/>
    <n v="250"/>
    <n v="167.5"/>
    <n v="7"/>
    <n v="1750"/>
    <n v="1172.5"/>
    <n v="577.5"/>
    <n v="0.33"/>
    <x v="17"/>
    <x v="2"/>
    <x v="1"/>
  </r>
  <r>
    <x v="278"/>
    <d v="2021-03-22T00:00:00"/>
    <n v="3"/>
    <x v="13"/>
    <n v="95"/>
    <n v="60.8"/>
    <n v="3"/>
    <n v="285"/>
    <n v="182.39999999999998"/>
    <n v="102.60000000000002"/>
    <n v="0.3600000000000001"/>
    <x v="35"/>
    <x v="0"/>
    <x v="1"/>
  </r>
  <r>
    <x v="279"/>
    <d v="2021-03-25T00:00:00"/>
    <n v="5"/>
    <x v="8"/>
    <n v="220"/>
    <n v="154"/>
    <n v="3"/>
    <n v="660"/>
    <n v="462"/>
    <n v="198"/>
    <n v="0.3"/>
    <x v="8"/>
    <x v="3"/>
    <x v="1"/>
  </r>
  <r>
    <x v="280"/>
    <d v="2021-03-23T00:00:00"/>
    <n v="2"/>
    <x v="18"/>
    <n v="390"/>
    <n v="253.5"/>
    <n v="1"/>
    <n v="390"/>
    <n v="253.5"/>
    <n v="136.5"/>
    <n v="0.35"/>
    <x v="2"/>
    <x v="0"/>
    <x v="0"/>
  </r>
  <r>
    <x v="281"/>
    <d v="2021-03-26T00:00:00"/>
    <n v="4"/>
    <x v="7"/>
    <n v="275"/>
    <n v="200.75"/>
    <n v="8"/>
    <n v="2200"/>
    <n v="1606"/>
    <n v="594"/>
    <n v="0.27"/>
    <x v="32"/>
    <x v="0"/>
    <x v="1"/>
  </r>
  <r>
    <x v="282"/>
    <d v="2021-03-29T00:00:00"/>
    <n v="5"/>
    <x v="16"/>
    <n v="110"/>
    <n v="78.099999999999994"/>
    <n v="8"/>
    <n v="880"/>
    <n v="624.79999999999995"/>
    <n v="255.20000000000005"/>
    <n v="0.29000000000000004"/>
    <x v="8"/>
    <x v="2"/>
    <x v="0"/>
  </r>
  <r>
    <x v="283"/>
    <d v="2021-04-02T00:00:00"/>
    <n v="7"/>
    <x v="20"/>
    <n v="355"/>
    <n v="252.05"/>
    <n v="7"/>
    <n v="2485"/>
    <n v="1764.3500000000001"/>
    <n v="720.64999999999986"/>
    <n v="0.28999999999999992"/>
    <x v="28"/>
    <x v="0"/>
    <x v="1"/>
  </r>
  <r>
    <x v="283"/>
    <d v="2021-03-29T00:00:00"/>
    <n v="3"/>
    <x v="13"/>
    <n v="95"/>
    <n v="60.8"/>
    <n v="4"/>
    <n v="380"/>
    <n v="243.2"/>
    <n v="136.80000000000001"/>
    <n v="0.36000000000000004"/>
    <x v="3"/>
    <x v="2"/>
    <x v="0"/>
  </r>
  <r>
    <x v="284"/>
    <d v="2021-03-29T00:00:00"/>
    <n v="2"/>
    <x v="19"/>
    <n v="145"/>
    <n v="105.85"/>
    <n v="5"/>
    <n v="725"/>
    <n v="529.25"/>
    <n v="195.75"/>
    <n v="0.27"/>
    <x v="28"/>
    <x v="0"/>
    <x v="0"/>
  </r>
  <r>
    <x v="284"/>
    <d v="2021-04-03T00:00:00"/>
    <n v="7"/>
    <x v="13"/>
    <n v="95"/>
    <n v="60.8"/>
    <n v="5"/>
    <n v="475"/>
    <n v="304"/>
    <n v="171"/>
    <n v="0.36"/>
    <x v="17"/>
    <x v="2"/>
    <x v="0"/>
  </r>
  <r>
    <x v="284"/>
    <d v="2021-03-31T00:00:00"/>
    <n v="4"/>
    <x v="3"/>
    <n v="80"/>
    <n v="48.8"/>
    <n v="2"/>
    <n v="160"/>
    <n v="97.6"/>
    <n v="62.400000000000006"/>
    <n v="0.39"/>
    <x v="11"/>
    <x v="4"/>
    <x v="1"/>
  </r>
  <r>
    <x v="285"/>
    <d v="2021-04-03T00:00:00"/>
    <n v="5"/>
    <x v="3"/>
    <n v="80"/>
    <n v="48.8"/>
    <n v="6"/>
    <n v="480"/>
    <n v="292.79999999999995"/>
    <n v="187.20000000000005"/>
    <n v="0.39000000000000007"/>
    <x v="3"/>
    <x v="3"/>
    <x v="1"/>
  </r>
  <r>
    <x v="285"/>
    <d v="2021-04-01T00:00:00"/>
    <n v="3"/>
    <x v="12"/>
    <n v="250"/>
    <n v="187.5"/>
    <n v="3"/>
    <n v="750"/>
    <n v="562.5"/>
    <n v="187.5"/>
    <n v="0.25"/>
    <x v="16"/>
    <x v="2"/>
    <x v="0"/>
  </r>
  <r>
    <x v="286"/>
    <d v="2021-04-01T00:00:00"/>
    <n v="2"/>
    <x v="5"/>
    <n v="250"/>
    <n v="167.5"/>
    <n v="8"/>
    <n v="2000"/>
    <n v="1340"/>
    <n v="660"/>
    <n v="0.33"/>
    <x v="19"/>
    <x v="1"/>
    <x v="0"/>
  </r>
  <r>
    <x v="286"/>
    <d v="2021-04-06T00:00:00"/>
    <n v="7"/>
    <x v="0"/>
    <n v="99"/>
    <n v="62.37"/>
    <n v="8"/>
    <n v="792"/>
    <n v="498.96"/>
    <n v="293.04000000000002"/>
    <n v="0.37000000000000005"/>
    <x v="10"/>
    <x v="1"/>
    <x v="1"/>
  </r>
  <r>
    <x v="287"/>
    <d v="2021-04-01T00:00:00"/>
    <n v="1"/>
    <x v="17"/>
    <n v="460"/>
    <n v="303.60000000000002"/>
    <n v="3"/>
    <n v="1380"/>
    <n v="910.80000000000007"/>
    <n v="469.19999999999993"/>
    <n v="0.33999999999999997"/>
    <x v="37"/>
    <x v="2"/>
    <x v="0"/>
  </r>
  <r>
    <x v="287"/>
    <d v="2021-04-05T00:00:00"/>
    <n v="5"/>
    <x v="6"/>
    <n v="290"/>
    <n v="185.6"/>
    <n v="1"/>
    <n v="290"/>
    <n v="185.6"/>
    <n v="104.4"/>
    <n v="0.36000000000000004"/>
    <x v="45"/>
    <x v="0"/>
    <x v="1"/>
  </r>
  <r>
    <x v="287"/>
    <d v="2021-04-04T00:00:00"/>
    <n v="4"/>
    <x v="16"/>
    <n v="110"/>
    <n v="78.099999999999994"/>
    <n v="4"/>
    <n v="440"/>
    <n v="312.39999999999998"/>
    <n v="127.60000000000002"/>
    <n v="0.29000000000000004"/>
    <x v="18"/>
    <x v="0"/>
    <x v="0"/>
  </r>
  <r>
    <x v="288"/>
    <d v="2021-04-04T00:00:00"/>
    <n v="3"/>
    <x v="16"/>
    <n v="110"/>
    <n v="78.099999999999994"/>
    <n v="8"/>
    <n v="880"/>
    <n v="624.79999999999995"/>
    <n v="255.20000000000005"/>
    <n v="0.29000000000000004"/>
    <x v="34"/>
    <x v="1"/>
    <x v="1"/>
  </r>
  <r>
    <x v="289"/>
    <d v="2021-04-06T00:00:00"/>
    <n v="4"/>
    <x v="16"/>
    <n v="110"/>
    <n v="78.099999999999994"/>
    <n v="7"/>
    <n v="770"/>
    <n v="546.69999999999993"/>
    <n v="223.30000000000007"/>
    <n v="0.29000000000000009"/>
    <x v="27"/>
    <x v="0"/>
    <x v="0"/>
  </r>
  <r>
    <x v="289"/>
    <d v="2021-04-04T00:00:00"/>
    <n v="2"/>
    <x v="12"/>
    <n v="250"/>
    <n v="187.5"/>
    <n v="8"/>
    <n v="2000"/>
    <n v="1500"/>
    <n v="500"/>
    <n v="0.25"/>
    <x v="25"/>
    <x v="3"/>
    <x v="1"/>
  </r>
  <r>
    <x v="289"/>
    <d v="2021-04-09T00:00:00"/>
    <n v="7"/>
    <x v="3"/>
    <n v="80"/>
    <n v="48.8"/>
    <n v="5"/>
    <n v="400"/>
    <n v="244"/>
    <n v="156"/>
    <n v="0.39"/>
    <x v="45"/>
    <x v="0"/>
    <x v="0"/>
  </r>
  <r>
    <x v="290"/>
    <d v="2021-04-09T00:00:00"/>
    <n v="4"/>
    <x v="13"/>
    <n v="95"/>
    <n v="60.8"/>
    <n v="1"/>
    <n v="95"/>
    <n v="60.8"/>
    <n v="34.200000000000003"/>
    <n v="0.36000000000000004"/>
    <x v="30"/>
    <x v="4"/>
    <x v="1"/>
  </r>
  <r>
    <x v="291"/>
    <d v="2021-04-07T00:00:00"/>
    <n v="1"/>
    <x v="20"/>
    <n v="355"/>
    <n v="252.05"/>
    <n v="1"/>
    <n v="355"/>
    <n v="252.05"/>
    <n v="102.94999999999999"/>
    <n v="0.28999999999999998"/>
    <x v="12"/>
    <x v="4"/>
    <x v="1"/>
  </r>
  <r>
    <x v="292"/>
    <d v="2021-04-11T00:00:00"/>
    <n v="4"/>
    <x v="20"/>
    <n v="355"/>
    <n v="252.05"/>
    <n v="9"/>
    <n v="3195"/>
    <n v="2268.4500000000003"/>
    <n v="926.54999999999973"/>
    <n v="0.28999999999999992"/>
    <x v="37"/>
    <x v="3"/>
    <x v="1"/>
  </r>
  <r>
    <x v="292"/>
    <d v="2021-04-11T00:00:00"/>
    <n v="4"/>
    <x v="21"/>
    <n v="215"/>
    <n v="152.65"/>
    <n v="5"/>
    <n v="1075"/>
    <n v="763.25"/>
    <n v="311.75"/>
    <n v="0.28999999999999998"/>
    <x v="18"/>
    <x v="3"/>
    <x v="0"/>
  </r>
  <r>
    <x v="293"/>
    <d v="2021-04-10T00:00:00"/>
    <n v="2"/>
    <x v="4"/>
    <n v="195"/>
    <n v="138.44999999999999"/>
    <n v="9"/>
    <n v="1755"/>
    <n v="1246.05"/>
    <n v="508.95000000000005"/>
    <n v="0.29000000000000004"/>
    <x v="24"/>
    <x v="1"/>
    <x v="0"/>
  </r>
  <r>
    <x v="294"/>
    <d v="2021-04-15T00:00:00"/>
    <n v="4"/>
    <x v="5"/>
    <n v="250"/>
    <n v="167.5"/>
    <n v="3"/>
    <n v="750"/>
    <n v="502.5"/>
    <n v="247.5"/>
    <n v="0.33"/>
    <x v="7"/>
    <x v="4"/>
    <x v="1"/>
  </r>
  <r>
    <x v="294"/>
    <d v="2021-04-16T00:00:00"/>
    <n v="5"/>
    <x v="20"/>
    <n v="355"/>
    <n v="252.05"/>
    <n v="1"/>
    <n v="355"/>
    <n v="252.05"/>
    <n v="102.94999999999999"/>
    <n v="0.28999999999999998"/>
    <x v="45"/>
    <x v="4"/>
    <x v="1"/>
  </r>
  <r>
    <x v="295"/>
    <d v="2021-04-18T00:00:00"/>
    <n v="6"/>
    <x v="21"/>
    <n v="215"/>
    <n v="152.65"/>
    <n v="8"/>
    <n v="1720"/>
    <n v="1221.2"/>
    <n v="498.79999999999995"/>
    <n v="0.28999999999999998"/>
    <x v="30"/>
    <x v="4"/>
    <x v="0"/>
  </r>
  <r>
    <x v="295"/>
    <d v="2021-04-17T00:00:00"/>
    <n v="5"/>
    <x v="9"/>
    <n v="440"/>
    <n v="286"/>
    <n v="5"/>
    <n v="2200"/>
    <n v="1430"/>
    <n v="770"/>
    <n v="0.35"/>
    <x v="29"/>
    <x v="0"/>
    <x v="1"/>
  </r>
  <r>
    <x v="296"/>
    <d v="2021-04-17T00:00:00"/>
    <n v="2"/>
    <x v="10"/>
    <n v="59"/>
    <n v="41.3"/>
    <n v="9"/>
    <n v="531"/>
    <n v="371.7"/>
    <n v="159.30000000000001"/>
    <n v="0.30000000000000004"/>
    <x v="24"/>
    <x v="1"/>
    <x v="1"/>
  </r>
  <r>
    <x v="296"/>
    <d v="2021-04-16T00:00:00"/>
    <n v="1"/>
    <x v="21"/>
    <n v="215"/>
    <n v="152.65"/>
    <n v="1"/>
    <n v="215"/>
    <n v="152.65"/>
    <n v="62.349999999999994"/>
    <n v="0.28999999999999998"/>
    <x v="32"/>
    <x v="3"/>
    <x v="0"/>
  </r>
  <r>
    <x v="297"/>
    <d v="2021-04-23T00:00:00"/>
    <n v="6"/>
    <x v="15"/>
    <n v="375"/>
    <n v="247.5"/>
    <n v="7"/>
    <n v="2625"/>
    <n v="1732.5"/>
    <n v="892.5"/>
    <n v="0.34"/>
    <x v="41"/>
    <x v="4"/>
    <x v="1"/>
  </r>
  <r>
    <x v="297"/>
    <d v="2021-04-23T00:00:00"/>
    <n v="6"/>
    <x v="16"/>
    <n v="110"/>
    <n v="78.099999999999994"/>
    <n v="3"/>
    <n v="330"/>
    <n v="234.29999999999998"/>
    <n v="95.700000000000017"/>
    <n v="0.29000000000000004"/>
    <x v="18"/>
    <x v="0"/>
    <x v="0"/>
  </r>
  <r>
    <x v="297"/>
    <d v="2021-04-22T00:00:00"/>
    <n v="5"/>
    <x v="14"/>
    <n v="490"/>
    <n v="298.89999999999998"/>
    <n v="9"/>
    <n v="4410"/>
    <n v="2690.1"/>
    <n v="1719.9"/>
    <n v="0.39"/>
    <x v="47"/>
    <x v="3"/>
    <x v="1"/>
  </r>
  <r>
    <x v="298"/>
    <d v="2021-04-27T00:00:00"/>
    <n v="7"/>
    <x v="3"/>
    <n v="80"/>
    <n v="48.8"/>
    <n v="8"/>
    <n v="640"/>
    <n v="390.4"/>
    <n v="249.60000000000002"/>
    <n v="0.39"/>
    <x v="20"/>
    <x v="0"/>
    <x v="1"/>
  </r>
  <r>
    <x v="298"/>
    <d v="2021-04-22T00:00:00"/>
    <n v="2"/>
    <x v="14"/>
    <n v="490"/>
    <n v="298.89999999999998"/>
    <n v="2"/>
    <n v="980"/>
    <n v="597.79999999999995"/>
    <n v="382.20000000000005"/>
    <n v="0.39000000000000007"/>
    <x v="0"/>
    <x v="4"/>
    <x v="0"/>
  </r>
  <r>
    <x v="299"/>
    <d v="2021-04-25T00:00:00"/>
    <n v="4"/>
    <x v="1"/>
    <n v="390"/>
    <n v="288.60000000000002"/>
    <n v="6"/>
    <n v="2340"/>
    <n v="1731.6000000000001"/>
    <n v="608.39999999999986"/>
    <n v="0.25999999999999995"/>
    <x v="13"/>
    <x v="4"/>
    <x v="1"/>
  </r>
  <r>
    <x v="299"/>
    <d v="2021-04-23T00:00:00"/>
    <n v="2"/>
    <x v="9"/>
    <n v="440"/>
    <n v="286"/>
    <n v="4"/>
    <n v="1760"/>
    <n v="1144"/>
    <n v="616"/>
    <n v="0.35"/>
    <x v="5"/>
    <x v="0"/>
    <x v="0"/>
  </r>
  <r>
    <x v="300"/>
    <d v="2021-04-29T00:00:00"/>
    <n v="7"/>
    <x v="5"/>
    <n v="250"/>
    <n v="167.5"/>
    <n v="4"/>
    <n v="1000"/>
    <n v="670"/>
    <n v="330"/>
    <n v="0.33"/>
    <x v="36"/>
    <x v="3"/>
    <x v="1"/>
  </r>
  <r>
    <x v="301"/>
    <d v="2021-04-26T00:00:00"/>
    <n v="3"/>
    <x v="0"/>
    <n v="99"/>
    <n v="62.37"/>
    <n v="4"/>
    <n v="396"/>
    <n v="249.48"/>
    <n v="146.52000000000001"/>
    <n v="0.37000000000000005"/>
    <x v="15"/>
    <x v="2"/>
    <x v="1"/>
  </r>
  <r>
    <x v="301"/>
    <d v="2021-04-28T00:00:00"/>
    <n v="5"/>
    <x v="6"/>
    <n v="290"/>
    <n v="185.6"/>
    <n v="9"/>
    <n v="2610"/>
    <n v="1670.3999999999999"/>
    <n v="939.60000000000014"/>
    <n v="0.36000000000000004"/>
    <x v="34"/>
    <x v="4"/>
    <x v="1"/>
  </r>
  <r>
    <x v="302"/>
    <d v="2021-04-26T00:00:00"/>
    <n v="2"/>
    <x v="9"/>
    <n v="440"/>
    <n v="286"/>
    <n v="7"/>
    <n v="3080"/>
    <n v="2002"/>
    <n v="1078"/>
    <n v="0.35"/>
    <x v="8"/>
    <x v="4"/>
    <x v="0"/>
  </r>
  <r>
    <x v="303"/>
    <d v="2021-05-02T00:00:00"/>
    <n v="6"/>
    <x v="0"/>
    <n v="99"/>
    <n v="62.37"/>
    <n v="2"/>
    <n v="198"/>
    <n v="124.74"/>
    <n v="73.260000000000005"/>
    <n v="0.37000000000000005"/>
    <x v="36"/>
    <x v="4"/>
    <x v="0"/>
  </r>
  <r>
    <x v="303"/>
    <d v="2021-05-02T00:00:00"/>
    <n v="6"/>
    <x v="12"/>
    <n v="250"/>
    <n v="187.5"/>
    <n v="5"/>
    <n v="1250"/>
    <n v="937.5"/>
    <n v="312.5"/>
    <n v="0.25"/>
    <x v="26"/>
    <x v="4"/>
    <x v="1"/>
  </r>
  <r>
    <x v="304"/>
    <d v="2021-04-29T00:00:00"/>
    <n v="1"/>
    <x v="20"/>
    <n v="355"/>
    <n v="252.05"/>
    <n v="8"/>
    <n v="2840"/>
    <n v="2016.4"/>
    <n v="823.59999999999991"/>
    <n v="0.28999999999999998"/>
    <x v="45"/>
    <x v="3"/>
    <x v="0"/>
  </r>
  <r>
    <x v="305"/>
    <d v="2021-05-03T00:00:00"/>
    <n v="4"/>
    <x v="1"/>
    <n v="390"/>
    <n v="288.60000000000002"/>
    <n v="4"/>
    <n v="1560"/>
    <n v="1154.4000000000001"/>
    <n v="405.59999999999991"/>
    <n v="0.25999999999999995"/>
    <x v="20"/>
    <x v="3"/>
    <x v="0"/>
  </r>
  <r>
    <x v="306"/>
    <d v="2021-05-02T00:00:00"/>
    <n v="2"/>
    <x v="14"/>
    <n v="490"/>
    <n v="298.89999999999998"/>
    <n v="5"/>
    <n v="2450"/>
    <n v="1494.5"/>
    <n v="955.5"/>
    <n v="0.39"/>
    <x v="16"/>
    <x v="4"/>
    <x v="1"/>
  </r>
  <r>
    <x v="307"/>
    <d v="2021-05-09T00:00:00"/>
    <n v="7"/>
    <x v="10"/>
    <n v="59"/>
    <n v="41.3"/>
    <n v="1"/>
    <n v="59"/>
    <n v="41.3"/>
    <n v="17.700000000000003"/>
    <n v="0.30000000000000004"/>
    <x v="40"/>
    <x v="1"/>
    <x v="0"/>
  </r>
  <r>
    <x v="308"/>
    <d v="2021-05-08T00:00:00"/>
    <n v="5"/>
    <x v="18"/>
    <n v="390"/>
    <n v="253.5"/>
    <n v="4"/>
    <n v="1560"/>
    <n v="1014"/>
    <n v="546"/>
    <n v="0.35"/>
    <x v="14"/>
    <x v="3"/>
    <x v="0"/>
  </r>
  <r>
    <x v="309"/>
    <d v="2021-05-12T00:00:00"/>
    <n v="7"/>
    <x v="21"/>
    <n v="215"/>
    <n v="152.65"/>
    <n v="1"/>
    <n v="215"/>
    <n v="152.65"/>
    <n v="62.349999999999994"/>
    <n v="0.28999999999999998"/>
    <x v="17"/>
    <x v="2"/>
    <x v="1"/>
  </r>
  <r>
    <x v="310"/>
    <d v="2021-05-10T00:00:00"/>
    <n v="4"/>
    <x v="10"/>
    <n v="59"/>
    <n v="41.3"/>
    <n v="5"/>
    <n v="295"/>
    <n v="206.5"/>
    <n v="88.5"/>
    <n v="0.3"/>
    <x v="35"/>
    <x v="3"/>
    <x v="0"/>
  </r>
  <r>
    <x v="311"/>
    <d v="2021-05-14T00:00:00"/>
    <n v="6"/>
    <x v="21"/>
    <n v="215"/>
    <n v="152.65"/>
    <n v="3"/>
    <n v="645"/>
    <n v="457.95000000000005"/>
    <n v="187.04999999999995"/>
    <n v="0.28999999999999992"/>
    <x v="20"/>
    <x v="3"/>
    <x v="0"/>
  </r>
  <r>
    <x v="312"/>
    <d v="2021-05-17T00:00:00"/>
    <n v="7"/>
    <x v="12"/>
    <n v="250"/>
    <n v="187.5"/>
    <n v="3"/>
    <n v="750"/>
    <n v="562.5"/>
    <n v="187.5"/>
    <n v="0.25"/>
    <x v="34"/>
    <x v="2"/>
    <x v="1"/>
  </r>
  <r>
    <x v="313"/>
    <d v="2021-05-19T00:00:00"/>
    <n v="7"/>
    <x v="6"/>
    <n v="290"/>
    <n v="185.6"/>
    <n v="2"/>
    <n v="580"/>
    <n v="371.2"/>
    <n v="208.8"/>
    <n v="0.36000000000000004"/>
    <x v="35"/>
    <x v="2"/>
    <x v="1"/>
  </r>
  <r>
    <x v="314"/>
    <d v="2021-05-15T00:00:00"/>
    <n v="2"/>
    <x v="16"/>
    <n v="110"/>
    <n v="78.099999999999994"/>
    <n v="1"/>
    <n v="110"/>
    <n v="78.099999999999994"/>
    <n v="31.900000000000006"/>
    <n v="0.29000000000000004"/>
    <x v="31"/>
    <x v="4"/>
    <x v="1"/>
  </r>
  <r>
    <x v="315"/>
    <d v="2021-05-17T00:00:00"/>
    <n v="3"/>
    <x v="16"/>
    <n v="110"/>
    <n v="78.099999999999994"/>
    <n v="4"/>
    <n v="440"/>
    <n v="312.39999999999998"/>
    <n v="127.60000000000002"/>
    <n v="0.29000000000000004"/>
    <x v="43"/>
    <x v="3"/>
    <x v="0"/>
  </r>
  <r>
    <x v="316"/>
    <d v="2021-05-23T00:00:00"/>
    <n v="7"/>
    <x v="3"/>
    <n v="80"/>
    <n v="48.8"/>
    <n v="9"/>
    <n v="720"/>
    <n v="439.2"/>
    <n v="280.8"/>
    <n v="0.39"/>
    <x v="26"/>
    <x v="1"/>
    <x v="1"/>
  </r>
  <r>
    <x v="316"/>
    <d v="2021-05-22T00:00:00"/>
    <n v="6"/>
    <x v="21"/>
    <n v="215"/>
    <n v="152.65"/>
    <n v="1"/>
    <n v="215"/>
    <n v="152.65"/>
    <n v="62.349999999999994"/>
    <n v="0.28999999999999998"/>
    <x v="1"/>
    <x v="3"/>
    <x v="0"/>
  </r>
  <r>
    <x v="316"/>
    <d v="2021-05-22T00:00:00"/>
    <n v="6"/>
    <x v="13"/>
    <n v="95"/>
    <n v="60.8"/>
    <n v="4"/>
    <n v="380"/>
    <n v="243.2"/>
    <n v="136.80000000000001"/>
    <n v="0.36000000000000004"/>
    <x v="2"/>
    <x v="3"/>
    <x v="1"/>
  </r>
  <r>
    <x v="316"/>
    <d v="2021-05-23T00:00:00"/>
    <n v="7"/>
    <x v="19"/>
    <n v="145"/>
    <n v="105.85"/>
    <n v="8"/>
    <n v="1160"/>
    <n v="846.8"/>
    <n v="313.20000000000005"/>
    <n v="0.27"/>
    <x v="39"/>
    <x v="2"/>
    <x v="1"/>
  </r>
  <r>
    <x v="316"/>
    <d v="2021-05-19T00:00:00"/>
    <n v="3"/>
    <x v="4"/>
    <n v="195"/>
    <n v="138.44999999999999"/>
    <n v="1"/>
    <n v="195"/>
    <n v="138.44999999999999"/>
    <n v="56.550000000000011"/>
    <n v="0.29000000000000004"/>
    <x v="24"/>
    <x v="3"/>
    <x v="1"/>
  </r>
  <r>
    <x v="317"/>
    <d v="2021-05-23T00:00:00"/>
    <n v="6"/>
    <x v="0"/>
    <n v="99"/>
    <n v="62.37"/>
    <n v="5"/>
    <n v="495"/>
    <n v="311.84999999999997"/>
    <n v="183.15000000000003"/>
    <n v="0.37000000000000005"/>
    <x v="8"/>
    <x v="4"/>
    <x v="1"/>
  </r>
  <r>
    <x v="318"/>
    <d v="2021-05-21T00:00:00"/>
    <n v="2"/>
    <x v="6"/>
    <n v="290"/>
    <n v="185.6"/>
    <n v="1"/>
    <n v="290"/>
    <n v="185.6"/>
    <n v="104.4"/>
    <n v="0.36000000000000004"/>
    <x v="23"/>
    <x v="1"/>
    <x v="0"/>
  </r>
  <r>
    <x v="319"/>
    <d v="2021-05-27T00:00:00"/>
    <n v="5"/>
    <x v="16"/>
    <n v="110"/>
    <n v="78.099999999999994"/>
    <n v="4"/>
    <n v="440"/>
    <n v="312.39999999999998"/>
    <n v="127.60000000000002"/>
    <n v="0.29000000000000004"/>
    <x v="43"/>
    <x v="3"/>
    <x v="1"/>
  </r>
  <r>
    <x v="319"/>
    <d v="2021-05-29T00:00:00"/>
    <n v="7"/>
    <x v="3"/>
    <n v="80"/>
    <n v="48.8"/>
    <n v="3"/>
    <n v="240"/>
    <n v="146.39999999999998"/>
    <n v="93.600000000000023"/>
    <n v="0.39000000000000007"/>
    <x v="45"/>
    <x v="0"/>
    <x v="1"/>
  </r>
  <r>
    <x v="320"/>
    <d v="2021-05-30T00:00:00"/>
    <n v="6"/>
    <x v="10"/>
    <n v="59"/>
    <n v="41.3"/>
    <n v="7"/>
    <n v="413"/>
    <n v="289.09999999999997"/>
    <n v="123.90000000000003"/>
    <n v="0.3000000000000001"/>
    <x v="20"/>
    <x v="3"/>
    <x v="1"/>
  </r>
  <r>
    <x v="321"/>
    <d v="2021-06-01T00:00:00"/>
    <n v="7"/>
    <x v="8"/>
    <n v="220"/>
    <n v="154"/>
    <n v="9"/>
    <n v="1980"/>
    <n v="1386"/>
    <n v="594"/>
    <n v="0.3"/>
    <x v="21"/>
    <x v="3"/>
    <x v="1"/>
  </r>
  <r>
    <x v="322"/>
    <d v="2021-06-01T00:00:00"/>
    <n v="6"/>
    <x v="11"/>
    <n v="320"/>
    <n v="233.6"/>
    <n v="4"/>
    <n v="1280"/>
    <n v="934.4"/>
    <n v="345.6"/>
    <n v="0.27"/>
    <x v="32"/>
    <x v="2"/>
    <x v="1"/>
  </r>
  <r>
    <x v="323"/>
    <d v="2021-06-02T00:00:00"/>
    <n v="5"/>
    <x v="9"/>
    <n v="440"/>
    <n v="286"/>
    <n v="6"/>
    <n v="2640"/>
    <n v="1716"/>
    <n v="924"/>
    <n v="0.35"/>
    <x v="23"/>
    <x v="4"/>
    <x v="1"/>
  </r>
  <r>
    <x v="323"/>
    <d v="2021-06-02T00:00:00"/>
    <n v="5"/>
    <x v="15"/>
    <n v="375"/>
    <n v="247.5"/>
    <n v="5"/>
    <n v="1875"/>
    <n v="1237.5"/>
    <n v="637.5"/>
    <n v="0.34"/>
    <x v="1"/>
    <x v="0"/>
    <x v="1"/>
  </r>
  <r>
    <x v="323"/>
    <d v="2021-05-29T00:00:00"/>
    <n v="1"/>
    <x v="3"/>
    <n v="80"/>
    <n v="48.8"/>
    <n v="9"/>
    <n v="720"/>
    <n v="439.2"/>
    <n v="280.8"/>
    <n v="0.39"/>
    <x v="17"/>
    <x v="4"/>
    <x v="1"/>
  </r>
  <r>
    <x v="323"/>
    <d v="2021-05-31T00:00:00"/>
    <n v="3"/>
    <x v="19"/>
    <n v="145"/>
    <n v="105.85"/>
    <n v="8"/>
    <n v="1160"/>
    <n v="846.8"/>
    <n v="313.20000000000005"/>
    <n v="0.27"/>
    <x v="31"/>
    <x v="4"/>
    <x v="0"/>
  </r>
  <r>
    <x v="324"/>
    <d v="2021-06-04T00:00:00"/>
    <n v="6"/>
    <x v="14"/>
    <n v="490"/>
    <n v="298.89999999999998"/>
    <n v="2"/>
    <n v="980"/>
    <n v="597.79999999999995"/>
    <n v="382.20000000000005"/>
    <n v="0.39000000000000007"/>
    <x v="33"/>
    <x v="0"/>
    <x v="1"/>
  </r>
  <r>
    <x v="324"/>
    <d v="2021-05-30T00:00:00"/>
    <n v="1"/>
    <x v="18"/>
    <n v="390"/>
    <n v="253.5"/>
    <n v="6"/>
    <n v="2340"/>
    <n v="1521"/>
    <n v="819"/>
    <n v="0.35"/>
    <x v="22"/>
    <x v="4"/>
    <x v="0"/>
  </r>
  <r>
    <x v="325"/>
    <d v="2021-06-02T00:00:00"/>
    <n v="2"/>
    <x v="20"/>
    <n v="355"/>
    <n v="252.05"/>
    <n v="3"/>
    <n v="1065"/>
    <n v="756.15000000000009"/>
    <n v="308.84999999999991"/>
    <n v="0.28999999999999992"/>
    <x v="26"/>
    <x v="0"/>
    <x v="1"/>
  </r>
  <r>
    <x v="326"/>
    <d v="2021-06-03T00:00:00"/>
    <n v="2"/>
    <x v="6"/>
    <n v="290"/>
    <n v="185.6"/>
    <n v="7"/>
    <n v="2030"/>
    <n v="1299.2"/>
    <n v="730.8"/>
    <n v="0.36"/>
    <x v="7"/>
    <x v="0"/>
    <x v="0"/>
  </r>
  <r>
    <x v="327"/>
    <d v="2021-06-08T00:00:00"/>
    <n v="3"/>
    <x v="16"/>
    <n v="110"/>
    <n v="78.099999999999994"/>
    <n v="5"/>
    <n v="550"/>
    <n v="390.5"/>
    <n v="159.5"/>
    <n v="0.28999999999999998"/>
    <x v="26"/>
    <x v="4"/>
    <x v="0"/>
  </r>
  <r>
    <x v="328"/>
    <d v="2021-06-11T00:00:00"/>
    <n v="5"/>
    <x v="2"/>
    <n v="445"/>
    <n v="280.35000000000002"/>
    <n v="1"/>
    <n v="445"/>
    <n v="280.35000000000002"/>
    <n v="164.64999999999998"/>
    <n v="0.36999999999999994"/>
    <x v="12"/>
    <x v="3"/>
    <x v="1"/>
  </r>
  <r>
    <x v="328"/>
    <d v="2021-06-08T00:00:00"/>
    <n v="2"/>
    <x v="1"/>
    <n v="390"/>
    <n v="288.60000000000002"/>
    <n v="1"/>
    <n v="390"/>
    <n v="288.60000000000002"/>
    <n v="101.39999999999998"/>
    <n v="0.25999999999999995"/>
    <x v="0"/>
    <x v="3"/>
    <x v="1"/>
  </r>
  <r>
    <x v="329"/>
    <d v="2021-06-08T00:00:00"/>
    <n v="1"/>
    <x v="10"/>
    <n v="59"/>
    <n v="41.3"/>
    <n v="8"/>
    <n v="472"/>
    <n v="330.4"/>
    <n v="141.60000000000002"/>
    <n v="0.30000000000000004"/>
    <x v="0"/>
    <x v="0"/>
    <x v="1"/>
  </r>
  <r>
    <x v="329"/>
    <d v="2021-06-12T00:00:00"/>
    <n v="5"/>
    <x v="14"/>
    <n v="490"/>
    <n v="298.89999999999998"/>
    <n v="1"/>
    <n v="490"/>
    <n v="298.89999999999998"/>
    <n v="191.10000000000002"/>
    <n v="0.39000000000000007"/>
    <x v="20"/>
    <x v="2"/>
    <x v="1"/>
  </r>
  <r>
    <x v="330"/>
    <d v="2021-06-14T00:00:00"/>
    <n v="5"/>
    <x v="12"/>
    <n v="250"/>
    <n v="187.5"/>
    <n v="1"/>
    <n v="250"/>
    <n v="187.5"/>
    <n v="62.5"/>
    <n v="0.25"/>
    <x v="0"/>
    <x v="1"/>
    <x v="0"/>
  </r>
  <r>
    <x v="331"/>
    <d v="2021-06-17T00:00:00"/>
    <n v="7"/>
    <x v="0"/>
    <n v="99"/>
    <n v="62.37"/>
    <n v="6"/>
    <n v="594"/>
    <n v="374.21999999999997"/>
    <n v="219.78000000000003"/>
    <n v="0.37000000000000005"/>
    <x v="32"/>
    <x v="3"/>
    <x v="0"/>
  </r>
  <r>
    <x v="331"/>
    <d v="2021-06-15T00:00:00"/>
    <n v="5"/>
    <x v="15"/>
    <n v="375"/>
    <n v="247.5"/>
    <n v="7"/>
    <n v="2625"/>
    <n v="1732.5"/>
    <n v="892.5"/>
    <n v="0.34"/>
    <x v="3"/>
    <x v="1"/>
    <x v="0"/>
  </r>
  <r>
    <x v="331"/>
    <d v="2021-06-17T00:00:00"/>
    <n v="7"/>
    <x v="20"/>
    <n v="355"/>
    <n v="252.05"/>
    <n v="7"/>
    <n v="2485"/>
    <n v="1764.3500000000001"/>
    <n v="720.64999999999986"/>
    <n v="0.28999999999999992"/>
    <x v="13"/>
    <x v="3"/>
    <x v="0"/>
  </r>
  <r>
    <x v="331"/>
    <d v="2021-06-14T00:00:00"/>
    <n v="4"/>
    <x v="12"/>
    <n v="250"/>
    <n v="187.5"/>
    <n v="4"/>
    <n v="1000"/>
    <n v="750"/>
    <n v="250"/>
    <n v="0.25"/>
    <x v="40"/>
    <x v="4"/>
    <x v="1"/>
  </r>
  <r>
    <x v="332"/>
    <d v="2021-06-14T00:00:00"/>
    <n v="2"/>
    <x v="18"/>
    <n v="390"/>
    <n v="253.5"/>
    <n v="8"/>
    <n v="3120"/>
    <n v="2028"/>
    <n v="1092"/>
    <n v="0.35"/>
    <x v="46"/>
    <x v="0"/>
    <x v="1"/>
  </r>
  <r>
    <x v="333"/>
    <d v="2021-06-19T00:00:00"/>
    <n v="6"/>
    <x v="8"/>
    <n v="220"/>
    <n v="154"/>
    <n v="1"/>
    <n v="220"/>
    <n v="154"/>
    <n v="66"/>
    <n v="0.3"/>
    <x v="2"/>
    <x v="4"/>
    <x v="0"/>
  </r>
  <r>
    <x v="334"/>
    <d v="2021-06-20T00:00:00"/>
    <n v="3"/>
    <x v="1"/>
    <n v="390"/>
    <n v="288.60000000000002"/>
    <n v="2"/>
    <n v="780"/>
    <n v="577.20000000000005"/>
    <n v="202.79999999999995"/>
    <n v="0.25999999999999995"/>
    <x v="12"/>
    <x v="3"/>
    <x v="0"/>
  </r>
  <r>
    <x v="334"/>
    <d v="2021-06-24T00:00:00"/>
    <n v="7"/>
    <x v="19"/>
    <n v="145"/>
    <n v="105.85"/>
    <n v="2"/>
    <n v="290"/>
    <n v="211.7"/>
    <n v="78.300000000000011"/>
    <n v="0.27"/>
    <x v="19"/>
    <x v="4"/>
    <x v="0"/>
  </r>
  <r>
    <x v="335"/>
    <d v="2021-06-20T00:00:00"/>
    <n v="2"/>
    <x v="10"/>
    <n v="59"/>
    <n v="41.3"/>
    <n v="1"/>
    <n v="59"/>
    <n v="41.3"/>
    <n v="17.700000000000003"/>
    <n v="0.30000000000000004"/>
    <x v="22"/>
    <x v="0"/>
    <x v="0"/>
  </r>
  <r>
    <x v="336"/>
    <d v="2021-06-20T00:00:00"/>
    <n v="1"/>
    <x v="3"/>
    <n v="80"/>
    <n v="48.8"/>
    <n v="3"/>
    <n v="240"/>
    <n v="146.39999999999998"/>
    <n v="93.600000000000023"/>
    <n v="0.39000000000000007"/>
    <x v="18"/>
    <x v="4"/>
    <x v="0"/>
  </r>
  <r>
    <x v="336"/>
    <d v="2021-06-20T00:00:00"/>
    <n v="1"/>
    <x v="4"/>
    <n v="195"/>
    <n v="138.44999999999999"/>
    <n v="1"/>
    <n v="195"/>
    <n v="138.44999999999999"/>
    <n v="56.550000000000011"/>
    <n v="0.29000000000000004"/>
    <x v="7"/>
    <x v="1"/>
    <x v="1"/>
  </r>
  <r>
    <x v="337"/>
    <d v="2021-06-25T00:00:00"/>
    <n v="5"/>
    <x v="10"/>
    <n v="59"/>
    <n v="41.3"/>
    <n v="4"/>
    <n v="236"/>
    <n v="165.2"/>
    <n v="70.800000000000011"/>
    <n v="0.30000000000000004"/>
    <x v="43"/>
    <x v="3"/>
    <x v="1"/>
  </r>
  <r>
    <x v="338"/>
    <d v="2021-06-28T00:00:00"/>
    <n v="6"/>
    <x v="0"/>
    <n v="99"/>
    <n v="62.37"/>
    <n v="8"/>
    <n v="792"/>
    <n v="498.96"/>
    <n v="293.04000000000002"/>
    <n v="0.37000000000000005"/>
    <x v="36"/>
    <x v="1"/>
    <x v="1"/>
  </r>
  <r>
    <x v="338"/>
    <d v="2021-06-24T00:00:00"/>
    <n v="2"/>
    <x v="9"/>
    <n v="440"/>
    <n v="286"/>
    <n v="4"/>
    <n v="1760"/>
    <n v="1144"/>
    <n v="616"/>
    <n v="0.35"/>
    <x v="38"/>
    <x v="1"/>
    <x v="0"/>
  </r>
  <r>
    <x v="338"/>
    <d v="2021-06-25T00:00:00"/>
    <n v="3"/>
    <x v="18"/>
    <n v="390"/>
    <n v="253.5"/>
    <n v="4"/>
    <n v="1560"/>
    <n v="1014"/>
    <n v="546"/>
    <n v="0.35"/>
    <x v="29"/>
    <x v="0"/>
    <x v="1"/>
  </r>
  <r>
    <x v="339"/>
    <d v="2021-06-28T00:00:00"/>
    <n v="5"/>
    <x v="1"/>
    <n v="390"/>
    <n v="288.60000000000002"/>
    <n v="2"/>
    <n v="780"/>
    <n v="577.20000000000005"/>
    <n v="202.79999999999995"/>
    <n v="0.25999999999999995"/>
    <x v="2"/>
    <x v="1"/>
    <x v="1"/>
  </r>
  <r>
    <x v="340"/>
    <d v="2021-06-28T00:00:00"/>
    <n v="4"/>
    <x v="0"/>
    <n v="99"/>
    <n v="62.37"/>
    <n v="9"/>
    <n v="891"/>
    <n v="561.32999999999993"/>
    <n v="329.67000000000007"/>
    <n v="0.37000000000000011"/>
    <x v="31"/>
    <x v="0"/>
    <x v="0"/>
  </r>
  <r>
    <x v="341"/>
    <d v="2021-07-01T00:00:00"/>
    <n v="6"/>
    <x v="1"/>
    <n v="390"/>
    <n v="288.60000000000002"/>
    <n v="3"/>
    <n v="1170"/>
    <n v="865.80000000000007"/>
    <n v="304.19999999999993"/>
    <n v="0.25999999999999995"/>
    <x v="27"/>
    <x v="1"/>
    <x v="0"/>
  </r>
  <r>
    <x v="341"/>
    <d v="2021-06-29T00:00:00"/>
    <n v="4"/>
    <x v="19"/>
    <n v="145"/>
    <n v="105.85"/>
    <n v="2"/>
    <n v="290"/>
    <n v="211.7"/>
    <n v="78.300000000000011"/>
    <n v="0.27"/>
    <x v="5"/>
    <x v="3"/>
    <x v="0"/>
  </r>
  <r>
    <x v="342"/>
    <d v="2021-06-30T00:00:00"/>
    <n v="4"/>
    <x v="18"/>
    <n v="390"/>
    <n v="253.5"/>
    <n v="9"/>
    <n v="3510"/>
    <n v="2281.5"/>
    <n v="1228.5"/>
    <n v="0.35"/>
    <x v="37"/>
    <x v="2"/>
    <x v="1"/>
  </r>
  <r>
    <x v="343"/>
    <d v="2021-06-30T00:00:00"/>
    <n v="2"/>
    <x v="18"/>
    <n v="390"/>
    <n v="253.5"/>
    <n v="9"/>
    <n v="3510"/>
    <n v="2281.5"/>
    <n v="1228.5"/>
    <n v="0.35"/>
    <x v="12"/>
    <x v="3"/>
    <x v="0"/>
  </r>
  <r>
    <x v="344"/>
    <d v="2021-07-01T00:00:00"/>
    <n v="2"/>
    <x v="9"/>
    <n v="440"/>
    <n v="286"/>
    <n v="1"/>
    <n v="440"/>
    <n v="286"/>
    <n v="154"/>
    <n v="0.35"/>
    <x v="35"/>
    <x v="2"/>
    <x v="0"/>
  </r>
  <r>
    <x v="345"/>
    <d v="2021-07-03T00:00:00"/>
    <n v="3"/>
    <x v="17"/>
    <n v="460"/>
    <n v="303.60000000000002"/>
    <n v="6"/>
    <n v="2760"/>
    <n v="1821.6000000000001"/>
    <n v="938.39999999999986"/>
    <n v="0.33999999999999997"/>
    <x v="33"/>
    <x v="0"/>
    <x v="1"/>
  </r>
  <r>
    <x v="345"/>
    <d v="2021-07-03T00:00:00"/>
    <n v="3"/>
    <x v="14"/>
    <n v="490"/>
    <n v="298.89999999999998"/>
    <n v="8"/>
    <n v="3920"/>
    <n v="2391.1999999999998"/>
    <n v="1528.8000000000002"/>
    <n v="0.39000000000000007"/>
    <x v="20"/>
    <x v="4"/>
    <x v="1"/>
  </r>
  <r>
    <x v="346"/>
    <d v="2021-07-09T00:00:00"/>
    <n v="2"/>
    <x v="4"/>
    <n v="195"/>
    <n v="138.44999999999999"/>
    <n v="8"/>
    <n v="1560"/>
    <n v="1107.5999999999999"/>
    <n v="452.40000000000009"/>
    <n v="0.29000000000000004"/>
    <x v="28"/>
    <x v="1"/>
    <x v="1"/>
  </r>
  <r>
    <x v="347"/>
    <d v="2021-07-12T00:00:00"/>
    <n v="3"/>
    <x v="2"/>
    <n v="445"/>
    <n v="280.35000000000002"/>
    <n v="7"/>
    <n v="3115"/>
    <n v="1962.4500000000003"/>
    <n v="1152.5499999999997"/>
    <n v="0.36999999999999994"/>
    <x v="31"/>
    <x v="2"/>
    <x v="0"/>
  </r>
  <r>
    <x v="348"/>
    <d v="2021-07-16T00:00:00"/>
    <n v="6"/>
    <x v="1"/>
    <n v="390"/>
    <n v="288.60000000000002"/>
    <n v="8"/>
    <n v="3120"/>
    <n v="2308.8000000000002"/>
    <n v="811.19999999999982"/>
    <n v="0.25999999999999995"/>
    <x v="43"/>
    <x v="4"/>
    <x v="0"/>
  </r>
  <r>
    <x v="349"/>
    <d v="2021-07-16T00:00:00"/>
    <n v="5"/>
    <x v="7"/>
    <n v="275"/>
    <n v="200.75"/>
    <n v="3"/>
    <n v="825"/>
    <n v="602.25"/>
    <n v="222.75"/>
    <n v="0.27"/>
    <x v="18"/>
    <x v="3"/>
    <x v="1"/>
  </r>
  <r>
    <x v="350"/>
    <d v="2021-07-18T00:00:00"/>
    <n v="4"/>
    <x v="2"/>
    <n v="445"/>
    <n v="280.35000000000002"/>
    <n v="2"/>
    <n v="890"/>
    <n v="560.70000000000005"/>
    <n v="329.29999999999995"/>
    <n v="0.36999999999999994"/>
    <x v="9"/>
    <x v="3"/>
    <x v="1"/>
  </r>
  <r>
    <x v="351"/>
    <d v="2021-07-20T00:00:00"/>
    <n v="5"/>
    <x v="14"/>
    <n v="490"/>
    <n v="298.89999999999998"/>
    <n v="1"/>
    <n v="490"/>
    <n v="298.89999999999998"/>
    <n v="191.10000000000002"/>
    <n v="0.39000000000000007"/>
    <x v="8"/>
    <x v="1"/>
    <x v="0"/>
  </r>
  <r>
    <x v="352"/>
    <d v="2021-07-23T00:00:00"/>
    <n v="6"/>
    <x v="11"/>
    <n v="320"/>
    <n v="233.6"/>
    <n v="8"/>
    <n v="2560"/>
    <n v="1868.8"/>
    <n v="691.2"/>
    <n v="0.27"/>
    <x v="46"/>
    <x v="4"/>
    <x v="0"/>
  </r>
  <r>
    <x v="352"/>
    <d v="2021-07-23T00:00:00"/>
    <n v="6"/>
    <x v="21"/>
    <n v="215"/>
    <n v="152.65"/>
    <n v="4"/>
    <n v="860"/>
    <n v="610.6"/>
    <n v="249.39999999999998"/>
    <n v="0.28999999999999998"/>
    <x v="40"/>
    <x v="2"/>
    <x v="0"/>
  </r>
  <r>
    <x v="353"/>
    <d v="2021-07-22T00:00:00"/>
    <n v="4"/>
    <x v="15"/>
    <n v="375"/>
    <n v="247.5"/>
    <n v="2"/>
    <n v="750"/>
    <n v="495"/>
    <n v="255"/>
    <n v="0.34"/>
    <x v="25"/>
    <x v="0"/>
    <x v="0"/>
  </r>
  <r>
    <x v="354"/>
    <d v="2021-07-25T00:00:00"/>
    <n v="4"/>
    <x v="10"/>
    <n v="59"/>
    <n v="41.3"/>
    <n v="7"/>
    <n v="413"/>
    <n v="289.09999999999997"/>
    <n v="123.90000000000003"/>
    <n v="0.3000000000000001"/>
    <x v="3"/>
    <x v="3"/>
    <x v="1"/>
  </r>
  <r>
    <x v="355"/>
    <d v="2021-07-30T00:00:00"/>
    <n v="6"/>
    <x v="0"/>
    <n v="99"/>
    <n v="62.37"/>
    <n v="6"/>
    <n v="594"/>
    <n v="374.21999999999997"/>
    <n v="219.78000000000003"/>
    <n v="0.37000000000000005"/>
    <x v="33"/>
    <x v="4"/>
    <x v="0"/>
  </r>
  <r>
    <x v="356"/>
    <d v="2021-07-30T00:00:00"/>
    <n v="4"/>
    <x v="14"/>
    <n v="490"/>
    <n v="298.89999999999998"/>
    <n v="1"/>
    <n v="490"/>
    <n v="298.89999999999998"/>
    <n v="191.10000000000002"/>
    <n v="0.39000000000000007"/>
    <x v="31"/>
    <x v="0"/>
    <x v="0"/>
  </r>
  <r>
    <x v="356"/>
    <d v="2021-07-29T00:00:00"/>
    <n v="3"/>
    <x v="6"/>
    <n v="290"/>
    <n v="185.6"/>
    <n v="3"/>
    <n v="870"/>
    <n v="556.79999999999995"/>
    <n v="313.20000000000005"/>
    <n v="0.36000000000000004"/>
    <x v="35"/>
    <x v="0"/>
    <x v="1"/>
  </r>
  <r>
    <x v="356"/>
    <d v="2021-08-01T00:00:00"/>
    <n v="6"/>
    <x v="5"/>
    <n v="250"/>
    <n v="167.5"/>
    <n v="5"/>
    <n v="1250"/>
    <n v="837.5"/>
    <n v="412.5"/>
    <n v="0.33"/>
    <x v="45"/>
    <x v="3"/>
    <x v="0"/>
  </r>
  <r>
    <x v="356"/>
    <d v="2021-08-02T00:00:00"/>
    <n v="7"/>
    <x v="1"/>
    <n v="390"/>
    <n v="288.60000000000002"/>
    <n v="6"/>
    <n v="2340"/>
    <n v="1731.6000000000001"/>
    <n v="608.39999999999986"/>
    <n v="0.25999999999999995"/>
    <x v="22"/>
    <x v="1"/>
    <x v="0"/>
  </r>
  <r>
    <x v="357"/>
    <d v="2021-08-01T00:00:00"/>
    <n v="3"/>
    <x v="17"/>
    <n v="460"/>
    <n v="303.60000000000002"/>
    <n v="8"/>
    <n v="3680"/>
    <n v="2428.8000000000002"/>
    <n v="1251.1999999999998"/>
    <n v="0.33999999999999997"/>
    <x v="25"/>
    <x v="1"/>
    <x v="0"/>
  </r>
  <r>
    <x v="358"/>
    <d v="2021-08-03T00:00:00"/>
    <n v="4"/>
    <x v="2"/>
    <n v="445"/>
    <n v="280.35000000000002"/>
    <n v="3"/>
    <n v="1335"/>
    <n v="841.05000000000007"/>
    <n v="493.94999999999993"/>
    <n v="0.36999999999999994"/>
    <x v="38"/>
    <x v="3"/>
    <x v="1"/>
  </r>
  <r>
    <x v="358"/>
    <d v="2021-08-04T00:00:00"/>
    <n v="5"/>
    <x v="19"/>
    <n v="145"/>
    <n v="105.85"/>
    <n v="6"/>
    <n v="870"/>
    <n v="635.09999999999991"/>
    <n v="234.90000000000009"/>
    <n v="0.27000000000000013"/>
    <x v="7"/>
    <x v="2"/>
    <x v="1"/>
  </r>
  <r>
    <x v="359"/>
    <d v="2021-08-04T00:00:00"/>
    <n v="4"/>
    <x v="15"/>
    <n v="375"/>
    <n v="247.5"/>
    <n v="2"/>
    <n v="750"/>
    <n v="495"/>
    <n v="255"/>
    <n v="0.34"/>
    <x v="35"/>
    <x v="4"/>
    <x v="0"/>
  </r>
  <r>
    <x v="359"/>
    <d v="2021-08-01T00:00:00"/>
    <n v="1"/>
    <x v="3"/>
    <n v="80"/>
    <n v="48.8"/>
    <n v="6"/>
    <n v="480"/>
    <n v="292.79999999999995"/>
    <n v="187.20000000000005"/>
    <n v="0.39000000000000007"/>
    <x v="31"/>
    <x v="4"/>
    <x v="0"/>
  </r>
  <r>
    <x v="360"/>
    <d v="2021-08-08T00:00:00"/>
    <n v="7"/>
    <x v="5"/>
    <n v="250"/>
    <n v="167.5"/>
    <n v="8"/>
    <n v="2000"/>
    <n v="1340"/>
    <n v="660"/>
    <n v="0.33"/>
    <x v="9"/>
    <x v="0"/>
    <x v="0"/>
  </r>
  <r>
    <x v="360"/>
    <d v="2021-08-07T00:00:00"/>
    <n v="6"/>
    <x v="9"/>
    <n v="440"/>
    <n v="286"/>
    <n v="3"/>
    <n v="1320"/>
    <n v="858"/>
    <n v="462"/>
    <n v="0.35"/>
    <x v="2"/>
    <x v="2"/>
    <x v="0"/>
  </r>
  <r>
    <x v="361"/>
    <d v="2021-08-08T00:00:00"/>
    <n v="6"/>
    <x v="15"/>
    <n v="375"/>
    <n v="247.5"/>
    <n v="1"/>
    <n v="375"/>
    <n v="247.5"/>
    <n v="127.5"/>
    <n v="0.34"/>
    <x v="31"/>
    <x v="4"/>
    <x v="0"/>
  </r>
  <r>
    <x v="361"/>
    <d v="2021-08-05T00:00:00"/>
    <n v="3"/>
    <x v="0"/>
    <n v="99"/>
    <n v="62.37"/>
    <n v="2"/>
    <n v="198"/>
    <n v="124.74"/>
    <n v="73.260000000000005"/>
    <n v="0.37000000000000005"/>
    <x v="42"/>
    <x v="2"/>
    <x v="1"/>
  </r>
  <r>
    <x v="362"/>
    <d v="2021-08-12T00:00:00"/>
    <n v="6"/>
    <x v="12"/>
    <n v="250"/>
    <n v="187.5"/>
    <n v="9"/>
    <n v="2250"/>
    <n v="1687.5"/>
    <n v="562.5"/>
    <n v="0.25"/>
    <x v="0"/>
    <x v="0"/>
    <x v="1"/>
  </r>
  <r>
    <x v="362"/>
    <d v="2021-08-11T00:00:00"/>
    <n v="5"/>
    <x v="17"/>
    <n v="460"/>
    <n v="303.60000000000002"/>
    <n v="4"/>
    <n v="1840"/>
    <n v="1214.4000000000001"/>
    <n v="625.59999999999991"/>
    <n v="0.33999999999999997"/>
    <x v="47"/>
    <x v="1"/>
    <x v="1"/>
  </r>
  <r>
    <x v="363"/>
    <d v="2021-08-14T00:00:00"/>
    <n v="7"/>
    <x v="18"/>
    <n v="390"/>
    <n v="253.5"/>
    <n v="7"/>
    <n v="2730"/>
    <n v="1774.5"/>
    <n v="955.5"/>
    <n v="0.35"/>
    <x v="34"/>
    <x v="2"/>
    <x v="0"/>
  </r>
  <r>
    <x v="364"/>
    <d v="2021-08-12T00:00:00"/>
    <n v="4"/>
    <x v="13"/>
    <n v="95"/>
    <n v="60.8"/>
    <n v="3"/>
    <n v="285"/>
    <n v="182.39999999999998"/>
    <n v="102.60000000000002"/>
    <n v="0.3600000000000001"/>
    <x v="15"/>
    <x v="0"/>
    <x v="0"/>
  </r>
  <r>
    <x v="364"/>
    <d v="2021-08-11T00:00:00"/>
    <n v="3"/>
    <x v="15"/>
    <n v="375"/>
    <n v="247.5"/>
    <n v="5"/>
    <n v="1875"/>
    <n v="1237.5"/>
    <n v="637.5"/>
    <n v="0.34"/>
    <x v="21"/>
    <x v="2"/>
    <x v="1"/>
  </r>
  <r>
    <x v="364"/>
    <d v="2021-08-12T00:00:00"/>
    <n v="4"/>
    <x v="1"/>
    <n v="390"/>
    <n v="288.60000000000002"/>
    <n v="3"/>
    <n v="1170"/>
    <n v="865.80000000000007"/>
    <n v="304.19999999999993"/>
    <n v="0.25999999999999995"/>
    <x v="31"/>
    <x v="4"/>
    <x v="1"/>
  </r>
  <r>
    <x v="365"/>
    <d v="2021-08-16T00:00:00"/>
    <n v="7"/>
    <x v="10"/>
    <n v="59"/>
    <n v="41.3"/>
    <n v="3"/>
    <n v="177"/>
    <n v="123.89999999999999"/>
    <n v="53.100000000000009"/>
    <n v="0.30000000000000004"/>
    <x v="34"/>
    <x v="4"/>
    <x v="0"/>
  </r>
  <r>
    <x v="366"/>
    <d v="2021-08-19T00:00:00"/>
    <n v="4"/>
    <x v="6"/>
    <n v="290"/>
    <n v="185.6"/>
    <n v="6"/>
    <n v="1740"/>
    <n v="1113.5999999999999"/>
    <n v="626.40000000000009"/>
    <n v="0.36000000000000004"/>
    <x v="38"/>
    <x v="0"/>
    <x v="1"/>
  </r>
  <r>
    <x v="366"/>
    <d v="2021-08-18T00:00:00"/>
    <n v="3"/>
    <x v="12"/>
    <n v="250"/>
    <n v="187.5"/>
    <n v="4"/>
    <n v="1000"/>
    <n v="750"/>
    <n v="250"/>
    <n v="0.25"/>
    <x v="5"/>
    <x v="1"/>
    <x v="1"/>
  </r>
  <r>
    <x v="366"/>
    <d v="2021-08-19T00:00:00"/>
    <n v="4"/>
    <x v="21"/>
    <n v="215"/>
    <n v="152.65"/>
    <n v="7"/>
    <n v="1505"/>
    <n v="1068.55"/>
    <n v="436.45000000000005"/>
    <n v="0.29000000000000004"/>
    <x v="31"/>
    <x v="2"/>
    <x v="0"/>
  </r>
  <r>
    <x v="367"/>
    <d v="2021-08-21T00:00:00"/>
    <n v="5"/>
    <x v="14"/>
    <n v="490"/>
    <n v="298.89999999999998"/>
    <n v="3"/>
    <n v="1470"/>
    <n v="896.69999999999993"/>
    <n v="573.30000000000007"/>
    <n v="0.39000000000000007"/>
    <x v="46"/>
    <x v="0"/>
    <x v="0"/>
  </r>
  <r>
    <x v="367"/>
    <d v="2021-08-21T00:00:00"/>
    <n v="5"/>
    <x v="14"/>
    <n v="490"/>
    <n v="298.89999999999998"/>
    <n v="9"/>
    <n v="4410"/>
    <n v="2690.1"/>
    <n v="1719.9"/>
    <n v="0.39"/>
    <x v="16"/>
    <x v="3"/>
    <x v="1"/>
  </r>
  <r>
    <x v="368"/>
    <d v="2021-08-19T00:00:00"/>
    <n v="2"/>
    <x v="19"/>
    <n v="145"/>
    <n v="105.85"/>
    <n v="8"/>
    <n v="1160"/>
    <n v="846.8"/>
    <n v="313.20000000000005"/>
    <n v="0.27"/>
    <x v="9"/>
    <x v="2"/>
    <x v="0"/>
  </r>
  <r>
    <x v="369"/>
    <d v="2021-08-22T00:00:00"/>
    <n v="4"/>
    <x v="13"/>
    <n v="95"/>
    <n v="60.8"/>
    <n v="3"/>
    <n v="285"/>
    <n v="182.39999999999998"/>
    <n v="102.60000000000002"/>
    <n v="0.3600000000000001"/>
    <x v="32"/>
    <x v="4"/>
    <x v="0"/>
  </r>
  <r>
    <x v="370"/>
    <d v="2021-08-25T00:00:00"/>
    <n v="3"/>
    <x v="7"/>
    <n v="275"/>
    <n v="200.75"/>
    <n v="9"/>
    <n v="2475"/>
    <n v="1806.75"/>
    <n v="668.25"/>
    <n v="0.27"/>
    <x v="26"/>
    <x v="3"/>
    <x v="0"/>
  </r>
  <r>
    <x v="370"/>
    <d v="2021-08-28T00:00:00"/>
    <n v="6"/>
    <x v="3"/>
    <n v="80"/>
    <n v="48.8"/>
    <n v="9"/>
    <n v="720"/>
    <n v="439.2"/>
    <n v="280.8"/>
    <n v="0.39"/>
    <x v="23"/>
    <x v="4"/>
    <x v="1"/>
  </r>
  <r>
    <x v="370"/>
    <d v="2021-08-29T00:00:00"/>
    <n v="7"/>
    <x v="7"/>
    <n v="275"/>
    <n v="200.75"/>
    <n v="4"/>
    <n v="1100"/>
    <n v="803"/>
    <n v="297"/>
    <n v="0.27"/>
    <x v="33"/>
    <x v="0"/>
    <x v="0"/>
  </r>
  <r>
    <x v="371"/>
    <d v="2021-08-25T00:00:00"/>
    <n v="1"/>
    <x v="14"/>
    <n v="490"/>
    <n v="298.89999999999998"/>
    <n v="7"/>
    <n v="3430"/>
    <n v="2092.2999999999997"/>
    <n v="1337.7000000000003"/>
    <n v="0.39000000000000007"/>
    <x v="12"/>
    <x v="3"/>
    <x v="1"/>
  </r>
  <r>
    <x v="371"/>
    <d v="2021-08-29T00:00:00"/>
    <n v="5"/>
    <x v="13"/>
    <n v="95"/>
    <n v="60.8"/>
    <n v="5"/>
    <n v="475"/>
    <n v="304"/>
    <n v="171"/>
    <n v="0.36"/>
    <x v="1"/>
    <x v="2"/>
    <x v="1"/>
  </r>
  <r>
    <x v="372"/>
    <d v="2021-09-01T00:00:00"/>
    <n v="7"/>
    <x v="9"/>
    <n v="440"/>
    <n v="286"/>
    <n v="8"/>
    <n v="3520"/>
    <n v="2288"/>
    <n v="1232"/>
    <n v="0.35"/>
    <x v="2"/>
    <x v="2"/>
    <x v="0"/>
  </r>
  <r>
    <x v="373"/>
    <d v="2021-08-28T00:00:00"/>
    <n v="2"/>
    <x v="8"/>
    <n v="220"/>
    <n v="154"/>
    <n v="8"/>
    <n v="1760"/>
    <n v="1232"/>
    <n v="528"/>
    <n v="0.3"/>
    <x v="43"/>
    <x v="0"/>
    <x v="0"/>
  </r>
  <r>
    <x v="374"/>
    <d v="2021-09-03T00:00:00"/>
    <n v="7"/>
    <x v="12"/>
    <n v="250"/>
    <n v="187.5"/>
    <n v="3"/>
    <n v="750"/>
    <n v="562.5"/>
    <n v="187.5"/>
    <n v="0.25"/>
    <x v="45"/>
    <x v="1"/>
    <x v="1"/>
  </r>
  <r>
    <x v="374"/>
    <d v="2021-09-01T00:00:00"/>
    <n v="5"/>
    <x v="21"/>
    <n v="215"/>
    <n v="152.65"/>
    <n v="4"/>
    <n v="860"/>
    <n v="610.6"/>
    <n v="249.39999999999998"/>
    <n v="0.28999999999999998"/>
    <x v="29"/>
    <x v="3"/>
    <x v="1"/>
  </r>
  <r>
    <x v="375"/>
    <d v="2021-09-02T00:00:00"/>
    <n v="5"/>
    <x v="11"/>
    <n v="320"/>
    <n v="233.6"/>
    <n v="2"/>
    <n v="640"/>
    <n v="467.2"/>
    <n v="172.8"/>
    <n v="0.27"/>
    <x v="38"/>
    <x v="4"/>
    <x v="0"/>
  </r>
  <r>
    <x v="375"/>
    <d v="2021-09-01T00:00:00"/>
    <n v="4"/>
    <x v="4"/>
    <n v="195"/>
    <n v="138.44999999999999"/>
    <n v="6"/>
    <n v="1170"/>
    <n v="830.69999999999993"/>
    <n v="339.30000000000007"/>
    <n v="0.29000000000000004"/>
    <x v="9"/>
    <x v="0"/>
    <x v="1"/>
  </r>
  <r>
    <x v="376"/>
    <d v="2021-08-30T00:00:00"/>
    <n v="1"/>
    <x v="18"/>
    <n v="390"/>
    <n v="253.5"/>
    <n v="3"/>
    <n v="1170"/>
    <n v="760.5"/>
    <n v="409.5"/>
    <n v="0.35"/>
    <x v="11"/>
    <x v="2"/>
    <x v="0"/>
  </r>
  <r>
    <x v="376"/>
    <d v="2021-09-05T00:00:00"/>
    <n v="7"/>
    <x v="5"/>
    <n v="250"/>
    <n v="167.5"/>
    <n v="8"/>
    <n v="2000"/>
    <n v="1340"/>
    <n v="660"/>
    <n v="0.33"/>
    <x v="23"/>
    <x v="2"/>
    <x v="1"/>
  </r>
  <r>
    <x v="377"/>
    <d v="2021-09-05T00:00:00"/>
    <n v="5"/>
    <x v="8"/>
    <n v="220"/>
    <n v="154"/>
    <n v="1"/>
    <n v="220"/>
    <n v="154"/>
    <n v="66"/>
    <n v="0.3"/>
    <x v="4"/>
    <x v="3"/>
    <x v="1"/>
  </r>
  <r>
    <x v="378"/>
    <d v="2021-09-08T00:00:00"/>
    <n v="7"/>
    <x v="9"/>
    <n v="440"/>
    <n v="286"/>
    <n v="7"/>
    <n v="3080"/>
    <n v="2002"/>
    <n v="1078"/>
    <n v="0.35"/>
    <x v="14"/>
    <x v="3"/>
    <x v="1"/>
  </r>
  <r>
    <x v="378"/>
    <d v="2021-09-06T00:00:00"/>
    <n v="5"/>
    <x v="5"/>
    <n v="250"/>
    <n v="167.5"/>
    <n v="8"/>
    <n v="2000"/>
    <n v="1340"/>
    <n v="660"/>
    <n v="0.33"/>
    <x v="36"/>
    <x v="0"/>
    <x v="1"/>
  </r>
  <r>
    <x v="379"/>
    <d v="2021-09-09T00:00:00"/>
    <n v="6"/>
    <x v="19"/>
    <n v="145"/>
    <n v="105.85"/>
    <n v="5"/>
    <n v="725"/>
    <n v="529.25"/>
    <n v="195.75"/>
    <n v="0.27"/>
    <x v="21"/>
    <x v="4"/>
    <x v="0"/>
  </r>
  <r>
    <x v="380"/>
    <d v="2021-09-08T00:00:00"/>
    <n v="3"/>
    <x v="1"/>
    <n v="390"/>
    <n v="288.60000000000002"/>
    <n v="8"/>
    <n v="3120"/>
    <n v="2308.8000000000002"/>
    <n v="811.19999999999982"/>
    <n v="0.25999999999999995"/>
    <x v="17"/>
    <x v="1"/>
    <x v="1"/>
  </r>
  <r>
    <x v="381"/>
    <d v="2021-09-11T00:00:00"/>
    <n v="3"/>
    <x v="11"/>
    <n v="320"/>
    <n v="233.6"/>
    <n v="1"/>
    <n v="320"/>
    <n v="233.6"/>
    <n v="86.4"/>
    <n v="0.27"/>
    <x v="22"/>
    <x v="2"/>
    <x v="1"/>
  </r>
  <r>
    <x v="381"/>
    <d v="2021-09-15T00:00:00"/>
    <n v="7"/>
    <x v="14"/>
    <n v="490"/>
    <n v="298.89999999999998"/>
    <n v="8"/>
    <n v="3920"/>
    <n v="2391.1999999999998"/>
    <n v="1528.8000000000002"/>
    <n v="0.39000000000000007"/>
    <x v="43"/>
    <x v="4"/>
    <x v="0"/>
  </r>
  <r>
    <x v="381"/>
    <d v="2021-09-11T00:00:00"/>
    <n v="3"/>
    <x v="16"/>
    <n v="110"/>
    <n v="78.099999999999994"/>
    <n v="4"/>
    <n v="440"/>
    <n v="312.39999999999998"/>
    <n v="127.60000000000002"/>
    <n v="0.29000000000000004"/>
    <x v="36"/>
    <x v="3"/>
    <x v="0"/>
  </r>
  <r>
    <x v="382"/>
    <d v="2021-09-13T00:00:00"/>
    <n v="3"/>
    <x v="8"/>
    <n v="220"/>
    <n v="154"/>
    <n v="2"/>
    <n v="440"/>
    <n v="308"/>
    <n v="132"/>
    <n v="0.3"/>
    <x v="23"/>
    <x v="4"/>
    <x v="1"/>
  </r>
  <r>
    <x v="383"/>
    <d v="2021-09-18T00:00:00"/>
    <n v="7"/>
    <x v="20"/>
    <n v="355"/>
    <n v="252.05"/>
    <n v="4"/>
    <n v="1420"/>
    <n v="1008.2"/>
    <n v="411.79999999999995"/>
    <n v="0.28999999999999998"/>
    <x v="42"/>
    <x v="3"/>
    <x v="1"/>
  </r>
  <r>
    <x v="383"/>
    <d v="2021-09-13T00:00:00"/>
    <n v="2"/>
    <x v="13"/>
    <n v="95"/>
    <n v="60.8"/>
    <n v="4"/>
    <n v="380"/>
    <n v="243.2"/>
    <n v="136.80000000000001"/>
    <n v="0.36000000000000004"/>
    <x v="39"/>
    <x v="2"/>
    <x v="1"/>
  </r>
  <r>
    <x v="384"/>
    <d v="2021-09-16T00:00:00"/>
    <n v="2"/>
    <x v="9"/>
    <n v="440"/>
    <n v="286"/>
    <n v="6"/>
    <n v="2640"/>
    <n v="1716"/>
    <n v="924"/>
    <n v="0.35"/>
    <x v="8"/>
    <x v="4"/>
    <x v="1"/>
  </r>
  <r>
    <x v="384"/>
    <d v="2021-09-17T00:00:00"/>
    <n v="3"/>
    <x v="7"/>
    <n v="275"/>
    <n v="200.75"/>
    <n v="4"/>
    <n v="1100"/>
    <n v="803"/>
    <n v="297"/>
    <n v="0.27"/>
    <x v="30"/>
    <x v="1"/>
    <x v="0"/>
  </r>
  <r>
    <x v="385"/>
    <d v="2021-09-23T00:00:00"/>
    <n v="7"/>
    <x v="7"/>
    <n v="275"/>
    <n v="200.75"/>
    <n v="5"/>
    <n v="1375"/>
    <n v="1003.75"/>
    <n v="371.25"/>
    <n v="0.27"/>
    <x v="8"/>
    <x v="1"/>
    <x v="1"/>
  </r>
  <r>
    <x v="386"/>
    <d v="2021-09-24T00:00:00"/>
    <n v="7"/>
    <x v="7"/>
    <n v="275"/>
    <n v="200.75"/>
    <n v="1"/>
    <n v="275"/>
    <n v="200.75"/>
    <n v="74.25"/>
    <n v="0.27"/>
    <x v="42"/>
    <x v="2"/>
    <x v="1"/>
  </r>
  <r>
    <x v="386"/>
    <d v="2021-09-20T00:00:00"/>
    <n v="3"/>
    <x v="3"/>
    <n v="80"/>
    <n v="48.8"/>
    <n v="2"/>
    <n v="160"/>
    <n v="97.6"/>
    <n v="62.400000000000006"/>
    <n v="0.39"/>
    <x v="35"/>
    <x v="0"/>
    <x v="0"/>
  </r>
  <r>
    <x v="386"/>
    <d v="2021-09-24T00:00:00"/>
    <n v="7"/>
    <x v="16"/>
    <n v="110"/>
    <n v="78.099999999999994"/>
    <n v="4"/>
    <n v="440"/>
    <n v="312.39999999999998"/>
    <n v="127.60000000000002"/>
    <n v="0.29000000000000004"/>
    <x v="11"/>
    <x v="4"/>
    <x v="1"/>
  </r>
  <r>
    <x v="386"/>
    <d v="2021-09-23T00:00:00"/>
    <n v="6"/>
    <x v="20"/>
    <n v="355"/>
    <n v="252.05"/>
    <n v="7"/>
    <n v="2485"/>
    <n v="1764.3500000000001"/>
    <n v="720.64999999999986"/>
    <n v="0.28999999999999992"/>
    <x v="3"/>
    <x v="0"/>
    <x v="1"/>
  </r>
  <r>
    <x v="387"/>
    <d v="2021-09-22T00:00:00"/>
    <n v="2"/>
    <x v="11"/>
    <n v="320"/>
    <n v="233.6"/>
    <n v="7"/>
    <n v="2240"/>
    <n v="1635.2"/>
    <n v="604.79999999999995"/>
    <n v="0.26999999999999996"/>
    <x v="33"/>
    <x v="4"/>
    <x v="1"/>
  </r>
  <r>
    <x v="388"/>
    <d v="2021-09-23T00:00:00"/>
    <n v="2"/>
    <x v="8"/>
    <n v="220"/>
    <n v="154"/>
    <n v="4"/>
    <n v="880"/>
    <n v="616"/>
    <n v="264"/>
    <n v="0.3"/>
    <x v="21"/>
    <x v="3"/>
    <x v="0"/>
  </r>
  <r>
    <x v="389"/>
    <d v="2021-09-23T00:00:00"/>
    <n v="1"/>
    <x v="6"/>
    <n v="290"/>
    <n v="185.6"/>
    <n v="2"/>
    <n v="580"/>
    <n v="371.2"/>
    <n v="208.8"/>
    <n v="0.36000000000000004"/>
    <x v="41"/>
    <x v="4"/>
    <x v="1"/>
  </r>
  <r>
    <x v="390"/>
    <d v="2021-09-28T00:00:00"/>
    <n v="5"/>
    <x v="5"/>
    <n v="250"/>
    <n v="167.5"/>
    <n v="1"/>
    <n v="250"/>
    <n v="167.5"/>
    <n v="82.5"/>
    <n v="0.33"/>
    <x v="16"/>
    <x v="3"/>
    <x v="0"/>
  </r>
  <r>
    <x v="391"/>
    <d v="2021-09-26T00:00:00"/>
    <n v="2"/>
    <x v="15"/>
    <n v="375"/>
    <n v="247.5"/>
    <n v="4"/>
    <n v="1500"/>
    <n v="990"/>
    <n v="510"/>
    <n v="0.34"/>
    <x v="4"/>
    <x v="2"/>
    <x v="1"/>
  </r>
  <r>
    <x v="392"/>
    <d v="2021-09-29T00:00:00"/>
    <n v="4"/>
    <x v="12"/>
    <n v="250"/>
    <n v="187.5"/>
    <n v="3"/>
    <n v="750"/>
    <n v="562.5"/>
    <n v="187.5"/>
    <n v="0.25"/>
    <x v="17"/>
    <x v="3"/>
    <x v="0"/>
  </r>
  <r>
    <x v="392"/>
    <d v="2021-10-02T00:00:00"/>
    <n v="7"/>
    <x v="4"/>
    <n v="195"/>
    <n v="138.44999999999999"/>
    <n v="8"/>
    <n v="1560"/>
    <n v="1107.5999999999999"/>
    <n v="452.40000000000009"/>
    <n v="0.29000000000000004"/>
    <x v="36"/>
    <x v="0"/>
    <x v="1"/>
  </r>
  <r>
    <x v="393"/>
    <d v="2021-09-27T00:00:00"/>
    <n v="1"/>
    <x v="6"/>
    <n v="290"/>
    <n v="185.6"/>
    <n v="3"/>
    <n v="870"/>
    <n v="556.79999999999995"/>
    <n v="313.20000000000005"/>
    <n v="0.36000000000000004"/>
    <x v="24"/>
    <x v="0"/>
    <x v="0"/>
  </r>
  <r>
    <x v="394"/>
    <d v="2021-09-30T00:00:00"/>
    <n v="3"/>
    <x v="20"/>
    <n v="355"/>
    <n v="252.05"/>
    <n v="1"/>
    <n v="355"/>
    <n v="252.05"/>
    <n v="102.94999999999999"/>
    <n v="0.28999999999999998"/>
    <x v="19"/>
    <x v="1"/>
    <x v="1"/>
  </r>
  <r>
    <x v="394"/>
    <d v="2021-09-29T00:00:00"/>
    <n v="2"/>
    <x v="14"/>
    <n v="490"/>
    <n v="298.89999999999998"/>
    <n v="6"/>
    <n v="2940"/>
    <n v="1793.3999999999999"/>
    <n v="1146.6000000000001"/>
    <n v="0.39000000000000007"/>
    <x v="43"/>
    <x v="1"/>
    <x v="0"/>
  </r>
  <r>
    <x v="395"/>
    <d v="2021-09-29T00:00:00"/>
    <n v="1"/>
    <x v="20"/>
    <n v="355"/>
    <n v="252.05"/>
    <n v="4"/>
    <n v="1420"/>
    <n v="1008.2"/>
    <n v="411.79999999999995"/>
    <n v="0.28999999999999998"/>
    <x v="41"/>
    <x v="4"/>
    <x v="0"/>
  </r>
  <r>
    <x v="396"/>
    <d v="2021-10-06T00:00:00"/>
    <n v="4"/>
    <x v="15"/>
    <n v="375"/>
    <n v="247.5"/>
    <n v="3"/>
    <n v="1125"/>
    <n v="742.5"/>
    <n v="382.5"/>
    <n v="0.34"/>
    <x v="17"/>
    <x v="1"/>
    <x v="0"/>
  </r>
  <r>
    <x v="397"/>
    <d v="2021-10-09T00:00:00"/>
    <n v="6"/>
    <x v="19"/>
    <n v="145"/>
    <n v="105.85"/>
    <n v="6"/>
    <n v="870"/>
    <n v="635.09999999999991"/>
    <n v="234.90000000000009"/>
    <n v="0.27000000000000013"/>
    <x v="46"/>
    <x v="2"/>
    <x v="0"/>
  </r>
  <r>
    <x v="397"/>
    <d v="2021-10-07T00:00:00"/>
    <n v="4"/>
    <x v="14"/>
    <n v="490"/>
    <n v="298.89999999999998"/>
    <n v="9"/>
    <n v="4410"/>
    <n v="2690.1"/>
    <n v="1719.9"/>
    <n v="0.39"/>
    <x v="4"/>
    <x v="2"/>
    <x v="1"/>
  </r>
  <r>
    <x v="398"/>
    <d v="2021-10-12T00:00:00"/>
    <n v="4"/>
    <x v="20"/>
    <n v="355"/>
    <n v="252.05"/>
    <n v="4"/>
    <n v="1420"/>
    <n v="1008.2"/>
    <n v="411.79999999999995"/>
    <n v="0.28999999999999998"/>
    <x v="3"/>
    <x v="1"/>
    <x v="0"/>
  </r>
  <r>
    <x v="399"/>
    <d v="2021-10-15T00:00:00"/>
    <n v="6"/>
    <x v="6"/>
    <n v="290"/>
    <n v="185.6"/>
    <n v="1"/>
    <n v="290"/>
    <n v="185.6"/>
    <n v="104.4"/>
    <n v="0.36000000000000004"/>
    <x v="2"/>
    <x v="1"/>
    <x v="1"/>
  </r>
  <r>
    <x v="400"/>
    <d v="2021-10-15T00:00:00"/>
    <n v="5"/>
    <x v="18"/>
    <n v="390"/>
    <n v="253.5"/>
    <n v="1"/>
    <n v="390"/>
    <n v="253.5"/>
    <n v="136.5"/>
    <n v="0.35"/>
    <x v="46"/>
    <x v="4"/>
    <x v="1"/>
  </r>
  <r>
    <x v="401"/>
    <d v="2021-10-16T00:00:00"/>
    <n v="5"/>
    <x v="3"/>
    <n v="80"/>
    <n v="48.8"/>
    <n v="5"/>
    <n v="400"/>
    <n v="244"/>
    <n v="156"/>
    <n v="0.39"/>
    <x v="21"/>
    <x v="0"/>
    <x v="0"/>
  </r>
  <r>
    <x v="401"/>
    <d v="2021-10-13T00:00:00"/>
    <n v="2"/>
    <x v="16"/>
    <n v="110"/>
    <n v="78.099999999999994"/>
    <n v="6"/>
    <n v="660"/>
    <n v="468.59999999999997"/>
    <n v="191.40000000000003"/>
    <n v="0.29000000000000004"/>
    <x v="10"/>
    <x v="2"/>
    <x v="0"/>
  </r>
  <r>
    <x v="402"/>
    <d v="2021-10-15T00:00:00"/>
    <n v="3"/>
    <x v="18"/>
    <n v="390"/>
    <n v="253.5"/>
    <n v="8"/>
    <n v="3120"/>
    <n v="2028"/>
    <n v="1092"/>
    <n v="0.35"/>
    <x v="25"/>
    <x v="4"/>
    <x v="1"/>
  </r>
  <r>
    <x v="402"/>
    <d v="2021-10-17T00:00:00"/>
    <n v="5"/>
    <x v="14"/>
    <n v="490"/>
    <n v="298.89999999999998"/>
    <n v="5"/>
    <n v="2450"/>
    <n v="1494.5"/>
    <n v="955.5"/>
    <n v="0.39"/>
    <x v="37"/>
    <x v="2"/>
    <x v="1"/>
  </r>
  <r>
    <x v="402"/>
    <d v="2021-10-16T00:00:00"/>
    <n v="4"/>
    <x v="1"/>
    <n v="390"/>
    <n v="288.60000000000002"/>
    <n v="3"/>
    <n v="1170"/>
    <n v="865.80000000000007"/>
    <n v="304.19999999999993"/>
    <n v="0.25999999999999995"/>
    <x v="0"/>
    <x v="1"/>
    <x v="0"/>
  </r>
  <r>
    <x v="403"/>
    <d v="2021-10-20T00:00:00"/>
    <n v="7"/>
    <x v="5"/>
    <n v="250"/>
    <n v="167.5"/>
    <n v="7"/>
    <n v="1750"/>
    <n v="1172.5"/>
    <n v="577.5"/>
    <n v="0.33"/>
    <x v="10"/>
    <x v="4"/>
    <x v="0"/>
  </r>
  <r>
    <x v="404"/>
    <d v="2021-10-21T00:00:00"/>
    <n v="7"/>
    <x v="16"/>
    <n v="110"/>
    <n v="78.099999999999994"/>
    <n v="2"/>
    <n v="220"/>
    <n v="156.19999999999999"/>
    <n v="63.800000000000011"/>
    <n v="0.29000000000000004"/>
    <x v="6"/>
    <x v="3"/>
    <x v="1"/>
  </r>
  <r>
    <x v="404"/>
    <d v="2021-10-15T00:00:00"/>
    <n v="1"/>
    <x v="12"/>
    <n v="250"/>
    <n v="187.5"/>
    <n v="7"/>
    <n v="1750"/>
    <n v="1312.5"/>
    <n v="437.5"/>
    <n v="0.25"/>
    <x v="39"/>
    <x v="2"/>
    <x v="1"/>
  </r>
  <r>
    <x v="405"/>
    <d v="2021-10-22T00:00:00"/>
    <n v="5"/>
    <x v="20"/>
    <n v="355"/>
    <n v="252.05"/>
    <n v="3"/>
    <n v="1065"/>
    <n v="756.15000000000009"/>
    <n v="308.84999999999991"/>
    <n v="0.28999999999999992"/>
    <x v="24"/>
    <x v="0"/>
    <x v="0"/>
  </r>
  <r>
    <x v="405"/>
    <d v="2021-10-23T00:00:00"/>
    <n v="6"/>
    <x v="16"/>
    <n v="110"/>
    <n v="78.099999999999994"/>
    <n v="5"/>
    <n v="550"/>
    <n v="390.5"/>
    <n v="159.5"/>
    <n v="0.28999999999999998"/>
    <x v="21"/>
    <x v="3"/>
    <x v="1"/>
  </r>
  <r>
    <x v="406"/>
    <d v="2021-10-21T00:00:00"/>
    <n v="3"/>
    <x v="14"/>
    <n v="490"/>
    <n v="298.89999999999998"/>
    <n v="3"/>
    <n v="1470"/>
    <n v="896.69999999999993"/>
    <n v="573.30000000000007"/>
    <n v="0.39000000000000007"/>
    <x v="5"/>
    <x v="1"/>
    <x v="1"/>
  </r>
  <r>
    <x v="407"/>
    <d v="2021-10-26T00:00:00"/>
    <n v="7"/>
    <x v="16"/>
    <n v="110"/>
    <n v="78.099999999999994"/>
    <n v="3"/>
    <n v="330"/>
    <n v="234.29999999999998"/>
    <n v="95.700000000000017"/>
    <n v="0.29000000000000004"/>
    <x v="44"/>
    <x v="0"/>
    <x v="1"/>
  </r>
  <r>
    <x v="408"/>
    <d v="2021-10-25T00:00:00"/>
    <n v="1"/>
    <x v="11"/>
    <n v="320"/>
    <n v="233.6"/>
    <n v="9"/>
    <n v="2880"/>
    <n v="2102.4"/>
    <n v="777.59999999999991"/>
    <n v="0.26999999999999996"/>
    <x v="23"/>
    <x v="0"/>
    <x v="1"/>
  </r>
  <r>
    <x v="409"/>
    <d v="2021-10-30T00:00:00"/>
    <n v="2"/>
    <x v="15"/>
    <n v="375"/>
    <n v="247.5"/>
    <n v="5"/>
    <n v="1875"/>
    <n v="1237.5"/>
    <n v="637.5"/>
    <n v="0.34"/>
    <x v="15"/>
    <x v="4"/>
    <x v="0"/>
  </r>
  <r>
    <x v="410"/>
    <d v="2021-11-05T00:00:00"/>
    <n v="7"/>
    <x v="0"/>
    <n v="99"/>
    <n v="62.37"/>
    <n v="9"/>
    <n v="891"/>
    <n v="561.32999999999993"/>
    <n v="329.67000000000007"/>
    <n v="0.37000000000000011"/>
    <x v="47"/>
    <x v="4"/>
    <x v="0"/>
  </r>
  <r>
    <x v="410"/>
    <d v="2021-11-03T00:00:00"/>
    <n v="5"/>
    <x v="7"/>
    <n v="275"/>
    <n v="200.75"/>
    <n v="1"/>
    <n v="275"/>
    <n v="200.75"/>
    <n v="74.25"/>
    <n v="0.27"/>
    <x v="21"/>
    <x v="1"/>
    <x v="1"/>
  </r>
  <r>
    <x v="411"/>
    <d v="2021-11-05T00:00:00"/>
    <n v="4"/>
    <x v="10"/>
    <n v="59"/>
    <n v="41.3"/>
    <n v="4"/>
    <n v="236"/>
    <n v="165.2"/>
    <n v="70.800000000000011"/>
    <n v="0.30000000000000004"/>
    <x v="2"/>
    <x v="0"/>
    <x v="1"/>
  </r>
  <r>
    <x v="411"/>
    <d v="2021-11-05T00:00:00"/>
    <n v="4"/>
    <x v="12"/>
    <n v="250"/>
    <n v="187.5"/>
    <n v="5"/>
    <n v="1250"/>
    <n v="937.5"/>
    <n v="312.5"/>
    <n v="0.25"/>
    <x v="15"/>
    <x v="4"/>
    <x v="1"/>
  </r>
  <r>
    <x v="411"/>
    <d v="2021-11-07T00:00:00"/>
    <n v="6"/>
    <x v="21"/>
    <n v="215"/>
    <n v="152.65"/>
    <n v="8"/>
    <n v="1720"/>
    <n v="1221.2"/>
    <n v="498.79999999999995"/>
    <n v="0.28999999999999998"/>
    <x v="6"/>
    <x v="2"/>
    <x v="0"/>
  </r>
  <r>
    <x v="411"/>
    <d v="2021-11-05T00:00:00"/>
    <n v="4"/>
    <x v="17"/>
    <n v="460"/>
    <n v="303.60000000000002"/>
    <n v="1"/>
    <n v="460"/>
    <n v="303.60000000000002"/>
    <n v="156.39999999999998"/>
    <n v="0.33999999999999997"/>
    <x v="27"/>
    <x v="1"/>
    <x v="1"/>
  </r>
  <r>
    <x v="412"/>
    <d v="2021-11-10T00:00:00"/>
    <n v="4"/>
    <x v="20"/>
    <n v="355"/>
    <n v="252.05"/>
    <n v="8"/>
    <n v="2840"/>
    <n v="2016.4"/>
    <n v="823.59999999999991"/>
    <n v="0.28999999999999998"/>
    <x v="4"/>
    <x v="0"/>
    <x v="1"/>
  </r>
  <r>
    <x v="413"/>
    <d v="2021-11-14T00:00:00"/>
    <n v="5"/>
    <x v="9"/>
    <n v="440"/>
    <n v="286"/>
    <n v="8"/>
    <n v="3520"/>
    <n v="2288"/>
    <n v="1232"/>
    <n v="0.35"/>
    <x v="19"/>
    <x v="4"/>
    <x v="0"/>
  </r>
  <r>
    <x v="414"/>
    <d v="2021-11-16T00:00:00"/>
    <n v="6"/>
    <x v="3"/>
    <n v="80"/>
    <n v="48.8"/>
    <n v="4"/>
    <n v="320"/>
    <n v="195.2"/>
    <n v="124.80000000000001"/>
    <n v="0.39"/>
    <x v="47"/>
    <x v="0"/>
    <x v="0"/>
  </r>
  <r>
    <x v="415"/>
    <d v="2021-11-15T00:00:00"/>
    <n v="4"/>
    <x v="17"/>
    <n v="460"/>
    <n v="303.60000000000002"/>
    <n v="5"/>
    <n v="2300"/>
    <n v="1518"/>
    <n v="782"/>
    <n v="0.34"/>
    <x v="46"/>
    <x v="1"/>
    <x v="1"/>
  </r>
  <r>
    <x v="416"/>
    <d v="2021-11-19T00:00:00"/>
    <n v="7"/>
    <x v="19"/>
    <n v="145"/>
    <n v="105.85"/>
    <n v="4"/>
    <n v="580"/>
    <n v="423.4"/>
    <n v="156.60000000000002"/>
    <n v="0.27"/>
    <x v="10"/>
    <x v="4"/>
    <x v="1"/>
  </r>
  <r>
    <x v="416"/>
    <d v="2021-11-16T00:00:00"/>
    <n v="4"/>
    <x v="11"/>
    <n v="320"/>
    <n v="233.6"/>
    <n v="5"/>
    <n v="1600"/>
    <n v="1168"/>
    <n v="432"/>
    <n v="0.27"/>
    <x v="6"/>
    <x v="0"/>
    <x v="0"/>
  </r>
  <r>
    <x v="417"/>
    <d v="2021-11-16T00:00:00"/>
    <n v="2"/>
    <x v="9"/>
    <n v="440"/>
    <n v="286"/>
    <n v="6"/>
    <n v="2640"/>
    <n v="1716"/>
    <n v="924"/>
    <n v="0.35"/>
    <x v="35"/>
    <x v="1"/>
    <x v="1"/>
  </r>
  <r>
    <x v="417"/>
    <d v="2021-11-21T00:00:00"/>
    <n v="7"/>
    <x v="4"/>
    <n v="195"/>
    <n v="138.44999999999999"/>
    <n v="3"/>
    <n v="585"/>
    <n v="415.34999999999997"/>
    <n v="169.65000000000003"/>
    <n v="0.29000000000000004"/>
    <x v="3"/>
    <x v="4"/>
    <x v="1"/>
  </r>
  <r>
    <x v="418"/>
    <d v="2021-11-19T00:00:00"/>
    <n v="2"/>
    <x v="12"/>
    <n v="250"/>
    <n v="187.5"/>
    <n v="6"/>
    <n v="1500"/>
    <n v="1125"/>
    <n v="375"/>
    <n v="0.25"/>
    <x v="38"/>
    <x v="1"/>
    <x v="1"/>
  </r>
  <r>
    <x v="419"/>
    <d v="2021-11-22T00:00:00"/>
    <n v="4"/>
    <x v="4"/>
    <n v="195"/>
    <n v="138.44999999999999"/>
    <n v="2"/>
    <n v="390"/>
    <n v="276.89999999999998"/>
    <n v="113.10000000000002"/>
    <n v="0.29000000000000004"/>
    <x v="7"/>
    <x v="4"/>
    <x v="0"/>
  </r>
  <r>
    <x v="420"/>
    <d v="2021-11-23T00:00:00"/>
    <n v="4"/>
    <x v="21"/>
    <n v="215"/>
    <n v="152.65"/>
    <n v="7"/>
    <n v="1505"/>
    <n v="1068.55"/>
    <n v="436.45000000000005"/>
    <n v="0.29000000000000004"/>
    <x v="18"/>
    <x v="0"/>
    <x v="1"/>
  </r>
  <r>
    <x v="420"/>
    <d v="2021-11-24T00:00:00"/>
    <n v="5"/>
    <x v="20"/>
    <n v="355"/>
    <n v="252.05"/>
    <n v="2"/>
    <n v="710"/>
    <n v="504.1"/>
    <n v="205.89999999999998"/>
    <n v="0.28999999999999998"/>
    <x v="15"/>
    <x v="2"/>
    <x v="0"/>
  </r>
  <r>
    <x v="421"/>
    <d v="2021-11-29T00:00:00"/>
    <n v="7"/>
    <x v="11"/>
    <n v="320"/>
    <n v="233.6"/>
    <n v="9"/>
    <n v="2880"/>
    <n v="2102.4"/>
    <n v="777.59999999999991"/>
    <n v="0.26999999999999996"/>
    <x v="9"/>
    <x v="2"/>
    <x v="0"/>
  </r>
  <r>
    <x v="421"/>
    <d v="2021-11-25T00:00:00"/>
    <n v="3"/>
    <x v="14"/>
    <n v="490"/>
    <n v="298.89999999999998"/>
    <n v="1"/>
    <n v="490"/>
    <n v="298.89999999999998"/>
    <n v="191.10000000000002"/>
    <n v="0.39000000000000007"/>
    <x v="23"/>
    <x v="2"/>
    <x v="1"/>
  </r>
  <r>
    <x v="422"/>
    <d v="2021-11-27T00:00:00"/>
    <n v="4"/>
    <x v="2"/>
    <n v="445"/>
    <n v="280.35000000000002"/>
    <n v="3"/>
    <n v="1335"/>
    <n v="841.05000000000007"/>
    <n v="493.94999999999993"/>
    <n v="0.36999999999999994"/>
    <x v="39"/>
    <x v="0"/>
    <x v="0"/>
  </r>
  <r>
    <x v="422"/>
    <d v="2021-11-29T00:00:00"/>
    <n v="6"/>
    <x v="3"/>
    <n v="80"/>
    <n v="48.8"/>
    <n v="4"/>
    <n v="320"/>
    <n v="195.2"/>
    <n v="124.80000000000001"/>
    <n v="0.39"/>
    <x v="47"/>
    <x v="4"/>
    <x v="0"/>
  </r>
  <r>
    <x v="423"/>
    <d v="2021-11-26T00:00:00"/>
    <n v="2"/>
    <x v="7"/>
    <n v="275"/>
    <n v="200.75"/>
    <n v="6"/>
    <n v="1650"/>
    <n v="1204.5"/>
    <n v="445.5"/>
    <n v="0.27"/>
    <x v="45"/>
    <x v="0"/>
    <x v="0"/>
  </r>
  <r>
    <x v="424"/>
    <d v="2021-11-27T00:00:00"/>
    <n v="1"/>
    <x v="16"/>
    <n v="110"/>
    <n v="78.099999999999994"/>
    <n v="1"/>
    <n v="110"/>
    <n v="78.099999999999994"/>
    <n v="31.900000000000006"/>
    <n v="0.29000000000000004"/>
    <x v="7"/>
    <x v="1"/>
    <x v="0"/>
  </r>
  <r>
    <x v="425"/>
    <d v="2021-11-30T00:00:00"/>
    <n v="3"/>
    <x v="21"/>
    <n v="215"/>
    <n v="152.65"/>
    <n v="8"/>
    <n v="1720"/>
    <n v="1221.2"/>
    <n v="498.79999999999995"/>
    <n v="0.28999999999999998"/>
    <x v="33"/>
    <x v="3"/>
    <x v="1"/>
  </r>
  <r>
    <x v="425"/>
    <d v="2021-12-03T00:00:00"/>
    <n v="6"/>
    <x v="17"/>
    <n v="460"/>
    <n v="303.60000000000002"/>
    <n v="6"/>
    <n v="2760"/>
    <n v="1821.6000000000001"/>
    <n v="938.39999999999986"/>
    <n v="0.33999999999999997"/>
    <x v="24"/>
    <x v="4"/>
    <x v="0"/>
  </r>
  <r>
    <x v="425"/>
    <d v="2021-11-29T00:00:00"/>
    <n v="2"/>
    <x v="8"/>
    <n v="220"/>
    <n v="154"/>
    <n v="3"/>
    <n v="660"/>
    <n v="462"/>
    <n v="198"/>
    <n v="0.3"/>
    <x v="6"/>
    <x v="4"/>
    <x v="0"/>
  </r>
  <r>
    <x v="426"/>
    <d v="2021-12-05T00:00:00"/>
    <n v="6"/>
    <x v="7"/>
    <n v="275"/>
    <n v="200.75"/>
    <n v="3"/>
    <n v="825"/>
    <n v="602.25"/>
    <n v="222.75"/>
    <n v="0.27"/>
    <x v="4"/>
    <x v="3"/>
    <x v="1"/>
  </r>
  <r>
    <x v="426"/>
    <d v="2021-12-02T00:00:00"/>
    <n v="3"/>
    <x v="21"/>
    <n v="215"/>
    <n v="152.65"/>
    <n v="6"/>
    <n v="1290"/>
    <n v="915.90000000000009"/>
    <n v="374.09999999999991"/>
    <n v="0.28999999999999992"/>
    <x v="7"/>
    <x v="3"/>
    <x v="1"/>
  </r>
  <r>
    <x v="426"/>
    <d v="2021-12-05T00:00:00"/>
    <n v="6"/>
    <x v="9"/>
    <n v="440"/>
    <n v="286"/>
    <n v="3"/>
    <n v="1320"/>
    <n v="858"/>
    <n v="462"/>
    <n v="0.35"/>
    <x v="14"/>
    <x v="4"/>
    <x v="0"/>
  </r>
  <r>
    <x v="427"/>
    <d v="2021-12-01T00:00:00"/>
    <n v="1"/>
    <x v="5"/>
    <n v="250"/>
    <n v="167.5"/>
    <n v="4"/>
    <n v="1000"/>
    <n v="670"/>
    <n v="330"/>
    <n v="0.33"/>
    <x v="27"/>
    <x v="3"/>
    <x v="1"/>
  </r>
  <r>
    <x v="427"/>
    <d v="2021-12-07T00:00:00"/>
    <n v="7"/>
    <x v="11"/>
    <n v="320"/>
    <n v="233.6"/>
    <n v="4"/>
    <n v="1280"/>
    <n v="934.4"/>
    <n v="345.6"/>
    <n v="0.27"/>
    <x v="32"/>
    <x v="3"/>
    <x v="0"/>
  </r>
  <r>
    <x v="428"/>
    <d v="2021-12-04T00:00:00"/>
    <n v="3"/>
    <x v="7"/>
    <n v="275"/>
    <n v="200.75"/>
    <n v="3"/>
    <n v="825"/>
    <n v="602.25"/>
    <n v="222.75"/>
    <n v="0.27"/>
    <x v="31"/>
    <x v="3"/>
    <x v="0"/>
  </r>
  <r>
    <x v="428"/>
    <d v="2021-12-07T00:00:00"/>
    <n v="6"/>
    <x v="0"/>
    <n v="99"/>
    <n v="62.37"/>
    <n v="5"/>
    <n v="495"/>
    <n v="311.84999999999997"/>
    <n v="183.15000000000003"/>
    <n v="0.37000000000000005"/>
    <x v="15"/>
    <x v="2"/>
    <x v="1"/>
  </r>
  <r>
    <x v="429"/>
    <d v="2021-12-06T00:00:00"/>
    <n v="4"/>
    <x v="7"/>
    <n v="275"/>
    <n v="200.75"/>
    <n v="7"/>
    <n v="1925"/>
    <n v="1405.25"/>
    <n v="519.75"/>
    <n v="0.27"/>
    <x v="33"/>
    <x v="1"/>
    <x v="0"/>
  </r>
  <r>
    <x v="430"/>
    <d v="2021-12-06T00:00:00"/>
    <n v="3"/>
    <x v="21"/>
    <n v="215"/>
    <n v="152.65"/>
    <n v="2"/>
    <n v="430"/>
    <n v="305.3"/>
    <n v="124.69999999999999"/>
    <n v="0.28999999999999998"/>
    <x v="4"/>
    <x v="1"/>
    <x v="1"/>
  </r>
  <r>
    <x v="430"/>
    <d v="2021-12-09T00:00:00"/>
    <n v="6"/>
    <x v="4"/>
    <n v="195"/>
    <n v="138.44999999999999"/>
    <n v="2"/>
    <n v="390"/>
    <n v="276.89999999999998"/>
    <n v="113.10000000000002"/>
    <n v="0.29000000000000004"/>
    <x v="28"/>
    <x v="0"/>
    <x v="1"/>
  </r>
  <r>
    <x v="431"/>
    <d v="2021-12-08T00:00:00"/>
    <n v="4"/>
    <x v="15"/>
    <n v="375"/>
    <n v="247.5"/>
    <n v="5"/>
    <n v="1875"/>
    <n v="1237.5"/>
    <n v="637.5"/>
    <n v="0.34"/>
    <x v="18"/>
    <x v="0"/>
    <x v="0"/>
  </r>
  <r>
    <x v="431"/>
    <d v="2021-12-05T00:00:00"/>
    <n v="1"/>
    <x v="12"/>
    <n v="250"/>
    <n v="187.5"/>
    <n v="6"/>
    <n v="1500"/>
    <n v="1125"/>
    <n v="375"/>
    <n v="0.25"/>
    <x v="42"/>
    <x v="2"/>
    <x v="1"/>
  </r>
  <r>
    <x v="432"/>
    <d v="2021-12-11T00:00:00"/>
    <n v="6"/>
    <x v="19"/>
    <n v="145"/>
    <n v="105.85"/>
    <n v="7"/>
    <n v="1015"/>
    <n v="740.94999999999993"/>
    <n v="274.05000000000007"/>
    <n v="0.27000000000000007"/>
    <x v="40"/>
    <x v="0"/>
    <x v="0"/>
  </r>
  <r>
    <x v="433"/>
    <d v="2021-12-13T00:00:00"/>
    <n v="7"/>
    <x v="2"/>
    <n v="445"/>
    <n v="280.35000000000002"/>
    <n v="9"/>
    <n v="4005"/>
    <n v="2523.15"/>
    <n v="1481.85"/>
    <n v="0.37"/>
    <x v="0"/>
    <x v="0"/>
    <x v="0"/>
  </r>
  <r>
    <x v="434"/>
    <d v="2021-12-14T00:00:00"/>
    <n v="6"/>
    <x v="14"/>
    <n v="490"/>
    <n v="298.89999999999998"/>
    <n v="2"/>
    <n v="980"/>
    <n v="597.79999999999995"/>
    <n v="382.20000000000005"/>
    <n v="0.39000000000000007"/>
    <x v="29"/>
    <x v="1"/>
    <x v="1"/>
  </r>
  <r>
    <x v="435"/>
    <d v="2021-12-12T00:00:00"/>
    <n v="2"/>
    <x v="9"/>
    <n v="440"/>
    <n v="286"/>
    <n v="6"/>
    <n v="2640"/>
    <n v="1716"/>
    <n v="924"/>
    <n v="0.35"/>
    <x v="21"/>
    <x v="3"/>
    <x v="1"/>
  </r>
  <r>
    <x v="436"/>
    <d v="2021-12-14T00:00:00"/>
    <n v="3"/>
    <x v="15"/>
    <n v="375"/>
    <n v="247.5"/>
    <n v="1"/>
    <n v="375"/>
    <n v="247.5"/>
    <n v="127.5"/>
    <n v="0.34"/>
    <x v="16"/>
    <x v="3"/>
    <x v="1"/>
  </r>
  <r>
    <x v="436"/>
    <d v="2021-12-18T00:00:00"/>
    <n v="7"/>
    <x v="20"/>
    <n v="355"/>
    <n v="252.05"/>
    <n v="7"/>
    <n v="2485"/>
    <n v="1764.3500000000001"/>
    <n v="720.64999999999986"/>
    <n v="0.28999999999999992"/>
    <x v="20"/>
    <x v="4"/>
    <x v="1"/>
  </r>
  <r>
    <x v="437"/>
    <d v="2021-12-15T00:00:00"/>
    <n v="2"/>
    <x v="5"/>
    <n v="250"/>
    <n v="167.5"/>
    <n v="3"/>
    <n v="750"/>
    <n v="502.5"/>
    <n v="247.5"/>
    <n v="0.33"/>
    <x v="34"/>
    <x v="1"/>
    <x v="0"/>
  </r>
  <r>
    <x v="437"/>
    <d v="2021-12-18T00:00:00"/>
    <n v="5"/>
    <x v="16"/>
    <n v="110"/>
    <n v="78.099999999999994"/>
    <n v="5"/>
    <n v="550"/>
    <n v="390.5"/>
    <n v="159.5"/>
    <n v="0.28999999999999998"/>
    <x v="38"/>
    <x v="0"/>
    <x v="1"/>
  </r>
  <r>
    <x v="437"/>
    <d v="2021-12-17T00:00:00"/>
    <n v="4"/>
    <x v="11"/>
    <n v="320"/>
    <n v="233.6"/>
    <n v="6"/>
    <n v="1920"/>
    <n v="1401.6"/>
    <n v="518.40000000000009"/>
    <n v="0.27000000000000007"/>
    <x v="10"/>
    <x v="3"/>
    <x v="0"/>
  </r>
  <r>
    <x v="438"/>
    <d v="2021-12-19T00:00:00"/>
    <n v="5"/>
    <x v="18"/>
    <n v="390"/>
    <n v="253.5"/>
    <n v="9"/>
    <n v="3510"/>
    <n v="2281.5"/>
    <n v="1228.5"/>
    <n v="0.35"/>
    <x v="24"/>
    <x v="2"/>
    <x v="0"/>
  </r>
  <r>
    <x v="438"/>
    <d v="2021-12-21T00:00:00"/>
    <n v="7"/>
    <x v="5"/>
    <n v="250"/>
    <n v="167.5"/>
    <n v="8"/>
    <n v="2000"/>
    <n v="1340"/>
    <n v="660"/>
    <n v="0.33"/>
    <x v="27"/>
    <x v="1"/>
    <x v="0"/>
  </r>
  <r>
    <x v="439"/>
    <d v="2021-12-20T00:00:00"/>
    <n v="4"/>
    <x v="14"/>
    <n v="490"/>
    <n v="298.89999999999998"/>
    <n v="4"/>
    <n v="1960"/>
    <n v="1195.5999999999999"/>
    <n v="764.40000000000009"/>
    <n v="0.39000000000000007"/>
    <x v="44"/>
    <x v="3"/>
    <x v="1"/>
  </r>
  <r>
    <x v="439"/>
    <d v="2021-12-18T00:00:00"/>
    <n v="2"/>
    <x v="20"/>
    <n v="355"/>
    <n v="252.05"/>
    <n v="7"/>
    <n v="2485"/>
    <n v="1764.3500000000001"/>
    <n v="720.64999999999986"/>
    <n v="0.28999999999999992"/>
    <x v="46"/>
    <x v="2"/>
    <x v="0"/>
  </r>
  <r>
    <x v="440"/>
    <d v="2021-12-18T00:00:00"/>
    <n v="1"/>
    <x v="17"/>
    <n v="460"/>
    <n v="303.60000000000002"/>
    <n v="5"/>
    <n v="2300"/>
    <n v="1518"/>
    <n v="782"/>
    <n v="0.34"/>
    <x v="24"/>
    <x v="4"/>
    <x v="0"/>
  </r>
  <r>
    <x v="441"/>
    <d v="2021-12-25T00:00:00"/>
    <n v="4"/>
    <x v="15"/>
    <n v="375"/>
    <n v="247.5"/>
    <n v="7"/>
    <n v="2625"/>
    <n v="1732.5"/>
    <n v="892.5"/>
    <n v="0.34"/>
    <x v="1"/>
    <x v="3"/>
    <x v="1"/>
  </r>
  <r>
    <x v="442"/>
    <d v="2021-12-28T00:00:00"/>
    <n v="4"/>
    <x v="9"/>
    <n v="440"/>
    <n v="286"/>
    <n v="7"/>
    <n v="3080"/>
    <n v="2002"/>
    <n v="1078"/>
    <n v="0.35"/>
    <x v="1"/>
    <x v="0"/>
    <x v="0"/>
  </r>
  <r>
    <x v="443"/>
    <d v="2021-12-30T00:00:00"/>
    <n v="5"/>
    <x v="0"/>
    <n v="99"/>
    <n v="62.37"/>
    <n v="5"/>
    <n v="495"/>
    <n v="311.84999999999997"/>
    <n v="183.15000000000003"/>
    <n v="0.37000000000000005"/>
    <x v="47"/>
    <x v="4"/>
    <x v="1"/>
  </r>
  <r>
    <x v="443"/>
    <d v="2021-12-30T00:00:00"/>
    <n v="5"/>
    <x v="19"/>
    <n v="145"/>
    <n v="105.85"/>
    <n v="3"/>
    <n v="435"/>
    <n v="317.54999999999995"/>
    <n v="117.45000000000005"/>
    <n v="0.27000000000000013"/>
    <x v="8"/>
    <x v="4"/>
    <x v="0"/>
  </r>
  <r>
    <x v="443"/>
    <d v="2021-12-30T00:00:00"/>
    <n v="5"/>
    <x v="10"/>
    <n v="59"/>
    <n v="41.3"/>
    <n v="3"/>
    <n v="177"/>
    <n v="123.89999999999999"/>
    <n v="53.100000000000009"/>
    <n v="0.30000000000000004"/>
    <x v="46"/>
    <x v="0"/>
    <x v="0"/>
  </r>
  <r>
    <x v="444"/>
    <d v="2022-01-02T00:00:00"/>
    <n v="7"/>
    <x v="14"/>
    <n v="490"/>
    <n v="298.89999999999998"/>
    <n v="1"/>
    <n v="490"/>
    <n v="298.89999999999998"/>
    <n v="191.10000000000002"/>
    <n v="0.39000000000000007"/>
    <x v="46"/>
    <x v="0"/>
    <x v="0"/>
  </r>
  <r>
    <x v="444"/>
    <d v="2021-12-31T00:00:00"/>
    <n v="5"/>
    <x v="11"/>
    <n v="320"/>
    <n v="233.6"/>
    <n v="7"/>
    <n v="2240"/>
    <n v="1635.2"/>
    <n v="604.79999999999995"/>
    <n v="0.26999999999999996"/>
    <x v="33"/>
    <x v="0"/>
    <x v="1"/>
  </r>
  <r>
    <x v="444"/>
    <d v="2022-01-02T00:00:00"/>
    <n v="7"/>
    <x v="1"/>
    <n v="390"/>
    <n v="288.60000000000002"/>
    <n v="3"/>
    <n v="1170"/>
    <n v="865.80000000000007"/>
    <n v="304.19999999999993"/>
    <n v="0.25999999999999995"/>
    <x v="36"/>
    <x v="1"/>
    <x v="1"/>
  </r>
  <r>
    <x v="445"/>
    <d v="2021-12-30T00:00:00"/>
    <n v="3"/>
    <x v="16"/>
    <n v="110"/>
    <n v="78.099999999999994"/>
    <n v="8"/>
    <n v="880"/>
    <n v="624.79999999999995"/>
    <n v="255.20000000000005"/>
    <n v="0.29000000000000004"/>
    <x v="17"/>
    <x v="1"/>
    <x v="1"/>
  </r>
  <r>
    <x v="445"/>
    <d v="2021-12-29T00:00:00"/>
    <n v="2"/>
    <x v="1"/>
    <n v="390"/>
    <n v="288.60000000000002"/>
    <n v="1"/>
    <n v="390"/>
    <n v="288.60000000000002"/>
    <n v="101.39999999999998"/>
    <n v="0.25999999999999995"/>
    <x v="33"/>
    <x v="3"/>
    <x v="1"/>
  </r>
  <r>
    <x v="446"/>
    <d v="2022-01-02T00:00:00"/>
    <n v="5"/>
    <x v="2"/>
    <n v="445"/>
    <n v="280.35000000000002"/>
    <n v="2"/>
    <n v="890"/>
    <n v="560.70000000000005"/>
    <n v="329.29999999999995"/>
    <n v="0.36999999999999994"/>
    <x v="18"/>
    <x v="4"/>
    <x v="1"/>
  </r>
  <r>
    <x v="447"/>
    <d v="2022-01-03T00:00:00"/>
    <n v="5"/>
    <x v="13"/>
    <n v="95"/>
    <n v="60.8"/>
    <n v="1"/>
    <n v="95"/>
    <n v="60.8"/>
    <n v="34.200000000000003"/>
    <n v="0.36000000000000004"/>
    <x v="32"/>
    <x v="2"/>
    <x v="1"/>
  </r>
  <r>
    <x v="448"/>
    <d v="2022-01-02T00:00:00"/>
    <n v="3"/>
    <x v="9"/>
    <n v="440"/>
    <n v="286"/>
    <n v="4"/>
    <n v="1760"/>
    <n v="1144"/>
    <n v="616"/>
    <n v="0.35"/>
    <x v="7"/>
    <x v="1"/>
    <x v="1"/>
  </r>
  <r>
    <x v="449"/>
    <d v="2022-01-01T00:00:00"/>
    <n v="1"/>
    <x v="15"/>
    <n v="375"/>
    <n v="247.5"/>
    <n v="6"/>
    <n v="2250"/>
    <n v="1485"/>
    <n v="765"/>
    <n v="0.34"/>
    <x v="36"/>
    <x v="3"/>
    <x v="0"/>
  </r>
  <r>
    <x v="450"/>
    <d v="2022-01-04T00:00:00"/>
    <n v="3"/>
    <x v="5"/>
    <n v="250"/>
    <n v="167.5"/>
    <n v="3"/>
    <n v="750"/>
    <n v="502.5"/>
    <n v="247.5"/>
    <n v="0.33"/>
    <x v="6"/>
    <x v="1"/>
    <x v="1"/>
  </r>
  <r>
    <x v="451"/>
    <d v="2022-01-05T00:00:00"/>
    <n v="2"/>
    <x v="0"/>
    <n v="99"/>
    <n v="62.37"/>
    <n v="9"/>
    <n v="891"/>
    <n v="561.32999999999993"/>
    <n v="329.67000000000007"/>
    <n v="0.37000000000000011"/>
    <x v="30"/>
    <x v="3"/>
    <x v="0"/>
  </r>
  <r>
    <x v="451"/>
    <d v="2022-01-04T00:00:00"/>
    <n v="1"/>
    <x v="16"/>
    <n v="110"/>
    <n v="78.099999999999994"/>
    <n v="7"/>
    <n v="770"/>
    <n v="546.69999999999993"/>
    <n v="223.30000000000007"/>
    <n v="0.29000000000000009"/>
    <x v="17"/>
    <x v="4"/>
    <x v="1"/>
  </r>
  <r>
    <x v="451"/>
    <d v="2022-01-04T00:00:00"/>
    <n v="1"/>
    <x v="2"/>
    <n v="445"/>
    <n v="280.35000000000002"/>
    <n v="7"/>
    <n v="3115"/>
    <n v="1962.4500000000003"/>
    <n v="1152.5499999999997"/>
    <n v="0.36999999999999994"/>
    <x v="4"/>
    <x v="1"/>
    <x v="1"/>
  </r>
  <r>
    <x v="452"/>
    <d v="2022-01-10T00:00:00"/>
    <n v="6"/>
    <x v="16"/>
    <n v="110"/>
    <n v="78.099999999999994"/>
    <n v="9"/>
    <n v="990"/>
    <n v="702.9"/>
    <n v="287.10000000000002"/>
    <n v="0.29000000000000004"/>
    <x v="10"/>
    <x v="0"/>
    <x v="0"/>
  </r>
  <r>
    <x v="453"/>
    <d v="2022-01-10T00:00:00"/>
    <n v="3"/>
    <x v="18"/>
    <n v="390"/>
    <n v="253.5"/>
    <n v="8"/>
    <n v="3120"/>
    <n v="2028"/>
    <n v="1092"/>
    <n v="0.35"/>
    <x v="10"/>
    <x v="0"/>
    <x v="1"/>
  </r>
  <r>
    <x v="454"/>
    <d v="2022-01-15T00:00:00"/>
    <n v="7"/>
    <x v="4"/>
    <n v="195"/>
    <n v="138.44999999999999"/>
    <n v="2"/>
    <n v="390"/>
    <n v="276.89999999999998"/>
    <n v="113.10000000000002"/>
    <n v="0.29000000000000004"/>
    <x v="11"/>
    <x v="3"/>
    <x v="1"/>
  </r>
  <r>
    <x v="455"/>
    <d v="2022-01-11T00:00:00"/>
    <n v="2"/>
    <x v="0"/>
    <n v="99"/>
    <n v="62.37"/>
    <n v="2"/>
    <n v="198"/>
    <n v="124.74"/>
    <n v="73.260000000000005"/>
    <n v="0.37000000000000005"/>
    <x v="23"/>
    <x v="4"/>
    <x v="1"/>
  </r>
  <r>
    <x v="456"/>
    <d v="2022-01-13T00:00:00"/>
    <n v="2"/>
    <x v="15"/>
    <n v="375"/>
    <n v="247.5"/>
    <n v="9"/>
    <n v="3375"/>
    <n v="2227.5"/>
    <n v="1147.5"/>
    <n v="0.34"/>
    <x v="28"/>
    <x v="2"/>
    <x v="1"/>
  </r>
  <r>
    <x v="456"/>
    <d v="2022-01-15T00:00:00"/>
    <n v="4"/>
    <x v="3"/>
    <n v="80"/>
    <n v="48.8"/>
    <n v="2"/>
    <n v="160"/>
    <n v="97.6"/>
    <n v="62.400000000000006"/>
    <n v="0.39"/>
    <x v="4"/>
    <x v="3"/>
    <x v="0"/>
  </r>
  <r>
    <x v="457"/>
    <d v="2022-01-17T00:00:00"/>
    <n v="5"/>
    <x v="10"/>
    <n v="59"/>
    <n v="41.3"/>
    <n v="6"/>
    <n v="354"/>
    <n v="247.79999999999998"/>
    <n v="106.20000000000002"/>
    <n v="0.30000000000000004"/>
    <x v="39"/>
    <x v="2"/>
    <x v="0"/>
  </r>
  <r>
    <x v="458"/>
    <d v="2022-01-19T00:00:00"/>
    <n v="6"/>
    <x v="9"/>
    <n v="440"/>
    <n v="286"/>
    <n v="8"/>
    <n v="3520"/>
    <n v="2288"/>
    <n v="1232"/>
    <n v="0.35"/>
    <x v="12"/>
    <x v="2"/>
    <x v="1"/>
  </r>
  <r>
    <x v="459"/>
    <d v="2022-01-18T00:00:00"/>
    <n v="4"/>
    <x v="1"/>
    <n v="390"/>
    <n v="288.60000000000002"/>
    <n v="3"/>
    <n v="1170"/>
    <n v="865.80000000000007"/>
    <n v="304.19999999999993"/>
    <n v="0.25999999999999995"/>
    <x v="23"/>
    <x v="0"/>
    <x v="1"/>
  </r>
  <r>
    <x v="459"/>
    <d v="2022-01-17T00:00:00"/>
    <n v="3"/>
    <x v="16"/>
    <n v="110"/>
    <n v="78.099999999999994"/>
    <n v="5"/>
    <n v="550"/>
    <n v="390.5"/>
    <n v="159.5"/>
    <n v="0.28999999999999998"/>
    <x v="3"/>
    <x v="4"/>
    <x v="1"/>
  </r>
  <r>
    <x v="460"/>
    <d v="2022-01-21T00:00:00"/>
    <n v="4"/>
    <x v="4"/>
    <n v="195"/>
    <n v="138.44999999999999"/>
    <n v="2"/>
    <n v="390"/>
    <n v="276.89999999999998"/>
    <n v="113.10000000000002"/>
    <n v="0.29000000000000004"/>
    <x v="33"/>
    <x v="0"/>
    <x v="1"/>
  </r>
  <r>
    <x v="461"/>
    <d v="2022-01-23T00:00:00"/>
    <n v="4"/>
    <x v="10"/>
    <n v="59"/>
    <n v="41.3"/>
    <n v="8"/>
    <n v="472"/>
    <n v="330.4"/>
    <n v="141.60000000000002"/>
    <n v="0.30000000000000004"/>
    <x v="36"/>
    <x v="4"/>
    <x v="1"/>
  </r>
  <r>
    <x v="462"/>
    <d v="2022-01-23T00:00:00"/>
    <n v="2"/>
    <x v="11"/>
    <n v="320"/>
    <n v="233.6"/>
    <n v="6"/>
    <n v="1920"/>
    <n v="1401.6"/>
    <n v="518.40000000000009"/>
    <n v="0.27000000000000007"/>
    <x v="12"/>
    <x v="4"/>
    <x v="1"/>
  </r>
  <r>
    <x v="462"/>
    <d v="2022-01-26T00:00:00"/>
    <n v="5"/>
    <x v="5"/>
    <n v="250"/>
    <n v="167.5"/>
    <n v="2"/>
    <n v="500"/>
    <n v="335"/>
    <n v="165"/>
    <n v="0.33"/>
    <x v="37"/>
    <x v="1"/>
    <x v="0"/>
  </r>
  <r>
    <x v="463"/>
    <d v="2022-01-28T00:00:00"/>
    <n v="6"/>
    <x v="11"/>
    <n v="320"/>
    <n v="233.6"/>
    <n v="7"/>
    <n v="2240"/>
    <n v="1635.2"/>
    <n v="604.79999999999995"/>
    <n v="0.26999999999999996"/>
    <x v="5"/>
    <x v="0"/>
    <x v="1"/>
  </r>
  <r>
    <x v="463"/>
    <d v="2022-01-28T00:00:00"/>
    <n v="6"/>
    <x v="13"/>
    <n v="95"/>
    <n v="60.8"/>
    <n v="4"/>
    <n v="380"/>
    <n v="243.2"/>
    <n v="136.80000000000001"/>
    <n v="0.36000000000000004"/>
    <x v="46"/>
    <x v="3"/>
    <x v="1"/>
  </r>
  <r>
    <x v="463"/>
    <d v="2022-01-29T00:00:00"/>
    <n v="7"/>
    <x v="15"/>
    <n v="375"/>
    <n v="247.5"/>
    <n v="3"/>
    <n v="1125"/>
    <n v="742.5"/>
    <n v="382.5"/>
    <n v="0.34"/>
    <x v="20"/>
    <x v="4"/>
    <x v="0"/>
  </r>
  <r>
    <x v="464"/>
    <d v="2022-01-26T00:00:00"/>
    <n v="3"/>
    <x v="3"/>
    <n v="80"/>
    <n v="48.8"/>
    <n v="4"/>
    <n v="320"/>
    <n v="195.2"/>
    <n v="124.80000000000001"/>
    <n v="0.39"/>
    <x v="42"/>
    <x v="4"/>
    <x v="1"/>
  </r>
  <r>
    <x v="465"/>
    <d v="2022-01-30T00:00:00"/>
    <n v="6"/>
    <x v="6"/>
    <n v="290"/>
    <n v="185.6"/>
    <n v="4"/>
    <n v="1160"/>
    <n v="742.4"/>
    <n v="417.6"/>
    <n v="0.36000000000000004"/>
    <x v="33"/>
    <x v="1"/>
    <x v="1"/>
  </r>
  <r>
    <x v="466"/>
    <d v="2022-01-29T00:00:00"/>
    <n v="4"/>
    <x v="18"/>
    <n v="390"/>
    <n v="253.5"/>
    <n v="1"/>
    <n v="390"/>
    <n v="253.5"/>
    <n v="136.5"/>
    <n v="0.35"/>
    <x v="29"/>
    <x v="4"/>
    <x v="0"/>
  </r>
  <r>
    <x v="467"/>
    <d v="2022-01-27T00:00:00"/>
    <n v="1"/>
    <x v="12"/>
    <n v="250"/>
    <n v="187.5"/>
    <n v="3"/>
    <n v="750"/>
    <n v="562.5"/>
    <n v="187.5"/>
    <n v="0.25"/>
    <x v="41"/>
    <x v="2"/>
    <x v="0"/>
  </r>
  <r>
    <x v="467"/>
    <d v="2022-01-31T00:00:00"/>
    <n v="5"/>
    <x v="12"/>
    <n v="250"/>
    <n v="187.5"/>
    <n v="5"/>
    <n v="1250"/>
    <n v="937.5"/>
    <n v="312.5"/>
    <n v="0.25"/>
    <x v="42"/>
    <x v="2"/>
    <x v="0"/>
  </r>
  <r>
    <x v="467"/>
    <d v="2022-02-01T00:00:00"/>
    <n v="6"/>
    <x v="16"/>
    <n v="110"/>
    <n v="78.099999999999994"/>
    <n v="5"/>
    <n v="550"/>
    <n v="390.5"/>
    <n v="159.5"/>
    <n v="0.28999999999999998"/>
    <x v="19"/>
    <x v="2"/>
    <x v="1"/>
  </r>
  <r>
    <x v="467"/>
    <d v="2022-01-29T00:00:00"/>
    <n v="3"/>
    <x v="5"/>
    <n v="250"/>
    <n v="167.5"/>
    <n v="2"/>
    <n v="500"/>
    <n v="335"/>
    <n v="165"/>
    <n v="0.33"/>
    <x v="4"/>
    <x v="1"/>
    <x v="1"/>
  </r>
  <r>
    <x v="468"/>
    <d v="2022-01-28T00:00:00"/>
    <n v="1"/>
    <x v="14"/>
    <n v="490"/>
    <n v="298.89999999999998"/>
    <n v="9"/>
    <n v="4410"/>
    <n v="2690.1"/>
    <n v="1719.9"/>
    <n v="0.39"/>
    <x v="44"/>
    <x v="3"/>
    <x v="1"/>
  </r>
  <r>
    <x v="468"/>
    <d v="2022-02-01T00:00:00"/>
    <n v="5"/>
    <x v="21"/>
    <n v="215"/>
    <n v="152.65"/>
    <n v="4"/>
    <n v="860"/>
    <n v="610.6"/>
    <n v="249.39999999999998"/>
    <n v="0.28999999999999998"/>
    <x v="35"/>
    <x v="1"/>
    <x v="1"/>
  </r>
  <r>
    <x v="468"/>
    <d v="2022-01-28T00:00:00"/>
    <n v="1"/>
    <x v="16"/>
    <n v="110"/>
    <n v="78.099999999999994"/>
    <n v="7"/>
    <n v="770"/>
    <n v="546.69999999999993"/>
    <n v="223.30000000000007"/>
    <n v="0.29000000000000009"/>
    <x v="14"/>
    <x v="2"/>
    <x v="0"/>
  </r>
  <r>
    <x v="468"/>
    <d v="2022-02-01T00:00:00"/>
    <n v="5"/>
    <x v="3"/>
    <n v="80"/>
    <n v="48.8"/>
    <n v="9"/>
    <n v="720"/>
    <n v="439.2"/>
    <n v="280.8"/>
    <n v="0.39"/>
    <x v="14"/>
    <x v="0"/>
    <x v="1"/>
  </r>
  <r>
    <x v="469"/>
    <d v="2022-02-02T00:00:00"/>
    <n v="5"/>
    <x v="9"/>
    <n v="440"/>
    <n v="286"/>
    <n v="5"/>
    <n v="2200"/>
    <n v="1430"/>
    <n v="770"/>
    <n v="0.35"/>
    <x v="31"/>
    <x v="0"/>
    <x v="0"/>
  </r>
  <r>
    <x v="470"/>
    <d v="2022-02-07T00:00:00"/>
    <n v="6"/>
    <x v="9"/>
    <n v="440"/>
    <n v="286"/>
    <n v="8"/>
    <n v="3520"/>
    <n v="2288"/>
    <n v="1232"/>
    <n v="0.35"/>
    <x v="41"/>
    <x v="0"/>
    <x v="1"/>
  </r>
  <r>
    <x v="471"/>
    <d v="2022-02-05T00:00:00"/>
    <n v="1"/>
    <x v="7"/>
    <n v="275"/>
    <n v="200.75"/>
    <n v="7"/>
    <n v="1925"/>
    <n v="1405.25"/>
    <n v="519.75"/>
    <n v="0.27"/>
    <x v="7"/>
    <x v="2"/>
    <x v="1"/>
  </r>
  <r>
    <x v="472"/>
    <d v="2022-02-12T00:00:00"/>
    <n v="7"/>
    <x v="3"/>
    <n v="80"/>
    <n v="48.8"/>
    <n v="1"/>
    <n v="80"/>
    <n v="48.8"/>
    <n v="31.200000000000003"/>
    <n v="0.39"/>
    <x v="6"/>
    <x v="1"/>
    <x v="0"/>
  </r>
  <r>
    <x v="472"/>
    <d v="2022-02-11T00:00:00"/>
    <n v="6"/>
    <x v="19"/>
    <n v="145"/>
    <n v="105.85"/>
    <n v="6"/>
    <n v="870"/>
    <n v="635.09999999999991"/>
    <n v="234.90000000000009"/>
    <n v="0.27000000000000013"/>
    <x v="40"/>
    <x v="4"/>
    <x v="0"/>
  </r>
  <r>
    <x v="473"/>
    <d v="2022-02-10T00:00:00"/>
    <n v="4"/>
    <x v="8"/>
    <n v="220"/>
    <n v="154"/>
    <n v="8"/>
    <n v="1760"/>
    <n v="1232"/>
    <n v="528"/>
    <n v="0.3"/>
    <x v="36"/>
    <x v="2"/>
    <x v="1"/>
  </r>
  <r>
    <x v="473"/>
    <d v="2022-02-12T00:00:00"/>
    <n v="6"/>
    <x v="14"/>
    <n v="490"/>
    <n v="298.89999999999998"/>
    <n v="4"/>
    <n v="1960"/>
    <n v="1195.5999999999999"/>
    <n v="764.40000000000009"/>
    <n v="0.39000000000000007"/>
    <x v="11"/>
    <x v="2"/>
    <x v="0"/>
  </r>
  <r>
    <x v="474"/>
    <d v="2022-02-12T00:00:00"/>
    <n v="5"/>
    <x v="8"/>
    <n v="220"/>
    <n v="154"/>
    <n v="2"/>
    <n v="440"/>
    <n v="308"/>
    <n v="132"/>
    <n v="0.3"/>
    <x v="13"/>
    <x v="2"/>
    <x v="0"/>
  </r>
  <r>
    <x v="474"/>
    <d v="2022-02-09T00:00:00"/>
    <n v="2"/>
    <x v="14"/>
    <n v="490"/>
    <n v="298.89999999999998"/>
    <n v="5"/>
    <n v="2450"/>
    <n v="1494.5"/>
    <n v="955.5"/>
    <n v="0.39"/>
    <x v="46"/>
    <x v="1"/>
    <x v="0"/>
  </r>
  <r>
    <x v="474"/>
    <d v="2022-02-12T00:00:00"/>
    <n v="5"/>
    <x v="15"/>
    <n v="375"/>
    <n v="247.5"/>
    <n v="3"/>
    <n v="1125"/>
    <n v="742.5"/>
    <n v="382.5"/>
    <n v="0.34"/>
    <x v="13"/>
    <x v="1"/>
    <x v="0"/>
  </r>
  <r>
    <x v="475"/>
    <d v="2022-02-09T00:00:00"/>
    <n v="1"/>
    <x v="14"/>
    <n v="490"/>
    <n v="298.89999999999998"/>
    <n v="3"/>
    <n v="1470"/>
    <n v="896.69999999999993"/>
    <n v="573.30000000000007"/>
    <n v="0.39000000000000007"/>
    <x v="28"/>
    <x v="3"/>
    <x v="1"/>
  </r>
  <r>
    <x v="475"/>
    <d v="2022-02-11T00:00:00"/>
    <n v="3"/>
    <x v="2"/>
    <n v="445"/>
    <n v="280.35000000000002"/>
    <n v="9"/>
    <n v="4005"/>
    <n v="2523.15"/>
    <n v="1481.85"/>
    <n v="0.37"/>
    <x v="42"/>
    <x v="4"/>
    <x v="1"/>
  </r>
  <r>
    <x v="476"/>
    <d v="2022-02-15T00:00:00"/>
    <n v="3"/>
    <x v="7"/>
    <n v="275"/>
    <n v="200.75"/>
    <n v="5"/>
    <n v="1375"/>
    <n v="1003.75"/>
    <n v="371.25"/>
    <n v="0.27"/>
    <x v="45"/>
    <x v="2"/>
    <x v="0"/>
  </r>
  <r>
    <x v="476"/>
    <d v="2022-02-14T00:00:00"/>
    <n v="2"/>
    <x v="19"/>
    <n v="145"/>
    <n v="105.85"/>
    <n v="1"/>
    <n v="145"/>
    <n v="105.85"/>
    <n v="39.150000000000006"/>
    <n v="0.27"/>
    <x v="14"/>
    <x v="3"/>
    <x v="1"/>
  </r>
  <r>
    <x v="476"/>
    <d v="2022-02-15T00:00:00"/>
    <n v="3"/>
    <x v="10"/>
    <n v="59"/>
    <n v="41.3"/>
    <n v="5"/>
    <n v="295"/>
    <n v="206.5"/>
    <n v="88.5"/>
    <n v="0.3"/>
    <x v="9"/>
    <x v="1"/>
    <x v="1"/>
  </r>
  <r>
    <x v="477"/>
    <d v="2022-02-20T00:00:00"/>
    <n v="7"/>
    <x v="16"/>
    <n v="110"/>
    <n v="78.099999999999994"/>
    <n v="1"/>
    <n v="110"/>
    <n v="78.099999999999994"/>
    <n v="31.900000000000006"/>
    <n v="0.29000000000000004"/>
    <x v="32"/>
    <x v="2"/>
    <x v="0"/>
  </r>
  <r>
    <x v="478"/>
    <d v="2022-02-18T00:00:00"/>
    <n v="4"/>
    <x v="15"/>
    <n v="375"/>
    <n v="247.5"/>
    <n v="8"/>
    <n v="3000"/>
    <n v="1980"/>
    <n v="1020"/>
    <n v="0.34"/>
    <x v="24"/>
    <x v="3"/>
    <x v="0"/>
  </r>
  <r>
    <x v="478"/>
    <d v="2022-02-18T00:00:00"/>
    <n v="4"/>
    <x v="15"/>
    <n v="375"/>
    <n v="247.5"/>
    <n v="4"/>
    <n v="1500"/>
    <n v="990"/>
    <n v="510"/>
    <n v="0.34"/>
    <x v="22"/>
    <x v="1"/>
    <x v="0"/>
  </r>
  <r>
    <x v="479"/>
    <d v="2022-02-22T00:00:00"/>
    <n v="7"/>
    <x v="21"/>
    <n v="215"/>
    <n v="152.65"/>
    <n v="3"/>
    <n v="645"/>
    <n v="457.95000000000005"/>
    <n v="187.04999999999995"/>
    <n v="0.28999999999999992"/>
    <x v="27"/>
    <x v="0"/>
    <x v="1"/>
  </r>
  <r>
    <x v="480"/>
    <d v="2022-02-19T00:00:00"/>
    <n v="3"/>
    <x v="0"/>
    <n v="99"/>
    <n v="62.37"/>
    <n v="9"/>
    <n v="891"/>
    <n v="561.32999999999993"/>
    <n v="329.67000000000007"/>
    <n v="0.37000000000000011"/>
    <x v="3"/>
    <x v="4"/>
    <x v="0"/>
  </r>
  <r>
    <x v="481"/>
    <d v="2022-02-24T00:00:00"/>
    <n v="6"/>
    <x v="4"/>
    <n v="195"/>
    <n v="138.44999999999999"/>
    <n v="8"/>
    <n v="1560"/>
    <n v="1107.5999999999999"/>
    <n v="452.40000000000009"/>
    <n v="0.29000000000000004"/>
    <x v="9"/>
    <x v="2"/>
    <x v="0"/>
  </r>
  <r>
    <x v="482"/>
    <d v="2022-02-23T00:00:00"/>
    <n v="4"/>
    <x v="7"/>
    <n v="275"/>
    <n v="200.75"/>
    <n v="7"/>
    <n v="1925"/>
    <n v="1405.25"/>
    <n v="519.75"/>
    <n v="0.27"/>
    <x v="7"/>
    <x v="1"/>
    <x v="1"/>
  </r>
  <r>
    <x v="482"/>
    <d v="2022-02-20T00:00:00"/>
    <n v="1"/>
    <x v="7"/>
    <n v="275"/>
    <n v="200.75"/>
    <n v="2"/>
    <n v="550"/>
    <n v="401.5"/>
    <n v="148.5"/>
    <n v="0.27"/>
    <x v="11"/>
    <x v="0"/>
    <x v="0"/>
  </r>
  <r>
    <x v="483"/>
    <d v="2022-02-24T00:00:00"/>
    <n v="4"/>
    <x v="14"/>
    <n v="490"/>
    <n v="298.89999999999998"/>
    <n v="7"/>
    <n v="3430"/>
    <n v="2092.2999999999997"/>
    <n v="1337.7000000000003"/>
    <n v="0.39000000000000007"/>
    <x v="14"/>
    <x v="4"/>
    <x v="1"/>
  </r>
  <r>
    <x v="483"/>
    <d v="2022-02-21T00:00:00"/>
    <n v="1"/>
    <x v="5"/>
    <n v="250"/>
    <n v="167.5"/>
    <n v="4"/>
    <n v="1000"/>
    <n v="670"/>
    <n v="330"/>
    <n v="0.33"/>
    <x v="6"/>
    <x v="1"/>
    <x v="0"/>
  </r>
  <r>
    <x v="484"/>
    <d v="2022-02-26T00:00:00"/>
    <n v="4"/>
    <x v="16"/>
    <n v="110"/>
    <n v="78.099999999999994"/>
    <n v="3"/>
    <n v="330"/>
    <n v="234.29999999999998"/>
    <n v="95.700000000000017"/>
    <n v="0.29000000000000004"/>
    <x v="47"/>
    <x v="2"/>
    <x v="1"/>
  </r>
  <r>
    <x v="485"/>
    <d v="2022-02-28T00:00:00"/>
    <n v="5"/>
    <x v="9"/>
    <n v="440"/>
    <n v="286"/>
    <n v="5"/>
    <n v="2200"/>
    <n v="1430"/>
    <n v="770"/>
    <n v="0.35"/>
    <x v="5"/>
    <x v="0"/>
    <x v="1"/>
  </r>
  <r>
    <x v="486"/>
    <d v="2022-02-28T00:00:00"/>
    <n v="4"/>
    <x v="13"/>
    <n v="95"/>
    <n v="60.8"/>
    <n v="9"/>
    <n v="855"/>
    <n v="547.19999999999993"/>
    <n v="307.80000000000007"/>
    <n v="0.3600000000000001"/>
    <x v="5"/>
    <x v="3"/>
    <x v="0"/>
  </r>
  <r>
    <x v="487"/>
    <d v="2022-02-28T00:00:00"/>
    <n v="3"/>
    <x v="19"/>
    <n v="145"/>
    <n v="105.85"/>
    <n v="9"/>
    <n v="1305"/>
    <n v="952.65"/>
    <n v="352.35"/>
    <n v="0.27"/>
    <x v="31"/>
    <x v="0"/>
    <x v="1"/>
  </r>
  <r>
    <x v="487"/>
    <d v="2022-02-26T00:00:00"/>
    <n v="1"/>
    <x v="9"/>
    <n v="440"/>
    <n v="286"/>
    <n v="7"/>
    <n v="3080"/>
    <n v="2002"/>
    <n v="1078"/>
    <n v="0.35"/>
    <x v="1"/>
    <x v="0"/>
    <x v="0"/>
  </r>
  <r>
    <x v="488"/>
    <d v="2022-02-27T00:00:00"/>
    <n v="1"/>
    <x v="21"/>
    <n v="215"/>
    <n v="152.65"/>
    <n v="8"/>
    <n v="1720"/>
    <n v="1221.2"/>
    <n v="498.79999999999995"/>
    <n v="0.28999999999999998"/>
    <x v="42"/>
    <x v="3"/>
    <x v="1"/>
  </r>
  <r>
    <x v="489"/>
    <d v="2022-03-01T00:00:00"/>
    <n v="2"/>
    <x v="15"/>
    <n v="375"/>
    <n v="247.5"/>
    <n v="9"/>
    <n v="3375"/>
    <n v="2227.5"/>
    <n v="1147.5"/>
    <n v="0.34"/>
    <x v="31"/>
    <x v="4"/>
    <x v="1"/>
  </r>
  <r>
    <x v="489"/>
    <d v="2022-03-04T00:00:00"/>
    <n v="5"/>
    <x v="6"/>
    <n v="290"/>
    <n v="185.6"/>
    <n v="8"/>
    <n v="2320"/>
    <n v="1484.8"/>
    <n v="835.2"/>
    <n v="0.36000000000000004"/>
    <x v="31"/>
    <x v="4"/>
    <x v="1"/>
  </r>
  <r>
    <x v="489"/>
    <d v="2022-03-02T00:00:00"/>
    <n v="3"/>
    <x v="0"/>
    <n v="99"/>
    <n v="62.37"/>
    <n v="2"/>
    <n v="198"/>
    <n v="124.74"/>
    <n v="73.260000000000005"/>
    <n v="0.37000000000000005"/>
    <x v="44"/>
    <x v="3"/>
    <x v="0"/>
  </r>
  <r>
    <x v="490"/>
    <d v="2022-03-06T00:00:00"/>
    <n v="6"/>
    <x v="13"/>
    <n v="95"/>
    <n v="60.8"/>
    <n v="6"/>
    <n v="570"/>
    <n v="364.79999999999995"/>
    <n v="205.20000000000005"/>
    <n v="0.3600000000000001"/>
    <x v="36"/>
    <x v="3"/>
    <x v="0"/>
  </r>
  <r>
    <x v="491"/>
    <d v="2022-03-06T00:00:00"/>
    <n v="5"/>
    <x v="5"/>
    <n v="250"/>
    <n v="167.5"/>
    <n v="7"/>
    <n v="1750"/>
    <n v="1172.5"/>
    <n v="577.5"/>
    <n v="0.33"/>
    <x v="29"/>
    <x v="0"/>
    <x v="0"/>
  </r>
  <r>
    <x v="491"/>
    <d v="2022-03-03T00:00:00"/>
    <n v="2"/>
    <x v="9"/>
    <n v="440"/>
    <n v="286"/>
    <n v="1"/>
    <n v="440"/>
    <n v="286"/>
    <n v="154"/>
    <n v="0.35"/>
    <x v="33"/>
    <x v="3"/>
    <x v="1"/>
  </r>
  <r>
    <x v="492"/>
    <d v="2022-03-09T00:00:00"/>
    <n v="7"/>
    <x v="7"/>
    <n v="275"/>
    <n v="200.75"/>
    <n v="9"/>
    <n v="2475"/>
    <n v="1806.75"/>
    <n v="668.25"/>
    <n v="0.27"/>
    <x v="12"/>
    <x v="4"/>
    <x v="0"/>
  </r>
  <r>
    <x v="492"/>
    <d v="2022-03-07T00:00:00"/>
    <n v="5"/>
    <x v="7"/>
    <n v="275"/>
    <n v="200.75"/>
    <n v="1"/>
    <n v="275"/>
    <n v="200.75"/>
    <n v="74.25"/>
    <n v="0.27"/>
    <x v="15"/>
    <x v="2"/>
    <x v="0"/>
  </r>
  <r>
    <x v="493"/>
    <d v="2022-03-09T00:00:00"/>
    <n v="6"/>
    <x v="17"/>
    <n v="460"/>
    <n v="303.60000000000002"/>
    <n v="7"/>
    <n v="3220"/>
    <n v="2125.2000000000003"/>
    <n v="1094.7999999999997"/>
    <n v="0.33999999999999991"/>
    <x v="28"/>
    <x v="2"/>
    <x v="0"/>
  </r>
  <r>
    <x v="494"/>
    <d v="2022-03-07T00:00:00"/>
    <n v="3"/>
    <x v="19"/>
    <n v="145"/>
    <n v="105.85"/>
    <n v="5"/>
    <n v="725"/>
    <n v="529.25"/>
    <n v="195.75"/>
    <n v="0.27"/>
    <x v="12"/>
    <x v="1"/>
    <x v="0"/>
  </r>
  <r>
    <x v="494"/>
    <d v="2022-03-05T00:00:00"/>
    <n v="1"/>
    <x v="8"/>
    <n v="220"/>
    <n v="154"/>
    <n v="3"/>
    <n v="660"/>
    <n v="462"/>
    <n v="198"/>
    <n v="0.3"/>
    <x v="19"/>
    <x v="1"/>
    <x v="1"/>
  </r>
  <r>
    <x v="495"/>
    <d v="2022-03-06T00:00:00"/>
    <n v="1"/>
    <x v="6"/>
    <n v="290"/>
    <n v="185.6"/>
    <n v="4"/>
    <n v="1160"/>
    <n v="742.4"/>
    <n v="417.6"/>
    <n v="0.36000000000000004"/>
    <x v="18"/>
    <x v="3"/>
    <x v="1"/>
  </r>
  <r>
    <x v="496"/>
    <d v="2022-03-12T00:00:00"/>
    <n v="6"/>
    <x v="14"/>
    <n v="490"/>
    <n v="298.89999999999998"/>
    <n v="4"/>
    <n v="1960"/>
    <n v="1195.5999999999999"/>
    <n v="764.40000000000009"/>
    <n v="0.39000000000000007"/>
    <x v="25"/>
    <x v="3"/>
    <x v="0"/>
  </r>
  <r>
    <x v="497"/>
    <d v="2022-03-13T00:00:00"/>
    <n v="5"/>
    <x v="4"/>
    <n v="195"/>
    <n v="138.44999999999999"/>
    <n v="7"/>
    <n v="1365"/>
    <n v="969.14999999999986"/>
    <n v="395.85000000000014"/>
    <n v="0.29000000000000009"/>
    <x v="32"/>
    <x v="1"/>
    <x v="0"/>
  </r>
  <r>
    <x v="498"/>
    <d v="2022-03-14T00:00:00"/>
    <n v="2"/>
    <x v="9"/>
    <n v="440"/>
    <n v="286"/>
    <n v="5"/>
    <n v="2200"/>
    <n v="1430"/>
    <n v="770"/>
    <n v="0.35"/>
    <x v="12"/>
    <x v="3"/>
    <x v="1"/>
  </r>
  <r>
    <x v="498"/>
    <d v="2022-03-17T00:00:00"/>
    <n v="5"/>
    <x v="17"/>
    <n v="460"/>
    <n v="303.60000000000002"/>
    <n v="8"/>
    <n v="3680"/>
    <n v="2428.8000000000002"/>
    <n v="1251.1999999999998"/>
    <n v="0.33999999999999997"/>
    <x v="17"/>
    <x v="1"/>
    <x v="1"/>
  </r>
  <r>
    <x v="499"/>
    <d v="2022-03-20T00:00:00"/>
    <n v="7"/>
    <x v="19"/>
    <n v="145"/>
    <n v="105.85"/>
    <n v="6"/>
    <n v="870"/>
    <n v="635.09999999999991"/>
    <n v="234.90000000000009"/>
    <n v="0.27000000000000013"/>
    <x v="36"/>
    <x v="0"/>
    <x v="1"/>
  </r>
  <r>
    <x v="500"/>
    <d v="2022-03-18T00:00:00"/>
    <n v="4"/>
    <x v="12"/>
    <n v="250"/>
    <n v="187.5"/>
    <n v="8"/>
    <n v="2000"/>
    <n v="1500"/>
    <n v="500"/>
    <n v="0.25"/>
    <x v="8"/>
    <x v="2"/>
    <x v="1"/>
  </r>
  <r>
    <x v="500"/>
    <d v="2022-03-19T00:00:00"/>
    <n v="5"/>
    <x v="18"/>
    <n v="390"/>
    <n v="253.5"/>
    <n v="5"/>
    <n v="1950"/>
    <n v="1267.5"/>
    <n v="682.5"/>
    <n v="0.35"/>
    <x v="17"/>
    <x v="2"/>
    <x v="0"/>
  </r>
  <r>
    <x v="501"/>
    <d v="2022-03-21T00:00:00"/>
    <n v="6"/>
    <x v="12"/>
    <n v="250"/>
    <n v="187.5"/>
    <n v="4"/>
    <n v="1000"/>
    <n v="750"/>
    <n v="250"/>
    <n v="0.25"/>
    <x v="47"/>
    <x v="4"/>
    <x v="1"/>
  </r>
  <r>
    <x v="501"/>
    <d v="2022-03-21T00:00:00"/>
    <n v="6"/>
    <x v="13"/>
    <n v="95"/>
    <n v="60.8"/>
    <n v="5"/>
    <n v="475"/>
    <n v="304"/>
    <n v="171"/>
    <n v="0.36"/>
    <x v="18"/>
    <x v="4"/>
    <x v="0"/>
  </r>
  <r>
    <x v="502"/>
    <d v="2022-03-23T00:00:00"/>
    <n v="7"/>
    <x v="20"/>
    <n v="355"/>
    <n v="252.05"/>
    <n v="3"/>
    <n v="1065"/>
    <n v="756.15000000000009"/>
    <n v="308.84999999999991"/>
    <n v="0.28999999999999992"/>
    <x v="24"/>
    <x v="2"/>
    <x v="1"/>
  </r>
  <r>
    <x v="503"/>
    <d v="2022-03-23T00:00:00"/>
    <n v="5"/>
    <x v="12"/>
    <n v="250"/>
    <n v="187.5"/>
    <n v="9"/>
    <n v="2250"/>
    <n v="1687.5"/>
    <n v="562.5"/>
    <n v="0.25"/>
    <x v="26"/>
    <x v="0"/>
    <x v="1"/>
  </r>
  <r>
    <x v="503"/>
    <d v="2022-03-22T00:00:00"/>
    <n v="4"/>
    <x v="18"/>
    <n v="390"/>
    <n v="253.5"/>
    <n v="5"/>
    <n v="1950"/>
    <n v="1267.5"/>
    <n v="682.5"/>
    <n v="0.35"/>
    <x v="1"/>
    <x v="4"/>
    <x v="0"/>
  </r>
  <r>
    <x v="504"/>
    <d v="2022-03-26T00:00:00"/>
    <n v="6"/>
    <x v="14"/>
    <n v="490"/>
    <n v="298.89999999999998"/>
    <n v="3"/>
    <n v="1470"/>
    <n v="896.69999999999993"/>
    <n v="573.30000000000007"/>
    <n v="0.39000000000000007"/>
    <x v="6"/>
    <x v="1"/>
    <x v="0"/>
  </r>
  <r>
    <x v="505"/>
    <d v="2022-03-27T00:00:00"/>
    <n v="6"/>
    <x v="1"/>
    <n v="390"/>
    <n v="288.60000000000002"/>
    <n v="6"/>
    <n v="2340"/>
    <n v="1731.6000000000001"/>
    <n v="608.39999999999986"/>
    <n v="0.25999999999999995"/>
    <x v="22"/>
    <x v="2"/>
    <x v="0"/>
  </r>
  <r>
    <x v="506"/>
    <d v="2022-03-27T00:00:00"/>
    <n v="4"/>
    <x v="9"/>
    <n v="440"/>
    <n v="286"/>
    <n v="4"/>
    <n v="1760"/>
    <n v="1144"/>
    <n v="616"/>
    <n v="0.35"/>
    <x v="20"/>
    <x v="1"/>
    <x v="1"/>
  </r>
  <r>
    <x v="507"/>
    <d v="2022-03-31T00:00:00"/>
    <n v="7"/>
    <x v="20"/>
    <n v="355"/>
    <n v="252.05"/>
    <n v="3"/>
    <n v="1065"/>
    <n v="756.15000000000009"/>
    <n v="308.84999999999991"/>
    <n v="0.28999999999999992"/>
    <x v="37"/>
    <x v="3"/>
    <x v="1"/>
  </r>
  <r>
    <x v="508"/>
    <d v="2022-03-31T00:00:00"/>
    <n v="6"/>
    <x v="21"/>
    <n v="215"/>
    <n v="152.65"/>
    <n v="7"/>
    <n v="1505"/>
    <n v="1068.55"/>
    <n v="436.45000000000005"/>
    <n v="0.29000000000000004"/>
    <x v="34"/>
    <x v="0"/>
    <x v="1"/>
  </r>
  <r>
    <x v="508"/>
    <d v="2022-03-31T00:00:00"/>
    <n v="6"/>
    <x v="0"/>
    <n v="99"/>
    <n v="62.37"/>
    <n v="7"/>
    <n v="693"/>
    <n v="436.59"/>
    <n v="256.41000000000003"/>
    <n v="0.37000000000000005"/>
    <x v="43"/>
    <x v="4"/>
    <x v="0"/>
  </r>
  <r>
    <x v="509"/>
    <d v="2022-04-02T00:00:00"/>
    <n v="7"/>
    <x v="11"/>
    <n v="320"/>
    <n v="233.6"/>
    <n v="7"/>
    <n v="2240"/>
    <n v="1635.2"/>
    <n v="604.79999999999995"/>
    <n v="0.26999999999999996"/>
    <x v="30"/>
    <x v="4"/>
    <x v="0"/>
  </r>
  <r>
    <x v="510"/>
    <d v="2022-04-02T00:00:00"/>
    <n v="6"/>
    <x v="9"/>
    <n v="440"/>
    <n v="286"/>
    <n v="6"/>
    <n v="2640"/>
    <n v="1716"/>
    <n v="924"/>
    <n v="0.35"/>
    <x v="17"/>
    <x v="1"/>
    <x v="0"/>
  </r>
  <r>
    <x v="510"/>
    <d v="2022-04-01T00:00:00"/>
    <n v="5"/>
    <x v="5"/>
    <n v="250"/>
    <n v="167.5"/>
    <n v="8"/>
    <n v="2000"/>
    <n v="1340"/>
    <n v="660"/>
    <n v="0.33"/>
    <x v="22"/>
    <x v="0"/>
    <x v="1"/>
  </r>
  <r>
    <x v="510"/>
    <d v="2022-04-03T00:00:00"/>
    <n v="7"/>
    <x v="20"/>
    <n v="355"/>
    <n v="252.05"/>
    <n v="8"/>
    <n v="2840"/>
    <n v="2016.4"/>
    <n v="823.59999999999991"/>
    <n v="0.28999999999999998"/>
    <x v="27"/>
    <x v="2"/>
    <x v="0"/>
  </r>
  <r>
    <x v="511"/>
    <d v="2022-04-01T00:00:00"/>
    <n v="4"/>
    <x v="4"/>
    <n v="195"/>
    <n v="138.44999999999999"/>
    <n v="6"/>
    <n v="1170"/>
    <n v="830.69999999999993"/>
    <n v="339.30000000000007"/>
    <n v="0.29000000000000004"/>
    <x v="7"/>
    <x v="0"/>
    <x v="1"/>
  </r>
  <r>
    <x v="512"/>
    <d v="2022-04-01T00:00:00"/>
    <n v="1"/>
    <x v="3"/>
    <n v="80"/>
    <n v="48.8"/>
    <n v="6"/>
    <n v="480"/>
    <n v="292.79999999999995"/>
    <n v="187.20000000000005"/>
    <n v="0.39000000000000007"/>
    <x v="36"/>
    <x v="1"/>
    <x v="0"/>
  </r>
  <r>
    <x v="512"/>
    <d v="2022-04-04T00:00:00"/>
    <n v="4"/>
    <x v="13"/>
    <n v="95"/>
    <n v="60.8"/>
    <n v="9"/>
    <n v="855"/>
    <n v="547.19999999999993"/>
    <n v="307.80000000000007"/>
    <n v="0.3600000000000001"/>
    <x v="14"/>
    <x v="3"/>
    <x v="0"/>
  </r>
  <r>
    <x v="513"/>
    <d v="2022-04-06T00:00:00"/>
    <n v="5"/>
    <x v="18"/>
    <n v="390"/>
    <n v="253.5"/>
    <n v="8"/>
    <n v="3120"/>
    <n v="2028"/>
    <n v="1092"/>
    <n v="0.35"/>
    <x v="20"/>
    <x v="2"/>
    <x v="0"/>
  </r>
  <r>
    <x v="513"/>
    <d v="2022-04-04T00:00:00"/>
    <n v="3"/>
    <x v="17"/>
    <n v="460"/>
    <n v="303.60000000000002"/>
    <n v="4"/>
    <n v="1840"/>
    <n v="1214.4000000000001"/>
    <n v="625.59999999999991"/>
    <n v="0.33999999999999997"/>
    <x v="16"/>
    <x v="1"/>
    <x v="1"/>
  </r>
  <r>
    <x v="513"/>
    <d v="2022-04-04T00:00:00"/>
    <n v="3"/>
    <x v="1"/>
    <n v="390"/>
    <n v="288.60000000000002"/>
    <n v="1"/>
    <n v="390"/>
    <n v="288.60000000000002"/>
    <n v="101.39999999999998"/>
    <n v="0.25999999999999995"/>
    <x v="22"/>
    <x v="2"/>
    <x v="0"/>
  </r>
  <r>
    <x v="514"/>
    <d v="2022-04-05T00:00:00"/>
    <n v="3"/>
    <x v="15"/>
    <n v="375"/>
    <n v="247.5"/>
    <n v="4"/>
    <n v="1500"/>
    <n v="990"/>
    <n v="510"/>
    <n v="0.34"/>
    <x v="26"/>
    <x v="2"/>
    <x v="0"/>
  </r>
  <r>
    <x v="514"/>
    <d v="2022-04-05T00:00:00"/>
    <n v="3"/>
    <x v="9"/>
    <n v="440"/>
    <n v="286"/>
    <n v="6"/>
    <n v="2640"/>
    <n v="1716"/>
    <n v="924"/>
    <n v="0.35"/>
    <x v="33"/>
    <x v="4"/>
    <x v="0"/>
  </r>
  <r>
    <x v="515"/>
    <d v="2022-04-08T00:00:00"/>
    <n v="2"/>
    <x v="18"/>
    <n v="390"/>
    <n v="253.5"/>
    <n v="9"/>
    <n v="3510"/>
    <n v="2281.5"/>
    <n v="1228.5"/>
    <n v="0.35"/>
    <x v="26"/>
    <x v="3"/>
    <x v="0"/>
  </r>
  <r>
    <x v="515"/>
    <d v="2022-04-13T00:00:00"/>
    <n v="7"/>
    <x v="9"/>
    <n v="440"/>
    <n v="286"/>
    <n v="6"/>
    <n v="2640"/>
    <n v="1716"/>
    <n v="924"/>
    <n v="0.35"/>
    <x v="11"/>
    <x v="4"/>
    <x v="1"/>
  </r>
  <r>
    <x v="516"/>
    <d v="2022-04-11T00:00:00"/>
    <n v="4"/>
    <x v="0"/>
    <n v="99"/>
    <n v="62.37"/>
    <n v="8"/>
    <n v="792"/>
    <n v="498.96"/>
    <n v="293.04000000000002"/>
    <n v="0.37000000000000005"/>
    <x v="31"/>
    <x v="2"/>
    <x v="1"/>
  </r>
  <r>
    <x v="516"/>
    <d v="2022-04-08T00:00:00"/>
    <n v="1"/>
    <x v="12"/>
    <n v="250"/>
    <n v="187.5"/>
    <n v="7"/>
    <n v="1750"/>
    <n v="1312.5"/>
    <n v="437.5"/>
    <n v="0.25"/>
    <x v="37"/>
    <x v="4"/>
    <x v="1"/>
  </r>
  <r>
    <x v="517"/>
    <d v="2022-04-14T00:00:00"/>
    <n v="3"/>
    <x v="18"/>
    <n v="390"/>
    <n v="253.5"/>
    <n v="3"/>
    <n v="1170"/>
    <n v="760.5"/>
    <n v="409.5"/>
    <n v="0.35"/>
    <x v="3"/>
    <x v="2"/>
    <x v="1"/>
  </r>
  <r>
    <x v="517"/>
    <d v="2022-04-15T00:00:00"/>
    <n v="4"/>
    <x v="11"/>
    <n v="320"/>
    <n v="233.6"/>
    <n v="9"/>
    <n v="2880"/>
    <n v="2102.4"/>
    <n v="777.59999999999991"/>
    <n v="0.26999999999999996"/>
    <x v="17"/>
    <x v="3"/>
    <x v="0"/>
  </r>
  <r>
    <x v="518"/>
    <d v="2022-04-15T00:00:00"/>
    <n v="2"/>
    <x v="4"/>
    <n v="195"/>
    <n v="138.44999999999999"/>
    <n v="4"/>
    <n v="780"/>
    <n v="553.79999999999995"/>
    <n v="226.20000000000005"/>
    <n v="0.29000000000000004"/>
    <x v="10"/>
    <x v="0"/>
    <x v="1"/>
  </r>
  <r>
    <x v="518"/>
    <d v="2022-04-20T00:00:00"/>
    <n v="7"/>
    <x v="4"/>
    <n v="195"/>
    <n v="138.44999999999999"/>
    <n v="9"/>
    <n v="1755"/>
    <n v="1246.05"/>
    <n v="508.95000000000005"/>
    <n v="0.29000000000000004"/>
    <x v="38"/>
    <x v="1"/>
    <x v="1"/>
  </r>
  <r>
    <x v="519"/>
    <d v="2022-04-17T00:00:00"/>
    <n v="1"/>
    <x v="0"/>
    <n v="99"/>
    <n v="62.37"/>
    <n v="7"/>
    <n v="693"/>
    <n v="436.59"/>
    <n v="256.41000000000003"/>
    <n v="0.37000000000000005"/>
    <x v="29"/>
    <x v="3"/>
    <x v="0"/>
  </r>
  <r>
    <x v="520"/>
    <d v="2022-04-24T00:00:00"/>
    <n v="7"/>
    <x v="3"/>
    <n v="80"/>
    <n v="48.8"/>
    <n v="9"/>
    <n v="720"/>
    <n v="439.2"/>
    <n v="280.8"/>
    <n v="0.39"/>
    <x v="26"/>
    <x v="4"/>
    <x v="1"/>
  </r>
  <r>
    <x v="520"/>
    <d v="2022-04-22T00:00:00"/>
    <n v="5"/>
    <x v="6"/>
    <n v="290"/>
    <n v="185.6"/>
    <n v="1"/>
    <n v="290"/>
    <n v="185.6"/>
    <n v="104.4"/>
    <n v="0.36000000000000004"/>
    <x v="42"/>
    <x v="3"/>
    <x v="0"/>
  </r>
  <r>
    <x v="521"/>
    <d v="2022-04-24T00:00:00"/>
    <n v="6"/>
    <x v="13"/>
    <n v="95"/>
    <n v="60.8"/>
    <n v="3"/>
    <n v="285"/>
    <n v="182.39999999999998"/>
    <n v="102.60000000000002"/>
    <n v="0.3600000000000001"/>
    <x v="26"/>
    <x v="1"/>
    <x v="1"/>
  </r>
  <r>
    <x v="521"/>
    <d v="2022-04-22T00:00:00"/>
    <n v="4"/>
    <x v="16"/>
    <n v="110"/>
    <n v="78.099999999999994"/>
    <n v="8"/>
    <n v="880"/>
    <n v="624.79999999999995"/>
    <n v="255.20000000000005"/>
    <n v="0.29000000000000004"/>
    <x v="46"/>
    <x v="0"/>
    <x v="0"/>
  </r>
  <r>
    <x v="522"/>
    <d v="2022-04-25T00:00:00"/>
    <n v="1"/>
    <x v="5"/>
    <n v="250"/>
    <n v="167.5"/>
    <n v="1"/>
    <n v="250"/>
    <n v="167.5"/>
    <n v="82.5"/>
    <n v="0.33"/>
    <x v="5"/>
    <x v="0"/>
    <x v="0"/>
  </r>
  <r>
    <x v="523"/>
    <d v="2022-04-26T00:00:00"/>
    <n v="1"/>
    <x v="20"/>
    <n v="355"/>
    <n v="252.05"/>
    <n v="9"/>
    <n v="3195"/>
    <n v="2268.4500000000003"/>
    <n v="926.54999999999973"/>
    <n v="0.28999999999999992"/>
    <x v="25"/>
    <x v="0"/>
    <x v="1"/>
  </r>
  <r>
    <x v="524"/>
    <d v="2022-05-02T00:00:00"/>
    <n v="5"/>
    <x v="15"/>
    <n v="375"/>
    <n v="247.5"/>
    <n v="1"/>
    <n v="375"/>
    <n v="247.5"/>
    <n v="127.5"/>
    <n v="0.34"/>
    <x v="19"/>
    <x v="2"/>
    <x v="1"/>
  </r>
  <r>
    <x v="524"/>
    <d v="2022-04-30T00:00:00"/>
    <n v="3"/>
    <x v="21"/>
    <n v="215"/>
    <n v="152.65"/>
    <n v="4"/>
    <n v="860"/>
    <n v="610.6"/>
    <n v="249.39999999999998"/>
    <n v="0.28999999999999998"/>
    <x v="34"/>
    <x v="3"/>
    <x v="0"/>
  </r>
  <r>
    <x v="524"/>
    <d v="2022-05-03T00:00:00"/>
    <n v="6"/>
    <x v="0"/>
    <n v="99"/>
    <n v="62.37"/>
    <n v="7"/>
    <n v="693"/>
    <n v="436.59"/>
    <n v="256.41000000000003"/>
    <n v="0.37000000000000005"/>
    <x v="45"/>
    <x v="3"/>
    <x v="0"/>
  </r>
  <r>
    <x v="525"/>
    <d v="2022-05-01T00:00:00"/>
    <n v="1"/>
    <x v="0"/>
    <n v="99"/>
    <n v="62.37"/>
    <n v="3"/>
    <n v="297"/>
    <n v="187.10999999999999"/>
    <n v="109.89000000000001"/>
    <n v="0.37000000000000005"/>
    <x v="10"/>
    <x v="0"/>
    <x v="1"/>
  </r>
  <r>
    <x v="526"/>
    <d v="2022-05-05T00:00:00"/>
    <n v="4"/>
    <x v="17"/>
    <n v="460"/>
    <n v="303.60000000000002"/>
    <n v="3"/>
    <n v="1380"/>
    <n v="910.80000000000007"/>
    <n v="469.19999999999993"/>
    <n v="0.33999999999999997"/>
    <x v="40"/>
    <x v="4"/>
    <x v="1"/>
  </r>
  <r>
    <x v="526"/>
    <d v="2022-05-02T00:00:00"/>
    <n v="1"/>
    <x v="4"/>
    <n v="195"/>
    <n v="138.44999999999999"/>
    <n v="1"/>
    <n v="195"/>
    <n v="138.44999999999999"/>
    <n v="56.550000000000011"/>
    <n v="0.29000000000000004"/>
    <x v="17"/>
    <x v="4"/>
    <x v="0"/>
  </r>
  <r>
    <x v="527"/>
    <d v="2022-05-07T00:00:00"/>
    <n v="3"/>
    <x v="1"/>
    <n v="390"/>
    <n v="288.60000000000002"/>
    <n v="7"/>
    <n v="2730"/>
    <n v="2020.2000000000003"/>
    <n v="709.79999999999973"/>
    <n v="0.2599999999999999"/>
    <x v="44"/>
    <x v="2"/>
    <x v="1"/>
  </r>
  <r>
    <x v="528"/>
    <d v="2022-05-06T00:00:00"/>
    <n v="1"/>
    <x v="1"/>
    <n v="390"/>
    <n v="288.60000000000002"/>
    <n v="2"/>
    <n v="780"/>
    <n v="577.20000000000005"/>
    <n v="202.79999999999995"/>
    <n v="0.25999999999999995"/>
    <x v="17"/>
    <x v="4"/>
    <x v="1"/>
  </r>
  <r>
    <x v="528"/>
    <d v="2022-05-07T00:00:00"/>
    <n v="2"/>
    <x v="17"/>
    <n v="460"/>
    <n v="303.60000000000002"/>
    <n v="7"/>
    <n v="3220"/>
    <n v="2125.2000000000003"/>
    <n v="1094.7999999999997"/>
    <n v="0.33999999999999991"/>
    <x v="13"/>
    <x v="2"/>
    <x v="0"/>
  </r>
  <r>
    <x v="529"/>
    <d v="2022-05-07T00:00:00"/>
    <n v="1"/>
    <x v="5"/>
    <n v="250"/>
    <n v="167.5"/>
    <n v="1"/>
    <n v="250"/>
    <n v="167.5"/>
    <n v="82.5"/>
    <n v="0.33"/>
    <x v="22"/>
    <x v="1"/>
    <x v="0"/>
  </r>
  <r>
    <x v="529"/>
    <d v="2022-05-10T00:00:00"/>
    <n v="4"/>
    <x v="5"/>
    <n v="250"/>
    <n v="167.5"/>
    <n v="2"/>
    <n v="500"/>
    <n v="335"/>
    <n v="165"/>
    <n v="0.33"/>
    <x v="3"/>
    <x v="0"/>
    <x v="0"/>
  </r>
  <r>
    <x v="530"/>
    <d v="2022-05-11T00:00:00"/>
    <n v="3"/>
    <x v="18"/>
    <n v="390"/>
    <n v="253.5"/>
    <n v="5"/>
    <n v="1950"/>
    <n v="1267.5"/>
    <n v="682.5"/>
    <n v="0.35"/>
    <x v="23"/>
    <x v="0"/>
    <x v="1"/>
  </r>
  <r>
    <x v="531"/>
    <d v="2022-05-12T00:00:00"/>
    <n v="3"/>
    <x v="12"/>
    <n v="250"/>
    <n v="187.5"/>
    <n v="6"/>
    <n v="1500"/>
    <n v="1125"/>
    <n v="375"/>
    <n v="0.25"/>
    <x v="14"/>
    <x v="0"/>
    <x v="0"/>
  </r>
  <r>
    <x v="532"/>
    <d v="2022-05-16T00:00:00"/>
    <n v="6"/>
    <x v="3"/>
    <n v="80"/>
    <n v="48.8"/>
    <n v="4"/>
    <n v="320"/>
    <n v="195.2"/>
    <n v="124.80000000000001"/>
    <n v="0.39"/>
    <x v="29"/>
    <x v="2"/>
    <x v="0"/>
  </r>
  <r>
    <x v="533"/>
    <d v="2022-05-18T00:00:00"/>
    <n v="6"/>
    <x v="7"/>
    <n v="275"/>
    <n v="200.75"/>
    <n v="4"/>
    <n v="1100"/>
    <n v="803"/>
    <n v="297"/>
    <n v="0.27"/>
    <x v="28"/>
    <x v="1"/>
    <x v="1"/>
  </r>
  <r>
    <x v="534"/>
    <d v="2022-05-20T00:00:00"/>
    <n v="5"/>
    <x v="6"/>
    <n v="290"/>
    <n v="185.6"/>
    <n v="5"/>
    <n v="1450"/>
    <n v="928"/>
    <n v="522"/>
    <n v="0.36"/>
    <x v="14"/>
    <x v="4"/>
    <x v="1"/>
  </r>
  <r>
    <x v="534"/>
    <d v="2022-05-21T00:00:00"/>
    <n v="6"/>
    <x v="21"/>
    <n v="215"/>
    <n v="152.65"/>
    <n v="9"/>
    <n v="1935"/>
    <n v="1373.8500000000001"/>
    <n v="561.14999999999986"/>
    <n v="0.28999999999999992"/>
    <x v="37"/>
    <x v="2"/>
    <x v="1"/>
  </r>
  <r>
    <x v="535"/>
    <d v="2022-05-20T00:00:00"/>
    <n v="4"/>
    <x v="17"/>
    <n v="460"/>
    <n v="303.60000000000002"/>
    <n v="4"/>
    <n v="1840"/>
    <n v="1214.4000000000001"/>
    <n v="625.59999999999991"/>
    <n v="0.33999999999999997"/>
    <x v="34"/>
    <x v="3"/>
    <x v="1"/>
  </r>
  <r>
    <x v="536"/>
    <d v="2022-05-20T00:00:00"/>
    <n v="3"/>
    <x v="9"/>
    <n v="440"/>
    <n v="286"/>
    <n v="3"/>
    <n v="1320"/>
    <n v="858"/>
    <n v="462"/>
    <n v="0.35"/>
    <x v="34"/>
    <x v="1"/>
    <x v="0"/>
  </r>
  <r>
    <x v="537"/>
    <d v="2022-05-24T00:00:00"/>
    <n v="6"/>
    <x v="8"/>
    <n v="220"/>
    <n v="154"/>
    <n v="3"/>
    <n v="660"/>
    <n v="462"/>
    <n v="198"/>
    <n v="0.3"/>
    <x v="43"/>
    <x v="2"/>
    <x v="0"/>
  </r>
  <r>
    <x v="538"/>
    <d v="2022-05-24T00:00:00"/>
    <n v="5"/>
    <x v="5"/>
    <n v="250"/>
    <n v="167.5"/>
    <n v="4"/>
    <n v="1000"/>
    <n v="670"/>
    <n v="330"/>
    <n v="0.33"/>
    <x v="18"/>
    <x v="2"/>
    <x v="0"/>
  </r>
  <r>
    <x v="539"/>
    <d v="2022-05-23T00:00:00"/>
    <n v="2"/>
    <x v="20"/>
    <n v="355"/>
    <n v="252.05"/>
    <n v="5"/>
    <n v="1775"/>
    <n v="1260.25"/>
    <n v="514.75"/>
    <n v="0.28999999999999998"/>
    <x v="19"/>
    <x v="3"/>
    <x v="0"/>
  </r>
  <r>
    <x v="539"/>
    <d v="2022-05-25T00:00:00"/>
    <n v="4"/>
    <x v="16"/>
    <n v="110"/>
    <n v="78.099999999999994"/>
    <n v="1"/>
    <n v="110"/>
    <n v="78.099999999999994"/>
    <n v="31.900000000000006"/>
    <n v="0.29000000000000004"/>
    <x v="12"/>
    <x v="4"/>
    <x v="0"/>
  </r>
  <r>
    <x v="540"/>
    <d v="2022-05-25T00:00:00"/>
    <n v="3"/>
    <x v="15"/>
    <n v="375"/>
    <n v="247.5"/>
    <n v="5"/>
    <n v="1875"/>
    <n v="1237.5"/>
    <n v="637.5"/>
    <n v="0.34"/>
    <x v="14"/>
    <x v="0"/>
    <x v="1"/>
  </r>
  <r>
    <x v="540"/>
    <d v="2022-05-27T00:00:00"/>
    <n v="5"/>
    <x v="5"/>
    <n v="250"/>
    <n v="167.5"/>
    <n v="1"/>
    <n v="250"/>
    <n v="167.5"/>
    <n v="82.5"/>
    <n v="0.33"/>
    <x v="24"/>
    <x v="0"/>
    <x v="0"/>
  </r>
  <r>
    <x v="540"/>
    <d v="2022-05-25T00:00:00"/>
    <n v="3"/>
    <x v="8"/>
    <n v="220"/>
    <n v="154"/>
    <n v="7"/>
    <n v="1540"/>
    <n v="1078"/>
    <n v="462"/>
    <n v="0.3"/>
    <x v="26"/>
    <x v="3"/>
    <x v="0"/>
  </r>
  <r>
    <x v="541"/>
    <d v="2022-05-25T00:00:00"/>
    <n v="2"/>
    <x v="10"/>
    <n v="59"/>
    <n v="41.3"/>
    <n v="7"/>
    <n v="413"/>
    <n v="289.09999999999997"/>
    <n v="123.90000000000003"/>
    <n v="0.3000000000000001"/>
    <x v="23"/>
    <x v="3"/>
    <x v="0"/>
  </r>
  <r>
    <x v="542"/>
    <d v="2022-05-30T00:00:00"/>
    <n v="6"/>
    <x v="15"/>
    <n v="375"/>
    <n v="247.5"/>
    <n v="3"/>
    <n v="1125"/>
    <n v="742.5"/>
    <n v="382.5"/>
    <n v="0.34"/>
    <x v="11"/>
    <x v="1"/>
    <x v="0"/>
  </r>
  <r>
    <x v="542"/>
    <d v="2022-05-25T00:00:00"/>
    <n v="1"/>
    <x v="9"/>
    <n v="440"/>
    <n v="286"/>
    <n v="8"/>
    <n v="3520"/>
    <n v="2288"/>
    <n v="1232"/>
    <n v="0.35"/>
    <x v="13"/>
    <x v="2"/>
    <x v="0"/>
  </r>
  <r>
    <x v="543"/>
    <d v="2022-05-29T00:00:00"/>
    <n v="3"/>
    <x v="3"/>
    <n v="80"/>
    <n v="48.8"/>
    <n v="4"/>
    <n v="320"/>
    <n v="195.2"/>
    <n v="124.80000000000001"/>
    <n v="0.39"/>
    <x v="47"/>
    <x v="0"/>
    <x v="0"/>
  </r>
  <r>
    <x v="544"/>
    <d v="2022-06-01T00:00:00"/>
    <n v="5"/>
    <x v="16"/>
    <n v="110"/>
    <n v="78.099999999999994"/>
    <n v="1"/>
    <n v="110"/>
    <n v="78.099999999999994"/>
    <n v="31.900000000000006"/>
    <n v="0.29000000000000004"/>
    <x v="22"/>
    <x v="3"/>
    <x v="1"/>
  </r>
  <r>
    <x v="544"/>
    <d v="2022-05-29T00:00:00"/>
    <n v="2"/>
    <x v="21"/>
    <n v="215"/>
    <n v="152.65"/>
    <n v="5"/>
    <n v="1075"/>
    <n v="763.25"/>
    <n v="311.75"/>
    <n v="0.28999999999999998"/>
    <x v="9"/>
    <x v="4"/>
    <x v="0"/>
  </r>
  <r>
    <x v="544"/>
    <d v="2022-06-03T00:00:00"/>
    <n v="7"/>
    <x v="9"/>
    <n v="440"/>
    <n v="286"/>
    <n v="9"/>
    <n v="3960"/>
    <n v="2574"/>
    <n v="1386"/>
    <n v="0.35"/>
    <x v="17"/>
    <x v="1"/>
    <x v="1"/>
  </r>
  <r>
    <x v="545"/>
    <d v="2022-06-03T00:00:00"/>
    <n v="6"/>
    <x v="4"/>
    <n v="195"/>
    <n v="138.44999999999999"/>
    <n v="8"/>
    <n v="1560"/>
    <n v="1107.5999999999999"/>
    <n v="452.40000000000009"/>
    <n v="0.29000000000000004"/>
    <x v="2"/>
    <x v="2"/>
    <x v="1"/>
  </r>
  <r>
    <x v="546"/>
    <d v="2022-06-04T00:00:00"/>
    <n v="6"/>
    <x v="0"/>
    <n v="99"/>
    <n v="62.37"/>
    <n v="7"/>
    <n v="693"/>
    <n v="436.59"/>
    <n v="256.41000000000003"/>
    <n v="0.37000000000000005"/>
    <x v="31"/>
    <x v="3"/>
    <x v="1"/>
  </r>
  <r>
    <x v="546"/>
    <d v="2022-06-04T00:00:00"/>
    <n v="6"/>
    <x v="17"/>
    <n v="460"/>
    <n v="303.60000000000002"/>
    <n v="8"/>
    <n v="3680"/>
    <n v="2428.8000000000002"/>
    <n v="1251.1999999999998"/>
    <n v="0.33999999999999997"/>
    <x v="32"/>
    <x v="0"/>
    <x v="1"/>
  </r>
  <r>
    <x v="547"/>
    <d v="2022-06-05T00:00:00"/>
    <n v="6"/>
    <x v="0"/>
    <n v="99"/>
    <n v="62.37"/>
    <n v="8"/>
    <n v="792"/>
    <n v="498.96"/>
    <n v="293.04000000000002"/>
    <n v="0.37000000000000005"/>
    <x v="26"/>
    <x v="4"/>
    <x v="1"/>
  </r>
  <r>
    <x v="547"/>
    <d v="2022-05-31T00:00:00"/>
    <n v="1"/>
    <x v="7"/>
    <n v="275"/>
    <n v="200.75"/>
    <n v="6"/>
    <n v="1650"/>
    <n v="1204.5"/>
    <n v="445.5"/>
    <n v="0.27"/>
    <x v="28"/>
    <x v="2"/>
    <x v="0"/>
  </r>
  <r>
    <x v="547"/>
    <d v="2022-06-06T00:00:00"/>
    <n v="7"/>
    <x v="13"/>
    <n v="95"/>
    <n v="60.8"/>
    <n v="2"/>
    <n v="190"/>
    <n v="121.6"/>
    <n v="68.400000000000006"/>
    <n v="0.36000000000000004"/>
    <x v="14"/>
    <x v="3"/>
    <x v="0"/>
  </r>
  <r>
    <x v="548"/>
    <d v="2022-06-03T00:00:00"/>
    <n v="2"/>
    <x v="18"/>
    <n v="390"/>
    <n v="253.5"/>
    <n v="8"/>
    <n v="3120"/>
    <n v="2028"/>
    <n v="1092"/>
    <n v="0.35"/>
    <x v="41"/>
    <x v="4"/>
    <x v="0"/>
  </r>
  <r>
    <x v="549"/>
    <d v="2022-06-08T00:00:00"/>
    <n v="6"/>
    <x v="15"/>
    <n v="375"/>
    <n v="247.5"/>
    <n v="2"/>
    <n v="750"/>
    <n v="495"/>
    <n v="255"/>
    <n v="0.34"/>
    <x v="22"/>
    <x v="4"/>
    <x v="1"/>
  </r>
  <r>
    <x v="550"/>
    <d v="2022-06-07T00:00:00"/>
    <n v="4"/>
    <x v="19"/>
    <n v="145"/>
    <n v="105.85"/>
    <n v="1"/>
    <n v="145"/>
    <n v="105.85"/>
    <n v="39.150000000000006"/>
    <n v="0.27"/>
    <x v="31"/>
    <x v="1"/>
    <x v="0"/>
  </r>
  <r>
    <x v="551"/>
    <d v="2022-06-11T00:00:00"/>
    <n v="6"/>
    <x v="18"/>
    <n v="390"/>
    <n v="253.5"/>
    <n v="8"/>
    <n v="3120"/>
    <n v="2028"/>
    <n v="1092"/>
    <n v="0.35"/>
    <x v="40"/>
    <x v="4"/>
    <x v="0"/>
  </r>
  <r>
    <x v="552"/>
    <d v="2022-06-09T00:00:00"/>
    <n v="3"/>
    <x v="5"/>
    <n v="250"/>
    <n v="167.5"/>
    <n v="9"/>
    <n v="2250"/>
    <n v="1507.5"/>
    <n v="742.5"/>
    <n v="0.33"/>
    <x v="4"/>
    <x v="0"/>
    <x v="0"/>
  </r>
  <r>
    <x v="552"/>
    <d v="2022-06-07T00:00:00"/>
    <n v="1"/>
    <x v="20"/>
    <n v="355"/>
    <n v="252.05"/>
    <n v="8"/>
    <n v="2840"/>
    <n v="2016.4"/>
    <n v="823.59999999999991"/>
    <n v="0.28999999999999998"/>
    <x v="29"/>
    <x v="4"/>
    <x v="0"/>
  </r>
  <r>
    <x v="553"/>
    <d v="2022-06-12T00:00:00"/>
    <n v="5"/>
    <x v="7"/>
    <n v="275"/>
    <n v="200.75"/>
    <n v="4"/>
    <n v="1100"/>
    <n v="803"/>
    <n v="297"/>
    <n v="0.27"/>
    <x v="23"/>
    <x v="0"/>
    <x v="1"/>
  </r>
  <r>
    <x v="554"/>
    <d v="2022-06-10T00:00:00"/>
    <n v="2"/>
    <x v="5"/>
    <n v="250"/>
    <n v="167.5"/>
    <n v="2"/>
    <n v="500"/>
    <n v="335"/>
    <n v="165"/>
    <n v="0.33"/>
    <x v="12"/>
    <x v="0"/>
    <x v="1"/>
  </r>
  <r>
    <x v="554"/>
    <d v="2022-06-14T00:00:00"/>
    <n v="6"/>
    <x v="7"/>
    <n v="275"/>
    <n v="200.75"/>
    <n v="2"/>
    <n v="550"/>
    <n v="401.5"/>
    <n v="148.5"/>
    <n v="0.27"/>
    <x v="24"/>
    <x v="1"/>
    <x v="0"/>
  </r>
  <r>
    <x v="555"/>
    <d v="2022-06-11T00:00:00"/>
    <n v="2"/>
    <x v="5"/>
    <n v="250"/>
    <n v="167.5"/>
    <n v="9"/>
    <n v="2250"/>
    <n v="1507.5"/>
    <n v="742.5"/>
    <n v="0.33"/>
    <x v="39"/>
    <x v="2"/>
    <x v="1"/>
  </r>
  <r>
    <x v="556"/>
    <d v="2022-06-14T00:00:00"/>
    <n v="4"/>
    <x v="0"/>
    <n v="99"/>
    <n v="62.37"/>
    <n v="8"/>
    <n v="792"/>
    <n v="498.96"/>
    <n v="293.04000000000002"/>
    <n v="0.37000000000000005"/>
    <x v="3"/>
    <x v="4"/>
    <x v="0"/>
  </r>
  <r>
    <x v="557"/>
    <d v="2022-06-14T00:00:00"/>
    <n v="3"/>
    <x v="3"/>
    <n v="80"/>
    <n v="48.8"/>
    <n v="1"/>
    <n v="80"/>
    <n v="48.8"/>
    <n v="31.200000000000003"/>
    <n v="0.39"/>
    <x v="37"/>
    <x v="0"/>
    <x v="0"/>
  </r>
  <r>
    <x v="558"/>
    <d v="2022-06-19T00:00:00"/>
    <n v="6"/>
    <x v="16"/>
    <n v="110"/>
    <n v="78.099999999999994"/>
    <n v="8"/>
    <n v="880"/>
    <n v="624.79999999999995"/>
    <n v="255.20000000000005"/>
    <n v="0.29000000000000004"/>
    <x v="7"/>
    <x v="3"/>
    <x v="1"/>
  </r>
  <r>
    <x v="559"/>
    <d v="2022-06-15T00:00:00"/>
    <n v="1"/>
    <x v="16"/>
    <n v="110"/>
    <n v="78.099999999999994"/>
    <n v="8"/>
    <n v="880"/>
    <n v="624.79999999999995"/>
    <n v="255.20000000000005"/>
    <n v="0.29000000000000004"/>
    <x v="4"/>
    <x v="4"/>
    <x v="1"/>
  </r>
  <r>
    <x v="560"/>
    <d v="2022-06-17T00:00:00"/>
    <n v="2"/>
    <x v="21"/>
    <n v="215"/>
    <n v="152.65"/>
    <n v="3"/>
    <n v="645"/>
    <n v="457.95000000000005"/>
    <n v="187.04999999999995"/>
    <n v="0.28999999999999992"/>
    <x v="25"/>
    <x v="2"/>
    <x v="0"/>
  </r>
  <r>
    <x v="560"/>
    <d v="2022-06-17T00:00:00"/>
    <n v="2"/>
    <x v="3"/>
    <n v="80"/>
    <n v="48.8"/>
    <n v="4"/>
    <n v="320"/>
    <n v="195.2"/>
    <n v="124.80000000000001"/>
    <n v="0.39"/>
    <x v="17"/>
    <x v="2"/>
    <x v="1"/>
  </r>
  <r>
    <x v="561"/>
    <d v="2022-06-19T00:00:00"/>
    <n v="1"/>
    <x v="18"/>
    <n v="390"/>
    <n v="253.5"/>
    <n v="3"/>
    <n v="1170"/>
    <n v="760.5"/>
    <n v="409.5"/>
    <n v="0.35"/>
    <x v="1"/>
    <x v="4"/>
    <x v="1"/>
  </r>
  <r>
    <x v="562"/>
    <d v="2022-06-26T00:00:00"/>
    <n v="4"/>
    <x v="11"/>
    <n v="320"/>
    <n v="233.6"/>
    <n v="9"/>
    <n v="2880"/>
    <n v="2102.4"/>
    <n v="777.59999999999991"/>
    <n v="0.26999999999999996"/>
    <x v="37"/>
    <x v="2"/>
    <x v="1"/>
  </r>
  <r>
    <x v="563"/>
    <d v="2022-06-29T00:00:00"/>
    <n v="4"/>
    <x v="19"/>
    <n v="145"/>
    <n v="105.85"/>
    <n v="7"/>
    <n v="1015"/>
    <n v="740.94999999999993"/>
    <n v="274.05000000000007"/>
    <n v="0.27000000000000007"/>
    <x v="42"/>
    <x v="3"/>
    <x v="0"/>
  </r>
  <r>
    <x v="563"/>
    <d v="2022-06-28T00:00:00"/>
    <n v="3"/>
    <x v="5"/>
    <n v="250"/>
    <n v="167.5"/>
    <n v="2"/>
    <n v="500"/>
    <n v="335"/>
    <n v="165"/>
    <n v="0.33"/>
    <x v="7"/>
    <x v="3"/>
    <x v="0"/>
  </r>
  <r>
    <x v="563"/>
    <d v="2022-06-30T00:00:00"/>
    <n v="5"/>
    <x v="14"/>
    <n v="490"/>
    <n v="298.89999999999998"/>
    <n v="3"/>
    <n v="1470"/>
    <n v="896.69999999999993"/>
    <n v="573.30000000000007"/>
    <n v="0.39000000000000007"/>
    <x v="24"/>
    <x v="0"/>
    <x v="1"/>
  </r>
  <r>
    <x v="564"/>
    <d v="2022-06-29T00:00:00"/>
    <n v="2"/>
    <x v="11"/>
    <n v="320"/>
    <n v="233.6"/>
    <n v="7"/>
    <n v="2240"/>
    <n v="1635.2"/>
    <n v="604.79999999999995"/>
    <n v="0.26999999999999996"/>
    <x v="6"/>
    <x v="4"/>
    <x v="1"/>
  </r>
  <r>
    <x v="564"/>
    <d v="2022-06-30T00:00:00"/>
    <n v="3"/>
    <x v="2"/>
    <n v="445"/>
    <n v="280.35000000000002"/>
    <n v="9"/>
    <n v="4005"/>
    <n v="2523.15"/>
    <n v="1481.85"/>
    <n v="0.37"/>
    <x v="31"/>
    <x v="0"/>
    <x v="1"/>
  </r>
  <r>
    <x v="564"/>
    <d v="2022-06-30T00:00:00"/>
    <n v="3"/>
    <x v="15"/>
    <n v="375"/>
    <n v="247.5"/>
    <n v="2"/>
    <n v="750"/>
    <n v="495"/>
    <n v="255"/>
    <n v="0.34"/>
    <x v="34"/>
    <x v="2"/>
    <x v="0"/>
  </r>
  <r>
    <x v="565"/>
    <d v="2022-07-04T00:00:00"/>
    <n v="6"/>
    <x v="16"/>
    <n v="110"/>
    <n v="78.099999999999994"/>
    <n v="8"/>
    <n v="880"/>
    <n v="624.79999999999995"/>
    <n v="255.20000000000005"/>
    <n v="0.29000000000000004"/>
    <x v="12"/>
    <x v="4"/>
    <x v="1"/>
  </r>
  <r>
    <x v="566"/>
    <d v="2022-07-06T00:00:00"/>
    <n v="5"/>
    <x v="7"/>
    <n v="275"/>
    <n v="200.75"/>
    <n v="8"/>
    <n v="2200"/>
    <n v="1606"/>
    <n v="594"/>
    <n v="0.27"/>
    <x v="18"/>
    <x v="0"/>
    <x v="1"/>
  </r>
  <r>
    <x v="566"/>
    <d v="2022-07-06T00:00:00"/>
    <n v="5"/>
    <x v="16"/>
    <n v="110"/>
    <n v="78.099999999999994"/>
    <n v="9"/>
    <n v="990"/>
    <n v="702.9"/>
    <n v="287.10000000000002"/>
    <n v="0.29000000000000004"/>
    <x v="30"/>
    <x v="2"/>
    <x v="1"/>
  </r>
  <r>
    <x v="567"/>
    <d v="2022-07-04T00:00:00"/>
    <n v="1"/>
    <x v="15"/>
    <n v="375"/>
    <n v="247.5"/>
    <n v="9"/>
    <n v="3375"/>
    <n v="2227.5"/>
    <n v="1147.5"/>
    <n v="0.34"/>
    <x v="20"/>
    <x v="0"/>
    <x v="1"/>
  </r>
  <r>
    <x v="568"/>
    <d v="2022-07-07T00:00:00"/>
    <n v="3"/>
    <x v="14"/>
    <n v="490"/>
    <n v="298.89999999999998"/>
    <n v="4"/>
    <n v="1960"/>
    <n v="1195.5999999999999"/>
    <n v="764.40000000000009"/>
    <n v="0.39000000000000007"/>
    <x v="39"/>
    <x v="1"/>
    <x v="1"/>
  </r>
  <r>
    <x v="568"/>
    <d v="2022-07-05T00:00:00"/>
    <n v="1"/>
    <x v="1"/>
    <n v="390"/>
    <n v="288.60000000000002"/>
    <n v="9"/>
    <n v="3510"/>
    <n v="2597.4"/>
    <n v="912.59999999999991"/>
    <n v="0.25999999999999995"/>
    <x v="41"/>
    <x v="2"/>
    <x v="0"/>
  </r>
  <r>
    <x v="569"/>
    <d v="2022-07-08T00:00:00"/>
    <n v="3"/>
    <x v="9"/>
    <n v="440"/>
    <n v="286"/>
    <n v="9"/>
    <n v="3960"/>
    <n v="2574"/>
    <n v="1386"/>
    <n v="0.35"/>
    <x v="34"/>
    <x v="2"/>
    <x v="0"/>
  </r>
  <r>
    <x v="569"/>
    <d v="2022-07-08T00:00:00"/>
    <n v="3"/>
    <x v="0"/>
    <n v="99"/>
    <n v="62.37"/>
    <n v="3"/>
    <n v="297"/>
    <n v="187.10999999999999"/>
    <n v="109.89000000000001"/>
    <n v="0.37000000000000005"/>
    <x v="46"/>
    <x v="0"/>
    <x v="1"/>
  </r>
  <r>
    <x v="570"/>
    <d v="2022-07-14T00:00:00"/>
    <n v="5"/>
    <x v="9"/>
    <n v="440"/>
    <n v="286"/>
    <n v="2"/>
    <n v="880"/>
    <n v="572"/>
    <n v="308"/>
    <n v="0.35"/>
    <x v="38"/>
    <x v="2"/>
    <x v="1"/>
  </r>
  <r>
    <x v="571"/>
    <d v="2022-07-18T00:00:00"/>
    <n v="7"/>
    <x v="10"/>
    <n v="59"/>
    <n v="41.3"/>
    <n v="9"/>
    <n v="531"/>
    <n v="371.7"/>
    <n v="159.30000000000001"/>
    <n v="0.30000000000000004"/>
    <x v="23"/>
    <x v="3"/>
    <x v="1"/>
  </r>
  <r>
    <x v="571"/>
    <d v="2022-07-13T00:00:00"/>
    <n v="2"/>
    <x v="4"/>
    <n v="195"/>
    <n v="138.44999999999999"/>
    <n v="4"/>
    <n v="780"/>
    <n v="553.79999999999995"/>
    <n v="226.20000000000005"/>
    <n v="0.29000000000000004"/>
    <x v="19"/>
    <x v="2"/>
    <x v="0"/>
  </r>
  <r>
    <x v="572"/>
    <d v="2022-07-14T00:00:00"/>
    <n v="2"/>
    <x v="2"/>
    <n v="445"/>
    <n v="280.35000000000002"/>
    <n v="9"/>
    <n v="4005"/>
    <n v="2523.15"/>
    <n v="1481.85"/>
    <n v="0.37"/>
    <x v="40"/>
    <x v="4"/>
    <x v="1"/>
  </r>
  <r>
    <x v="573"/>
    <d v="2022-07-15T00:00:00"/>
    <n v="2"/>
    <x v="9"/>
    <n v="440"/>
    <n v="286"/>
    <n v="9"/>
    <n v="3960"/>
    <n v="2574"/>
    <n v="1386"/>
    <n v="0.35"/>
    <x v="33"/>
    <x v="0"/>
    <x v="0"/>
  </r>
  <r>
    <x v="573"/>
    <d v="2022-07-18T00:00:00"/>
    <n v="5"/>
    <x v="16"/>
    <n v="110"/>
    <n v="78.099999999999994"/>
    <n v="9"/>
    <n v="990"/>
    <n v="702.9"/>
    <n v="287.10000000000002"/>
    <n v="0.29000000000000004"/>
    <x v="25"/>
    <x v="0"/>
    <x v="1"/>
  </r>
  <r>
    <x v="573"/>
    <d v="2022-07-18T00:00:00"/>
    <n v="5"/>
    <x v="3"/>
    <n v="80"/>
    <n v="48.8"/>
    <n v="7"/>
    <n v="560"/>
    <n v="341.59999999999997"/>
    <n v="218.40000000000003"/>
    <n v="0.39000000000000007"/>
    <x v="47"/>
    <x v="0"/>
    <x v="0"/>
  </r>
  <r>
    <x v="574"/>
    <d v="2022-07-15T00:00:00"/>
    <n v="1"/>
    <x v="6"/>
    <n v="290"/>
    <n v="185.6"/>
    <n v="2"/>
    <n v="580"/>
    <n v="371.2"/>
    <n v="208.8"/>
    <n v="0.36000000000000004"/>
    <x v="34"/>
    <x v="4"/>
    <x v="0"/>
  </r>
  <r>
    <x v="575"/>
    <d v="2022-07-20T00:00:00"/>
    <n v="5"/>
    <x v="1"/>
    <n v="390"/>
    <n v="288.60000000000002"/>
    <n v="5"/>
    <n v="1950"/>
    <n v="1443"/>
    <n v="507"/>
    <n v="0.26"/>
    <x v="2"/>
    <x v="4"/>
    <x v="0"/>
  </r>
  <r>
    <x v="576"/>
    <d v="2022-07-18T00:00:00"/>
    <n v="2"/>
    <x v="16"/>
    <n v="110"/>
    <n v="78.099999999999994"/>
    <n v="8"/>
    <n v="880"/>
    <n v="624.79999999999995"/>
    <n v="255.20000000000005"/>
    <n v="0.29000000000000004"/>
    <x v="37"/>
    <x v="4"/>
    <x v="1"/>
  </r>
  <r>
    <x v="577"/>
    <d v="2022-07-21T00:00:00"/>
    <n v="4"/>
    <x v="20"/>
    <n v="355"/>
    <n v="252.05"/>
    <n v="8"/>
    <n v="2840"/>
    <n v="2016.4"/>
    <n v="823.59999999999991"/>
    <n v="0.28999999999999998"/>
    <x v="42"/>
    <x v="3"/>
    <x v="0"/>
  </r>
  <r>
    <x v="577"/>
    <d v="2022-07-23T00:00:00"/>
    <n v="6"/>
    <x v="7"/>
    <n v="275"/>
    <n v="200.75"/>
    <n v="2"/>
    <n v="550"/>
    <n v="401.5"/>
    <n v="148.5"/>
    <n v="0.27"/>
    <x v="9"/>
    <x v="0"/>
    <x v="0"/>
  </r>
  <r>
    <x v="578"/>
    <d v="2022-07-20T00:00:00"/>
    <n v="2"/>
    <x v="9"/>
    <n v="440"/>
    <n v="286"/>
    <n v="8"/>
    <n v="3520"/>
    <n v="2288"/>
    <n v="1232"/>
    <n v="0.35"/>
    <x v="22"/>
    <x v="3"/>
    <x v="0"/>
  </r>
  <r>
    <x v="579"/>
    <d v="2022-07-23T00:00:00"/>
    <n v="4"/>
    <x v="16"/>
    <n v="110"/>
    <n v="78.099999999999994"/>
    <n v="4"/>
    <n v="440"/>
    <n v="312.39999999999998"/>
    <n v="127.60000000000002"/>
    <n v="0.29000000000000004"/>
    <x v="26"/>
    <x v="3"/>
    <x v="0"/>
  </r>
  <r>
    <x v="579"/>
    <d v="2022-07-22T00:00:00"/>
    <n v="3"/>
    <x v="1"/>
    <n v="390"/>
    <n v="288.60000000000002"/>
    <n v="8"/>
    <n v="3120"/>
    <n v="2308.8000000000002"/>
    <n v="811.19999999999982"/>
    <n v="0.25999999999999995"/>
    <x v="19"/>
    <x v="1"/>
    <x v="0"/>
  </r>
  <r>
    <x v="580"/>
    <d v="2022-07-24T00:00:00"/>
    <n v="4"/>
    <x v="18"/>
    <n v="390"/>
    <n v="253.5"/>
    <n v="8"/>
    <n v="3120"/>
    <n v="2028"/>
    <n v="1092"/>
    <n v="0.35"/>
    <x v="42"/>
    <x v="1"/>
    <x v="0"/>
  </r>
  <r>
    <x v="580"/>
    <d v="2022-07-22T00:00:00"/>
    <n v="2"/>
    <x v="10"/>
    <n v="59"/>
    <n v="41.3"/>
    <n v="1"/>
    <n v="59"/>
    <n v="41.3"/>
    <n v="17.700000000000003"/>
    <n v="0.30000000000000004"/>
    <x v="18"/>
    <x v="2"/>
    <x v="0"/>
  </r>
  <r>
    <x v="581"/>
    <d v="2022-07-25T00:00:00"/>
    <n v="4"/>
    <x v="4"/>
    <n v="195"/>
    <n v="138.44999999999999"/>
    <n v="5"/>
    <n v="975"/>
    <n v="692.25"/>
    <n v="282.75"/>
    <n v="0.28999999999999998"/>
    <x v="9"/>
    <x v="0"/>
    <x v="1"/>
  </r>
  <r>
    <x v="582"/>
    <d v="2022-07-26T00:00:00"/>
    <n v="3"/>
    <x v="17"/>
    <n v="460"/>
    <n v="303.60000000000002"/>
    <n v="4"/>
    <n v="1840"/>
    <n v="1214.4000000000001"/>
    <n v="625.59999999999991"/>
    <n v="0.33999999999999997"/>
    <x v="9"/>
    <x v="4"/>
    <x v="1"/>
  </r>
  <r>
    <x v="582"/>
    <d v="2022-07-26T00:00:00"/>
    <n v="3"/>
    <x v="8"/>
    <n v="220"/>
    <n v="154"/>
    <n v="9"/>
    <n v="1980"/>
    <n v="1386"/>
    <n v="594"/>
    <n v="0.3"/>
    <x v="42"/>
    <x v="4"/>
    <x v="1"/>
  </r>
  <r>
    <x v="583"/>
    <d v="2022-07-31T00:00:00"/>
    <n v="7"/>
    <x v="0"/>
    <n v="99"/>
    <n v="62.37"/>
    <n v="5"/>
    <n v="495"/>
    <n v="311.84999999999997"/>
    <n v="183.15000000000003"/>
    <n v="0.37000000000000005"/>
    <x v="29"/>
    <x v="4"/>
    <x v="0"/>
  </r>
  <r>
    <x v="583"/>
    <d v="2022-07-25T00:00:00"/>
    <n v="1"/>
    <x v="16"/>
    <n v="110"/>
    <n v="78.099999999999994"/>
    <n v="3"/>
    <n v="330"/>
    <n v="234.29999999999998"/>
    <n v="95.700000000000017"/>
    <n v="0.29000000000000004"/>
    <x v="38"/>
    <x v="0"/>
    <x v="0"/>
  </r>
  <r>
    <x v="584"/>
    <d v="2022-07-30T00:00:00"/>
    <n v="4"/>
    <x v="17"/>
    <n v="460"/>
    <n v="303.60000000000002"/>
    <n v="3"/>
    <n v="1380"/>
    <n v="910.80000000000007"/>
    <n v="469.19999999999993"/>
    <n v="0.33999999999999997"/>
    <x v="37"/>
    <x v="3"/>
    <x v="1"/>
  </r>
  <r>
    <x v="584"/>
    <d v="2022-07-28T00:00:00"/>
    <n v="2"/>
    <x v="14"/>
    <n v="490"/>
    <n v="298.89999999999998"/>
    <n v="4"/>
    <n v="1960"/>
    <n v="1195.5999999999999"/>
    <n v="764.40000000000009"/>
    <n v="0.39000000000000007"/>
    <x v="34"/>
    <x v="4"/>
    <x v="1"/>
  </r>
  <r>
    <x v="585"/>
    <d v="2022-07-31T00:00:00"/>
    <n v="3"/>
    <x v="14"/>
    <n v="490"/>
    <n v="298.89999999999998"/>
    <n v="9"/>
    <n v="4410"/>
    <n v="2690.1"/>
    <n v="1719.9"/>
    <n v="0.39"/>
    <x v="3"/>
    <x v="4"/>
    <x v="0"/>
  </r>
  <r>
    <x v="585"/>
    <d v="2022-08-03T00:00:00"/>
    <n v="6"/>
    <x v="19"/>
    <n v="145"/>
    <n v="105.85"/>
    <n v="2"/>
    <n v="290"/>
    <n v="211.7"/>
    <n v="78.300000000000011"/>
    <n v="0.27"/>
    <x v="35"/>
    <x v="0"/>
    <x v="1"/>
  </r>
  <r>
    <x v="586"/>
    <d v="2022-08-06T00:00:00"/>
    <n v="7"/>
    <x v="12"/>
    <n v="250"/>
    <n v="187.5"/>
    <n v="6"/>
    <n v="1500"/>
    <n v="1125"/>
    <n v="375"/>
    <n v="0.25"/>
    <x v="23"/>
    <x v="2"/>
    <x v="1"/>
  </r>
  <r>
    <x v="587"/>
    <d v="2022-08-04T00:00:00"/>
    <n v="4"/>
    <x v="2"/>
    <n v="445"/>
    <n v="280.35000000000002"/>
    <n v="5"/>
    <n v="2225"/>
    <n v="1401.75"/>
    <n v="823.25"/>
    <n v="0.37"/>
    <x v="47"/>
    <x v="3"/>
    <x v="0"/>
  </r>
  <r>
    <x v="588"/>
    <d v="2022-08-04T00:00:00"/>
    <n v="3"/>
    <x v="6"/>
    <n v="290"/>
    <n v="185.6"/>
    <n v="2"/>
    <n v="580"/>
    <n v="371.2"/>
    <n v="208.8"/>
    <n v="0.36000000000000004"/>
    <x v="2"/>
    <x v="4"/>
    <x v="1"/>
  </r>
  <r>
    <x v="588"/>
    <d v="2022-08-06T00:00:00"/>
    <n v="5"/>
    <x v="12"/>
    <n v="250"/>
    <n v="187.5"/>
    <n v="2"/>
    <n v="500"/>
    <n v="375"/>
    <n v="125"/>
    <n v="0.25"/>
    <x v="45"/>
    <x v="0"/>
    <x v="0"/>
  </r>
  <r>
    <x v="589"/>
    <d v="2022-08-06T00:00:00"/>
    <n v="4"/>
    <x v="0"/>
    <n v="99"/>
    <n v="62.37"/>
    <n v="7"/>
    <n v="693"/>
    <n v="436.59"/>
    <n v="256.41000000000003"/>
    <n v="0.37000000000000005"/>
    <x v="42"/>
    <x v="3"/>
    <x v="1"/>
  </r>
  <r>
    <x v="590"/>
    <d v="2022-08-05T00:00:00"/>
    <n v="1"/>
    <x v="5"/>
    <n v="250"/>
    <n v="167.5"/>
    <n v="8"/>
    <n v="2000"/>
    <n v="1340"/>
    <n v="660"/>
    <n v="0.33"/>
    <x v="9"/>
    <x v="1"/>
    <x v="1"/>
  </r>
  <r>
    <x v="591"/>
    <d v="2022-08-11T00:00:00"/>
    <n v="5"/>
    <x v="17"/>
    <n v="460"/>
    <n v="303.60000000000002"/>
    <n v="4"/>
    <n v="1840"/>
    <n v="1214.4000000000001"/>
    <n v="625.59999999999991"/>
    <n v="0.33999999999999997"/>
    <x v="3"/>
    <x v="4"/>
    <x v="1"/>
  </r>
  <r>
    <x v="592"/>
    <d v="2022-08-11T00:00:00"/>
    <n v="4"/>
    <x v="10"/>
    <n v="59"/>
    <n v="41.3"/>
    <n v="3"/>
    <n v="177"/>
    <n v="123.89999999999999"/>
    <n v="53.100000000000009"/>
    <n v="0.30000000000000004"/>
    <x v="17"/>
    <x v="1"/>
    <x v="0"/>
  </r>
  <r>
    <x v="593"/>
    <d v="2022-08-12T00:00:00"/>
    <n v="4"/>
    <x v="11"/>
    <n v="320"/>
    <n v="233.6"/>
    <n v="7"/>
    <n v="2240"/>
    <n v="1635.2"/>
    <n v="604.79999999999995"/>
    <n v="0.26999999999999996"/>
    <x v="33"/>
    <x v="2"/>
    <x v="0"/>
  </r>
  <r>
    <x v="593"/>
    <d v="2022-08-10T00:00:00"/>
    <n v="2"/>
    <x v="4"/>
    <n v="195"/>
    <n v="138.44999999999999"/>
    <n v="8"/>
    <n v="1560"/>
    <n v="1107.5999999999999"/>
    <n v="452.40000000000009"/>
    <n v="0.29000000000000004"/>
    <x v="9"/>
    <x v="3"/>
    <x v="1"/>
  </r>
  <r>
    <x v="593"/>
    <d v="2022-08-10T00:00:00"/>
    <n v="2"/>
    <x v="10"/>
    <n v="59"/>
    <n v="41.3"/>
    <n v="7"/>
    <n v="413"/>
    <n v="289.09999999999997"/>
    <n v="123.90000000000003"/>
    <n v="0.3000000000000001"/>
    <x v="6"/>
    <x v="0"/>
    <x v="0"/>
  </r>
  <r>
    <x v="594"/>
    <d v="2022-08-12T00:00:00"/>
    <n v="1"/>
    <x v="4"/>
    <n v="195"/>
    <n v="138.44999999999999"/>
    <n v="6"/>
    <n v="1170"/>
    <n v="830.69999999999993"/>
    <n v="339.30000000000007"/>
    <n v="0.29000000000000004"/>
    <x v="0"/>
    <x v="1"/>
    <x v="1"/>
  </r>
  <r>
    <x v="594"/>
    <d v="2022-08-15T00:00:00"/>
    <n v="4"/>
    <x v="15"/>
    <n v="375"/>
    <n v="247.5"/>
    <n v="8"/>
    <n v="3000"/>
    <n v="1980"/>
    <n v="1020"/>
    <n v="0.34"/>
    <x v="33"/>
    <x v="1"/>
    <x v="1"/>
  </r>
  <r>
    <x v="594"/>
    <d v="2022-08-15T00:00:00"/>
    <n v="4"/>
    <x v="16"/>
    <n v="110"/>
    <n v="78.099999999999994"/>
    <n v="9"/>
    <n v="990"/>
    <n v="702.9"/>
    <n v="287.10000000000002"/>
    <n v="0.29000000000000004"/>
    <x v="42"/>
    <x v="3"/>
    <x v="1"/>
  </r>
  <r>
    <x v="595"/>
    <d v="2022-08-18T00:00:00"/>
    <n v="5"/>
    <x v="18"/>
    <n v="390"/>
    <n v="253.5"/>
    <n v="7"/>
    <n v="2730"/>
    <n v="1774.5"/>
    <n v="955.5"/>
    <n v="0.35"/>
    <x v="26"/>
    <x v="3"/>
    <x v="1"/>
  </r>
  <r>
    <x v="596"/>
    <d v="2022-08-17T00:00:00"/>
    <n v="3"/>
    <x v="1"/>
    <n v="390"/>
    <n v="288.60000000000002"/>
    <n v="9"/>
    <n v="3510"/>
    <n v="2597.4"/>
    <n v="912.59999999999991"/>
    <n v="0.25999999999999995"/>
    <x v="25"/>
    <x v="0"/>
    <x v="1"/>
  </r>
  <r>
    <x v="596"/>
    <d v="2022-08-15T00:00:00"/>
    <n v="1"/>
    <x v="12"/>
    <n v="250"/>
    <n v="187.5"/>
    <n v="4"/>
    <n v="1000"/>
    <n v="750"/>
    <n v="250"/>
    <n v="0.25"/>
    <x v="20"/>
    <x v="1"/>
    <x v="0"/>
  </r>
  <r>
    <x v="596"/>
    <d v="2022-08-18T00:00:00"/>
    <n v="4"/>
    <x v="8"/>
    <n v="220"/>
    <n v="154"/>
    <n v="6"/>
    <n v="1320"/>
    <n v="924"/>
    <n v="396"/>
    <n v="0.3"/>
    <x v="19"/>
    <x v="0"/>
    <x v="0"/>
  </r>
  <r>
    <x v="597"/>
    <d v="2022-08-18T00:00:00"/>
    <n v="2"/>
    <x v="6"/>
    <n v="290"/>
    <n v="185.6"/>
    <n v="4"/>
    <n v="1160"/>
    <n v="742.4"/>
    <n v="417.6"/>
    <n v="0.36000000000000004"/>
    <x v="37"/>
    <x v="0"/>
    <x v="0"/>
  </r>
  <r>
    <x v="597"/>
    <d v="2022-08-21T00:00:00"/>
    <n v="5"/>
    <x v="4"/>
    <n v="195"/>
    <n v="138.44999999999999"/>
    <n v="6"/>
    <n v="1170"/>
    <n v="830.69999999999993"/>
    <n v="339.30000000000007"/>
    <n v="0.29000000000000004"/>
    <x v="27"/>
    <x v="3"/>
    <x v="0"/>
  </r>
  <r>
    <x v="598"/>
    <d v="2022-08-24T00:00:00"/>
    <n v="6"/>
    <x v="11"/>
    <n v="320"/>
    <n v="233.6"/>
    <n v="2"/>
    <n v="640"/>
    <n v="467.2"/>
    <n v="172.8"/>
    <n v="0.27"/>
    <x v="34"/>
    <x v="4"/>
    <x v="0"/>
  </r>
  <r>
    <x v="598"/>
    <d v="2022-08-25T00:00:00"/>
    <n v="7"/>
    <x v="11"/>
    <n v="320"/>
    <n v="233.6"/>
    <n v="6"/>
    <n v="1920"/>
    <n v="1401.6"/>
    <n v="518.40000000000009"/>
    <n v="0.27000000000000007"/>
    <x v="43"/>
    <x v="2"/>
    <x v="0"/>
  </r>
  <r>
    <x v="599"/>
    <d v="2022-08-20T00:00:00"/>
    <n v="1"/>
    <x v="14"/>
    <n v="490"/>
    <n v="298.89999999999998"/>
    <n v="4"/>
    <n v="1960"/>
    <n v="1195.5999999999999"/>
    <n v="764.40000000000009"/>
    <n v="0.39000000000000007"/>
    <x v="20"/>
    <x v="3"/>
    <x v="0"/>
  </r>
  <r>
    <x v="599"/>
    <d v="2022-08-25T00:00:00"/>
    <n v="6"/>
    <x v="1"/>
    <n v="390"/>
    <n v="288.60000000000002"/>
    <n v="1"/>
    <n v="390"/>
    <n v="288.60000000000002"/>
    <n v="101.39999999999998"/>
    <n v="0.25999999999999995"/>
    <x v="38"/>
    <x v="3"/>
    <x v="0"/>
  </r>
  <r>
    <x v="600"/>
    <d v="2022-08-23T00:00:00"/>
    <n v="3"/>
    <x v="17"/>
    <n v="460"/>
    <n v="303.60000000000002"/>
    <n v="8"/>
    <n v="3680"/>
    <n v="2428.8000000000002"/>
    <n v="1251.1999999999998"/>
    <n v="0.33999999999999997"/>
    <x v="25"/>
    <x v="1"/>
    <x v="1"/>
  </r>
  <r>
    <x v="601"/>
    <d v="2022-08-23T00:00:00"/>
    <n v="2"/>
    <x v="15"/>
    <n v="375"/>
    <n v="247.5"/>
    <n v="3"/>
    <n v="1125"/>
    <n v="742.5"/>
    <n v="382.5"/>
    <n v="0.34"/>
    <x v="16"/>
    <x v="0"/>
    <x v="1"/>
  </r>
  <r>
    <x v="601"/>
    <d v="2022-08-26T00:00:00"/>
    <n v="5"/>
    <x v="13"/>
    <n v="95"/>
    <n v="60.8"/>
    <n v="5"/>
    <n v="475"/>
    <n v="304"/>
    <n v="171"/>
    <n v="0.36"/>
    <x v="33"/>
    <x v="2"/>
    <x v="0"/>
  </r>
  <r>
    <x v="601"/>
    <d v="2022-08-28T00:00:00"/>
    <n v="7"/>
    <x v="2"/>
    <n v="445"/>
    <n v="280.35000000000002"/>
    <n v="6"/>
    <n v="2670"/>
    <n v="1682.1000000000001"/>
    <n v="987.89999999999986"/>
    <n v="0.36999999999999994"/>
    <x v="40"/>
    <x v="2"/>
    <x v="1"/>
  </r>
  <r>
    <x v="602"/>
    <d v="2022-08-29T00:00:00"/>
    <n v="7"/>
    <x v="17"/>
    <n v="460"/>
    <n v="303.60000000000002"/>
    <n v="7"/>
    <n v="3220"/>
    <n v="2125.2000000000003"/>
    <n v="1094.7999999999997"/>
    <n v="0.33999999999999991"/>
    <x v="41"/>
    <x v="2"/>
    <x v="0"/>
  </r>
  <r>
    <x v="602"/>
    <d v="2022-08-29T00:00:00"/>
    <n v="7"/>
    <x v="0"/>
    <n v="99"/>
    <n v="62.37"/>
    <n v="8"/>
    <n v="792"/>
    <n v="498.96"/>
    <n v="293.04000000000002"/>
    <n v="0.37000000000000005"/>
    <x v="39"/>
    <x v="2"/>
    <x v="1"/>
  </r>
  <r>
    <x v="602"/>
    <d v="2022-08-24T00:00:00"/>
    <n v="2"/>
    <x v="9"/>
    <n v="440"/>
    <n v="286"/>
    <n v="7"/>
    <n v="3080"/>
    <n v="2002"/>
    <n v="1078"/>
    <n v="0.35"/>
    <x v="13"/>
    <x v="3"/>
    <x v="0"/>
  </r>
  <r>
    <x v="602"/>
    <d v="2022-08-28T00:00:00"/>
    <n v="6"/>
    <x v="11"/>
    <n v="320"/>
    <n v="233.6"/>
    <n v="2"/>
    <n v="640"/>
    <n v="467.2"/>
    <n v="172.8"/>
    <n v="0.27"/>
    <x v="12"/>
    <x v="0"/>
    <x v="0"/>
  </r>
  <r>
    <x v="603"/>
    <d v="2022-08-29T00:00:00"/>
    <n v="6"/>
    <x v="5"/>
    <n v="250"/>
    <n v="167.5"/>
    <n v="9"/>
    <n v="2250"/>
    <n v="1507.5"/>
    <n v="742.5"/>
    <n v="0.33"/>
    <x v="25"/>
    <x v="3"/>
    <x v="1"/>
  </r>
  <r>
    <x v="603"/>
    <d v="2022-08-27T00:00:00"/>
    <n v="4"/>
    <x v="9"/>
    <n v="440"/>
    <n v="286"/>
    <n v="9"/>
    <n v="3960"/>
    <n v="2574"/>
    <n v="1386"/>
    <n v="0.35"/>
    <x v="47"/>
    <x v="1"/>
    <x v="1"/>
  </r>
  <r>
    <x v="603"/>
    <d v="2022-08-26T00:00:00"/>
    <n v="3"/>
    <x v="3"/>
    <n v="80"/>
    <n v="48.8"/>
    <n v="8"/>
    <n v="640"/>
    <n v="390.4"/>
    <n v="249.60000000000002"/>
    <n v="0.39"/>
    <x v="40"/>
    <x v="2"/>
    <x v="0"/>
  </r>
  <r>
    <x v="604"/>
    <d v="2022-08-30T00:00:00"/>
    <n v="6"/>
    <x v="8"/>
    <n v="220"/>
    <n v="154"/>
    <n v="7"/>
    <n v="1540"/>
    <n v="1078"/>
    <n v="462"/>
    <n v="0.3"/>
    <x v="27"/>
    <x v="1"/>
    <x v="1"/>
  </r>
  <r>
    <x v="605"/>
    <d v="2022-08-27T00:00:00"/>
    <n v="2"/>
    <x v="18"/>
    <n v="390"/>
    <n v="253.5"/>
    <n v="7"/>
    <n v="2730"/>
    <n v="1774.5"/>
    <n v="955.5"/>
    <n v="0.35"/>
    <x v="21"/>
    <x v="4"/>
    <x v="0"/>
  </r>
  <r>
    <x v="605"/>
    <d v="2022-08-31T00:00:00"/>
    <n v="6"/>
    <x v="1"/>
    <n v="390"/>
    <n v="288.60000000000002"/>
    <n v="1"/>
    <n v="390"/>
    <n v="288.60000000000002"/>
    <n v="101.39999999999998"/>
    <n v="0.25999999999999995"/>
    <x v="18"/>
    <x v="4"/>
    <x v="0"/>
  </r>
  <r>
    <x v="606"/>
    <d v="2022-08-30T00:00:00"/>
    <n v="4"/>
    <x v="19"/>
    <n v="145"/>
    <n v="105.85"/>
    <n v="1"/>
    <n v="145"/>
    <n v="105.85"/>
    <n v="39.150000000000006"/>
    <n v="0.27"/>
    <x v="22"/>
    <x v="0"/>
    <x v="0"/>
  </r>
  <r>
    <x v="606"/>
    <d v="2022-08-28T00:00:00"/>
    <n v="2"/>
    <x v="17"/>
    <n v="460"/>
    <n v="303.60000000000002"/>
    <n v="9"/>
    <n v="4140"/>
    <n v="2732.4"/>
    <n v="1407.6"/>
    <n v="0.33999999999999997"/>
    <x v="3"/>
    <x v="3"/>
    <x v="1"/>
  </r>
  <r>
    <x v="607"/>
    <d v="2022-08-28T00:00:00"/>
    <n v="1"/>
    <x v="0"/>
    <n v="99"/>
    <n v="62.37"/>
    <n v="7"/>
    <n v="693"/>
    <n v="436.59"/>
    <n v="256.41000000000003"/>
    <n v="0.37000000000000005"/>
    <x v="39"/>
    <x v="0"/>
    <x v="0"/>
  </r>
  <r>
    <x v="607"/>
    <d v="2022-08-29T00:00:00"/>
    <n v="2"/>
    <x v="11"/>
    <n v="320"/>
    <n v="233.6"/>
    <n v="1"/>
    <n v="320"/>
    <n v="233.6"/>
    <n v="86.4"/>
    <n v="0.27"/>
    <x v="9"/>
    <x v="2"/>
    <x v="1"/>
  </r>
  <r>
    <x v="608"/>
    <d v="2022-09-03T00:00:00"/>
    <n v="6"/>
    <x v="10"/>
    <n v="59"/>
    <n v="41.3"/>
    <n v="4"/>
    <n v="236"/>
    <n v="165.2"/>
    <n v="70.800000000000011"/>
    <n v="0.30000000000000004"/>
    <x v="18"/>
    <x v="3"/>
    <x v="1"/>
  </r>
  <r>
    <x v="608"/>
    <d v="2022-08-30T00:00:00"/>
    <n v="2"/>
    <x v="19"/>
    <n v="145"/>
    <n v="105.85"/>
    <n v="7"/>
    <n v="1015"/>
    <n v="740.94999999999993"/>
    <n v="274.05000000000007"/>
    <n v="0.27000000000000007"/>
    <x v="15"/>
    <x v="1"/>
    <x v="0"/>
  </r>
  <r>
    <x v="609"/>
    <d v="2022-08-30T00:00:00"/>
    <n v="1"/>
    <x v="20"/>
    <n v="355"/>
    <n v="252.05"/>
    <n v="9"/>
    <n v="3195"/>
    <n v="2268.4500000000003"/>
    <n v="926.54999999999973"/>
    <n v="0.28999999999999992"/>
    <x v="9"/>
    <x v="4"/>
    <x v="1"/>
  </r>
  <r>
    <x v="609"/>
    <d v="2022-08-31T00:00:00"/>
    <n v="2"/>
    <x v="2"/>
    <n v="445"/>
    <n v="280.35000000000002"/>
    <n v="1"/>
    <n v="445"/>
    <n v="280.35000000000002"/>
    <n v="164.64999999999998"/>
    <n v="0.36999999999999994"/>
    <x v="38"/>
    <x v="2"/>
    <x v="1"/>
  </r>
  <r>
    <x v="609"/>
    <d v="2022-08-30T00:00:00"/>
    <n v="1"/>
    <x v="20"/>
    <n v="355"/>
    <n v="252.05"/>
    <n v="7"/>
    <n v="2485"/>
    <n v="1764.3500000000001"/>
    <n v="720.64999999999986"/>
    <n v="0.28999999999999992"/>
    <x v="47"/>
    <x v="2"/>
    <x v="0"/>
  </r>
  <r>
    <x v="609"/>
    <d v="2022-08-30T00:00:00"/>
    <n v="1"/>
    <x v="1"/>
    <n v="390"/>
    <n v="288.60000000000002"/>
    <n v="7"/>
    <n v="2730"/>
    <n v="2020.2000000000003"/>
    <n v="709.79999999999973"/>
    <n v="0.2599999999999999"/>
    <x v="47"/>
    <x v="1"/>
    <x v="0"/>
  </r>
  <r>
    <x v="610"/>
    <d v="2022-09-05T00:00:00"/>
    <n v="5"/>
    <x v="11"/>
    <n v="320"/>
    <n v="233.6"/>
    <n v="8"/>
    <n v="2560"/>
    <n v="1868.8"/>
    <n v="691.2"/>
    <n v="0.27"/>
    <x v="39"/>
    <x v="0"/>
    <x v="1"/>
  </r>
  <r>
    <x v="611"/>
    <d v="2022-09-08T00:00:00"/>
    <n v="7"/>
    <x v="8"/>
    <n v="220"/>
    <n v="154"/>
    <n v="1"/>
    <n v="220"/>
    <n v="154"/>
    <n v="66"/>
    <n v="0.3"/>
    <x v="29"/>
    <x v="0"/>
    <x v="1"/>
  </r>
  <r>
    <x v="611"/>
    <d v="2022-09-07T00:00:00"/>
    <n v="6"/>
    <x v="11"/>
    <n v="320"/>
    <n v="233.6"/>
    <n v="8"/>
    <n v="2560"/>
    <n v="1868.8"/>
    <n v="691.2"/>
    <n v="0.27"/>
    <x v="21"/>
    <x v="1"/>
    <x v="0"/>
  </r>
  <r>
    <x v="612"/>
    <d v="2022-09-07T00:00:00"/>
    <n v="5"/>
    <x v="5"/>
    <n v="250"/>
    <n v="167.5"/>
    <n v="3"/>
    <n v="750"/>
    <n v="502.5"/>
    <n v="247.5"/>
    <n v="0.33"/>
    <x v="34"/>
    <x v="3"/>
    <x v="1"/>
  </r>
  <r>
    <x v="613"/>
    <d v="2022-09-09T00:00:00"/>
    <n v="5"/>
    <x v="4"/>
    <n v="195"/>
    <n v="138.44999999999999"/>
    <n v="8"/>
    <n v="1560"/>
    <n v="1107.5999999999999"/>
    <n v="452.40000000000009"/>
    <n v="0.29000000000000004"/>
    <x v="10"/>
    <x v="3"/>
    <x v="1"/>
  </r>
  <r>
    <x v="614"/>
    <d v="2022-09-12T00:00:00"/>
    <n v="6"/>
    <x v="12"/>
    <n v="250"/>
    <n v="187.5"/>
    <n v="8"/>
    <n v="2000"/>
    <n v="1500"/>
    <n v="500"/>
    <n v="0.25"/>
    <x v="17"/>
    <x v="4"/>
    <x v="1"/>
  </r>
  <r>
    <x v="614"/>
    <d v="2022-09-09T00:00:00"/>
    <n v="3"/>
    <x v="15"/>
    <n v="375"/>
    <n v="247.5"/>
    <n v="6"/>
    <n v="2250"/>
    <n v="1485"/>
    <n v="765"/>
    <n v="0.34"/>
    <x v="34"/>
    <x v="3"/>
    <x v="1"/>
  </r>
  <r>
    <x v="614"/>
    <d v="2022-09-10T00:00:00"/>
    <n v="4"/>
    <x v="8"/>
    <n v="220"/>
    <n v="154"/>
    <n v="9"/>
    <n v="1980"/>
    <n v="1386"/>
    <n v="594"/>
    <n v="0.3"/>
    <x v="13"/>
    <x v="1"/>
    <x v="0"/>
  </r>
  <r>
    <x v="614"/>
    <d v="2022-09-10T00:00:00"/>
    <n v="4"/>
    <x v="7"/>
    <n v="275"/>
    <n v="200.75"/>
    <n v="8"/>
    <n v="2200"/>
    <n v="1606"/>
    <n v="594"/>
    <n v="0.27"/>
    <x v="16"/>
    <x v="2"/>
    <x v="1"/>
  </r>
  <r>
    <x v="614"/>
    <d v="2022-09-12T00:00:00"/>
    <n v="6"/>
    <x v="16"/>
    <n v="110"/>
    <n v="78.099999999999994"/>
    <n v="9"/>
    <n v="990"/>
    <n v="702.9"/>
    <n v="287.10000000000002"/>
    <n v="0.29000000000000004"/>
    <x v="47"/>
    <x v="1"/>
    <x v="1"/>
  </r>
  <r>
    <x v="615"/>
    <d v="2022-09-10T00:00:00"/>
    <n v="3"/>
    <x v="21"/>
    <n v="215"/>
    <n v="152.65"/>
    <n v="4"/>
    <n v="860"/>
    <n v="610.6"/>
    <n v="249.39999999999998"/>
    <n v="0.28999999999999998"/>
    <x v="38"/>
    <x v="2"/>
    <x v="0"/>
  </r>
  <r>
    <x v="615"/>
    <d v="2022-09-14T00:00:00"/>
    <n v="7"/>
    <x v="17"/>
    <n v="460"/>
    <n v="303.60000000000002"/>
    <n v="7"/>
    <n v="3220"/>
    <n v="2125.2000000000003"/>
    <n v="1094.7999999999997"/>
    <n v="0.33999999999999991"/>
    <x v="37"/>
    <x v="4"/>
    <x v="0"/>
  </r>
  <r>
    <x v="616"/>
    <d v="2022-09-16T00:00:00"/>
    <n v="6"/>
    <x v="5"/>
    <n v="250"/>
    <n v="167.5"/>
    <n v="3"/>
    <n v="750"/>
    <n v="502.5"/>
    <n v="247.5"/>
    <n v="0.33"/>
    <x v="37"/>
    <x v="4"/>
    <x v="1"/>
  </r>
  <r>
    <x v="617"/>
    <d v="2022-09-16T00:00:00"/>
    <n v="5"/>
    <x v="8"/>
    <n v="220"/>
    <n v="154"/>
    <n v="3"/>
    <n v="660"/>
    <n v="462"/>
    <n v="198"/>
    <n v="0.3"/>
    <x v="33"/>
    <x v="1"/>
    <x v="1"/>
  </r>
  <r>
    <x v="617"/>
    <d v="2022-09-14T00:00:00"/>
    <n v="3"/>
    <x v="9"/>
    <n v="440"/>
    <n v="286"/>
    <n v="8"/>
    <n v="3520"/>
    <n v="2288"/>
    <n v="1232"/>
    <n v="0.35"/>
    <x v="17"/>
    <x v="1"/>
    <x v="1"/>
  </r>
  <r>
    <x v="618"/>
    <d v="2022-09-15T00:00:00"/>
    <n v="3"/>
    <x v="20"/>
    <n v="355"/>
    <n v="252.05"/>
    <n v="2"/>
    <n v="710"/>
    <n v="504.1"/>
    <n v="205.89999999999998"/>
    <n v="0.28999999999999998"/>
    <x v="8"/>
    <x v="3"/>
    <x v="0"/>
  </r>
  <r>
    <x v="619"/>
    <d v="2022-09-16T00:00:00"/>
    <n v="3"/>
    <x v="16"/>
    <n v="110"/>
    <n v="78.099999999999994"/>
    <n v="1"/>
    <n v="110"/>
    <n v="78.099999999999994"/>
    <n v="31.900000000000006"/>
    <n v="0.29000000000000004"/>
    <x v="13"/>
    <x v="4"/>
    <x v="0"/>
  </r>
  <r>
    <x v="620"/>
    <d v="2022-09-21T00:00:00"/>
    <n v="7"/>
    <x v="8"/>
    <n v="220"/>
    <n v="154"/>
    <n v="3"/>
    <n v="660"/>
    <n v="462"/>
    <n v="198"/>
    <n v="0.3"/>
    <x v="34"/>
    <x v="3"/>
    <x v="1"/>
  </r>
  <r>
    <x v="620"/>
    <d v="2022-09-21T00:00:00"/>
    <n v="7"/>
    <x v="15"/>
    <n v="375"/>
    <n v="247.5"/>
    <n v="1"/>
    <n v="375"/>
    <n v="247.5"/>
    <n v="127.5"/>
    <n v="0.34"/>
    <x v="12"/>
    <x v="3"/>
    <x v="0"/>
  </r>
  <r>
    <x v="620"/>
    <d v="2022-09-18T00:00:00"/>
    <n v="4"/>
    <x v="0"/>
    <n v="99"/>
    <n v="62.37"/>
    <n v="8"/>
    <n v="792"/>
    <n v="498.96"/>
    <n v="293.04000000000002"/>
    <n v="0.37000000000000005"/>
    <x v="44"/>
    <x v="0"/>
    <x v="0"/>
  </r>
  <r>
    <x v="620"/>
    <d v="2022-09-20T00:00:00"/>
    <n v="6"/>
    <x v="5"/>
    <n v="250"/>
    <n v="167.5"/>
    <n v="7"/>
    <n v="1750"/>
    <n v="1172.5"/>
    <n v="577.5"/>
    <n v="0.33"/>
    <x v="26"/>
    <x v="1"/>
    <x v="1"/>
  </r>
  <r>
    <x v="621"/>
    <d v="2022-09-19T00:00:00"/>
    <n v="4"/>
    <x v="11"/>
    <n v="320"/>
    <n v="233.6"/>
    <n v="8"/>
    <n v="2560"/>
    <n v="1868.8"/>
    <n v="691.2"/>
    <n v="0.27"/>
    <x v="35"/>
    <x v="2"/>
    <x v="1"/>
  </r>
  <r>
    <x v="622"/>
    <d v="2022-09-23T00:00:00"/>
    <n v="7"/>
    <x v="10"/>
    <n v="59"/>
    <n v="41.3"/>
    <n v="1"/>
    <n v="59"/>
    <n v="41.3"/>
    <n v="17.700000000000003"/>
    <n v="0.30000000000000004"/>
    <x v="0"/>
    <x v="0"/>
    <x v="0"/>
  </r>
  <r>
    <x v="623"/>
    <d v="2022-09-22T00:00:00"/>
    <n v="3"/>
    <x v="18"/>
    <n v="390"/>
    <n v="253.5"/>
    <n v="8"/>
    <n v="3120"/>
    <n v="2028"/>
    <n v="1092"/>
    <n v="0.35"/>
    <x v="7"/>
    <x v="0"/>
    <x v="0"/>
  </r>
  <r>
    <x v="623"/>
    <d v="2022-09-25T00:00:00"/>
    <n v="6"/>
    <x v="9"/>
    <n v="440"/>
    <n v="286"/>
    <n v="7"/>
    <n v="3080"/>
    <n v="2002"/>
    <n v="1078"/>
    <n v="0.35"/>
    <x v="28"/>
    <x v="1"/>
    <x v="1"/>
  </r>
  <r>
    <x v="624"/>
    <d v="2022-09-26T00:00:00"/>
    <n v="6"/>
    <x v="16"/>
    <n v="110"/>
    <n v="78.099999999999994"/>
    <n v="3"/>
    <n v="330"/>
    <n v="234.29999999999998"/>
    <n v="95.700000000000017"/>
    <n v="0.29000000000000004"/>
    <x v="20"/>
    <x v="4"/>
    <x v="1"/>
  </r>
  <r>
    <x v="625"/>
    <d v="2022-09-23T00:00:00"/>
    <n v="2"/>
    <x v="11"/>
    <n v="320"/>
    <n v="233.6"/>
    <n v="7"/>
    <n v="2240"/>
    <n v="1635.2"/>
    <n v="604.79999999999995"/>
    <n v="0.26999999999999996"/>
    <x v="33"/>
    <x v="4"/>
    <x v="1"/>
  </r>
  <r>
    <x v="625"/>
    <d v="2022-09-27T00:00:00"/>
    <n v="6"/>
    <x v="6"/>
    <n v="290"/>
    <n v="185.6"/>
    <n v="2"/>
    <n v="580"/>
    <n v="371.2"/>
    <n v="208.8"/>
    <n v="0.36000000000000004"/>
    <x v="42"/>
    <x v="1"/>
    <x v="0"/>
  </r>
  <r>
    <x v="626"/>
    <d v="2022-09-24T00:00:00"/>
    <n v="2"/>
    <x v="19"/>
    <n v="145"/>
    <n v="105.85"/>
    <n v="5"/>
    <n v="725"/>
    <n v="529.25"/>
    <n v="195.75"/>
    <n v="0.27"/>
    <x v="15"/>
    <x v="2"/>
    <x v="1"/>
  </r>
  <r>
    <x v="627"/>
    <d v="2022-09-29T00:00:00"/>
    <n v="6"/>
    <x v="0"/>
    <n v="99"/>
    <n v="62.37"/>
    <n v="2"/>
    <n v="198"/>
    <n v="124.74"/>
    <n v="73.260000000000005"/>
    <n v="0.37000000000000005"/>
    <x v="4"/>
    <x v="4"/>
    <x v="0"/>
  </r>
  <r>
    <x v="627"/>
    <d v="2022-09-27T00:00:00"/>
    <n v="4"/>
    <x v="7"/>
    <n v="275"/>
    <n v="200.75"/>
    <n v="7"/>
    <n v="1925"/>
    <n v="1405.25"/>
    <n v="519.75"/>
    <n v="0.27"/>
    <x v="5"/>
    <x v="1"/>
    <x v="0"/>
  </r>
  <r>
    <x v="627"/>
    <d v="2022-09-27T00:00:00"/>
    <n v="4"/>
    <x v="16"/>
    <n v="110"/>
    <n v="78.099999999999994"/>
    <n v="5"/>
    <n v="550"/>
    <n v="390.5"/>
    <n v="159.5"/>
    <n v="0.28999999999999998"/>
    <x v="14"/>
    <x v="1"/>
    <x v="1"/>
  </r>
  <r>
    <x v="628"/>
    <d v="2022-09-27T00:00:00"/>
    <n v="3"/>
    <x v="16"/>
    <n v="110"/>
    <n v="78.099999999999994"/>
    <n v="9"/>
    <n v="990"/>
    <n v="702.9"/>
    <n v="287.10000000000002"/>
    <n v="0.29000000000000004"/>
    <x v="14"/>
    <x v="1"/>
    <x v="1"/>
  </r>
  <r>
    <x v="629"/>
    <d v="2022-10-02T00:00:00"/>
    <n v="7"/>
    <x v="2"/>
    <n v="445"/>
    <n v="280.35000000000002"/>
    <n v="1"/>
    <n v="445"/>
    <n v="280.35000000000002"/>
    <n v="164.64999999999998"/>
    <n v="0.36999999999999994"/>
    <x v="27"/>
    <x v="0"/>
    <x v="1"/>
  </r>
  <r>
    <x v="630"/>
    <d v="2022-10-04T00:00:00"/>
    <n v="7"/>
    <x v="14"/>
    <n v="490"/>
    <n v="298.89999999999998"/>
    <n v="8"/>
    <n v="3920"/>
    <n v="2391.1999999999998"/>
    <n v="1528.8000000000002"/>
    <n v="0.39000000000000007"/>
    <x v="19"/>
    <x v="0"/>
    <x v="1"/>
  </r>
  <r>
    <x v="631"/>
    <d v="2022-09-30T00:00:00"/>
    <n v="2"/>
    <x v="16"/>
    <n v="110"/>
    <n v="78.099999999999994"/>
    <n v="3"/>
    <n v="330"/>
    <n v="234.29999999999998"/>
    <n v="95.700000000000017"/>
    <n v="0.29000000000000004"/>
    <x v="19"/>
    <x v="0"/>
    <x v="1"/>
  </r>
  <r>
    <x v="632"/>
    <d v="2022-10-01T00:00:00"/>
    <n v="1"/>
    <x v="19"/>
    <n v="145"/>
    <n v="105.85"/>
    <n v="3"/>
    <n v="435"/>
    <n v="317.54999999999995"/>
    <n v="117.45000000000005"/>
    <n v="0.27000000000000013"/>
    <x v="0"/>
    <x v="2"/>
    <x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EFAE8918-2ACF-48B7-B8DC-F19459380921}" name="PivotTable1" cacheId="25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AX5" firstHeaderRow="1" firstDataRow="2" firstDataCol="1"/>
  <pivotFields count="16">
    <pivotField numFmtId="14" showAll="0">
      <items count="15">
        <item x="0"/>
        <item x="1"/>
        <item x="2"/>
        <item x="3"/>
        <item x="4"/>
        <item x="5"/>
        <item x="6"/>
        <item x="7"/>
        <item x="8"/>
        <item x="9"/>
        <item x="10"/>
        <item x="11"/>
        <item x="12"/>
        <item x="13"/>
        <item t="default"/>
      </items>
    </pivotField>
    <pivotField numFmtId="14" showAll="0"/>
    <pivotField showAll="0"/>
    <pivotField showAll="0">
      <items count="23">
        <item x="12"/>
        <item x="14"/>
        <item x="11"/>
        <item x="2"/>
        <item x="15"/>
        <item x="16"/>
        <item x="19"/>
        <item x="4"/>
        <item x="3"/>
        <item x="8"/>
        <item x="9"/>
        <item x="13"/>
        <item x="20"/>
        <item x="17"/>
        <item x="7"/>
        <item x="1"/>
        <item x="6"/>
        <item x="0"/>
        <item x="5"/>
        <item x="10"/>
        <item x="21"/>
        <item x="18"/>
        <item t="default"/>
      </items>
    </pivotField>
    <pivotField numFmtId="164" showAll="0"/>
    <pivotField numFmtId="164" showAll="0"/>
    <pivotField showAll="0"/>
    <pivotField numFmtId="164" showAll="0"/>
    <pivotField numFmtId="164" showAll="0"/>
    <pivotField dataField="1" numFmtId="164" showAll="0"/>
    <pivotField numFmtId="9" showAll="0"/>
    <pivotField axis="axisCol" showAll="0">
      <items count="49">
        <item x="5"/>
        <item x="30"/>
        <item x="35"/>
        <item x="22"/>
        <item x="34"/>
        <item x="11"/>
        <item x="4"/>
        <item x="10"/>
        <item x="38"/>
        <item x="39"/>
        <item x="12"/>
        <item x="32"/>
        <item x="42"/>
        <item x="18"/>
        <item x="20"/>
        <item x="37"/>
        <item x="1"/>
        <item x="40"/>
        <item x="29"/>
        <item x="15"/>
        <item x="14"/>
        <item x="0"/>
        <item x="24"/>
        <item x="46"/>
        <item x="33"/>
        <item x="25"/>
        <item x="31"/>
        <item x="13"/>
        <item x="7"/>
        <item x="2"/>
        <item x="45"/>
        <item x="47"/>
        <item x="27"/>
        <item x="16"/>
        <item x="28"/>
        <item x="3"/>
        <item x="21"/>
        <item x="8"/>
        <item x="36"/>
        <item x="19"/>
        <item x="44"/>
        <item x="9"/>
        <item x="17"/>
        <item x="6"/>
        <item x="23"/>
        <item x="26"/>
        <item x="43"/>
        <item x="41"/>
        <item t="default"/>
      </items>
    </pivotField>
    <pivotField showAll="0">
      <items count="6">
        <item x="4"/>
        <item x="0"/>
        <item x="1"/>
        <item x="3"/>
        <item x="2"/>
        <item t="default"/>
      </items>
    </pivotField>
    <pivotField showAll="0">
      <items count="3">
        <item x="1"/>
        <item x="0"/>
        <item t="default"/>
      </items>
    </pivotField>
    <pivotField showAll="0">
      <items count="7">
        <item x="0"/>
        <item x="1"/>
        <item x="2"/>
        <item x="3"/>
        <item x="4"/>
        <item x="5"/>
        <item t="default"/>
      </items>
    </pivotField>
    <pivotField showAll="0">
      <items count="6">
        <item x="0"/>
        <item x="1"/>
        <item x="2"/>
        <item x="3"/>
        <item x="4"/>
        <item t="default"/>
      </items>
    </pivotField>
  </pivotFields>
  <rowItems count="1">
    <i/>
  </rowItems>
  <colFields count="1">
    <field x="11"/>
  </colFields>
  <colItems count="49">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t="grand">
      <x/>
    </i>
  </colItems>
  <dataFields count="1">
    <dataField name="Sum of Revenue" fld="9"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F8F294F-8858-4AFE-9033-75AE79848175}" name="PivotTable1" cacheId="25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
  <location ref="A3:C40" firstHeaderRow="0" firstDataRow="1" firstDataCol="1"/>
  <pivotFields count="16">
    <pivotField axis="axisRow" numFmtId="14" showAll="0">
      <items count="15">
        <item x="0"/>
        <item x="1"/>
        <item x="2"/>
        <item x="3"/>
        <item x="4"/>
        <item x="5"/>
        <item x="6"/>
        <item x="7"/>
        <item x="8"/>
        <item x="9"/>
        <item x="10"/>
        <item x="11"/>
        <item x="12"/>
        <item x="13"/>
        <item t="default"/>
      </items>
    </pivotField>
    <pivotField numFmtId="14" showAll="0"/>
    <pivotField showAll="0"/>
    <pivotField showAll="0">
      <items count="23">
        <item x="12"/>
        <item x="14"/>
        <item x="11"/>
        <item x="2"/>
        <item x="15"/>
        <item x="16"/>
        <item x="19"/>
        <item x="4"/>
        <item x="3"/>
        <item x="8"/>
        <item x="9"/>
        <item x="13"/>
        <item x="20"/>
        <item x="17"/>
        <item x="7"/>
        <item x="1"/>
        <item x="6"/>
        <item x="0"/>
        <item x="5"/>
        <item x="10"/>
        <item x="21"/>
        <item x="18"/>
        <item t="default"/>
      </items>
    </pivotField>
    <pivotField numFmtId="164" showAll="0"/>
    <pivotField numFmtId="164" showAll="0"/>
    <pivotField showAll="0"/>
    <pivotField dataField="1" numFmtId="164" showAll="0"/>
    <pivotField numFmtId="164" showAll="0"/>
    <pivotField dataField="1" numFmtId="164" showAll="0"/>
    <pivotField numFmtId="9" showAll="0"/>
    <pivotField showAll="0">
      <items count="49">
        <item x="5"/>
        <item x="30"/>
        <item x="35"/>
        <item x="22"/>
        <item x="34"/>
        <item x="11"/>
        <item x="4"/>
        <item x="10"/>
        <item x="38"/>
        <item x="39"/>
        <item x="12"/>
        <item x="32"/>
        <item x="42"/>
        <item x="18"/>
        <item x="20"/>
        <item x="37"/>
        <item x="1"/>
        <item x="40"/>
        <item x="29"/>
        <item x="15"/>
        <item x="14"/>
        <item x="0"/>
        <item x="24"/>
        <item x="46"/>
        <item x="33"/>
        <item x="25"/>
        <item x="31"/>
        <item x="13"/>
        <item x="7"/>
        <item x="2"/>
        <item x="45"/>
        <item x="47"/>
        <item x="27"/>
        <item x="16"/>
        <item x="28"/>
        <item x="3"/>
        <item x="21"/>
        <item x="8"/>
        <item x="36"/>
        <item x="19"/>
        <item x="44"/>
        <item x="9"/>
        <item x="17"/>
        <item x="6"/>
        <item x="23"/>
        <item x="26"/>
        <item x="43"/>
        <item x="41"/>
        <item t="default"/>
      </items>
    </pivotField>
    <pivotField showAll="0">
      <items count="6">
        <item x="4"/>
        <item x="0"/>
        <item x="1"/>
        <item x="3"/>
        <item x="2"/>
        <item t="default"/>
      </items>
    </pivotField>
    <pivotField showAll="0">
      <items count="3">
        <item x="1"/>
        <item x="0"/>
        <item t="default"/>
      </items>
    </pivotField>
    <pivotField showAll="0">
      <items count="7">
        <item sd="0" x="0"/>
        <item sd="0" x="1"/>
        <item sd="0" x="2"/>
        <item sd="0" x="3"/>
        <item sd="0" x="4"/>
        <item sd="0" x="5"/>
        <item t="default"/>
      </items>
    </pivotField>
    <pivotField axis="axisRow" showAll="0">
      <items count="6">
        <item sd="0" x="0"/>
        <item x="1"/>
        <item x="2"/>
        <item x="3"/>
        <item sd="0" x="4"/>
        <item t="default"/>
      </items>
    </pivotField>
  </pivotFields>
  <rowFields count="2">
    <field x="15"/>
    <field x="0"/>
  </rowFields>
  <rowItems count="37">
    <i>
      <x v="1"/>
    </i>
    <i r="1">
      <x v="1"/>
    </i>
    <i r="1">
      <x v="2"/>
    </i>
    <i r="1">
      <x v="3"/>
    </i>
    <i r="1">
      <x v="4"/>
    </i>
    <i r="1">
      <x v="5"/>
    </i>
    <i r="1">
      <x v="6"/>
    </i>
    <i r="1">
      <x v="7"/>
    </i>
    <i r="1">
      <x v="8"/>
    </i>
    <i r="1">
      <x v="9"/>
    </i>
    <i r="1">
      <x v="10"/>
    </i>
    <i r="1">
      <x v="11"/>
    </i>
    <i r="1">
      <x v="12"/>
    </i>
    <i>
      <x v="2"/>
    </i>
    <i r="1">
      <x v="1"/>
    </i>
    <i r="1">
      <x v="2"/>
    </i>
    <i r="1">
      <x v="3"/>
    </i>
    <i r="1">
      <x v="4"/>
    </i>
    <i r="1">
      <x v="5"/>
    </i>
    <i r="1">
      <x v="6"/>
    </i>
    <i r="1">
      <x v="7"/>
    </i>
    <i r="1">
      <x v="8"/>
    </i>
    <i r="1">
      <x v="9"/>
    </i>
    <i r="1">
      <x v="10"/>
    </i>
    <i r="1">
      <x v="11"/>
    </i>
    <i r="1">
      <x v="12"/>
    </i>
    <i>
      <x v="3"/>
    </i>
    <i r="1">
      <x v="1"/>
    </i>
    <i r="1">
      <x v="2"/>
    </i>
    <i r="1">
      <x v="3"/>
    </i>
    <i r="1">
      <x v="4"/>
    </i>
    <i r="1">
      <x v="5"/>
    </i>
    <i r="1">
      <x v="6"/>
    </i>
    <i r="1">
      <x v="7"/>
    </i>
    <i r="1">
      <x v="8"/>
    </i>
    <i r="1">
      <x v="9"/>
    </i>
    <i t="grand">
      <x/>
    </i>
  </rowItems>
  <colFields count="1">
    <field x="-2"/>
  </colFields>
  <colItems count="2">
    <i>
      <x/>
    </i>
    <i i="1">
      <x v="1"/>
    </i>
  </colItems>
  <dataFields count="2">
    <dataField name="Sum of Revenue" fld="9" baseField="0" baseItem="0"/>
    <dataField name="Sum of Sales" fld="7" baseField="0" baseItem="0"/>
  </dataFields>
  <chartFormats count="4">
    <chartFormat chart="0" format="1" series="1">
      <pivotArea type="data" outline="0" fieldPosition="0">
        <references count="1">
          <reference field="4294967294" count="1" selected="0">
            <x v="0"/>
          </reference>
        </references>
      </pivotArea>
    </chartFormat>
    <chartFormat chart="2" format="3" series="1">
      <pivotArea type="data" outline="0" fieldPosition="0">
        <references count="1">
          <reference field="4294967294" count="1" selected="0">
            <x v="0"/>
          </reference>
        </references>
      </pivotArea>
    </chartFormat>
    <chartFormat chart="0" format="2" series="1">
      <pivotArea type="data" outline="0" fieldPosition="0">
        <references count="1">
          <reference field="4294967294" count="1" selected="0">
            <x v="1"/>
          </reference>
        </references>
      </pivotArea>
    </chartFormat>
    <chartFormat chart="2" format="4"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CC645C88-299B-4792-93E6-02A6094AE126}" name="PivotTable1" cacheId="25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
  <location ref="A3:B40" firstHeaderRow="1" firstDataRow="1" firstDataCol="1"/>
  <pivotFields count="16">
    <pivotField axis="axisRow" numFmtId="14" showAll="0">
      <items count="15">
        <item x="0"/>
        <item x="1"/>
        <item x="2"/>
        <item x="3"/>
        <item x="4"/>
        <item x="5"/>
        <item x="6"/>
        <item x="7"/>
        <item x="8"/>
        <item x="9"/>
        <item x="10"/>
        <item x="11"/>
        <item x="12"/>
        <item x="13"/>
        <item t="default"/>
      </items>
    </pivotField>
    <pivotField numFmtId="14" showAll="0"/>
    <pivotField showAll="0"/>
    <pivotField showAll="0">
      <items count="23">
        <item x="12"/>
        <item x="14"/>
        <item x="11"/>
        <item x="2"/>
        <item x="15"/>
        <item x="16"/>
        <item x="19"/>
        <item x="4"/>
        <item x="3"/>
        <item x="8"/>
        <item x="9"/>
        <item x="13"/>
        <item x="20"/>
        <item x="17"/>
        <item x="7"/>
        <item x="1"/>
        <item x="6"/>
        <item x="0"/>
        <item x="5"/>
        <item x="10"/>
        <item x="21"/>
        <item x="18"/>
        <item t="default"/>
      </items>
    </pivotField>
    <pivotField numFmtId="164" showAll="0"/>
    <pivotField numFmtId="164" showAll="0"/>
    <pivotField showAll="0"/>
    <pivotField dataField="1" numFmtId="164" showAll="0"/>
    <pivotField numFmtId="164" showAll="0"/>
    <pivotField numFmtId="164" showAll="0"/>
    <pivotField numFmtId="9" showAll="0"/>
    <pivotField showAll="0">
      <items count="49">
        <item x="5"/>
        <item x="30"/>
        <item x="35"/>
        <item x="22"/>
        <item x="34"/>
        <item x="11"/>
        <item x="4"/>
        <item x="10"/>
        <item x="38"/>
        <item x="39"/>
        <item x="12"/>
        <item x="32"/>
        <item x="42"/>
        <item x="18"/>
        <item x="20"/>
        <item x="37"/>
        <item x="1"/>
        <item x="40"/>
        <item x="29"/>
        <item x="15"/>
        <item x="14"/>
        <item x="0"/>
        <item x="24"/>
        <item x="46"/>
        <item x="33"/>
        <item x="25"/>
        <item x="31"/>
        <item x="13"/>
        <item x="7"/>
        <item x="2"/>
        <item x="45"/>
        <item x="47"/>
        <item x="27"/>
        <item x="16"/>
        <item x="28"/>
        <item x="3"/>
        <item x="21"/>
        <item x="8"/>
        <item x="36"/>
        <item x="19"/>
        <item x="44"/>
        <item x="9"/>
        <item x="17"/>
        <item x="6"/>
        <item x="23"/>
        <item x="26"/>
        <item x="43"/>
        <item x="41"/>
        <item t="default"/>
      </items>
    </pivotField>
    <pivotField showAll="0">
      <items count="6">
        <item x="4"/>
        <item x="0"/>
        <item x="1"/>
        <item x="3"/>
        <item x="2"/>
        <item t="default"/>
      </items>
    </pivotField>
    <pivotField showAll="0">
      <items count="3">
        <item x="1"/>
        <item x="0"/>
        <item t="default"/>
      </items>
    </pivotField>
    <pivotField showAll="0" defaultSubtotal="0">
      <items count="6">
        <item sd="0" x="0"/>
        <item sd="0" x="1"/>
        <item sd="0" x="2"/>
        <item sd="0" x="3"/>
        <item sd="0" x="4"/>
        <item sd="0" x="5"/>
      </items>
    </pivotField>
    <pivotField axis="axisRow" showAll="0" defaultSubtotal="0">
      <items count="5">
        <item sd="0" x="0"/>
        <item x="1"/>
        <item x="2"/>
        <item x="3"/>
        <item sd="0" x="4"/>
      </items>
    </pivotField>
  </pivotFields>
  <rowFields count="2">
    <field x="15"/>
    <field x="0"/>
  </rowFields>
  <rowItems count="37">
    <i>
      <x v="1"/>
    </i>
    <i r="1">
      <x v="1"/>
    </i>
    <i r="1">
      <x v="2"/>
    </i>
    <i r="1">
      <x v="3"/>
    </i>
    <i r="1">
      <x v="4"/>
    </i>
    <i r="1">
      <x v="5"/>
    </i>
    <i r="1">
      <x v="6"/>
    </i>
    <i r="1">
      <x v="7"/>
    </i>
    <i r="1">
      <x v="8"/>
    </i>
    <i r="1">
      <x v="9"/>
    </i>
    <i r="1">
      <x v="10"/>
    </i>
    <i r="1">
      <x v="11"/>
    </i>
    <i r="1">
      <x v="12"/>
    </i>
    <i>
      <x v="2"/>
    </i>
    <i r="1">
      <x v="1"/>
    </i>
    <i r="1">
      <x v="2"/>
    </i>
    <i r="1">
      <x v="3"/>
    </i>
    <i r="1">
      <x v="4"/>
    </i>
    <i r="1">
      <x v="5"/>
    </i>
    <i r="1">
      <x v="6"/>
    </i>
    <i r="1">
      <x v="7"/>
    </i>
    <i r="1">
      <x v="8"/>
    </i>
    <i r="1">
      <x v="9"/>
    </i>
    <i r="1">
      <x v="10"/>
    </i>
    <i r="1">
      <x v="11"/>
    </i>
    <i r="1">
      <x v="12"/>
    </i>
    <i>
      <x v="3"/>
    </i>
    <i r="1">
      <x v="1"/>
    </i>
    <i r="1">
      <x v="2"/>
    </i>
    <i r="1">
      <x v="3"/>
    </i>
    <i r="1">
      <x v="4"/>
    </i>
    <i r="1">
      <x v="5"/>
    </i>
    <i r="1">
      <x v="6"/>
    </i>
    <i r="1">
      <x v="7"/>
    </i>
    <i r="1">
      <x v="8"/>
    </i>
    <i r="1">
      <x v="9"/>
    </i>
    <i t="grand">
      <x/>
    </i>
  </rowItems>
  <colItems count="1">
    <i/>
  </colItems>
  <dataFields count="1">
    <dataField name="Sum of Sales" fld="7" baseField="0" baseItem="0" numFmtId="169"/>
  </dataFields>
  <formats count="2">
    <format dxfId="143">
      <pivotArea outline="0" collapsedLevelsAreSubtotals="1" fieldPosition="0"/>
    </format>
    <format dxfId="142">
      <pivotArea dataOnly="0" labelOnly="1" outline="0" axis="axisValues" fieldPosition="0"/>
    </format>
  </formats>
  <chartFormats count="2">
    <chartFormat chart="1" format="5" series="1">
      <pivotArea type="data" outline="0" fieldPosition="0">
        <references count="1">
          <reference field="4294967294" count="1" selected="0">
            <x v="0"/>
          </reference>
        </references>
      </pivotArea>
    </chartFormat>
    <chartFormat chart="3" format="7"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B28281C3-CA76-4F7B-BA80-88F24D032AF0}" name="PivotTable2" cacheId="25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location ref="A3:B40" firstHeaderRow="1" firstDataRow="1" firstDataCol="1"/>
  <pivotFields count="16">
    <pivotField axis="axisRow" numFmtId="14" showAll="0">
      <items count="15">
        <item x="0"/>
        <item x="1"/>
        <item x="2"/>
        <item x="3"/>
        <item x="4"/>
        <item x="5"/>
        <item x="6"/>
        <item x="7"/>
        <item x="8"/>
        <item x="9"/>
        <item x="10"/>
        <item x="11"/>
        <item x="12"/>
        <item x="13"/>
        <item t="default"/>
      </items>
    </pivotField>
    <pivotField numFmtId="14" showAll="0"/>
    <pivotField showAll="0"/>
    <pivotField showAll="0">
      <items count="23">
        <item x="12"/>
        <item x="14"/>
        <item x="11"/>
        <item x="2"/>
        <item x="15"/>
        <item x="16"/>
        <item x="19"/>
        <item x="4"/>
        <item x="3"/>
        <item x="8"/>
        <item x="9"/>
        <item x="13"/>
        <item x="20"/>
        <item x="17"/>
        <item x="7"/>
        <item x="1"/>
        <item x="6"/>
        <item x="0"/>
        <item x="5"/>
        <item x="10"/>
        <item x="21"/>
        <item x="18"/>
        <item t="default"/>
      </items>
    </pivotField>
    <pivotField numFmtId="164" showAll="0"/>
    <pivotField numFmtId="164" showAll="0"/>
    <pivotField showAll="0"/>
    <pivotField numFmtId="164" showAll="0"/>
    <pivotField numFmtId="164" showAll="0"/>
    <pivotField dataField="1" numFmtId="164" showAll="0"/>
    <pivotField numFmtId="9" showAll="0"/>
    <pivotField showAll="0">
      <items count="49">
        <item x="5"/>
        <item x="30"/>
        <item x="35"/>
        <item x="22"/>
        <item x="34"/>
        <item x="11"/>
        <item x="4"/>
        <item x="10"/>
        <item x="38"/>
        <item x="39"/>
        <item x="12"/>
        <item x="32"/>
        <item x="42"/>
        <item x="18"/>
        <item x="20"/>
        <item x="37"/>
        <item x="1"/>
        <item x="40"/>
        <item x="29"/>
        <item x="15"/>
        <item x="14"/>
        <item x="0"/>
        <item x="24"/>
        <item x="46"/>
        <item x="33"/>
        <item x="25"/>
        <item x="31"/>
        <item x="13"/>
        <item x="7"/>
        <item x="2"/>
        <item x="45"/>
        <item x="47"/>
        <item x="27"/>
        <item x="16"/>
        <item x="28"/>
        <item x="3"/>
        <item x="21"/>
        <item x="8"/>
        <item x="36"/>
        <item x="19"/>
        <item x="44"/>
        <item x="9"/>
        <item x="17"/>
        <item x="6"/>
        <item x="23"/>
        <item x="26"/>
        <item x="43"/>
        <item x="41"/>
        <item t="default"/>
      </items>
    </pivotField>
    <pivotField showAll="0">
      <items count="6">
        <item x="4"/>
        <item x="0"/>
        <item x="1"/>
        <item x="3"/>
        <item x="2"/>
        <item t="default"/>
      </items>
    </pivotField>
    <pivotField showAll="0">
      <items count="3">
        <item x="1"/>
        <item x="0"/>
        <item t="default"/>
      </items>
    </pivotField>
    <pivotField showAll="0" defaultSubtotal="0">
      <items count="6">
        <item sd="0" x="0"/>
        <item sd="0" x="1"/>
        <item sd="0" x="2"/>
        <item sd="0" x="3"/>
        <item sd="0" x="4"/>
        <item sd="0" x="5"/>
      </items>
    </pivotField>
    <pivotField axis="axisRow" showAll="0" defaultSubtotal="0">
      <items count="5">
        <item sd="0" x="0"/>
        <item x="1"/>
        <item x="2"/>
        <item x="3"/>
        <item sd="0" x="4"/>
      </items>
    </pivotField>
  </pivotFields>
  <rowFields count="2">
    <field x="15"/>
    <field x="0"/>
  </rowFields>
  <rowItems count="37">
    <i>
      <x v="1"/>
    </i>
    <i r="1">
      <x v="1"/>
    </i>
    <i r="1">
      <x v="2"/>
    </i>
    <i r="1">
      <x v="3"/>
    </i>
    <i r="1">
      <x v="4"/>
    </i>
    <i r="1">
      <x v="5"/>
    </i>
    <i r="1">
      <x v="6"/>
    </i>
    <i r="1">
      <x v="7"/>
    </i>
    <i r="1">
      <x v="8"/>
    </i>
    <i r="1">
      <x v="9"/>
    </i>
    <i r="1">
      <x v="10"/>
    </i>
    <i r="1">
      <x v="11"/>
    </i>
    <i r="1">
      <x v="12"/>
    </i>
    <i>
      <x v="2"/>
    </i>
    <i r="1">
      <x v="1"/>
    </i>
    <i r="1">
      <x v="2"/>
    </i>
    <i r="1">
      <x v="3"/>
    </i>
    <i r="1">
      <x v="4"/>
    </i>
    <i r="1">
      <x v="5"/>
    </i>
    <i r="1">
      <x v="6"/>
    </i>
    <i r="1">
      <x v="7"/>
    </i>
    <i r="1">
      <x v="8"/>
    </i>
    <i r="1">
      <x v="9"/>
    </i>
    <i r="1">
      <x v="10"/>
    </i>
    <i r="1">
      <x v="11"/>
    </i>
    <i r="1">
      <x v="12"/>
    </i>
    <i>
      <x v="3"/>
    </i>
    <i r="1">
      <x v="1"/>
    </i>
    <i r="1">
      <x v="2"/>
    </i>
    <i r="1">
      <x v="3"/>
    </i>
    <i r="1">
      <x v="4"/>
    </i>
    <i r="1">
      <x v="5"/>
    </i>
    <i r="1">
      <x v="6"/>
    </i>
    <i r="1">
      <x v="7"/>
    </i>
    <i r="1">
      <x v="8"/>
    </i>
    <i r="1">
      <x v="9"/>
    </i>
    <i t="grand">
      <x/>
    </i>
  </rowItems>
  <colItems count="1">
    <i/>
  </colItems>
  <dataFields count="1">
    <dataField name="Sum of Revenue" fld="9" baseField="0" baseItem="0"/>
  </dataFields>
  <chartFormats count="2">
    <chartFormat chart="0" format="5" series="1">
      <pivotArea type="data" outline="0" fieldPosition="0">
        <references count="1">
          <reference field="4294967294" count="1" selected="0">
            <x v="0"/>
          </reference>
        </references>
      </pivotArea>
    </chartFormat>
    <chartFormat chart="4" format="7"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12942CE7-8019-4DC6-A15E-CCCC18BC11B4}" name="PivotTable5" cacheId="25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7">
  <location ref="A3:D7" firstHeaderRow="0" firstDataRow="1" firstDataCol="1"/>
  <pivotFields count="16">
    <pivotField numFmtId="14" showAll="0">
      <items count="15">
        <item x="0"/>
        <item x="1"/>
        <item x="2"/>
        <item x="3"/>
        <item x="4"/>
        <item x="5"/>
        <item x="6"/>
        <item x="7"/>
        <item x="8"/>
        <item x="9"/>
        <item x="10"/>
        <item x="11"/>
        <item x="12"/>
        <item x="13"/>
        <item t="default"/>
      </items>
    </pivotField>
    <pivotField numFmtId="14" showAll="0"/>
    <pivotField showAll="0"/>
    <pivotField showAll="0">
      <items count="23">
        <item x="12"/>
        <item x="14"/>
        <item x="11"/>
        <item x="2"/>
        <item x="15"/>
        <item x="16"/>
        <item x="19"/>
        <item x="4"/>
        <item x="3"/>
        <item x="8"/>
        <item x="9"/>
        <item x="13"/>
        <item x="20"/>
        <item x="17"/>
        <item x="7"/>
        <item x="1"/>
        <item x="6"/>
        <item x="0"/>
        <item x="5"/>
        <item x="10"/>
        <item x="21"/>
        <item x="18"/>
        <item t="default"/>
      </items>
    </pivotField>
    <pivotField numFmtId="164" showAll="0"/>
    <pivotField numFmtId="164" showAll="0"/>
    <pivotField showAll="0"/>
    <pivotField dataField="1" numFmtId="164" showAll="0"/>
    <pivotField dataField="1" numFmtId="164" showAll="0"/>
    <pivotField dataField="1" numFmtId="164" showAll="0"/>
    <pivotField numFmtId="9" showAll="0"/>
    <pivotField showAll="0">
      <items count="49">
        <item x="5"/>
        <item x="30"/>
        <item x="35"/>
        <item x="22"/>
        <item x="34"/>
        <item x="11"/>
        <item x="4"/>
        <item x="10"/>
        <item x="38"/>
        <item x="39"/>
        <item x="12"/>
        <item x="32"/>
        <item x="42"/>
        <item x="18"/>
        <item x="20"/>
        <item x="37"/>
        <item x="1"/>
        <item x="40"/>
        <item x="29"/>
        <item x="15"/>
        <item x="14"/>
        <item x="0"/>
        <item x="24"/>
        <item x="46"/>
        <item x="33"/>
        <item x="25"/>
        <item x="31"/>
        <item x="13"/>
        <item x="7"/>
        <item x="2"/>
        <item x="45"/>
        <item x="47"/>
        <item x="27"/>
        <item x="16"/>
        <item x="28"/>
        <item x="3"/>
        <item x="21"/>
        <item x="8"/>
        <item x="36"/>
        <item x="19"/>
        <item x="44"/>
        <item x="9"/>
        <item x="17"/>
        <item x="6"/>
        <item x="23"/>
        <item x="26"/>
        <item x="43"/>
        <item x="41"/>
        <item t="default"/>
      </items>
    </pivotField>
    <pivotField showAll="0">
      <items count="6">
        <item x="4"/>
        <item x="0"/>
        <item x="1"/>
        <item x="3"/>
        <item x="2"/>
        <item t="default"/>
      </items>
    </pivotField>
    <pivotField showAll="0">
      <items count="3">
        <item x="1"/>
        <item x="0"/>
        <item t="default"/>
      </items>
    </pivotField>
    <pivotField showAll="0" defaultSubtotal="0">
      <items count="6">
        <item sd="0" x="0"/>
        <item sd="0" x="1"/>
        <item sd="0" x="2"/>
        <item sd="0" x="3"/>
        <item sd="0" x="4"/>
        <item sd="0" x="5"/>
      </items>
    </pivotField>
    <pivotField axis="axisRow" showAll="0" defaultSubtotal="0">
      <items count="5">
        <item sd="0" x="0"/>
        <item sd="0" x="1"/>
        <item sd="0" x="2"/>
        <item sd="0" x="3"/>
        <item sd="0" x="4"/>
      </items>
    </pivotField>
  </pivotFields>
  <rowFields count="1">
    <field x="15"/>
  </rowFields>
  <rowItems count="4">
    <i>
      <x v="1"/>
    </i>
    <i>
      <x v="2"/>
    </i>
    <i>
      <x v="3"/>
    </i>
    <i t="grand">
      <x/>
    </i>
  </rowItems>
  <colFields count="1">
    <field x="-2"/>
  </colFields>
  <colItems count="3">
    <i>
      <x/>
    </i>
    <i i="1">
      <x v="1"/>
    </i>
    <i i="2">
      <x v="2"/>
    </i>
  </colItems>
  <dataFields count="3">
    <dataField name="Total COGS" fld="8" baseField="14" baseItem="1"/>
    <dataField name="Total Revenue" fld="9" baseField="14" baseItem="1"/>
    <dataField name="Total Sales" fld="7" baseField="14" baseItem="1"/>
  </dataFields>
  <formats count="2">
    <format dxfId="141">
      <pivotArea outline="0" collapsedLevelsAreSubtotals="1" fieldPosition="0"/>
    </format>
    <format dxfId="140">
      <pivotArea dataOnly="0" labelOnly="1" outline="0" fieldPosition="0">
        <references count="1">
          <reference field="4294967294" count="3">
            <x v="0"/>
            <x v="1"/>
            <x v="2"/>
          </reference>
        </references>
      </pivotArea>
    </format>
  </formats>
  <chartFormats count="9">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1" format="0" series="1">
      <pivotArea type="data" outline="0" fieldPosition="0">
        <references count="1">
          <reference field="4294967294" count="1" selected="0">
            <x v="0"/>
          </reference>
        </references>
      </pivotArea>
    </chartFormat>
    <chartFormat chart="1" format="1" series="1">
      <pivotArea type="data" outline="0" fieldPosition="0">
        <references count="1">
          <reference field="4294967294" count="1" selected="0">
            <x v="1"/>
          </reference>
        </references>
      </pivotArea>
    </chartFormat>
    <chartFormat chart="1" format="2" series="1">
      <pivotArea type="data" outline="0" fieldPosition="0">
        <references count="1">
          <reference field="4294967294" count="1" selected="0">
            <x v="2"/>
          </reference>
        </references>
      </pivotArea>
    </chartFormat>
    <chartFormat chart="3" format="9" series="1">
      <pivotArea type="data" outline="0" fieldPosition="0">
        <references count="1">
          <reference field="4294967294" count="1" selected="0">
            <x v="0"/>
          </reference>
        </references>
      </pivotArea>
    </chartFormat>
    <chartFormat chart="3" format="10" series="1">
      <pivotArea type="data" outline="0" fieldPosition="0">
        <references count="1">
          <reference field="4294967294" count="1" selected="0">
            <x v="1"/>
          </reference>
        </references>
      </pivotArea>
    </chartFormat>
    <chartFormat chart="3" format="11"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69686243-7570-4E23-9A28-BA6F2BFD5C05}" name="PivotTable1" cacheId="25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E10" firstHeaderRow="1" firstDataRow="2" firstDataCol="1"/>
  <pivotFields count="16">
    <pivotField numFmtId="14" showAll="0">
      <items count="15">
        <item x="0"/>
        <item x="1"/>
        <item x="2"/>
        <item x="3"/>
        <item x="4"/>
        <item x="5"/>
        <item x="6"/>
        <item x="7"/>
        <item x="8"/>
        <item x="9"/>
        <item x="10"/>
        <item x="11"/>
        <item x="12"/>
        <item x="13"/>
        <item t="default"/>
      </items>
    </pivotField>
    <pivotField numFmtId="14" showAll="0"/>
    <pivotField showAll="0"/>
    <pivotField showAll="0">
      <items count="23">
        <item x="12"/>
        <item x="14"/>
        <item x="11"/>
        <item x="2"/>
        <item x="15"/>
        <item x="16"/>
        <item x="19"/>
        <item x="4"/>
        <item x="3"/>
        <item x="8"/>
        <item x="9"/>
        <item x="13"/>
        <item x="20"/>
        <item x="17"/>
        <item x="7"/>
        <item x="1"/>
        <item x="6"/>
        <item x="0"/>
        <item x="5"/>
        <item x="10"/>
        <item x="21"/>
        <item x="18"/>
        <item t="default"/>
      </items>
    </pivotField>
    <pivotField numFmtId="164" showAll="0"/>
    <pivotField numFmtId="164" showAll="0"/>
    <pivotField showAll="0"/>
    <pivotField dataField="1" numFmtId="164" showAll="0"/>
    <pivotField numFmtId="164" showAll="0"/>
    <pivotField numFmtId="164" showAll="0"/>
    <pivotField numFmtId="9" showAll="0"/>
    <pivotField showAll="0">
      <items count="49">
        <item x="5"/>
        <item x="30"/>
        <item x="35"/>
        <item x="22"/>
        <item x="34"/>
        <item x="11"/>
        <item x="4"/>
        <item x="10"/>
        <item x="38"/>
        <item x="39"/>
        <item x="12"/>
        <item x="32"/>
        <item x="42"/>
        <item x="18"/>
        <item x="20"/>
        <item x="37"/>
        <item x="1"/>
        <item x="40"/>
        <item x="29"/>
        <item x="15"/>
        <item x="14"/>
        <item x="0"/>
        <item x="24"/>
        <item x="46"/>
        <item x="33"/>
        <item x="25"/>
        <item x="31"/>
        <item x="13"/>
        <item x="7"/>
        <item x="2"/>
        <item x="45"/>
        <item x="47"/>
        <item x="27"/>
        <item x="16"/>
        <item x="28"/>
        <item x="3"/>
        <item x="21"/>
        <item x="8"/>
        <item x="36"/>
        <item x="19"/>
        <item x="44"/>
        <item x="9"/>
        <item x="17"/>
        <item x="6"/>
        <item x="23"/>
        <item x="26"/>
        <item x="43"/>
        <item x="41"/>
        <item t="default"/>
      </items>
    </pivotField>
    <pivotField axis="axisRow" showAll="0">
      <items count="6">
        <item x="4"/>
        <item x="0"/>
        <item x="1"/>
        <item x="3"/>
        <item x="2"/>
        <item t="default"/>
      </items>
    </pivotField>
    <pivotField showAll="0">
      <items count="3">
        <item x="1"/>
        <item x="0"/>
        <item t="default"/>
      </items>
    </pivotField>
    <pivotField showAll="0" defaultSubtotal="0">
      <items count="6">
        <item sd="0" x="0"/>
        <item sd="0" x="1"/>
        <item sd="0" x="2"/>
        <item sd="0" x="3"/>
        <item sd="0" x="4"/>
        <item sd="0" x="5"/>
      </items>
    </pivotField>
    <pivotField axis="axisCol" showAll="0" defaultSubtotal="0">
      <items count="5">
        <item sd="0" x="0"/>
        <item sd="0" x="1"/>
        <item sd="0" x="2"/>
        <item sd="0" x="3"/>
        <item sd="0" x="4"/>
      </items>
    </pivotField>
  </pivotFields>
  <rowFields count="1">
    <field x="12"/>
  </rowFields>
  <rowItems count="6">
    <i>
      <x/>
    </i>
    <i>
      <x v="1"/>
    </i>
    <i>
      <x v="2"/>
    </i>
    <i>
      <x v="3"/>
    </i>
    <i>
      <x v="4"/>
    </i>
    <i t="grand">
      <x/>
    </i>
  </rowItems>
  <colFields count="1">
    <field x="15"/>
  </colFields>
  <colItems count="4">
    <i>
      <x v="1"/>
    </i>
    <i>
      <x v="2"/>
    </i>
    <i>
      <x v="3"/>
    </i>
    <i t="grand">
      <x/>
    </i>
  </colItems>
  <dataFields count="1">
    <dataField name="Count of Sales" fld="7" subtotal="count" baseField="11"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91F67F82-8303-40DF-87A6-C29CF9617121}" name="PivotTable1" cacheId="25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
  <location ref="A3:C9" firstHeaderRow="0" firstDataRow="1" firstDataCol="1"/>
  <pivotFields count="16">
    <pivotField numFmtId="14" showAll="0"/>
    <pivotField numFmtId="14" showAll="0"/>
    <pivotField showAll="0"/>
    <pivotField axis="axisRow" showAll="0" measureFilter="1" sortType="ascending">
      <items count="23">
        <item x="18"/>
        <item x="21"/>
        <item x="10"/>
        <item x="5"/>
        <item x="0"/>
        <item x="6"/>
        <item x="1"/>
        <item x="7"/>
        <item x="17"/>
        <item x="20"/>
        <item x="13"/>
        <item x="9"/>
        <item x="8"/>
        <item x="3"/>
        <item x="4"/>
        <item x="19"/>
        <item x="16"/>
        <item x="15"/>
        <item x="2"/>
        <item x="11"/>
        <item x="14"/>
        <item x="12"/>
        <item t="default"/>
      </items>
      <autoSortScope>
        <pivotArea dataOnly="0" outline="0" fieldPosition="0">
          <references count="1">
            <reference field="4294967294" count="1" selected="0">
              <x v="1"/>
            </reference>
          </references>
        </pivotArea>
      </autoSortScope>
    </pivotField>
    <pivotField numFmtId="164" showAll="0"/>
    <pivotField numFmtId="164" showAll="0"/>
    <pivotField showAll="0"/>
    <pivotField dataField="1" numFmtId="164" showAll="0"/>
    <pivotField numFmtId="164" showAll="0"/>
    <pivotField dataField="1" numFmtId="164" showAll="0"/>
    <pivotField numFmtId="9" showAll="0"/>
    <pivotField showAll="0">
      <items count="49">
        <item x="5"/>
        <item x="30"/>
        <item x="35"/>
        <item x="22"/>
        <item x="34"/>
        <item x="11"/>
        <item x="4"/>
        <item x="10"/>
        <item x="38"/>
        <item x="39"/>
        <item x="12"/>
        <item x="32"/>
        <item x="42"/>
        <item x="18"/>
        <item x="20"/>
        <item x="37"/>
        <item x="1"/>
        <item x="40"/>
        <item x="29"/>
        <item x="15"/>
        <item x="14"/>
        <item x="0"/>
        <item x="24"/>
        <item x="46"/>
        <item x="33"/>
        <item x="25"/>
        <item x="31"/>
        <item x="13"/>
        <item x="7"/>
        <item x="2"/>
        <item x="45"/>
        <item x="47"/>
        <item x="27"/>
        <item x="16"/>
        <item x="28"/>
        <item x="3"/>
        <item x="21"/>
        <item x="8"/>
        <item x="36"/>
        <item x="19"/>
        <item x="44"/>
        <item x="9"/>
        <item x="17"/>
        <item x="6"/>
        <item x="23"/>
        <item x="26"/>
        <item x="43"/>
        <item x="41"/>
        <item t="default"/>
      </items>
    </pivotField>
    <pivotField showAll="0">
      <items count="6">
        <item x="4"/>
        <item x="0"/>
        <item x="1"/>
        <item x="3"/>
        <item x="2"/>
        <item t="default"/>
      </items>
    </pivotField>
    <pivotField showAll="0">
      <items count="3">
        <item x="1"/>
        <item x="0"/>
        <item t="default"/>
      </items>
    </pivotField>
    <pivotField showAll="0" defaultSubtotal="0"/>
    <pivotField showAll="0" defaultSubtotal="0">
      <items count="5">
        <item x="0"/>
        <item x="1"/>
        <item x="2"/>
        <item x="3"/>
        <item x="4"/>
      </items>
    </pivotField>
  </pivotFields>
  <rowFields count="1">
    <field x="3"/>
  </rowFields>
  <rowItems count="6">
    <i>
      <x v="17"/>
    </i>
    <i>
      <x v="8"/>
    </i>
    <i>
      <x/>
    </i>
    <i>
      <x v="20"/>
    </i>
    <i>
      <x v="11"/>
    </i>
    <i t="grand">
      <x/>
    </i>
  </rowItems>
  <colFields count="1">
    <field x="-2"/>
  </colFields>
  <colItems count="2">
    <i>
      <x/>
    </i>
    <i i="1">
      <x v="1"/>
    </i>
  </colItems>
  <dataFields count="2">
    <dataField name="Sum of Revenue" fld="9" baseField="0" baseItem="0" numFmtId="169"/>
    <dataField name="Sum of Sales" fld="7" baseField="0" baseItem="0" numFmtId="169"/>
  </dataFields>
  <formats count="4">
    <format dxfId="139">
      <pivotArea outline="0" collapsedLevelsAreSubtotals="1" fieldPosition="0">
        <references count="1">
          <reference field="4294967294" count="2" selected="0">
            <x v="0"/>
            <x v="1"/>
          </reference>
        </references>
      </pivotArea>
    </format>
    <format dxfId="138">
      <pivotArea dataOnly="0" labelOnly="1" outline="0" fieldPosition="0">
        <references count="1">
          <reference field="4294967294" count="2">
            <x v="0"/>
            <x v="1"/>
          </reference>
        </references>
      </pivotArea>
    </format>
    <format dxfId="137">
      <pivotArea field="3" type="button" dataOnly="0" labelOnly="1" outline="0" axis="axisRow" fieldPosition="0"/>
    </format>
    <format dxfId="136">
      <pivotArea dataOnly="0" labelOnly="1" outline="0" fieldPosition="0">
        <references count="1">
          <reference field="4294967294" count="2">
            <x v="0"/>
            <x v="1"/>
          </reference>
        </references>
      </pivotArea>
    </format>
  </formats>
  <chartFormats count="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2" format="5" series="1">
      <pivotArea type="data" outline="0" fieldPosition="0">
        <references count="1">
          <reference field="4294967294" count="1" selected="0">
            <x v="0"/>
          </reference>
        </references>
      </pivotArea>
    </chartFormat>
    <chartFormat chart="2" format="6"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filters count="1">
    <filter fld="3"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A6CBB412-6824-411E-A5FD-A4824339575D}" name="PivotTable2" cacheId="25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B40" firstHeaderRow="1" firstDataRow="1" firstDataCol="1"/>
  <pivotFields count="16">
    <pivotField axis="axisRow" numFmtId="14" showAll="0">
      <items count="15">
        <item x="0"/>
        <item x="1"/>
        <item x="2"/>
        <item x="3"/>
        <item x="4"/>
        <item x="5"/>
        <item x="6"/>
        <item x="7"/>
        <item x="8"/>
        <item x="9"/>
        <item x="10"/>
        <item x="11"/>
        <item x="12"/>
        <item x="13"/>
        <item t="default"/>
      </items>
    </pivotField>
    <pivotField numFmtId="14" showAll="0"/>
    <pivotField showAll="0"/>
    <pivotField showAll="0">
      <items count="23">
        <item x="12"/>
        <item x="14"/>
        <item x="11"/>
        <item x="2"/>
        <item x="15"/>
        <item x="16"/>
        <item x="19"/>
        <item x="4"/>
        <item x="3"/>
        <item x="8"/>
        <item x="9"/>
        <item x="13"/>
        <item x="20"/>
        <item x="17"/>
        <item x="7"/>
        <item x="1"/>
        <item x="6"/>
        <item x="0"/>
        <item x="5"/>
        <item x="10"/>
        <item x="21"/>
        <item x="18"/>
        <item t="default"/>
      </items>
    </pivotField>
    <pivotField numFmtId="164" showAll="0"/>
    <pivotField numFmtId="164" showAll="0"/>
    <pivotField showAll="0"/>
    <pivotField dataField="1" numFmtId="164" showAll="0"/>
    <pivotField numFmtId="164" showAll="0"/>
    <pivotField numFmtId="164" showAll="0"/>
    <pivotField numFmtId="9" showAll="0"/>
    <pivotField showAll="0">
      <items count="49">
        <item x="5"/>
        <item x="30"/>
        <item x="35"/>
        <item x="22"/>
        <item x="34"/>
        <item x="11"/>
        <item x="4"/>
        <item x="10"/>
        <item x="38"/>
        <item x="39"/>
        <item x="12"/>
        <item x="32"/>
        <item x="42"/>
        <item x="18"/>
        <item x="20"/>
        <item x="37"/>
        <item x="1"/>
        <item x="40"/>
        <item x="29"/>
        <item x="15"/>
        <item x="14"/>
        <item x="0"/>
        <item x="24"/>
        <item x="46"/>
        <item x="33"/>
        <item x="25"/>
        <item x="31"/>
        <item x="13"/>
        <item x="7"/>
        <item x="2"/>
        <item x="45"/>
        <item x="47"/>
        <item x="27"/>
        <item x="16"/>
        <item x="28"/>
        <item x="3"/>
        <item x="21"/>
        <item x="8"/>
        <item x="36"/>
        <item x="19"/>
        <item x="44"/>
        <item x="9"/>
        <item x="17"/>
        <item x="6"/>
        <item x="23"/>
        <item x="26"/>
        <item x="43"/>
        <item x="41"/>
        <item t="default"/>
      </items>
    </pivotField>
    <pivotField showAll="0">
      <items count="6">
        <item x="4"/>
        <item x="0"/>
        <item x="1"/>
        <item x="3"/>
        <item x="2"/>
        <item t="default"/>
      </items>
    </pivotField>
    <pivotField showAll="0">
      <items count="3">
        <item x="1"/>
        <item x="0"/>
        <item t="default"/>
      </items>
    </pivotField>
    <pivotField showAll="0" defaultSubtotal="0">
      <items count="6">
        <item sd="0" x="0"/>
        <item sd="0" x="1"/>
        <item sd="0" x="2"/>
        <item sd="0" x="3"/>
        <item sd="0" x="4"/>
        <item sd="0" x="5"/>
      </items>
    </pivotField>
    <pivotField axis="axisRow" showAll="0" defaultSubtotal="0">
      <items count="5">
        <item sd="0" x="0"/>
        <item x="1"/>
        <item x="2"/>
        <item x="3"/>
        <item sd="0" x="4"/>
      </items>
    </pivotField>
  </pivotFields>
  <rowFields count="2">
    <field x="15"/>
    <field x="0"/>
  </rowFields>
  <rowItems count="37">
    <i>
      <x v="1"/>
    </i>
    <i r="1">
      <x v="1"/>
    </i>
    <i r="1">
      <x v="2"/>
    </i>
    <i r="1">
      <x v="3"/>
    </i>
    <i r="1">
      <x v="4"/>
    </i>
    <i r="1">
      <x v="5"/>
    </i>
    <i r="1">
      <x v="6"/>
    </i>
    <i r="1">
      <x v="7"/>
    </i>
    <i r="1">
      <x v="8"/>
    </i>
    <i r="1">
      <x v="9"/>
    </i>
    <i r="1">
      <x v="10"/>
    </i>
    <i r="1">
      <x v="11"/>
    </i>
    <i r="1">
      <x v="12"/>
    </i>
    <i>
      <x v="2"/>
    </i>
    <i r="1">
      <x v="1"/>
    </i>
    <i r="1">
      <x v="2"/>
    </i>
    <i r="1">
      <x v="3"/>
    </i>
    <i r="1">
      <x v="4"/>
    </i>
    <i r="1">
      <x v="5"/>
    </i>
    <i r="1">
      <x v="6"/>
    </i>
    <i r="1">
      <x v="7"/>
    </i>
    <i r="1">
      <x v="8"/>
    </i>
    <i r="1">
      <x v="9"/>
    </i>
    <i r="1">
      <x v="10"/>
    </i>
    <i r="1">
      <x v="11"/>
    </i>
    <i r="1">
      <x v="12"/>
    </i>
    <i>
      <x v="3"/>
    </i>
    <i r="1">
      <x v="1"/>
    </i>
    <i r="1">
      <x v="2"/>
    </i>
    <i r="1">
      <x v="3"/>
    </i>
    <i r="1">
      <x v="4"/>
    </i>
    <i r="1">
      <x v="5"/>
    </i>
    <i r="1">
      <x v="6"/>
    </i>
    <i r="1">
      <x v="7"/>
    </i>
    <i r="1">
      <x v="8"/>
    </i>
    <i r="1">
      <x v="9"/>
    </i>
    <i t="grand">
      <x/>
    </i>
  </rowItems>
  <colItems count="1">
    <i/>
  </colItems>
  <dataFields count="1">
    <dataField name="Sum of Sales" fld="7" baseField="0" baseItem="0" numFmtId="169"/>
  </dataFields>
  <formats count="2">
    <format dxfId="135">
      <pivotArea outline="0" collapsedLevelsAreSubtotals="1" fieldPosition="0"/>
    </format>
    <format dxfId="134">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7BA583B4-C04F-46D8-B9DD-15D43769F778}" name="PivotTable3" cacheId="25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B40" firstHeaderRow="1" firstDataRow="1" firstDataCol="1"/>
  <pivotFields count="16">
    <pivotField axis="axisRow" numFmtId="14" showAll="0">
      <items count="15">
        <item x="0"/>
        <item x="1"/>
        <item x="2"/>
        <item x="3"/>
        <item x="4"/>
        <item x="5"/>
        <item x="6"/>
        <item x="7"/>
        <item x="8"/>
        <item x="9"/>
        <item x="10"/>
        <item x="11"/>
        <item x="12"/>
        <item x="13"/>
        <item t="default"/>
      </items>
    </pivotField>
    <pivotField numFmtId="14" showAll="0"/>
    <pivotField showAll="0"/>
    <pivotField showAll="0">
      <items count="23">
        <item x="12"/>
        <item x="14"/>
        <item x="11"/>
        <item x="2"/>
        <item x="15"/>
        <item x="16"/>
        <item x="19"/>
        <item x="4"/>
        <item x="3"/>
        <item x="8"/>
        <item x="9"/>
        <item x="13"/>
        <item x="20"/>
        <item x="17"/>
        <item x="7"/>
        <item x="1"/>
        <item x="6"/>
        <item x="0"/>
        <item x="5"/>
        <item x="10"/>
        <item x="21"/>
        <item x="18"/>
        <item t="default"/>
      </items>
    </pivotField>
    <pivotField numFmtId="164" showAll="0"/>
    <pivotField numFmtId="164" showAll="0"/>
    <pivotField showAll="0"/>
    <pivotField numFmtId="164" showAll="0"/>
    <pivotField numFmtId="164" showAll="0"/>
    <pivotField dataField="1" numFmtId="164" showAll="0"/>
    <pivotField numFmtId="9" showAll="0"/>
    <pivotField showAll="0">
      <items count="49">
        <item x="5"/>
        <item x="30"/>
        <item x="35"/>
        <item x="22"/>
        <item x="34"/>
        <item x="11"/>
        <item x="4"/>
        <item x="10"/>
        <item x="38"/>
        <item x="39"/>
        <item x="12"/>
        <item x="32"/>
        <item x="42"/>
        <item x="18"/>
        <item x="20"/>
        <item x="37"/>
        <item x="1"/>
        <item x="40"/>
        <item x="29"/>
        <item x="15"/>
        <item x="14"/>
        <item x="0"/>
        <item x="24"/>
        <item x="46"/>
        <item x="33"/>
        <item x="25"/>
        <item x="31"/>
        <item x="13"/>
        <item x="7"/>
        <item x="2"/>
        <item x="45"/>
        <item x="47"/>
        <item x="27"/>
        <item x="16"/>
        <item x="28"/>
        <item x="3"/>
        <item x="21"/>
        <item x="8"/>
        <item x="36"/>
        <item x="19"/>
        <item x="44"/>
        <item x="9"/>
        <item x="17"/>
        <item x="6"/>
        <item x="23"/>
        <item x="26"/>
        <item x="43"/>
        <item x="41"/>
        <item t="default"/>
      </items>
    </pivotField>
    <pivotField showAll="0">
      <items count="6">
        <item x="4"/>
        <item x="0"/>
        <item x="1"/>
        <item x="3"/>
        <item x="2"/>
        <item t="default"/>
      </items>
    </pivotField>
    <pivotField showAll="0">
      <items count="3">
        <item x="1"/>
        <item x="0"/>
        <item t="default"/>
      </items>
    </pivotField>
    <pivotField showAll="0" defaultSubtotal="0">
      <items count="6">
        <item sd="0" x="0"/>
        <item sd="0" x="1"/>
        <item sd="0" x="2"/>
        <item sd="0" x="3"/>
        <item sd="0" x="4"/>
        <item sd="0" x="5"/>
      </items>
    </pivotField>
    <pivotField axis="axisRow" showAll="0" defaultSubtotal="0">
      <items count="5">
        <item sd="0" x="0"/>
        <item x="1"/>
        <item x="2"/>
        <item x="3"/>
        <item sd="0" x="4"/>
      </items>
    </pivotField>
  </pivotFields>
  <rowFields count="2">
    <field x="15"/>
    <field x="0"/>
  </rowFields>
  <rowItems count="37">
    <i>
      <x v="1"/>
    </i>
    <i r="1">
      <x v="1"/>
    </i>
    <i r="1">
      <x v="2"/>
    </i>
    <i r="1">
      <x v="3"/>
    </i>
    <i r="1">
      <x v="4"/>
    </i>
    <i r="1">
      <x v="5"/>
    </i>
    <i r="1">
      <x v="6"/>
    </i>
    <i r="1">
      <x v="7"/>
    </i>
    <i r="1">
      <x v="8"/>
    </i>
    <i r="1">
      <x v="9"/>
    </i>
    <i r="1">
      <x v="10"/>
    </i>
    <i r="1">
      <x v="11"/>
    </i>
    <i r="1">
      <x v="12"/>
    </i>
    <i>
      <x v="2"/>
    </i>
    <i r="1">
      <x v="1"/>
    </i>
    <i r="1">
      <x v="2"/>
    </i>
    <i r="1">
      <x v="3"/>
    </i>
    <i r="1">
      <x v="4"/>
    </i>
    <i r="1">
      <x v="5"/>
    </i>
    <i r="1">
      <x v="6"/>
    </i>
    <i r="1">
      <x v="7"/>
    </i>
    <i r="1">
      <x v="8"/>
    </i>
    <i r="1">
      <x v="9"/>
    </i>
    <i r="1">
      <x v="10"/>
    </i>
    <i r="1">
      <x v="11"/>
    </i>
    <i r="1">
      <x v="12"/>
    </i>
    <i>
      <x v="3"/>
    </i>
    <i r="1">
      <x v="1"/>
    </i>
    <i r="1">
      <x v="2"/>
    </i>
    <i r="1">
      <x v="3"/>
    </i>
    <i r="1">
      <x v="4"/>
    </i>
    <i r="1">
      <x v="5"/>
    </i>
    <i r="1">
      <x v="6"/>
    </i>
    <i r="1">
      <x v="7"/>
    </i>
    <i r="1">
      <x v="8"/>
    </i>
    <i r="1">
      <x v="9"/>
    </i>
    <i t="grand">
      <x/>
    </i>
  </rowItems>
  <colItems count="1">
    <i/>
  </colItems>
  <dataFields count="1">
    <dataField name="Sum of Revenue" fld="9"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89D998C0-8C4A-4406-85F6-DF0107BB1CE0}" name="PivotTable4" cacheId="25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B7" firstHeaderRow="1" firstDataRow="1" firstDataCol="1"/>
  <pivotFields count="16">
    <pivotField axis="axisRow" numFmtId="14" showAll="0">
      <items count="15">
        <item x="0"/>
        <item x="1"/>
        <item x="2"/>
        <item x="3"/>
        <item x="4"/>
        <item x="5"/>
        <item x="6"/>
        <item x="7"/>
        <item x="8"/>
        <item x="9"/>
        <item x="10"/>
        <item x="11"/>
        <item x="12"/>
        <item x="13"/>
        <item t="default"/>
      </items>
    </pivotField>
    <pivotField numFmtId="14" showAll="0"/>
    <pivotField showAll="0"/>
    <pivotField showAll="0">
      <items count="23">
        <item x="12"/>
        <item x="14"/>
        <item x="11"/>
        <item x="2"/>
        <item x="15"/>
        <item x="16"/>
        <item x="19"/>
        <item x="4"/>
        <item x="3"/>
        <item x="8"/>
        <item x="9"/>
        <item x="13"/>
        <item x="20"/>
        <item x="17"/>
        <item x="7"/>
        <item x="1"/>
        <item x="6"/>
        <item x="0"/>
        <item x="5"/>
        <item x="10"/>
        <item x="21"/>
        <item x="18"/>
        <item t="default"/>
      </items>
    </pivotField>
    <pivotField numFmtId="164" showAll="0"/>
    <pivotField numFmtId="164" showAll="0"/>
    <pivotField showAll="0"/>
    <pivotField numFmtId="164" showAll="0"/>
    <pivotField numFmtId="164" showAll="0"/>
    <pivotField numFmtId="164" showAll="0"/>
    <pivotField dataField="1" numFmtId="9" showAll="0"/>
    <pivotField showAll="0">
      <items count="49">
        <item x="5"/>
        <item x="30"/>
        <item x="35"/>
        <item x="22"/>
        <item x="34"/>
        <item x="11"/>
        <item x="4"/>
        <item x="10"/>
        <item x="38"/>
        <item x="39"/>
        <item x="12"/>
        <item x="32"/>
        <item x="42"/>
        <item x="18"/>
        <item x="20"/>
        <item x="37"/>
        <item x="1"/>
        <item x="40"/>
        <item x="29"/>
        <item x="15"/>
        <item x="14"/>
        <item x="0"/>
        <item x="24"/>
        <item x="46"/>
        <item x="33"/>
        <item x="25"/>
        <item x="31"/>
        <item x="13"/>
        <item x="7"/>
        <item x="2"/>
        <item x="45"/>
        <item x="47"/>
        <item x="27"/>
        <item x="16"/>
        <item x="28"/>
        <item x="3"/>
        <item x="21"/>
        <item x="8"/>
        <item x="36"/>
        <item x="19"/>
        <item x="44"/>
        <item x="9"/>
        <item x="17"/>
        <item x="6"/>
        <item x="23"/>
        <item x="26"/>
        <item x="43"/>
        <item x="41"/>
        <item t="default"/>
      </items>
    </pivotField>
    <pivotField showAll="0">
      <items count="6">
        <item x="4"/>
        <item x="0"/>
        <item x="1"/>
        <item x="3"/>
        <item x="2"/>
        <item t="default"/>
      </items>
    </pivotField>
    <pivotField showAll="0">
      <items count="3">
        <item x="1"/>
        <item x="0"/>
        <item t="default"/>
      </items>
    </pivotField>
    <pivotField showAll="0" defaultSubtotal="0">
      <items count="6">
        <item sd="0" x="0"/>
        <item sd="0" x="1"/>
        <item sd="0" x="2"/>
        <item sd="0" x="3"/>
        <item sd="0" x="4"/>
        <item sd="0" x="5"/>
      </items>
    </pivotField>
    <pivotField axis="axisRow" showAll="0" defaultSubtotal="0">
      <items count="5">
        <item sd="0" x="0"/>
        <item sd="0" x="1"/>
        <item sd="0" x="2"/>
        <item sd="0" x="3"/>
        <item sd="0" x="4"/>
      </items>
    </pivotField>
  </pivotFields>
  <rowFields count="2">
    <field x="15"/>
    <field x="0"/>
  </rowFields>
  <rowItems count="4">
    <i>
      <x v="1"/>
    </i>
    <i>
      <x v="2"/>
    </i>
    <i>
      <x v="3"/>
    </i>
    <i t="grand">
      <x/>
    </i>
  </rowItems>
  <colItems count="1">
    <i/>
  </colItems>
  <dataFields count="1">
    <dataField name="Average of Profit  Margin " fld="10" subtotal="average" baseField="15" baseItem="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267AC2DA-11B3-4462-BB16-ACFD6FE821E3}" name="PivotTable1" cacheId="25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B16" firstHeaderRow="1" firstDataRow="1" firstDataCol="1"/>
  <pivotFields count="16">
    <pivotField axis="axisRow" numFmtId="14" showAll="0">
      <items count="15">
        <item x="0"/>
        <item x="1"/>
        <item x="2"/>
        <item x="3"/>
        <item x="4"/>
        <item x="5"/>
        <item x="6"/>
        <item x="7"/>
        <item x="8"/>
        <item x="9"/>
        <item x="10"/>
        <item x="11"/>
        <item x="12"/>
        <item x="13"/>
        <item t="default"/>
      </items>
    </pivotField>
    <pivotField numFmtId="14" showAll="0"/>
    <pivotField dataField="1" showAll="0"/>
    <pivotField showAll="0">
      <items count="23">
        <item x="12"/>
        <item x="14"/>
        <item x="11"/>
        <item x="2"/>
        <item x="15"/>
        <item x="16"/>
        <item x="19"/>
        <item x="4"/>
        <item x="3"/>
        <item x="8"/>
        <item x="9"/>
        <item x="13"/>
        <item x="20"/>
        <item x="17"/>
        <item x="7"/>
        <item x="1"/>
        <item x="6"/>
        <item x="0"/>
        <item x="5"/>
        <item x="10"/>
        <item x="21"/>
        <item x="18"/>
        <item t="default"/>
      </items>
    </pivotField>
    <pivotField numFmtId="164" showAll="0"/>
    <pivotField numFmtId="164" showAll="0"/>
    <pivotField showAll="0"/>
    <pivotField numFmtId="164" showAll="0"/>
    <pivotField numFmtId="164" showAll="0"/>
    <pivotField numFmtId="164" showAll="0"/>
    <pivotField numFmtId="9" showAll="0"/>
    <pivotField showAll="0">
      <items count="49">
        <item x="5"/>
        <item x="30"/>
        <item x="35"/>
        <item x="22"/>
        <item x="34"/>
        <item x="11"/>
        <item x="4"/>
        <item x="10"/>
        <item x="38"/>
        <item x="39"/>
        <item x="12"/>
        <item x="32"/>
        <item x="42"/>
        <item x="18"/>
        <item x="20"/>
        <item x="37"/>
        <item x="1"/>
        <item x="40"/>
        <item x="29"/>
        <item x="15"/>
        <item x="14"/>
        <item x="0"/>
        <item x="24"/>
        <item x="46"/>
        <item x="33"/>
        <item x="25"/>
        <item x="31"/>
        <item x="13"/>
        <item x="7"/>
        <item x="2"/>
        <item x="45"/>
        <item x="47"/>
        <item x="27"/>
        <item x="16"/>
        <item x="28"/>
        <item x="3"/>
        <item x="21"/>
        <item x="8"/>
        <item x="36"/>
        <item x="19"/>
        <item x="44"/>
        <item x="9"/>
        <item x="17"/>
        <item x="6"/>
        <item x="23"/>
        <item x="26"/>
        <item x="43"/>
        <item x="41"/>
        <item t="default"/>
      </items>
    </pivotField>
    <pivotField showAll="0">
      <items count="6">
        <item x="4"/>
        <item x="0"/>
        <item x="1"/>
        <item x="3"/>
        <item x="2"/>
        <item t="default"/>
      </items>
    </pivotField>
    <pivotField showAll="0">
      <items count="3">
        <item x="1"/>
        <item x="0"/>
        <item t="default"/>
      </items>
    </pivotField>
    <pivotField showAll="0" defaultSubtotal="0">
      <items count="6">
        <item sd="0" x="0"/>
        <item sd="0" x="1"/>
        <item sd="0" x="2"/>
        <item sd="0" x="3"/>
        <item sd="0" x="4"/>
        <item sd="0" x="5"/>
      </items>
    </pivotField>
    <pivotField axis="axisRow" showAll="0" defaultSubtotal="0">
      <items count="5">
        <item sd="0" x="0"/>
        <item sd="0" x="1"/>
        <item sd="0" x="2"/>
        <item x="3"/>
        <item sd="0" x="4"/>
      </items>
    </pivotField>
  </pivotFields>
  <rowFields count="2">
    <field x="15"/>
    <field x="0"/>
  </rowFields>
  <rowItems count="13">
    <i>
      <x v="1"/>
    </i>
    <i>
      <x v="2"/>
    </i>
    <i>
      <x v="3"/>
    </i>
    <i r="1">
      <x v="1"/>
    </i>
    <i r="1">
      <x v="2"/>
    </i>
    <i r="1">
      <x v="3"/>
    </i>
    <i r="1">
      <x v="4"/>
    </i>
    <i r="1">
      <x v="5"/>
    </i>
    <i r="1">
      <x v="6"/>
    </i>
    <i r="1">
      <x v="7"/>
    </i>
    <i r="1">
      <x v="8"/>
    </i>
    <i r="1">
      <x v="9"/>
    </i>
    <i t="grand">
      <x/>
    </i>
  </rowItems>
  <colItems count="1">
    <i/>
  </colItems>
  <dataFields count="1">
    <dataField name="Average of Delivery Duration (Days)" fld="2" subtotal="average" baseField="15" baseItem="1" numFmtId="2"/>
  </dataFields>
  <formats count="2">
    <format dxfId="133">
      <pivotArea outline="0" collapsedLevelsAreSubtotals="1" fieldPosition="0"/>
    </format>
    <format dxfId="132">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896A1C62-F793-4865-930E-1569A4687538}" name="PivotTable2" cacheId="25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7">
  <location ref="A3:B6" firstHeaderRow="1" firstDataRow="1" firstDataCol="1"/>
  <pivotFields count="16">
    <pivotField numFmtId="14" showAll="0">
      <items count="15">
        <item x="0"/>
        <item x="1"/>
        <item x="2"/>
        <item x="3"/>
        <item x="4"/>
        <item x="5"/>
        <item x="6"/>
        <item x="7"/>
        <item x="8"/>
        <item x="9"/>
        <item x="10"/>
        <item x="11"/>
        <item x="12"/>
        <item x="13"/>
        <item t="default"/>
      </items>
    </pivotField>
    <pivotField numFmtId="14" showAll="0"/>
    <pivotField showAll="0"/>
    <pivotField showAll="0">
      <items count="23">
        <item x="12"/>
        <item x="14"/>
        <item x="11"/>
        <item x="2"/>
        <item x="15"/>
        <item x="16"/>
        <item x="19"/>
        <item x="4"/>
        <item x="3"/>
        <item x="8"/>
        <item x="9"/>
        <item x="13"/>
        <item x="20"/>
        <item x="17"/>
        <item x="7"/>
        <item x="1"/>
        <item x="6"/>
        <item x="0"/>
        <item x="5"/>
        <item x="10"/>
        <item x="21"/>
        <item x="18"/>
        <item t="default"/>
      </items>
    </pivotField>
    <pivotField dataField="1" numFmtId="164" showAll="0"/>
    <pivotField numFmtId="164" showAll="0"/>
    <pivotField showAll="0"/>
    <pivotField numFmtId="164" showAll="0"/>
    <pivotField numFmtId="164" showAll="0"/>
    <pivotField numFmtId="164" showAll="0"/>
    <pivotField numFmtId="9" showAll="0"/>
    <pivotField showAll="0">
      <items count="49">
        <item x="5"/>
        <item x="30"/>
        <item x="35"/>
        <item x="22"/>
        <item x="34"/>
        <item x="11"/>
        <item x="4"/>
        <item x="10"/>
        <item x="38"/>
        <item x="39"/>
        <item x="12"/>
        <item x="32"/>
        <item x="42"/>
        <item x="18"/>
        <item x="20"/>
        <item x="37"/>
        <item x="1"/>
        <item x="40"/>
        <item x="29"/>
        <item x="15"/>
        <item x="14"/>
        <item x="0"/>
        <item x="24"/>
        <item x="46"/>
        <item x="33"/>
        <item x="25"/>
        <item x="31"/>
        <item x="13"/>
        <item x="7"/>
        <item x="2"/>
        <item x="45"/>
        <item x="47"/>
        <item x="27"/>
        <item x="16"/>
        <item x="28"/>
        <item x="3"/>
        <item x="21"/>
        <item x="8"/>
        <item x="36"/>
        <item x="19"/>
        <item x="44"/>
        <item x="9"/>
        <item x="17"/>
        <item x="6"/>
        <item x="23"/>
        <item x="26"/>
        <item x="43"/>
        <item x="41"/>
        <item t="default"/>
      </items>
    </pivotField>
    <pivotField showAll="0">
      <items count="6">
        <item x="4"/>
        <item x="0"/>
        <item x="1"/>
        <item x="3"/>
        <item x="2"/>
        <item t="default"/>
      </items>
    </pivotField>
    <pivotField axis="axisRow" showAll="0" countASubtotal="1">
      <items count="3">
        <item x="1"/>
        <item x="0"/>
        <item t="countA"/>
      </items>
    </pivotField>
    <pivotField showAll="0" defaultSubtotal="0">
      <items count="6">
        <item sd="0" x="0"/>
        <item sd="0" x="1"/>
        <item sd="0" x="2"/>
        <item sd="0" x="3"/>
        <item sd="0" x="4"/>
        <item sd="0" x="5"/>
      </items>
    </pivotField>
    <pivotField showAll="0" defaultSubtotal="0">
      <items count="5">
        <item sd="0" x="0"/>
        <item sd="0" x="1"/>
        <item sd="0" x="2"/>
        <item sd="0" x="3"/>
        <item sd="0" x="4"/>
      </items>
    </pivotField>
  </pivotFields>
  <rowFields count="1">
    <field x="13"/>
  </rowFields>
  <rowItems count="3">
    <i>
      <x/>
    </i>
    <i>
      <x v="1"/>
    </i>
    <i t="grand">
      <x/>
    </i>
  </rowItems>
  <colItems count="1">
    <i/>
  </colItems>
  <dataFields count="1">
    <dataField name="Count of Unit Price" fld="4" subtotal="count" baseField="15" baseItem="3"/>
  </dataFields>
  <chartFormats count="6">
    <chartFormat chart="2" format="7" series="1">
      <pivotArea type="data" outline="0" fieldPosition="0">
        <references count="1">
          <reference field="4294967294" count="1" selected="0">
            <x v="0"/>
          </reference>
        </references>
      </pivotArea>
    </chartFormat>
    <chartFormat chart="2" format="8">
      <pivotArea type="data" outline="0" fieldPosition="0">
        <references count="2">
          <reference field="4294967294" count="1" selected="0">
            <x v="0"/>
          </reference>
          <reference field="13" count="1" selected="0">
            <x v="0"/>
          </reference>
        </references>
      </pivotArea>
    </chartFormat>
    <chartFormat chart="2" format="9">
      <pivotArea type="data" outline="0" fieldPosition="0">
        <references count="2">
          <reference field="4294967294" count="1" selected="0">
            <x v="0"/>
          </reference>
          <reference field="13" count="1" selected="0">
            <x v="1"/>
          </reference>
        </references>
      </pivotArea>
    </chartFormat>
    <chartFormat chart="6" format="13" series="1">
      <pivotArea type="data" outline="0" fieldPosition="0">
        <references count="1">
          <reference field="4294967294" count="1" selected="0">
            <x v="0"/>
          </reference>
        </references>
      </pivotArea>
    </chartFormat>
    <chartFormat chart="6" format="14">
      <pivotArea type="data" outline="0" fieldPosition="0">
        <references count="2">
          <reference field="4294967294" count="1" selected="0">
            <x v="0"/>
          </reference>
          <reference field="13" count="1" selected="0">
            <x v="0"/>
          </reference>
        </references>
      </pivotArea>
    </chartFormat>
    <chartFormat chart="6" format="15">
      <pivotArea type="data" outline="0" fieldPosition="0">
        <references count="2">
          <reference field="4294967294" count="1" selected="0">
            <x v="0"/>
          </reference>
          <reference field="13"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A7CA8E66-E206-48F5-80CE-EF875D2476F6}" autoFormatId="16" applyNumberFormats="0" applyBorderFormats="0" applyFontFormats="0" applyPatternFormats="0" applyAlignmentFormats="0" applyWidthHeightFormats="0">
  <queryTableRefresh nextId="15">
    <queryTableFields count="14">
      <queryTableField id="1" name="Order Date" tableColumnId="1"/>
      <queryTableField id="2" name="Delivery Date" tableColumnId="2"/>
      <queryTableField id="3" name="Delivery Duration (Days)" tableColumnId="3"/>
      <queryTableField id="4" name="Product" tableColumnId="4"/>
      <queryTableField id="5" name="Unit Price" tableColumnId="5"/>
      <queryTableField id="6" name="Unit Cost" tableColumnId="6"/>
      <queryTableField id="7" name="Units Sold" tableColumnId="7"/>
      <queryTableField id="8" name="Sales" tableColumnId="8"/>
      <queryTableField id="13" dataBound="0" tableColumnId="13"/>
      <queryTableField id="9" name="Revenue" tableColumnId="9"/>
      <queryTableField id="14" dataBound="0" tableColumnId="14"/>
      <queryTableField id="10" name="Location" tableColumnId="10"/>
      <queryTableField id="11" name="Customer Acquisition" tableColumnId="11"/>
      <queryTableField id="12" name="Payment Mode" tableColumnId="12"/>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s" xr10:uid="{31324BF7-C17C-4915-A476-BD29EA916A81}" sourceName="Years">
  <pivotTables>
    <pivotTable tabId="5" name="PivotTable1"/>
    <pivotTable tabId="18" name="PivotTable4"/>
    <pivotTable tabId="10" name="PivotTable1"/>
    <pivotTable tabId="19" name="PivotTable1"/>
    <pivotTable tabId="20" name="PivotTable2"/>
    <pivotTable tabId="22" name="PivotTable2"/>
    <pivotTable tabId="4" name="PivotTable1"/>
    <pivotTable tabId="9" name="PivotTable5"/>
    <pivotTable tabId="21" name="PivotTable1"/>
    <pivotTable tabId="12" name="PivotTable1"/>
    <pivotTable tabId="16" name="PivotTable3"/>
    <pivotTable tabId="15" name="PivotTable2"/>
  </pivotTables>
  <data>
    <tabular pivotCacheId="300929959">
      <items count="5">
        <i x="1" s="1"/>
        <i x="2" s="1"/>
        <i x="3" s="1"/>
        <i x="0" s="1" nd="1"/>
        <i x="4" s="1" nd="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Location" xr10:uid="{23C55F5F-4E61-47E3-A186-85B202E69847}" sourceName="Location">
  <pivotTables>
    <pivotTable tabId="5" name="PivotTable1"/>
    <pivotTable tabId="18" name="PivotTable4"/>
    <pivotTable tabId="10" name="PivotTable1"/>
    <pivotTable tabId="19" name="PivotTable1"/>
    <pivotTable tabId="20" name="PivotTable2"/>
    <pivotTable tabId="22" name="PivotTable2"/>
    <pivotTable tabId="9" name="PivotTable5"/>
    <pivotTable tabId="21" name="PivotTable1"/>
    <pivotTable tabId="12" name="PivotTable1"/>
    <pivotTable tabId="16" name="PivotTable3"/>
    <pivotTable tabId="15" name="PivotTable2"/>
  </pivotTables>
  <data>
    <tabular pivotCacheId="300929959">
      <items count="48">
        <i x="5" s="1"/>
        <i x="30" s="1"/>
        <i x="35" s="1"/>
        <i x="22" s="1"/>
        <i x="34" s="1"/>
        <i x="11" s="1"/>
        <i x="4" s="1"/>
        <i x="10" s="1"/>
        <i x="38" s="1"/>
        <i x="39" s="1"/>
        <i x="12" s="1"/>
        <i x="32" s="1"/>
        <i x="42" s="1"/>
        <i x="18" s="1"/>
        <i x="20" s="1"/>
        <i x="37" s="1"/>
        <i x="1" s="1"/>
        <i x="40" s="1"/>
        <i x="29" s="1"/>
        <i x="15" s="1"/>
        <i x="14" s="1"/>
        <i x="0" s="1"/>
        <i x="24" s="1"/>
        <i x="46" s="1"/>
        <i x="33" s="1"/>
        <i x="25" s="1"/>
        <i x="31" s="1"/>
        <i x="13" s="1"/>
        <i x="7" s="1"/>
        <i x="2" s="1"/>
        <i x="45" s="1"/>
        <i x="47" s="1"/>
        <i x="27" s="1"/>
        <i x="16" s="1"/>
        <i x="28" s="1"/>
        <i x="3" s="1"/>
        <i x="21" s="1"/>
        <i x="8" s="1"/>
        <i x="36" s="1"/>
        <i x="19" s="1"/>
        <i x="44" s="1"/>
        <i x="9" s="1"/>
        <i x="17" s="1"/>
        <i x="6" s="1"/>
        <i x="23" s="1"/>
        <i x="26" s="1"/>
        <i x="43" s="1"/>
        <i x="41"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duct" xr10:uid="{CD6B3766-2F9C-43C0-AE70-FE8BB900BF18}" sourceName="Product">
  <pivotTables>
    <pivotTable tabId="5" name="PivotTable1"/>
    <pivotTable tabId="18" name="PivotTable4"/>
    <pivotTable tabId="10" name="PivotTable1"/>
    <pivotTable tabId="19" name="PivotTable1"/>
    <pivotTable tabId="20" name="PivotTable2"/>
    <pivotTable tabId="22" name="PivotTable2"/>
    <pivotTable tabId="4" name="PivotTable1"/>
    <pivotTable tabId="9" name="PivotTable5"/>
    <pivotTable tabId="21" name="PivotTable1"/>
    <pivotTable tabId="16" name="PivotTable3"/>
    <pivotTable tabId="15" name="PivotTable2"/>
  </pivotTables>
  <data>
    <tabular pivotCacheId="300929959">
      <items count="22">
        <i x="12" s="1"/>
        <i x="14" s="1"/>
        <i x="11" s="1"/>
        <i x="2" s="1"/>
        <i x="15" s="1"/>
        <i x="16" s="1"/>
        <i x="19" s="1"/>
        <i x="4" s="1"/>
        <i x="3" s="1"/>
        <i x="8" s="1"/>
        <i x="9" s="1"/>
        <i x="13" s="1"/>
        <i x="20" s="1"/>
        <i x="17" s="1"/>
        <i x="7" s="1"/>
        <i x="1" s="1"/>
        <i x="6" s="1"/>
        <i x="0" s="1"/>
        <i x="5" s="1"/>
        <i x="10" s="1"/>
        <i x="21" s="1"/>
        <i x="18"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ustomer_Acquisition" xr10:uid="{ED38FB47-73FE-47C9-8F15-5BF25B6E04ED}" sourceName="Customer Acquisition">
  <pivotTables>
    <pivotTable tabId="5" name="PivotTable1"/>
    <pivotTable tabId="18" name="PivotTable4"/>
    <pivotTable tabId="19" name="PivotTable1"/>
    <pivotTable tabId="20" name="PivotTable2"/>
    <pivotTable tabId="22" name="PivotTable2"/>
    <pivotTable tabId="4" name="PivotTable1"/>
    <pivotTable tabId="9" name="PivotTable5"/>
    <pivotTable tabId="21" name="PivotTable1"/>
    <pivotTable tabId="12" name="PivotTable1"/>
    <pivotTable tabId="16" name="PivotTable3"/>
    <pivotTable tabId="15" name="PivotTable2"/>
  </pivotTables>
  <data>
    <tabular pivotCacheId="300929959">
      <items count="5">
        <i x="4" s="1"/>
        <i x="0" s="1"/>
        <i x="1" s="1"/>
        <i x="3" s="1"/>
        <i x="2" s="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ayment_Mode" xr10:uid="{72966530-05A1-4B7A-8F17-E05835F4FB45}" sourceName="Payment Mode">
  <pivotTables>
    <pivotTable tabId="5" name="PivotTable1"/>
    <pivotTable tabId="18" name="PivotTable4"/>
    <pivotTable tabId="10" name="PivotTable1"/>
    <pivotTable tabId="19" name="PivotTable1"/>
    <pivotTable tabId="22" name="PivotTable2"/>
    <pivotTable tabId="4" name="PivotTable1"/>
    <pivotTable tabId="9" name="PivotTable5"/>
    <pivotTable tabId="21" name="PivotTable1"/>
    <pivotTable tabId="12" name="PivotTable1"/>
    <pivotTable tabId="16" name="PivotTable3"/>
    <pivotTable tabId="15" name="PivotTable2"/>
  </pivotTables>
  <data>
    <tabular pivotCacheId="300929959">
      <items count="2">
        <i x="1" s="1"/>
        <i x="0"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s" xr10:uid="{C754ABEF-5EE5-45C2-A43E-E48C1F149099}" cache="Slicer_Years" caption="Years" style="Custom 1" rowHeight="234950"/>
  <slicer name="Location" xr10:uid="{628BB01C-8422-467C-81DD-23E47F98420E}" cache="Slicer_Location" caption="Location" style="Custom 1" rowHeight="234950"/>
  <slicer name="Product" xr10:uid="{FE54D859-789D-43C0-8742-5A14FBD7E11E}" cache="Slicer_Product" caption="Product" style="Custom 1" rowHeight="234950"/>
  <slicer name="Customer Acquisition" xr10:uid="{C3B0C10B-45DA-48E7-AB79-3EF3A9EB9188}" cache="Slicer_Customer_Acquisition" caption="Customer Acquisition" style="Custom 1" rowHeight="234950"/>
  <slicer name="Payment Mode" xr10:uid="{929B9536-B52C-4BDA-A53D-77DD7097082A}" cache="Slicer_Payment_Mode" caption="Payment Mode" style="Custom 1" rowHeight="234950"/>
</slicers>
</file>

<file path=xl/tables/_rels/table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3B742085-C827-458F-BF1D-198A9D902BB4}" name="SalesData" displayName="SalesData" ref="A1:J1007" totalsRowShown="0" headerRowDxfId="150">
  <autoFilter ref="A1:J1007" xr:uid="{3B742085-C827-458F-BF1D-198A9D902BB4}"/>
  <tableColumns count="10">
    <tableColumn id="1" xr3:uid="{83E9E0AC-29F5-497C-AF7F-D3F05CAD5079}" name="Order Date" dataDxfId="149"/>
    <tableColumn id="2" xr3:uid="{5B517931-3943-42C8-A68D-8C2C6F9171D9}" name="Delivery Date" dataDxfId="148"/>
    <tableColumn id="3" xr3:uid="{FAC910A3-1C6A-476B-9EF4-139599BDE02D}" name="Product"/>
    <tableColumn id="4" xr3:uid="{D35FC455-F31D-42E6-9B31-E61B31F6E735}" name="Unit Price" dataDxfId="147"/>
    <tableColumn id="5" xr3:uid="{D217E412-A0A7-4D35-877E-4B7101EF5572}" name="Unit Cost" dataDxfId="146"/>
    <tableColumn id="6" xr3:uid="{E28912B3-94E6-439A-BDB3-802904C1D366}" name="Units Sold" dataDxfId="145"/>
    <tableColumn id="7" xr3:uid="{040EF231-8DE3-4AA2-A758-BF9FC519AF8F}" name="Sales" dataDxfId="144"/>
    <tableColumn id="8" xr3:uid="{FCEE370D-5698-4F2E-8008-5F6C3FFD7A67}" name="Location"/>
    <tableColumn id="9" xr3:uid="{6876F9E5-5939-418B-8766-EC1EC5318CA7}" name="Customer Acquisition"/>
    <tableColumn id="10" xr3:uid="{FCE7AFF7-FD59-4310-B62B-E71E39C02DDE}" name="Payment Mode"/>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22E7DDDD-66ED-4610-9696-CCC5111051E4}" name="SalesData_2" displayName="SalesData_2" ref="A1:N1007" tableType="queryTable" totalsRowShown="0">
  <autoFilter ref="A1:N1007" xr:uid="{22E7DDDD-66ED-4610-9696-CCC5111051E4}"/>
  <tableColumns count="14">
    <tableColumn id="1" xr3:uid="{0589056F-EF1E-42C4-A730-73E05EE76754}" uniqueName="1" name="Order Date" queryTableFieldId="1" dataDxfId="107"/>
    <tableColumn id="2" xr3:uid="{DABC1CC6-494A-47FE-9501-8D59DDC260DF}" uniqueName="2" name="Delivery Date" queryTableFieldId="2" dataDxfId="106"/>
    <tableColumn id="3" xr3:uid="{808106EA-A89D-4F25-B81E-0D3D0E127536}" uniqueName="3" name="Delivery Duration (Days)" queryTableFieldId="3"/>
    <tableColumn id="4" xr3:uid="{998C8215-382E-4CA5-9189-6870343AE86D}" uniqueName="4" name="Product" queryTableFieldId="4" dataDxfId="105"/>
    <tableColumn id="5" xr3:uid="{E70F3440-5CDB-4838-BE5D-747679C7581F}" uniqueName="5" name="Unit Price" queryTableFieldId="5" dataDxfId="104"/>
    <tableColumn id="6" xr3:uid="{CD693F76-8912-4635-93C2-4939F9F6E50D}" uniqueName="6" name="Unit Cost" queryTableFieldId="6" dataDxfId="103"/>
    <tableColumn id="7" xr3:uid="{C1D1EC92-BBDE-445C-B888-5FB6844CB19F}" uniqueName="7" name="Units Sold" queryTableFieldId="7"/>
    <tableColumn id="8" xr3:uid="{54EA7909-D0DF-40B2-B0B6-DF8E98FDCB58}" uniqueName="8" name="Sales" queryTableFieldId="8" dataDxfId="102"/>
    <tableColumn id="13" xr3:uid="{5B9683EC-EEC8-43EA-BA35-1E477844217D}" uniqueName="13" name="COGS" queryTableFieldId="13" dataDxfId="101">
      <calculatedColumnFormula>SalesData_2[[#This Row],[Unit Cost]]*SalesData_2[[#This Row],[Units Sold]]</calculatedColumnFormula>
    </tableColumn>
    <tableColumn id="9" xr3:uid="{0A4B8C3A-1496-4EF2-A396-B8A99B2EAB9B}" uniqueName="9" name="Revenue" queryTableFieldId="9" dataDxfId="100"/>
    <tableColumn id="14" xr3:uid="{342B5F58-E5E2-4D51-B57C-B2E0A61103ED}" uniqueName="14" name="Profit  Margin " queryTableFieldId="14" dataDxfId="99" dataCellStyle="Percent">
      <calculatedColumnFormula>SalesData_2[[#This Row],[Revenue]]/SalesData_2[[#This Row],[Sales]]</calculatedColumnFormula>
    </tableColumn>
    <tableColumn id="10" xr3:uid="{A8DC46BB-3DA8-412A-B4D9-06DF1D5DBEE9}" uniqueName="10" name="Location" queryTableFieldId="10" dataDxfId="98"/>
    <tableColumn id="11" xr3:uid="{48E6EFD2-526C-40A3-83DB-D60E152FD9E3}" uniqueName="11" name="Customer Acquisition" queryTableFieldId="11" dataDxfId="97"/>
    <tableColumn id="12" xr3:uid="{F8EB55C8-5C48-4E81-83D6-34B347D3FAD0}" uniqueName="12" name="Payment Mode" queryTableFieldId="12" dataDxfId="96"/>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eme/themeOverride1.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3.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4.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worksheets/_rels/sheet1.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microsoft.com/office/2007/relationships/slicer" Target="../slicers/slicer1.xml"/></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1.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2.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ivotTable" Target="../pivotTables/pivotTable3.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ivotTable" Target="../pivotTables/pivotTable4.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ivotTable" Target="../pivotTables/pivotTable5.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ivotTable" Target="../pivotTables/pivotTable6.xml"/></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3.bin"/><Relationship Id="rId1" Type="http://schemas.openxmlformats.org/officeDocument/2006/relationships/pivotTable" Target="../pivotTables/pivotTable7.xml"/></Relationships>
</file>

<file path=xl/worksheets/_rels/sheet11.xml.rels><?xml version="1.0" encoding="UTF-8" standalone="yes"?>
<Relationships xmlns="http://schemas.openxmlformats.org/package/2006/relationships"><Relationship Id="rId1" Type="http://schemas.openxmlformats.org/officeDocument/2006/relationships/pivotTable" Target="../pivotTables/pivotTable8.xml"/></Relationships>
</file>

<file path=xl/worksheets/_rels/sheet12.xml.rels><?xml version="1.0" encoding="UTF-8" standalone="yes"?>
<Relationships xmlns="http://schemas.openxmlformats.org/package/2006/relationships"><Relationship Id="rId1" Type="http://schemas.openxmlformats.org/officeDocument/2006/relationships/pivotTable" Target="../pivotTables/pivotTable9.xml"/></Relationships>
</file>

<file path=xl/worksheets/_rels/sheet13.xml.rels><?xml version="1.0" encoding="UTF-8" standalone="yes"?>
<Relationships xmlns="http://schemas.openxmlformats.org/package/2006/relationships"><Relationship Id="rId1" Type="http://schemas.openxmlformats.org/officeDocument/2006/relationships/pivotTable" Target="../pivotTables/pivotTable10.xml"/></Relationships>
</file>

<file path=xl/worksheets/_rels/sheet14.xml.rels><?xml version="1.0" encoding="UTF-8" standalone="yes"?>
<Relationships xmlns="http://schemas.openxmlformats.org/package/2006/relationships"><Relationship Id="rId1" Type="http://schemas.openxmlformats.org/officeDocument/2006/relationships/pivotTable" Target="../pivotTables/pivotTable11.xml"/></Relationships>
</file>

<file path=xl/worksheets/_rels/sheet15.xml.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4.bin"/><Relationship Id="rId1" Type="http://schemas.openxmlformats.org/officeDocument/2006/relationships/pivotTable" Target="../pivotTables/pivotTable1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42A478-13E9-4C50-BAB2-354D245D49C8}">
  <sheetPr codeName="Sheet1"/>
  <dimension ref="Q10"/>
  <sheetViews>
    <sheetView showGridLines="0" showRowColHeaders="0" tabSelected="1" workbookViewId="0">
      <selection activeCell="Q11" sqref="Q11"/>
    </sheetView>
  </sheetViews>
  <sheetFormatPr defaultRowHeight="14.4" x14ac:dyDescent="0.3"/>
  <sheetData>
    <row r="10" spans="17:17" x14ac:dyDescent="0.3">
      <c r="Q10" t="s">
        <v>138</v>
      </c>
    </row>
  </sheetData>
  <pageMargins left="0.7" right="0.7" top="0.75" bottom="0.75" header="0.3" footer="0.3"/>
  <pageSetup orientation="portrait" r:id="rId1"/>
  <drawing r:id="rId2"/>
  <picture r:id="rId3"/>
  <extLst>
    <ext xmlns:x14="http://schemas.microsoft.com/office/spreadsheetml/2009/9/main" uri="{A8765BA9-456A-4dab-B4F3-ACF838C121DE}">
      <x14:slicerList>
        <x14:slicer r:id="rId4"/>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F021FB-08F7-459A-B31A-2F9BA08F4221}">
  <sheetPr codeName="Sheet2"/>
  <dimension ref="A1:J1008"/>
  <sheetViews>
    <sheetView workbookViewId="0">
      <selection activeCell="G6" sqref="G6"/>
    </sheetView>
  </sheetViews>
  <sheetFormatPr defaultRowHeight="14.4" x14ac:dyDescent="0.3"/>
  <cols>
    <col min="1" max="1" width="12" style="2" customWidth="1"/>
    <col min="2" max="2" width="22.44140625" style="2" bestFit="1" customWidth="1"/>
    <col min="3" max="3" width="11.109375" bestFit="1" customWidth="1"/>
    <col min="4" max="4" width="12.109375" style="6" customWidth="1"/>
    <col min="5" max="5" width="11.6640625" style="6" customWidth="1"/>
    <col min="6" max="6" width="12.44140625" style="6" customWidth="1"/>
    <col min="7" max="7" width="10.109375" style="6" bestFit="1" customWidth="1"/>
    <col min="8" max="8" width="14" bestFit="1" customWidth="1"/>
    <col min="9" max="9" width="20.77734375" customWidth="1"/>
    <col min="10" max="10" width="15.88671875" customWidth="1"/>
  </cols>
  <sheetData>
    <row r="1" spans="1:10" s="1" customFormat="1" x14ac:dyDescent="0.3">
      <c r="A1" s="4" t="s">
        <v>0</v>
      </c>
      <c r="B1" s="4" t="s">
        <v>1</v>
      </c>
      <c r="C1" s="1" t="s">
        <v>24</v>
      </c>
      <c r="D1" s="5" t="s">
        <v>25</v>
      </c>
      <c r="E1" s="5" t="s">
        <v>26</v>
      </c>
      <c r="F1" s="5" t="s">
        <v>27</v>
      </c>
      <c r="G1" s="5" t="s">
        <v>28</v>
      </c>
      <c r="H1" s="1" t="s">
        <v>77</v>
      </c>
      <c r="I1" s="1" t="s">
        <v>78</v>
      </c>
      <c r="J1" s="1" t="s">
        <v>84</v>
      </c>
    </row>
    <row r="2" spans="1:10" x14ac:dyDescent="0.3">
      <c r="A2" s="3">
        <v>43831</v>
      </c>
      <c r="B2" s="2">
        <v>43834</v>
      </c>
      <c r="C2" t="s">
        <v>87</v>
      </c>
      <c r="D2" s="6">
        <v>99</v>
      </c>
      <c r="E2" s="6">
        <v>62.37</v>
      </c>
      <c r="F2" s="6">
        <v>7</v>
      </c>
      <c r="G2" s="6">
        <v>693</v>
      </c>
      <c r="H2" t="s">
        <v>50</v>
      </c>
      <c r="I2" t="s">
        <v>82</v>
      </c>
      <c r="J2" t="s">
        <v>86</v>
      </c>
    </row>
    <row r="3" spans="1:10" x14ac:dyDescent="0.3">
      <c r="A3" s="2">
        <v>43831</v>
      </c>
      <c r="B3" s="2">
        <v>43833</v>
      </c>
      <c r="C3" t="s">
        <v>4</v>
      </c>
      <c r="D3" s="6">
        <v>390</v>
      </c>
      <c r="E3" s="6">
        <v>288.60000000000002</v>
      </c>
      <c r="F3" s="6">
        <v>9</v>
      </c>
      <c r="G3" s="6">
        <v>3510</v>
      </c>
      <c r="H3" t="s">
        <v>45</v>
      </c>
      <c r="I3" t="s">
        <v>81</v>
      </c>
      <c r="J3" t="s">
        <v>86</v>
      </c>
    </row>
    <row r="4" spans="1:10" x14ac:dyDescent="0.3">
      <c r="A4" s="2">
        <v>43834</v>
      </c>
      <c r="B4" s="2">
        <v>43840</v>
      </c>
      <c r="C4" t="s">
        <v>13</v>
      </c>
      <c r="D4" s="6">
        <v>445</v>
      </c>
      <c r="E4" s="6">
        <v>280.35000000000002</v>
      </c>
      <c r="F4" s="6">
        <v>7</v>
      </c>
      <c r="G4" s="6">
        <v>3115</v>
      </c>
      <c r="H4" t="s">
        <v>92</v>
      </c>
      <c r="I4" t="s">
        <v>98</v>
      </c>
      <c r="J4" t="s">
        <v>101</v>
      </c>
    </row>
    <row r="5" spans="1:10" x14ac:dyDescent="0.3">
      <c r="A5" s="2">
        <v>43834</v>
      </c>
      <c r="B5" s="2">
        <v>43840</v>
      </c>
      <c r="C5" t="s">
        <v>18</v>
      </c>
      <c r="D5" s="6">
        <v>80</v>
      </c>
      <c r="E5" s="6">
        <v>48.8</v>
      </c>
      <c r="F5" s="6">
        <v>6</v>
      </c>
      <c r="G5" s="6">
        <v>480</v>
      </c>
      <c r="H5" t="s">
        <v>64</v>
      </c>
      <c r="I5" t="s">
        <v>82</v>
      </c>
      <c r="J5" t="s">
        <v>86</v>
      </c>
    </row>
    <row r="6" spans="1:10" x14ac:dyDescent="0.3">
      <c r="A6" s="2">
        <v>43835</v>
      </c>
      <c r="B6" s="7">
        <v>43841</v>
      </c>
      <c r="C6" t="s">
        <v>17</v>
      </c>
      <c r="D6" s="6">
        <v>195</v>
      </c>
      <c r="E6" s="6">
        <v>138.44999999999999</v>
      </c>
      <c r="F6" s="6">
        <v>5</v>
      </c>
      <c r="G6" s="6">
        <v>975</v>
      </c>
      <c r="H6" t="s">
        <v>35</v>
      </c>
      <c r="I6" t="s">
        <v>82</v>
      </c>
      <c r="J6" t="s">
        <v>85</v>
      </c>
    </row>
    <row r="7" spans="1:10" x14ac:dyDescent="0.3">
      <c r="A7" s="2">
        <v>43835</v>
      </c>
      <c r="B7" s="2">
        <v>43838</v>
      </c>
      <c r="C7" t="s">
        <v>6</v>
      </c>
      <c r="D7" s="6">
        <v>99</v>
      </c>
      <c r="E7" s="6">
        <v>62.37</v>
      </c>
      <c r="F7" s="6">
        <v>4</v>
      </c>
      <c r="G7" s="6">
        <v>396</v>
      </c>
      <c r="H7" t="s">
        <v>93</v>
      </c>
      <c r="I7" t="s">
        <v>81</v>
      </c>
      <c r="J7" t="s">
        <v>100</v>
      </c>
    </row>
    <row r="8" spans="1:10" x14ac:dyDescent="0.3">
      <c r="A8" s="2">
        <v>43835</v>
      </c>
      <c r="B8" s="2">
        <v>43840</v>
      </c>
      <c r="C8" t="s">
        <v>7</v>
      </c>
      <c r="D8" s="6">
        <v>250</v>
      </c>
      <c r="E8" s="6">
        <v>167.5</v>
      </c>
      <c r="F8" s="6">
        <v>4</v>
      </c>
      <c r="G8" s="6">
        <v>1000</v>
      </c>
      <c r="H8" t="s">
        <v>58</v>
      </c>
      <c r="I8" t="s">
        <v>96</v>
      </c>
      <c r="J8" t="s">
        <v>86</v>
      </c>
    </row>
    <row r="9" spans="1:10" x14ac:dyDescent="0.3">
      <c r="A9" s="2">
        <v>43836</v>
      </c>
      <c r="B9" s="2">
        <v>43837</v>
      </c>
      <c r="C9" t="s">
        <v>90</v>
      </c>
      <c r="D9" s="6">
        <v>290</v>
      </c>
      <c r="E9" s="6">
        <v>185.6</v>
      </c>
      <c r="F9" s="6">
        <v>5</v>
      </c>
      <c r="G9" s="6">
        <v>1450</v>
      </c>
      <c r="H9" t="s">
        <v>72</v>
      </c>
      <c r="I9" t="s">
        <v>82</v>
      </c>
      <c r="J9" t="s">
        <v>86</v>
      </c>
    </row>
    <row r="10" spans="1:10" x14ac:dyDescent="0.3">
      <c r="A10" s="3">
        <v>43837</v>
      </c>
      <c r="B10" s="2">
        <v>43842</v>
      </c>
      <c r="C10" t="s">
        <v>5</v>
      </c>
      <c r="D10" s="6">
        <v>290</v>
      </c>
      <c r="E10" s="6">
        <v>185.6</v>
      </c>
      <c r="F10" s="6">
        <v>9</v>
      </c>
      <c r="G10" s="6">
        <v>2610</v>
      </c>
      <c r="H10" t="s">
        <v>58</v>
      </c>
      <c r="I10" t="s">
        <v>95</v>
      </c>
      <c r="J10" t="s">
        <v>86</v>
      </c>
    </row>
    <row r="11" spans="1:10" x14ac:dyDescent="0.3">
      <c r="A11" s="2">
        <v>43839</v>
      </c>
      <c r="B11" s="2">
        <v>43840</v>
      </c>
      <c r="C11" t="s">
        <v>23</v>
      </c>
      <c r="D11" s="6">
        <v>275</v>
      </c>
      <c r="E11" s="6">
        <v>200.75</v>
      </c>
      <c r="F11" s="6">
        <v>7</v>
      </c>
      <c r="G11" s="6">
        <v>1925</v>
      </c>
      <c r="H11" t="s">
        <v>57</v>
      </c>
      <c r="I11" t="s">
        <v>80</v>
      </c>
      <c r="J11" t="s">
        <v>85</v>
      </c>
    </row>
    <row r="12" spans="1:10" x14ac:dyDescent="0.3">
      <c r="A12" s="2">
        <v>43840</v>
      </c>
      <c r="B12" s="2">
        <v>43843</v>
      </c>
      <c r="C12" t="s">
        <v>88</v>
      </c>
      <c r="D12" s="6">
        <v>445</v>
      </c>
      <c r="E12" s="6">
        <v>280.35000000000002</v>
      </c>
      <c r="F12" s="6">
        <v>5</v>
      </c>
      <c r="G12" s="6">
        <v>2225</v>
      </c>
      <c r="H12" t="s">
        <v>94</v>
      </c>
      <c r="I12" t="s">
        <v>83</v>
      </c>
      <c r="J12" t="s">
        <v>85</v>
      </c>
    </row>
    <row r="13" spans="1:10" x14ac:dyDescent="0.3">
      <c r="A13" s="2">
        <v>43841</v>
      </c>
      <c r="B13" s="2">
        <v>43848</v>
      </c>
      <c r="C13" t="s">
        <v>13</v>
      </c>
      <c r="D13" s="6">
        <v>445</v>
      </c>
      <c r="E13" s="6">
        <v>280.35000000000002</v>
      </c>
      <c r="F13" s="6">
        <v>1</v>
      </c>
      <c r="G13" s="6">
        <v>445</v>
      </c>
      <c r="H13" t="s">
        <v>70</v>
      </c>
      <c r="I13" t="s">
        <v>83</v>
      </c>
      <c r="J13" t="s">
        <v>85</v>
      </c>
    </row>
    <row r="14" spans="1:10" x14ac:dyDescent="0.3">
      <c r="A14" s="2">
        <v>43844</v>
      </c>
      <c r="B14" s="2">
        <v>43848</v>
      </c>
      <c r="C14" t="s">
        <v>19</v>
      </c>
      <c r="D14" s="6">
        <v>220</v>
      </c>
      <c r="E14" s="6">
        <v>154</v>
      </c>
      <c r="F14" s="6">
        <v>6</v>
      </c>
      <c r="G14" s="6">
        <v>1320</v>
      </c>
      <c r="H14" t="s">
        <v>36</v>
      </c>
      <c r="I14" t="s">
        <v>82</v>
      </c>
      <c r="J14" t="s">
        <v>103</v>
      </c>
    </row>
    <row r="15" spans="1:10" x14ac:dyDescent="0.3">
      <c r="A15" s="2">
        <v>43845</v>
      </c>
      <c r="B15" s="2">
        <v>43850</v>
      </c>
      <c r="C15" t="s">
        <v>20</v>
      </c>
      <c r="D15" s="6">
        <v>440</v>
      </c>
      <c r="E15" s="6">
        <v>286</v>
      </c>
      <c r="F15" s="6">
        <v>6</v>
      </c>
      <c r="G15" s="6">
        <v>2640</v>
      </c>
      <c r="H15" t="s">
        <v>34</v>
      </c>
      <c r="I15" t="s">
        <v>80</v>
      </c>
      <c r="J15" t="s">
        <v>85</v>
      </c>
    </row>
    <row r="16" spans="1:10" x14ac:dyDescent="0.3">
      <c r="A16" s="8">
        <v>43847</v>
      </c>
      <c r="B16" s="2">
        <v>43854</v>
      </c>
      <c r="C16" t="s">
        <v>8</v>
      </c>
      <c r="D16" s="6">
        <v>59</v>
      </c>
      <c r="E16" s="6">
        <v>41.3</v>
      </c>
      <c r="F16" s="6">
        <v>4</v>
      </c>
      <c r="G16" s="6">
        <v>236</v>
      </c>
      <c r="H16" t="s">
        <v>39</v>
      </c>
      <c r="I16" t="s">
        <v>79</v>
      </c>
      <c r="J16" t="s">
        <v>102</v>
      </c>
    </row>
    <row r="17" spans="1:10" x14ac:dyDescent="0.3">
      <c r="A17" s="2">
        <v>43850</v>
      </c>
      <c r="B17" s="2">
        <v>43856</v>
      </c>
      <c r="C17" t="s">
        <v>12</v>
      </c>
      <c r="D17" s="6">
        <v>320</v>
      </c>
      <c r="E17" s="6">
        <v>233.6</v>
      </c>
      <c r="F17" s="6">
        <v>1</v>
      </c>
      <c r="G17" s="6">
        <v>320</v>
      </c>
      <c r="H17" t="s">
        <v>35</v>
      </c>
      <c r="I17" t="s">
        <v>83</v>
      </c>
      <c r="J17" t="s">
        <v>85</v>
      </c>
    </row>
    <row r="18" spans="1:10" x14ac:dyDescent="0.3">
      <c r="A18" s="2">
        <v>43853</v>
      </c>
      <c r="B18" s="2">
        <v>43855</v>
      </c>
      <c r="C18" t="s">
        <v>89</v>
      </c>
      <c r="D18" s="6">
        <v>250</v>
      </c>
      <c r="E18" s="6">
        <v>187.5</v>
      </c>
      <c r="F18" s="6">
        <v>8</v>
      </c>
      <c r="G18" s="6">
        <v>2000</v>
      </c>
      <c r="H18" t="s">
        <v>64</v>
      </c>
      <c r="I18" t="s">
        <v>79</v>
      </c>
      <c r="J18" t="s">
        <v>85</v>
      </c>
    </row>
    <row r="19" spans="1:10" x14ac:dyDescent="0.3">
      <c r="A19" s="2">
        <v>43853</v>
      </c>
      <c r="B19" s="10">
        <v>43855</v>
      </c>
      <c r="C19" t="s">
        <v>5</v>
      </c>
      <c r="D19" s="6">
        <v>290</v>
      </c>
      <c r="E19" s="6">
        <v>185.6</v>
      </c>
      <c r="F19" s="6">
        <v>7</v>
      </c>
      <c r="G19" s="6">
        <v>2030</v>
      </c>
      <c r="H19" t="s">
        <v>56</v>
      </c>
      <c r="I19" t="s">
        <v>97</v>
      </c>
      <c r="J19" t="s">
        <v>85</v>
      </c>
    </row>
    <row r="20" spans="1:10" x14ac:dyDescent="0.3">
      <c r="A20" s="2">
        <v>43856</v>
      </c>
      <c r="B20" s="2">
        <v>43858</v>
      </c>
      <c r="C20" t="s">
        <v>2</v>
      </c>
      <c r="D20" s="6">
        <v>250</v>
      </c>
      <c r="E20" s="6">
        <v>187.5</v>
      </c>
      <c r="F20" s="6">
        <v>6</v>
      </c>
      <c r="G20" s="6">
        <v>1500</v>
      </c>
      <c r="H20" t="s">
        <v>49</v>
      </c>
      <c r="I20" t="s">
        <v>99</v>
      </c>
      <c r="J20" t="s">
        <v>86</v>
      </c>
    </row>
    <row r="21" spans="1:10" x14ac:dyDescent="0.3">
      <c r="A21" s="2">
        <v>43857</v>
      </c>
      <c r="B21" s="2">
        <v>43863</v>
      </c>
      <c r="C21" t="s">
        <v>5</v>
      </c>
      <c r="D21" s="6">
        <v>290</v>
      </c>
      <c r="E21" s="6">
        <v>185.6</v>
      </c>
      <c r="F21" s="6">
        <v>8</v>
      </c>
      <c r="G21" s="6">
        <v>2320</v>
      </c>
      <c r="H21" t="s">
        <v>34</v>
      </c>
      <c r="I21" t="s">
        <v>82</v>
      </c>
      <c r="J21" t="s">
        <v>86</v>
      </c>
    </row>
    <row r="22" spans="1:10" x14ac:dyDescent="0.3">
      <c r="A22" s="2">
        <v>43857</v>
      </c>
      <c r="B22" s="2">
        <v>43858</v>
      </c>
      <c r="C22" t="s">
        <v>3</v>
      </c>
      <c r="D22" s="6">
        <v>95</v>
      </c>
      <c r="E22" s="6">
        <v>60.800000000000004</v>
      </c>
      <c r="F22" s="6">
        <v>1</v>
      </c>
      <c r="G22" s="6">
        <v>95</v>
      </c>
      <c r="H22" t="s">
        <v>48</v>
      </c>
      <c r="I22" t="s">
        <v>82</v>
      </c>
      <c r="J22" t="s">
        <v>85</v>
      </c>
    </row>
    <row r="23" spans="1:10" x14ac:dyDescent="0.3">
      <c r="A23" s="2">
        <v>43857</v>
      </c>
      <c r="B23" s="2">
        <v>43861</v>
      </c>
      <c r="C23" t="s">
        <v>91</v>
      </c>
      <c r="D23" s="6">
        <v>390</v>
      </c>
      <c r="E23" s="6">
        <v>288.60000000000002</v>
      </c>
      <c r="F23" s="6">
        <v>3</v>
      </c>
      <c r="G23" s="6">
        <v>1170</v>
      </c>
      <c r="H23" t="s">
        <v>70</v>
      </c>
      <c r="I23" t="s">
        <v>81</v>
      </c>
      <c r="J23" t="s">
        <v>86</v>
      </c>
    </row>
    <row r="24" spans="1:10" x14ac:dyDescent="0.3">
      <c r="A24" s="2">
        <v>43858</v>
      </c>
      <c r="B24" s="2">
        <v>43860</v>
      </c>
      <c r="C24" t="s">
        <v>4</v>
      </c>
      <c r="D24" s="6">
        <v>390</v>
      </c>
      <c r="E24" s="6">
        <v>288.60000000000002</v>
      </c>
      <c r="F24" s="6">
        <v>5</v>
      </c>
      <c r="G24" s="6">
        <v>1950</v>
      </c>
      <c r="H24" t="s">
        <v>58</v>
      </c>
      <c r="I24" t="s">
        <v>82</v>
      </c>
      <c r="J24" t="s">
        <v>86</v>
      </c>
    </row>
    <row r="25" spans="1:10" x14ac:dyDescent="0.3">
      <c r="A25" s="2">
        <v>43858</v>
      </c>
      <c r="B25" s="2">
        <v>43864</v>
      </c>
      <c r="C25" t="s">
        <v>17</v>
      </c>
      <c r="D25" s="6">
        <v>195</v>
      </c>
      <c r="E25" s="6">
        <v>138.44999999999999</v>
      </c>
      <c r="F25" s="6">
        <v>6</v>
      </c>
      <c r="G25" s="6">
        <v>1170</v>
      </c>
      <c r="H25" t="s">
        <v>39</v>
      </c>
      <c r="I25" t="s">
        <v>80</v>
      </c>
      <c r="J25" t="s">
        <v>86</v>
      </c>
    </row>
    <row r="26" spans="1:10" x14ac:dyDescent="0.3">
      <c r="A26" s="2">
        <v>43859</v>
      </c>
      <c r="B26" s="2">
        <v>43866</v>
      </c>
      <c r="C26" t="s">
        <v>19</v>
      </c>
      <c r="D26" s="6">
        <v>220</v>
      </c>
      <c r="E26" s="6">
        <v>154</v>
      </c>
      <c r="F26" s="6">
        <v>2</v>
      </c>
      <c r="G26" s="6">
        <v>440</v>
      </c>
      <c r="H26" t="s">
        <v>62</v>
      </c>
      <c r="I26" t="s">
        <v>79</v>
      </c>
      <c r="J26" t="s">
        <v>85</v>
      </c>
    </row>
    <row r="27" spans="1:10" x14ac:dyDescent="0.3">
      <c r="A27" s="9">
        <v>43859</v>
      </c>
      <c r="B27" s="2">
        <v>43862</v>
      </c>
      <c r="C27" t="s">
        <v>3</v>
      </c>
      <c r="D27" s="6">
        <v>95</v>
      </c>
      <c r="E27" s="6">
        <v>60.800000000000004</v>
      </c>
      <c r="F27" s="6">
        <v>6</v>
      </c>
      <c r="G27" s="6">
        <v>570</v>
      </c>
      <c r="H27" t="s">
        <v>35</v>
      </c>
      <c r="I27" t="s">
        <v>79</v>
      </c>
      <c r="J27" t="s">
        <v>86</v>
      </c>
    </row>
    <row r="28" spans="1:10" x14ac:dyDescent="0.3">
      <c r="A28" s="2">
        <v>43862</v>
      </c>
      <c r="B28" s="9">
        <v>43864</v>
      </c>
      <c r="C28" t="s">
        <v>6</v>
      </c>
      <c r="D28" s="6">
        <v>99</v>
      </c>
      <c r="E28" s="6">
        <v>62.37</v>
      </c>
      <c r="F28" s="6">
        <v>7</v>
      </c>
      <c r="G28" s="6">
        <v>693</v>
      </c>
      <c r="H28" t="s">
        <v>64</v>
      </c>
      <c r="I28" t="s">
        <v>82</v>
      </c>
      <c r="J28" t="s">
        <v>85</v>
      </c>
    </row>
    <row r="29" spans="1:10" x14ac:dyDescent="0.3">
      <c r="A29" s="2">
        <v>43863</v>
      </c>
      <c r="B29" s="3">
        <v>43868</v>
      </c>
      <c r="C29" t="s">
        <v>6</v>
      </c>
      <c r="D29" s="6">
        <v>99</v>
      </c>
      <c r="E29" s="6">
        <v>62.37</v>
      </c>
      <c r="F29" s="6">
        <v>1</v>
      </c>
      <c r="G29" s="6">
        <v>99</v>
      </c>
      <c r="H29" t="s">
        <v>71</v>
      </c>
      <c r="I29" t="s">
        <v>79</v>
      </c>
      <c r="J29" t="s">
        <v>86</v>
      </c>
    </row>
    <row r="30" spans="1:10" x14ac:dyDescent="0.3">
      <c r="A30" s="2">
        <v>43864</v>
      </c>
      <c r="B30" s="2">
        <v>43865</v>
      </c>
      <c r="C30" t="s">
        <v>11</v>
      </c>
      <c r="D30" s="6">
        <v>490</v>
      </c>
      <c r="E30" s="6">
        <v>298.89999999999998</v>
      </c>
      <c r="F30" s="6">
        <v>5</v>
      </c>
      <c r="G30" s="6">
        <v>2450</v>
      </c>
      <c r="H30" t="s">
        <v>42</v>
      </c>
      <c r="I30" t="s">
        <v>83</v>
      </c>
      <c r="J30" t="s">
        <v>85</v>
      </c>
    </row>
    <row r="31" spans="1:10" x14ac:dyDescent="0.3">
      <c r="A31" s="2">
        <v>43864</v>
      </c>
      <c r="B31" s="2">
        <v>43868</v>
      </c>
      <c r="C31" t="s">
        <v>23</v>
      </c>
      <c r="D31" s="6">
        <v>275</v>
      </c>
      <c r="E31" s="6">
        <v>200.75</v>
      </c>
      <c r="F31" s="6">
        <v>6</v>
      </c>
      <c r="G31" s="6">
        <v>1650</v>
      </c>
      <c r="H31" t="s">
        <v>68</v>
      </c>
      <c r="I31" t="s">
        <v>82</v>
      </c>
      <c r="J31" t="s">
        <v>86</v>
      </c>
    </row>
    <row r="32" spans="1:10" x14ac:dyDescent="0.3">
      <c r="A32" s="2">
        <v>43866</v>
      </c>
      <c r="B32" s="2">
        <v>43868</v>
      </c>
      <c r="C32" t="s">
        <v>23</v>
      </c>
      <c r="D32" s="6">
        <v>275</v>
      </c>
      <c r="E32" s="6">
        <v>200.75</v>
      </c>
      <c r="F32" s="6">
        <v>3</v>
      </c>
      <c r="G32" s="6">
        <v>825</v>
      </c>
      <c r="H32" t="s">
        <v>64</v>
      </c>
      <c r="I32" t="s">
        <v>81</v>
      </c>
      <c r="J32" t="s">
        <v>85</v>
      </c>
    </row>
    <row r="33" spans="1:10" x14ac:dyDescent="0.3">
      <c r="A33" s="2">
        <v>43866</v>
      </c>
      <c r="B33" s="2">
        <v>43868</v>
      </c>
      <c r="C33" t="s">
        <v>14</v>
      </c>
      <c r="D33" s="6">
        <v>375</v>
      </c>
      <c r="E33" s="6">
        <v>247.5</v>
      </c>
      <c r="F33" s="6">
        <v>8</v>
      </c>
      <c r="G33" s="6">
        <v>3000</v>
      </c>
      <c r="H33" t="s">
        <v>43</v>
      </c>
      <c r="I33" t="s">
        <v>82</v>
      </c>
      <c r="J33" t="s">
        <v>85</v>
      </c>
    </row>
    <row r="34" spans="1:10" x14ac:dyDescent="0.3">
      <c r="A34" s="2">
        <v>43866</v>
      </c>
      <c r="B34" s="2">
        <v>43870</v>
      </c>
      <c r="C34" t="s">
        <v>5</v>
      </c>
      <c r="D34" s="6">
        <v>290</v>
      </c>
      <c r="E34" s="6">
        <v>185.6</v>
      </c>
      <c r="F34" s="6">
        <v>6</v>
      </c>
      <c r="G34" s="6">
        <v>1740</v>
      </c>
      <c r="H34" t="s">
        <v>36</v>
      </c>
      <c r="I34" t="s">
        <v>80</v>
      </c>
      <c r="J34" t="s">
        <v>85</v>
      </c>
    </row>
    <row r="35" spans="1:10" x14ac:dyDescent="0.3">
      <c r="A35" s="2">
        <v>43868</v>
      </c>
      <c r="B35" s="2">
        <v>43871</v>
      </c>
      <c r="C35" t="s">
        <v>20</v>
      </c>
      <c r="D35" s="6">
        <v>440</v>
      </c>
      <c r="E35" s="6">
        <v>286</v>
      </c>
      <c r="F35" s="6">
        <v>6</v>
      </c>
      <c r="G35" s="6">
        <v>2640</v>
      </c>
      <c r="H35" t="s">
        <v>65</v>
      </c>
      <c r="I35" t="s">
        <v>81</v>
      </c>
      <c r="J35" t="s">
        <v>85</v>
      </c>
    </row>
    <row r="36" spans="1:10" x14ac:dyDescent="0.3">
      <c r="A36" s="2">
        <v>43868</v>
      </c>
      <c r="B36" s="2">
        <v>43871</v>
      </c>
      <c r="C36" t="s">
        <v>7</v>
      </c>
      <c r="D36" s="6">
        <v>250</v>
      </c>
      <c r="E36" s="6">
        <v>167.5</v>
      </c>
      <c r="F36" s="6">
        <v>8</v>
      </c>
      <c r="G36" s="6">
        <v>2000</v>
      </c>
      <c r="H36" t="s">
        <v>32</v>
      </c>
      <c r="I36" t="s">
        <v>82</v>
      </c>
      <c r="J36" t="s">
        <v>85</v>
      </c>
    </row>
    <row r="37" spans="1:10" x14ac:dyDescent="0.3">
      <c r="A37" s="2">
        <v>43870</v>
      </c>
      <c r="B37" s="2">
        <v>43877</v>
      </c>
      <c r="C37" t="s">
        <v>23</v>
      </c>
      <c r="D37" s="6">
        <v>275</v>
      </c>
      <c r="E37" s="6">
        <v>200.75</v>
      </c>
      <c r="F37" s="6">
        <v>2</v>
      </c>
      <c r="G37" s="6">
        <v>550</v>
      </c>
      <c r="H37" t="s">
        <v>73</v>
      </c>
      <c r="I37" t="s">
        <v>82</v>
      </c>
      <c r="J37" t="s">
        <v>86</v>
      </c>
    </row>
    <row r="38" spans="1:10" x14ac:dyDescent="0.3">
      <c r="A38" s="2">
        <v>43873</v>
      </c>
      <c r="B38" s="2">
        <v>43876</v>
      </c>
      <c r="C38" t="s">
        <v>17</v>
      </c>
      <c r="D38" s="6">
        <v>195</v>
      </c>
      <c r="E38" s="6">
        <v>138.44999999999999</v>
      </c>
      <c r="F38" s="6">
        <v>9</v>
      </c>
      <c r="G38" s="6">
        <v>1755</v>
      </c>
      <c r="H38" t="s">
        <v>51</v>
      </c>
      <c r="I38" t="s">
        <v>79</v>
      </c>
      <c r="J38" t="s">
        <v>85</v>
      </c>
    </row>
    <row r="39" spans="1:10" x14ac:dyDescent="0.3">
      <c r="A39" s="2">
        <v>43874</v>
      </c>
      <c r="B39" s="2">
        <v>43879</v>
      </c>
      <c r="C39" t="s">
        <v>15</v>
      </c>
      <c r="D39" s="6">
        <v>110</v>
      </c>
      <c r="E39" s="6">
        <v>78.099999999999994</v>
      </c>
      <c r="F39" s="6">
        <v>5</v>
      </c>
      <c r="G39" s="6">
        <v>550</v>
      </c>
      <c r="H39" t="s">
        <v>54</v>
      </c>
      <c r="I39" t="s">
        <v>79</v>
      </c>
      <c r="J39" t="s">
        <v>86</v>
      </c>
    </row>
    <row r="40" spans="1:10" x14ac:dyDescent="0.3">
      <c r="A40" s="2">
        <v>43875</v>
      </c>
      <c r="B40" s="2">
        <v>43882</v>
      </c>
      <c r="C40" t="s">
        <v>14</v>
      </c>
      <c r="D40" s="6">
        <v>375</v>
      </c>
      <c r="E40" s="6">
        <v>247.5</v>
      </c>
      <c r="F40" s="6">
        <v>1</v>
      </c>
      <c r="G40" s="6">
        <v>375</v>
      </c>
      <c r="H40" t="s">
        <v>32</v>
      </c>
      <c r="I40" t="s">
        <v>81</v>
      </c>
      <c r="J40" t="s">
        <v>85</v>
      </c>
    </row>
    <row r="41" spans="1:10" x14ac:dyDescent="0.3">
      <c r="A41" s="2">
        <v>43875</v>
      </c>
      <c r="B41" s="2">
        <v>43880</v>
      </c>
      <c r="C41" t="s">
        <v>22</v>
      </c>
      <c r="D41" s="6">
        <v>460</v>
      </c>
      <c r="E41" s="6">
        <v>303.60000000000002</v>
      </c>
      <c r="F41" s="6">
        <v>6</v>
      </c>
      <c r="G41" s="6">
        <v>2760</v>
      </c>
      <c r="H41" t="s">
        <v>34</v>
      </c>
      <c r="I41" t="s">
        <v>82</v>
      </c>
      <c r="J41" t="s">
        <v>86</v>
      </c>
    </row>
    <row r="42" spans="1:10" x14ac:dyDescent="0.3">
      <c r="A42" s="2">
        <v>43875</v>
      </c>
      <c r="B42" s="2">
        <v>43879</v>
      </c>
      <c r="C42" t="s">
        <v>4</v>
      </c>
      <c r="D42" s="6">
        <v>390</v>
      </c>
      <c r="E42" s="6">
        <v>288.60000000000002</v>
      </c>
      <c r="F42" s="6">
        <v>7</v>
      </c>
      <c r="G42" s="6">
        <v>2730</v>
      </c>
      <c r="H42" t="s">
        <v>49</v>
      </c>
      <c r="I42" t="s">
        <v>79</v>
      </c>
      <c r="J42" t="s">
        <v>85</v>
      </c>
    </row>
    <row r="43" spans="1:10" x14ac:dyDescent="0.3">
      <c r="A43" s="2">
        <v>43875</v>
      </c>
      <c r="B43" s="2">
        <v>43876</v>
      </c>
      <c r="C43" t="s">
        <v>19</v>
      </c>
      <c r="D43" s="6">
        <v>220</v>
      </c>
      <c r="E43" s="6">
        <v>154</v>
      </c>
      <c r="F43" s="6">
        <v>8</v>
      </c>
      <c r="G43" s="6">
        <v>1760</v>
      </c>
      <c r="H43" t="s">
        <v>74</v>
      </c>
      <c r="I43" t="s">
        <v>83</v>
      </c>
      <c r="J43" t="s">
        <v>86</v>
      </c>
    </row>
    <row r="44" spans="1:10" x14ac:dyDescent="0.3">
      <c r="A44" s="2">
        <v>43879</v>
      </c>
      <c r="B44" s="2">
        <v>43884</v>
      </c>
      <c r="C44" t="s">
        <v>18</v>
      </c>
      <c r="D44" s="6">
        <v>80</v>
      </c>
      <c r="E44" s="6">
        <v>48.8</v>
      </c>
      <c r="F44" s="6">
        <v>2</v>
      </c>
      <c r="G44" s="6">
        <v>160</v>
      </c>
      <c r="H44" t="s">
        <v>61</v>
      </c>
      <c r="I44" t="s">
        <v>79</v>
      </c>
      <c r="J44" t="s">
        <v>86</v>
      </c>
    </row>
    <row r="45" spans="1:10" x14ac:dyDescent="0.3">
      <c r="A45" s="2">
        <v>43880</v>
      </c>
      <c r="B45" s="2">
        <v>43881</v>
      </c>
      <c r="C45" t="s">
        <v>10</v>
      </c>
      <c r="D45" s="6">
        <v>390</v>
      </c>
      <c r="E45" s="6">
        <v>253.5</v>
      </c>
      <c r="F45" s="6">
        <v>9</v>
      </c>
      <c r="G45" s="6">
        <v>3510</v>
      </c>
      <c r="H45" t="s">
        <v>49</v>
      </c>
      <c r="I45" t="s">
        <v>82</v>
      </c>
      <c r="J45" t="s">
        <v>86</v>
      </c>
    </row>
    <row r="46" spans="1:10" x14ac:dyDescent="0.3">
      <c r="A46" s="2">
        <v>43881</v>
      </c>
      <c r="B46" s="2">
        <v>43884</v>
      </c>
      <c r="C46" t="s">
        <v>8</v>
      </c>
      <c r="D46" s="6">
        <v>59</v>
      </c>
      <c r="E46" s="6">
        <v>41.3</v>
      </c>
      <c r="F46" s="6">
        <v>3</v>
      </c>
      <c r="G46" s="6">
        <v>177</v>
      </c>
      <c r="H46" t="s">
        <v>63</v>
      </c>
      <c r="I46" t="s">
        <v>79</v>
      </c>
      <c r="J46" t="s">
        <v>85</v>
      </c>
    </row>
    <row r="47" spans="1:10" x14ac:dyDescent="0.3">
      <c r="A47" s="2">
        <v>43882</v>
      </c>
      <c r="B47" s="2">
        <v>43884</v>
      </c>
      <c r="C47" t="s">
        <v>11</v>
      </c>
      <c r="D47" s="6">
        <v>490</v>
      </c>
      <c r="E47" s="6">
        <v>298.89999999999998</v>
      </c>
      <c r="F47" s="6">
        <v>3</v>
      </c>
      <c r="G47" s="6">
        <v>1470</v>
      </c>
      <c r="H47" t="s">
        <v>47</v>
      </c>
      <c r="I47" t="s">
        <v>79</v>
      </c>
      <c r="J47" t="s">
        <v>85</v>
      </c>
    </row>
    <row r="48" spans="1:10" x14ac:dyDescent="0.3">
      <c r="A48" s="2">
        <v>43883</v>
      </c>
      <c r="B48" s="2">
        <v>43886</v>
      </c>
      <c r="C48" t="s">
        <v>8</v>
      </c>
      <c r="D48" s="6">
        <v>59</v>
      </c>
      <c r="E48" s="6">
        <v>41.3</v>
      </c>
      <c r="F48" s="6">
        <v>9</v>
      </c>
      <c r="G48" s="6">
        <v>531</v>
      </c>
      <c r="H48" t="s">
        <v>30</v>
      </c>
      <c r="I48" t="s">
        <v>81</v>
      </c>
      <c r="J48" t="s">
        <v>85</v>
      </c>
    </row>
    <row r="49" spans="1:10" x14ac:dyDescent="0.3">
      <c r="A49" s="2">
        <v>43883</v>
      </c>
      <c r="B49" s="2">
        <v>43889</v>
      </c>
      <c r="C49" t="s">
        <v>20</v>
      </c>
      <c r="D49" s="6">
        <v>440</v>
      </c>
      <c r="E49" s="6">
        <v>286</v>
      </c>
      <c r="F49" s="6">
        <v>4</v>
      </c>
      <c r="G49" s="6">
        <v>1760</v>
      </c>
      <c r="H49" t="s">
        <v>66</v>
      </c>
      <c r="I49" t="s">
        <v>81</v>
      </c>
      <c r="J49" t="s">
        <v>86</v>
      </c>
    </row>
    <row r="50" spans="1:10" x14ac:dyDescent="0.3">
      <c r="A50" s="2">
        <v>43884</v>
      </c>
      <c r="B50" s="2">
        <v>43889</v>
      </c>
      <c r="C50" t="s">
        <v>20</v>
      </c>
      <c r="D50" s="6">
        <v>440</v>
      </c>
      <c r="E50" s="6">
        <v>286</v>
      </c>
      <c r="F50" s="6">
        <v>6</v>
      </c>
      <c r="G50" s="6">
        <v>2640</v>
      </c>
      <c r="H50" t="s">
        <v>55</v>
      </c>
      <c r="I50" t="s">
        <v>83</v>
      </c>
      <c r="J50" t="s">
        <v>85</v>
      </c>
    </row>
    <row r="51" spans="1:10" x14ac:dyDescent="0.3">
      <c r="A51" s="2">
        <v>43884</v>
      </c>
      <c r="B51" s="2">
        <v>43886</v>
      </c>
      <c r="C51" t="s">
        <v>10</v>
      </c>
      <c r="D51" s="6">
        <v>390</v>
      </c>
      <c r="E51" s="6">
        <v>253.5</v>
      </c>
      <c r="F51" s="6">
        <v>9</v>
      </c>
      <c r="G51" s="6">
        <v>3510</v>
      </c>
      <c r="H51" t="s">
        <v>40</v>
      </c>
      <c r="I51" t="s">
        <v>80</v>
      </c>
      <c r="J51" t="s">
        <v>86</v>
      </c>
    </row>
    <row r="52" spans="1:10" x14ac:dyDescent="0.3">
      <c r="A52" s="2">
        <v>43885</v>
      </c>
      <c r="B52" s="2">
        <v>43886</v>
      </c>
      <c r="C52" t="s">
        <v>22</v>
      </c>
      <c r="D52" s="6">
        <v>460</v>
      </c>
      <c r="E52" s="6">
        <v>303.60000000000002</v>
      </c>
      <c r="F52" s="6">
        <v>5</v>
      </c>
      <c r="G52" s="6">
        <v>2300</v>
      </c>
      <c r="H52" t="s">
        <v>53</v>
      </c>
      <c r="I52" t="s">
        <v>80</v>
      </c>
      <c r="J52" t="s">
        <v>86</v>
      </c>
    </row>
    <row r="53" spans="1:10" x14ac:dyDescent="0.3">
      <c r="A53" s="2">
        <v>43885</v>
      </c>
      <c r="B53" s="2">
        <v>43892</v>
      </c>
      <c r="C53" t="s">
        <v>2</v>
      </c>
      <c r="D53" s="6">
        <v>250</v>
      </c>
      <c r="E53" s="6">
        <v>187.5</v>
      </c>
      <c r="F53" s="6">
        <v>4</v>
      </c>
      <c r="G53" s="6">
        <v>1000</v>
      </c>
      <c r="H53" t="s">
        <v>33</v>
      </c>
      <c r="I53" t="s">
        <v>83</v>
      </c>
      <c r="J53" t="s">
        <v>85</v>
      </c>
    </row>
    <row r="54" spans="1:10" x14ac:dyDescent="0.3">
      <c r="A54" s="2">
        <v>43886</v>
      </c>
      <c r="B54" s="2">
        <v>43888</v>
      </c>
      <c r="C54" t="s">
        <v>4</v>
      </c>
      <c r="D54" s="6">
        <v>390</v>
      </c>
      <c r="E54" s="6">
        <v>288.60000000000002</v>
      </c>
      <c r="F54" s="6">
        <v>2</v>
      </c>
      <c r="G54" s="6">
        <v>780</v>
      </c>
      <c r="H54" t="s">
        <v>65</v>
      </c>
      <c r="I54" t="s">
        <v>79</v>
      </c>
      <c r="J54" t="s">
        <v>85</v>
      </c>
    </row>
    <row r="55" spans="1:10" x14ac:dyDescent="0.3">
      <c r="A55" s="2">
        <v>43887</v>
      </c>
      <c r="B55" s="2">
        <v>43890</v>
      </c>
      <c r="C55" t="s">
        <v>23</v>
      </c>
      <c r="D55" s="6">
        <v>275</v>
      </c>
      <c r="E55" s="6">
        <v>200.75</v>
      </c>
      <c r="F55" s="6">
        <v>8</v>
      </c>
      <c r="G55" s="6">
        <v>2200</v>
      </c>
      <c r="H55" t="s">
        <v>71</v>
      </c>
      <c r="I55" t="s">
        <v>83</v>
      </c>
      <c r="J55" t="s">
        <v>86</v>
      </c>
    </row>
    <row r="56" spans="1:10" x14ac:dyDescent="0.3">
      <c r="A56" s="2">
        <v>43889</v>
      </c>
      <c r="B56" s="2">
        <v>43894</v>
      </c>
      <c r="C56" t="s">
        <v>4</v>
      </c>
      <c r="D56" s="6">
        <v>390</v>
      </c>
      <c r="E56" s="6">
        <v>288.60000000000002</v>
      </c>
      <c r="F56" s="6">
        <v>5</v>
      </c>
      <c r="G56" s="6">
        <v>1950</v>
      </c>
      <c r="H56" t="s">
        <v>48</v>
      </c>
      <c r="I56" t="s">
        <v>80</v>
      </c>
      <c r="J56" t="s">
        <v>85</v>
      </c>
    </row>
    <row r="57" spans="1:10" x14ac:dyDescent="0.3">
      <c r="A57" s="2">
        <v>43889</v>
      </c>
      <c r="B57" s="2">
        <v>43894</v>
      </c>
      <c r="C57" t="s">
        <v>20</v>
      </c>
      <c r="D57" s="6">
        <v>440</v>
      </c>
      <c r="E57" s="6">
        <v>286</v>
      </c>
      <c r="F57" s="6">
        <v>3</v>
      </c>
      <c r="G57" s="6">
        <v>1320</v>
      </c>
      <c r="H57" t="s">
        <v>73</v>
      </c>
      <c r="I57" t="s">
        <v>79</v>
      </c>
      <c r="J57" t="s">
        <v>85</v>
      </c>
    </row>
    <row r="58" spans="1:10" x14ac:dyDescent="0.3">
      <c r="A58" s="2">
        <v>43889</v>
      </c>
      <c r="B58" s="2">
        <v>43896</v>
      </c>
      <c r="C58" t="s">
        <v>22</v>
      </c>
      <c r="D58" s="6">
        <v>460</v>
      </c>
      <c r="E58" s="6">
        <v>303.60000000000002</v>
      </c>
      <c r="F58" s="6">
        <v>2</v>
      </c>
      <c r="G58" s="6">
        <v>920</v>
      </c>
      <c r="H58" t="s">
        <v>32</v>
      </c>
      <c r="I58" t="s">
        <v>80</v>
      </c>
      <c r="J58" t="s">
        <v>85</v>
      </c>
    </row>
    <row r="59" spans="1:10" x14ac:dyDescent="0.3">
      <c r="A59" s="2">
        <v>43890</v>
      </c>
      <c r="B59" s="2">
        <v>43892</v>
      </c>
      <c r="C59" t="s">
        <v>11</v>
      </c>
      <c r="D59" s="6">
        <v>490</v>
      </c>
      <c r="E59" s="6">
        <v>298.89999999999998</v>
      </c>
      <c r="F59" s="6">
        <v>4</v>
      </c>
      <c r="G59" s="6">
        <v>1960</v>
      </c>
      <c r="H59" t="s">
        <v>53</v>
      </c>
      <c r="I59" t="s">
        <v>83</v>
      </c>
      <c r="J59" t="s">
        <v>86</v>
      </c>
    </row>
    <row r="60" spans="1:10" x14ac:dyDescent="0.3">
      <c r="A60" s="2">
        <v>43891</v>
      </c>
      <c r="B60" s="2">
        <v>43895</v>
      </c>
      <c r="C60" t="s">
        <v>12</v>
      </c>
      <c r="D60" s="6">
        <v>320</v>
      </c>
      <c r="E60" s="6">
        <v>233.6</v>
      </c>
      <c r="F60" s="6">
        <v>6</v>
      </c>
      <c r="G60" s="6">
        <v>1920</v>
      </c>
      <c r="H60" t="s">
        <v>33</v>
      </c>
      <c r="I60" t="s">
        <v>79</v>
      </c>
      <c r="J60" t="s">
        <v>86</v>
      </c>
    </row>
    <row r="61" spans="1:10" x14ac:dyDescent="0.3">
      <c r="A61" s="2">
        <v>43893</v>
      </c>
      <c r="B61" s="2">
        <v>43897</v>
      </c>
      <c r="C61" t="s">
        <v>22</v>
      </c>
      <c r="D61" s="6">
        <v>460</v>
      </c>
      <c r="E61" s="6">
        <v>303.60000000000002</v>
      </c>
      <c r="F61" s="6">
        <v>5</v>
      </c>
      <c r="G61" s="6">
        <v>2300</v>
      </c>
      <c r="H61" t="s">
        <v>70</v>
      </c>
      <c r="I61" t="s">
        <v>79</v>
      </c>
      <c r="J61" t="s">
        <v>86</v>
      </c>
    </row>
    <row r="62" spans="1:10" x14ac:dyDescent="0.3">
      <c r="A62" s="2">
        <v>43894</v>
      </c>
      <c r="B62" s="2">
        <v>43897</v>
      </c>
      <c r="C62" t="s">
        <v>18</v>
      </c>
      <c r="D62" s="6">
        <v>80</v>
      </c>
      <c r="E62" s="6">
        <v>48.8</v>
      </c>
      <c r="F62" s="6">
        <v>1</v>
      </c>
      <c r="G62" s="6">
        <v>80</v>
      </c>
      <c r="H62" t="s">
        <v>65</v>
      </c>
      <c r="I62" t="s">
        <v>79</v>
      </c>
      <c r="J62" t="s">
        <v>86</v>
      </c>
    </row>
    <row r="63" spans="1:10" x14ac:dyDescent="0.3">
      <c r="A63" s="2">
        <v>43894</v>
      </c>
      <c r="B63" s="2">
        <v>43895</v>
      </c>
      <c r="C63" t="s">
        <v>16</v>
      </c>
      <c r="D63" s="6">
        <v>145</v>
      </c>
      <c r="E63" s="6">
        <v>105.85</v>
      </c>
      <c r="F63" s="6">
        <v>6</v>
      </c>
      <c r="G63" s="6">
        <v>870</v>
      </c>
      <c r="H63" t="s">
        <v>63</v>
      </c>
      <c r="I63" t="s">
        <v>83</v>
      </c>
      <c r="J63" t="s">
        <v>86</v>
      </c>
    </row>
    <row r="64" spans="1:10" x14ac:dyDescent="0.3">
      <c r="A64" s="2">
        <v>43895</v>
      </c>
      <c r="B64" s="2">
        <v>43901</v>
      </c>
      <c r="C64" t="s">
        <v>15</v>
      </c>
      <c r="D64" s="6">
        <v>110</v>
      </c>
      <c r="E64" s="6">
        <v>78.099999999999994</v>
      </c>
      <c r="F64" s="6">
        <v>8</v>
      </c>
      <c r="G64" s="6">
        <v>880</v>
      </c>
      <c r="H64" t="s">
        <v>57</v>
      </c>
      <c r="I64" t="s">
        <v>82</v>
      </c>
      <c r="J64" t="s">
        <v>86</v>
      </c>
    </row>
    <row r="65" spans="1:10" x14ac:dyDescent="0.3">
      <c r="A65" s="2">
        <v>43896</v>
      </c>
      <c r="B65" s="2">
        <v>43901</v>
      </c>
      <c r="C65" t="s">
        <v>11</v>
      </c>
      <c r="D65" s="6">
        <v>490</v>
      </c>
      <c r="E65" s="6">
        <v>298.89999999999998</v>
      </c>
      <c r="F65" s="6">
        <v>4</v>
      </c>
      <c r="G65" s="6">
        <v>1960</v>
      </c>
      <c r="H65" t="s">
        <v>48</v>
      </c>
      <c r="I65" t="s">
        <v>82</v>
      </c>
      <c r="J65" t="s">
        <v>86</v>
      </c>
    </row>
    <row r="66" spans="1:10" x14ac:dyDescent="0.3">
      <c r="A66" s="2">
        <v>43896</v>
      </c>
      <c r="B66" s="2">
        <v>43903</v>
      </c>
      <c r="C66" t="s">
        <v>5</v>
      </c>
      <c r="D66" s="6">
        <v>290</v>
      </c>
      <c r="E66" s="6">
        <v>185.6</v>
      </c>
      <c r="F66" s="6">
        <v>7</v>
      </c>
      <c r="G66" s="6">
        <v>2030</v>
      </c>
      <c r="H66" t="s">
        <v>31</v>
      </c>
      <c r="I66" t="s">
        <v>83</v>
      </c>
      <c r="J66" t="s">
        <v>85</v>
      </c>
    </row>
    <row r="67" spans="1:10" x14ac:dyDescent="0.3">
      <c r="A67" s="2">
        <v>43897</v>
      </c>
      <c r="B67" s="2">
        <v>43904</v>
      </c>
      <c r="C67" t="s">
        <v>12</v>
      </c>
      <c r="D67" s="6">
        <v>320</v>
      </c>
      <c r="E67" s="6">
        <v>233.6</v>
      </c>
      <c r="F67" s="6">
        <v>7</v>
      </c>
      <c r="G67" s="6">
        <v>2240</v>
      </c>
      <c r="H67" t="s">
        <v>67</v>
      </c>
      <c r="I67" t="s">
        <v>83</v>
      </c>
      <c r="J67" t="s">
        <v>86</v>
      </c>
    </row>
    <row r="68" spans="1:10" x14ac:dyDescent="0.3">
      <c r="A68" s="2">
        <v>43897</v>
      </c>
      <c r="B68" s="2">
        <v>43902</v>
      </c>
      <c r="C68" t="s">
        <v>10</v>
      </c>
      <c r="D68" s="6">
        <v>390</v>
      </c>
      <c r="E68" s="6">
        <v>253.5</v>
      </c>
      <c r="F68" s="6">
        <v>1</v>
      </c>
      <c r="G68" s="6">
        <v>390</v>
      </c>
      <c r="H68" t="s">
        <v>51</v>
      </c>
      <c r="I68" t="s">
        <v>81</v>
      </c>
      <c r="J68" t="s">
        <v>85</v>
      </c>
    </row>
    <row r="69" spans="1:10" x14ac:dyDescent="0.3">
      <c r="A69" s="2">
        <v>43900</v>
      </c>
      <c r="B69" s="2">
        <v>43904</v>
      </c>
      <c r="C69" t="s">
        <v>7</v>
      </c>
      <c r="D69" s="6">
        <v>250</v>
      </c>
      <c r="E69" s="6">
        <v>167.5</v>
      </c>
      <c r="F69" s="6">
        <v>9</v>
      </c>
      <c r="G69" s="6">
        <v>2250</v>
      </c>
      <c r="H69" t="s">
        <v>64</v>
      </c>
      <c r="I69" t="s">
        <v>79</v>
      </c>
      <c r="J69" t="s">
        <v>86</v>
      </c>
    </row>
    <row r="70" spans="1:10" x14ac:dyDescent="0.3">
      <c r="A70" s="2">
        <v>43900</v>
      </c>
      <c r="B70" s="2">
        <v>43906</v>
      </c>
      <c r="C70" t="s">
        <v>20</v>
      </c>
      <c r="D70" s="6">
        <v>440</v>
      </c>
      <c r="E70" s="6">
        <v>286</v>
      </c>
      <c r="F70" s="6">
        <v>7</v>
      </c>
      <c r="G70" s="6">
        <v>3080</v>
      </c>
      <c r="H70" t="s">
        <v>29</v>
      </c>
      <c r="I70" t="s">
        <v>82</v>
      </c>
      <c r="J70" t="s">
        <v>85</v>
      </c>
    </row>
    <row r="71" spans="1:10" x14ac:dyDescent="0.3">
      <c r="A71" s="2">
        <v>43901</v>
      </c>
      <c r="B71" s="2">
        <v>43905</v>
      </c>
      <c r="C71" t="s">
        <v>11</v>
      </c>
      <c r="D71" s="6">
        <v>490</v>
      </c>
      <c r="E71" s="6">
        <v>298.89999999999998</v>
      </c>
      <c r="F71" s="6">
        <v>5</v>
      </c>
      <c r="G71" s="6">
        <v>2450</v>
      </c>
      <c r="H71" t="s">
        <v>33</v>
      </c>
      <c r="I71" t="s">
        <v>83</v>
      </c>
      <c r="J71" t="s">
        <v>86</v>
      </c>
    </row>
    <row r="72" spans="1:10" x14ac:dyDescent="0.3">
      <c r="A72" s="2">
        <v>43902</v>
      </c>
      <c r="B72" s="2">
        <v>43907</v>
      </c>
      <c r="C72" t="s">
        <v>16</v>
      </c>
      <c r="D72" s="6">
        <v>145</v>
      </c>
      <c r="E72" s="6">
        <v>105.85</v>
      </c>
      <c r="F72" s="6">
        <v>9</v>
      </c>
      <c r="G72" s="6">
        <v>1305</v>
      </c>
      <c r="H72" t="s">
        <v>54</v>
      </c>
      <c r="I72" t="s">
        <v>83</v>
      </c>
      <c r="J72" t="s">
        <v>85</v>
      </c>
    </row>
    <row r="73" spans="1:10" x14ac:dyDescent="0.3">
      <c r="A73" s="2">
        <v>43905</v>
      </c>
      <c r="B73" s="2">
        <v>43906</v>
      </c>
      <c r="C73" t="s">
        <v>19</v>
      </c>
      <c r="D73" s="6">
        <v>220</v>
      </c>
      <c r="E73" s="6">
        <v>154</v>
      </c>
      <c r="F73" s="6">
        <v>5</v>
      </c>
      <c r="G73" s="6">
        <v>1100</v>
      </c>
      <c r="H73" t="s">
        <v>45</v>
      </c>
      <c r="I73" t="s">
        <v>81</v>
      </c>
      <c r="J73" t="s">
        <v>86</v>
      </c>
    </row>
    <row r="74" spans="1:10" x14ac:dyDescent="0.3">
      <c r="A74" s="2">
        <v>43905</v>
      </c>
      <c r="B74" s="2">
        <v>43908</v>
      </c>
      <c r="C74" t="s">
        <v>21</v>
      </c>
      <c r="D74" s="6">
        <v>355</v>
      </c>
      <c r="E74" s="6">
        <v>252.04999999999998</v>
      </c>
      <c r="F74" s="6">
        <v>7</v>
      </c>
      <c r="G74" s="6">
        <v>2485</v>
      </c>
      <c r="H74" t="s">
        <v>44</v>
      </c>
      <c r="I74" t="s">
        <v>79</v>
      </c>
      <c r="J74" t="s">
        <v>86</v>
      </c>
    </row>
    <row r="75" spans="1:10" x14ac:dyDescent="0.3">
      <c r="A75" s="2">
        <v>43906</v>
      </c>
      <c r="B75" s="2">
        <v>43909</v>
      </c>
      <c r="C75" t="s">
        <v>10</v>
      </c>
      <c r="D75" s="6">
        <v>390</v>
      </c>
      <c r="E75" s="6">
        <v>253.5</v>
      </c>
      <c r="F75" s="6">
        <v>6</v>
      </c>
      <c r="G75" s="6">
        <v>2340</v>
      </c>
      <c r="H75" t="s">
        <v>37</v>
      </c>
      <c r="I75" t="s">
        <v>82</v>
      </c>
      <c r="J75" t="s">
        <v>86</v>
      </c>
    </row>
    <row r="76" spans="1:10" x14ac:dyDescent="0.3">
      <c r="A76" s="2">
        <v>43906</v>
      </c>
      <c r="B76" s="2">
        <v>43907</v>
      </c>
      <c r="C76" t="s">
        <v>23</v>
      </c>
      <c r="D76" s="6">
        <v>275</v>
      </c>
      <c r="E76" s="6">
        <v>200.75</v>
      </c>
      <c r="F76" s="6">
        <v>6</v>
      </c>
      <c r="G76" s="6">
        <v>1650</v>
      </c>
      <c r="H76" t="s">
        <v>66</v>
      </c>
      <c r="I76" t="s">
        <v>80</v>
      </c>
      <c r="J76" t="s">
        <v>85</v>
      </c>
    </row>
    <row r="77" spans="1:10" x14ac:dyDescent="0.3">
      <c r="A77" s="2">
        <v>43907</v>
      </c>
      <c r="B77" s="2">
        <v>43908</v>
      </c>
      <c r="C77" t="s">
        <v>12</v>
      </c>
      <c r="D77" s="6">
        <v>320</v>
      </c>
      <c r="E77" s="6">
        <v>233.6</v>
      </c>
      <c r="F77" s="6">
        <v>7</v>
      </c>
      <c r="G77" s="6">
        <v>2240</v>
      </c>
      <c r="H77" t="s">
        <v>55</v>
      </c>
      <c r="I77" t="s">
        <v>79</v>
      </c>
      <c r="J77" t="s">
        <v>86</v>
      </c>
    </row>
    <row r="78" spans="1:10" x14ac:dyDescent="0.3">
      <c r="A78" s="2">
        <v>43908</v>
      </c>
      <c r="B78" s="2">
        <v>43915</v>
      </c>
      <c r="C78" t="s">
        <v>17</v>
      </c>
      <c r="D78" s="6">
        <v>195</v>
      </c>
      <c r="E78" s="6">
        <v>138.44999999999999</v>
      </c>
      <c r="F78" s="6">
        <v>6</v>
      </c>
      <c r="G78" s="6">
        <v>1170</v>
      </c>
      <c r="H78" t="s">
        <v>34</v>
      </c>
      <c r="I78" t="s">
        <v>83</v>
      </c>
      <c r="J78" t="s">
        <v>85</v>
      </c>
    </row>
    <row r="79" spans="1:10" x14ac:dyDescent="0.3">
      <c r="A79" s="2">
        <v>43908</v>
      </c>
      <c r="B79" s="2">
        <v>43913</v>
      </c>
      <c r="C79" t="s">
        <v>7</v>
      </c>
      <c r="D79" s="6">
        <v>250</v>
      </c>
      <c r="E79" s="6">
        <v>167.5</v>
      </c>
      <c r="F79" s="6">
        <v>4</v>
      </c>
      <c r="G79" s="6">
        <v>1000</v>
      </c>
      <c r="H79" t="s">
        <v>51</v>
      </c>
      <c r="I79" t="s">
        <v>81</v>
      </c>
      <c r="J79" t="s">
        <v>86</v>
      </c>
    </row>
    <row r="80" spans="1:10" x14ac:dyDescent="0.3">
      <c r="A80" s="2">
        <v>43909</v>
      </c>
      <c r="B80" s="2">
        <v>43910</v>
      </c>
      <c r="C80" t="s">
        <v>12</v>
      </c>
      <c r="D80" s="6">
        <v>320</v>
      </c>
      <c r="E80" s="6">
        <v>233.6</v>
      </c>
      <c r="F80" s="6">
        <v>5</v>
      </c>
      <c r="G80" s="6">
        <v>1600</v>
      </c>
      <c r="H80" t="s">
        <v>40</v>
      </c>
      <c r="I80" t="s">
        <v>79</v>
      </c>
      <c r="J80" t="s">
        <v>86</v>
      </c>
    </row>
    <row r="81" spans="1:10" x14ac:dyDescent="0.3">
      <c r="A81" s="2">
        <v>43910</v>
      </c>
      <c r="B81" s="2">
        <v>43917</v>
      </c>
      <c r="C81" t="s">
        <v>7</v>
      </c>
      <c r="D81" s="6">
        <v>250</v>
      </c>
      <c r="E81" s="6">
        <v>167.5</v>
      </c>
      <c r="F81" s="6">
        <v>9</v>
      </c>
      <c r="G81" s="6">
        <v>2250</v>
      </c>
      <c r="H81" t="s">
        <v>47</v>
      </c>
      <c r="I81" t="s">
        <v>79</v>
      </c>
      <c r="J81" t="s">
        <v>86</v>
      </c>
    </row>
    <row r="82" spans="1:10" x14ac:dyDescent="0.3">
      <c r="A82" s="2">
        <v>43913</v>
      </c>
      <c r="B82" s="2">
        <v>43914</v>
      </c>
      <c r="C82" t="s">
        <v>15</v>
      </c>
      <c r="D82" s="6">
        <v>110</v>
      </c>
      <c r="E82" s="6">
        <v>78.099999999999994</v>
      </c>
      <c r="F82" s="6">
        <v>5</v>
      </c>
      <c r="G82" s="6">
        <v>550</v>
      </c>
      <c r="H82" t="s">
        <v>40</v>
      </c>
      <c r="I82" t="s">
        <v>81</v>
      </c>
      <c r="J82" t="s">
        <v>86</v>
      </c>
    </row>
    <row r="83" spans="1:10" x14ac:dyDescent="0.3">
      <c r="A83" s="2">
        <v>43915</v>
      </c>
      <c r="B83" s="2">
        <v>43920</v>
      </c>
      <c r="C83" t="s">
        <v>5</v>
      </c>
      <c r="D83" s="6">
        <v>290</v>
      </c>
      <c r="E83" s="6">
        <v>185.6</v>
      </c>
      <c r="F83" s="6">
        <v>9</v>
      </c>
      <c r="G83" s="6">
        <v>2610</v>
      </c>
      <c r="H83" t="s">
        <v>38</v>
      </c>
      <c r="I83" t="s">
        <v>82</v>
      </c>
      <c r="J83" t="s">
        <v>86</v>
      </c>
    </row>
    <row r="84" spans="1:10" x14ac:dyDescent="0.3">
      <c r="A84" s="2">
        <v>43916</v>
      </c>
      <c r="B84" s="2">
        <v>43923</v>
      </c>
      <c r="C84" t="s">
        <v>20</v>
      </c>
      <c r="D84" s="6">
        <v>440</v>
      </c>
      <c r="E84" s="6">
        <v>286</v>
      </c>
      <c r="F84" s="6">
        <v>6</v>
      </c>
      <c r="G84" s="6">
        <v>2640</v>
      </c>
      <c r="H84" t="s">
        <v>66</v>
      </c>
      <c r="I84" t="s">
        <v>83</v>
      </c>
      <c r="J84" t="s">
        <v>85</v>
      </c>
    </row>
    <row r="85" spans="1:10" x14ac:dyDescent="0.3">
      <c r="A85" s="2">
        <v>43918</v>
      </c>
      <c r="B85" s="2">
        <v>43921</v>
      </c>
      <c r="C85" t="s">
        <v>13</v>
      </c>
      <c r="D85" s="6">
        <v>445</v>
      </c>
      <c r="E85" s="6">
        <v>280.35000000000002</v>
      </c>
      <c r="F85" s="6">
        <v>1</v>
      </c>
      <c r="G85" s="6">
        <v>445</v>
      </c>
      <c r="H85" t="s">
        <v>66</v>
      </c>
      <c r="I85" t="s">
        <v>82</v>
      </c>
      <c r="J85" t="s">
        <v>86</v>
      </c>
    </row>
    <row r="86" spans="1:10" x14ac:dyDescent="0.3">
      <c r="A86" s="2">
        <v>43919</v>
      </c>
      <c r="B86" s="2">
        <v>43925</v>
      </c>
      <c r="C86" t="s">
        <v>18</v>
      </c>
      <c r="D86" s="6">
        <v>80</v>
      </c>
      <c r="E86" s="6">
        <v>48.8</v>
      </c>
      <c r="F86" s="6">
        <v>6</v>
      </c>
      <c r="G86" s="6">
        <v>480</v>
      </c>
      <c r="H86" t="s">
        <v>45</v>
      </c>
      <c r="I86" t="s">
        <v>79</v>
      </c>
      <c r="J86" t="s">
        <v>86</v>
      </c>
    </row>
    <row r="87" spans="1:10" x14ac:dyDescent="0.3">
      <c r="A87" s="2">
        <v>43920</v>
      </c>
      <c r="B87" s="2">
        <v>43927</v>
      </c>
      <c r="C87" t="s">
        <v>15</v>
      </c>
      <c r="D87" s="6">
        <v>110</v>
      </c>
      <c r="E87" s="6">
        <v>78.099999999999994</v>
      </c>
      <c r="F87" s="6">
        <v>9</v>
      </c>
      <c r="G87" s="6">
        <v>990</v>
      </c>
      <c r="H87" t="s">
        <v>56</v>
      </c>
      <c r="I87" t="s">
        <v>82</v>
      </c>
      <c r="J87" t="s">
        <v>86</v>
      </c>
    </row>
    <row r="88" spans="1:10" x14ac:dyDescent="0.3">
      <c r="A88" s="2">
        <v>43921</v>
      </c>
      <c r="B88" s="2">
        <v>43928</v>
      </c>
      <c r="C88" t="s">
        <v>23</v>
      </c>
      <c r="D88" s="6">
        <v>275</v>
      </c>
      <c r="E88" s="6">
        <v>200.75</v>
      </c>
      <c r="F88" s="6">
        <v>1</v>
      </c>
      <c r="G88" s="6">
        <v>275</v>
      </c>
      <c r="H88" t="s">
        <v>36</v>
      </c>
      <c r="I88" t="s">
        <v>80</v>
      </c>
      <c r="J88" t="s">
        <v>86</v>
      </c>
    </row>
    <row r="89" spans="1:10" x14ac:dyDescent="0.3">
      <c r="A89" s="2">
        <v>43921</v>
      </c>
      <c r="B89" s="2">
        <v>43922</v>
      </c>
      <c r="C89" t="s">
        <v>23</v>
      </c>
      <c r="D89" s="6">
        <v>275</v>
      </c>
      <c r="E89" s="6">
        <v>200.75</v>
      </c>
      <c r="F89" s="6">
        <v>8</v>
      </c>
      <c r="G89" s="6">
        <v>2200</v>
      </c>
      <c r="H89" t="s">
        <v>29</v>
      </c>
      <c r="I89" t="s">
        <v>79</v>
      </c>
      <c r="J89" t="s">
        <v>85</v>
      </c>
    </row>
    <row r="90" spans="1:10" x14ac:dyDescent="0.3">
      <c r="A90" s="2">
        <v>43922</v>
      </c>
      <c r="B90" s="2">
        <v>43928</v>
      </c>
      <c r="C90" t="s">
        <v>21</v>
      </c>
      <c r="D90" s="6">
        <v>355</v>
      </c>
      <c r="E90" s="6">
        <v>252.04999999999998</v>
      </c>
      <c r="F90" s="6">
        <v>3</v>
      </c>
      <c r="G90" s="6">
        <v>1065</v>
      </c>
      <c r="H90" t="s">
        <v>61</v>
      </c>
      <c r="I90" t="s">
        <v>82</v>
      </c>
      <c r="J90" t="s">
        <v>86</v>
      </c>
    </row>
    <row r="91" spans="1:10" x14ac:dyDescent="0.3">
      <c r="A91" s="2">
        <v>43925</v>
      </c>
      <c r="B91" s="2">
        <v>43930</v>
      </c>
      <c r="C91" t="s">
        <v>17</v>
      </c>
      <c r="D91" s="6">
        <v>195</v>
      </c>
      <c r="E91" s="6">
        <v>138.44999999999999</v>
      </c>
      <c r="F91" s="6">
        <v>7</v>
      </c>
      <c r="G91" s="6">
        <v>1365</v>
      </c>
      <c r="H91" t="s">
        <v>56</v>
      </c>
      <c r="I91" t="s">
        <v>83</v>
      </c>
      <c r="J91" t="s">
        <v>86</v>
      </c>
    </row>
    <row r="92" spans="1:10" x14ac:dyDescent="0.3">
      <c r="A92" s="2">
        <v>43926</v>
      </c>
      <c r="B92" s="2">
        <v>43931</v>
      </c>
      <c r="C92" t="s">
        <v>21</v>
      </c>
      <c r="D92" s="6">
        <v>355</v>
      </c>
      <c r="E92" s="6">
        <v>252.04999999999998</v>
      </c>
      <c r="F92" s="6">
        <v>7</v>
      </c>
      <c r="G92" s="6">
        <v>2485</v>
      </c>
      <c r="H92" t="s">
        <v>45</v>
      </c>
      <c r="I92" t="s">
        <v>79</v>
      </c>
      <c r="J92" t="s">
        <v>85</v>
      </c>
    </row>
    <row r="93" spans="1:10" x14ac:dyDescent="0.3">
      <c r="A93" s="2">
        <v>43926</v>
      </c>
      <c r="B93" s="2">
        <v>43928</v>
      </c>
      <c r="C93" t="s">
        <v>19</v>
      </c>
      <c r="D93" s="6">
        <v>220</v>
      </c>
      <c r="E93" s="6">
        <v>154</v>
      </c>
      <c r="F93" s="6">
        <v>1</v>
      </c>
      <c r="G93" s="6">
        <v>220</v>
      </c>
      <c r="H93" t="s">
        <v>45</v>
      </c>
      <c r="I93" t="s">
        <v>82</v>
      </c>
      <c r="J93" t="s">
        <v>86</v>
      </c>
    </row>
    <row r="94" spans="1:10" x14ac:dyDescent="0.3">
      <c r="A94" s="2">
        <v>43927</v>
      </c>
      <c r="B94" s="2">
        <v>43931</v>
      </c>
      <c r="C94" t="s">
        <v>6</v>
      </c>
      <c r="D94" s="6">
        <v>99</v>
      </c>
      <c r="E94" s="6">
        <v>62.37</v>
      </c>
      <c r="F94" s="6">
        <v>1</v>
      </c>
      <c r="G94" s="6">
        <v>99</v>
      </c>
      <c r="H94" t="s">
        <v>38</v>
      </c>
      <c r="I94" t="s">
        <v>79</v>
      </c>
      <c r="J94" t="s">
        <v>85</v>
      </c>
    </row>
    <row r="95" spans="1:10" x14ac:dyDescent="0.3">
      <c r="A95" s="2">
        <v>43928</v>
      </c>
      <c r="B95" s="2">
        <v>43934</v>
      </c>
      <c r="C95" t="s">
        <v>12</v>
      </c>
      <c r="D95" s="6">
        <v>320</v>
      </c>
      <c r="E95" s="6">
        <v>233.6</v>
      </c>
      <c r="F95" s="6">
        <v>1</v>
      </c>
      <c r="G95" s="6">
        <v>320</v>
      </c>
      <c r="H95" t="s">
        <v>68</v>
      </c>
      <c r="I95" t="s">
        <v>81</v>
      </c>
      <c r="J95" t="s">
        <v>85</v>
      </c>
    </row>
    <row r="96" spans="1:10" x14ac:dyDescent="0.3">
      <c r="A96" s="2">
        <v>43929</v>
      </c>
      <c r="B96" s="2">
        <v>43934</v>
      </c>
      <c r="C96" t="s">
        <v>19</v>
      </c>
      <c r="D96" s="6">
        <v>220</v>
      </c>
      <c r="E96" s="6">
        <v>154</v>
      </c>
      <c r="F96" s="6">
        <v>4</v>
      </c>
      <c r="G96" s="6">
        <v>880</v>
      </c>
      <c r="H96" t="s">
        <v>46</v>
      </c>
      <c r="I96" t="s">
        <v>82</v>
      </c>
      <c r="J96" t="s">
        <v>86</v>
      </c>
    </row>
    <row r="97" spans="1:10" x14ac:dyDescent="0.3">
      <c r="A97" s="2">
        <v>43929</v>
      </c>
      <c r="B97" s="2">
        <v>43935</v>
      </c>
      <c r="C97" t="s">
        <v>2</v>
      </c>
      <c r="D97" s="6">
        <v>250</v>
      </c>
      <c r="E97" s="6">
        <v>187.5</v>
      </c>
      <c r="F97" s="6">
        <v>9</v>
      </c>
      <c r="G97" s="6">
        <v>2250</v>
      </c>
      <c r="H97" t="s">
        <v>56</v>
      </c>
      <c r="I97" t="s">
        <v>82</v>
      </c>
      <c r="J97" t="s">
        <v>85</v>
      </c>
    </row>
    <row r="98" spans="1:10" x14ac:dyDescent="0.3">
      <c r="A98" s="2">
        <v>43930</v>
      </c>
      <c r="B98" s="2">
        <v>43934</v>
      </c>
      <c r="C98" t="s">
        <v>17</v>
      </c>
      <c r="D98" s="6">
        <v>195</v>
      </c>
      <c r="E98" s="6">
        <v>138.44999999999999</v>
      </c>
      <c r="F98" s="6">
        <v>7</v>
      </c>
      <c r="G98" s="6">
        <v>1365</v>
      </c>
      <c r="H98" t="s">
        <v>30</v>
      </c>
      <c r="I98" t="s">
        <v>83</v>
      </c>
      <c r="J98" t="s">
        <v>85</v>
      </c>
    </row>
    <row r="99" spans="1:10" x14ac:dyDescent="0.3">
      <c r="A99" s="2">
        <v>43932</v>
      </c>
      <c r="B99" s="2">
        <v>43933</v>
      </c>
      <c r="C99" t="s">
        <v>2</v>
      </c>
      <c r="D99" s="6">
        <v>250</v>
      </c>
      <c r="E99" s="6">
        <v>187.5</v>
      </c>
      <c r="F99" s="6">
        <v>5</v>
      </c>
      <c r="G99" s="6">
        <v>1250</v>
      </c>
      <c r="H99" t="s">
        <v>76</v>
      </c>
      <c r="I99" t="s">
        <v>81</v>
      </c>
      <c r="J99" t="s">
        <v>86</v>
      </c>
    </row>
    <row r="100" spans="1:10" x14ac:dyDescent="0.3">
      <c r="A100" s="2">
        <v>43934</v>
      </c>
      <c r="B100" s="2">
        <v>43941</v>
      </c>
      <c r="C100" t="s">
        <v>5</v>
      </c>
      <c r="D100" s="6">
        <v>290</v>
      </c>
      <c r="E100" s="6">
        <v>185.6</v>
      </c>
      <c r="F100" s="6">
        <v>5</v>
      </c>
      <c r="G100" s="6">
        <v>1450</v>
      </c>
      <c r="H100" t="s">
        <v>56</v>
      </c>
      <c r="I100" t="s">
        <v>79</v>
      </c>
      <c r="J100" t="s">
        <v>85</v>
      </c>
    </row>
    <row r="101" spans="1:10" x14ac:dyDescent="0.3">
      <c r="A101" s="2">
        <v>43934</v>
      </c>
      <c r="B101" s="2">
        <v>43940</v>
      </c>
      <c r="C101" t="s">
        <v>5</v>
      </c>
      <c r="D101" s="6">
        <v>290</v>
      </c>
      <c r="E101" s="6">
        <v>185.6</v>
      </c>
      <c r="F101" s="6">
        <v>2</v>
      </c>
      <c r="G101" s="6">
        <v>580</v>
      </c>
      <c r="H101" t="s">
        <v>31</v>
      </c>
      <c r="I101" t="s">
        <v>82</v>
      </c>
      <c r="J101" t="s">
        <v>86</v>
      </c>
    </row>
    <row r="102" spans="1:10" x14ac:dyDescent="0.3">
      <c r="A102" s="2">
        <v>43934</v>
      </c>
      <c r="B102" s="2">
        <v>43935</v>
      </c>
      <c r="C102" t="s">
        <v>22</v>
      </c>
      <c r="D102" s="6">
        <v>460</v>
      </c>
      <c r="E102" s="6">
        <v>303.60000000000002</v>
      </c>
      <c r="F102" s="6">
        <v>9</v>
      </c>
      <c r="G102" s="6">
        <v>4140</v>
      </c>
      <c r="H102" t="s">
        <v>32</v>
      </c>
      <c r="I102" t="s">
        <v>82</v>
      </c>
      <c r="J102" t="s">
        <v>85</v>
      </c>
    </row>
    <row r="103" spans="1:10" x14ac:dyDescent="0.3">
      <c r="A103" s="2">
        <v>43935</v>
      </c>
      <c r="B103" s="2">
        <v>43942</v>
      </c>
      <c r="C103" t="s">
        <v>12</v>
      </c>
      <c r="D103" s="6">
        <v>320</v>
      </c>
      <c r="E103" s="6">
        <v>233.6</v>
      </c>
      <c r="F103" s="6">
        <v>7</v>
      </c>
      <c r="G103" s="6">
        <v>2240</v>
      </c>
      <c r="H103" t="s">
        <v>40</v>
      </c>
      <c r="I103" t="s">
        <v>81</v>
      </c>
      <c r="J103" t="s">
        <v>85</v>
      </c>
    </row>
    <row r="104" spans="1:10" x14ac:dyDescent="0.3">
      <c r="A104" s="2">
        <v>43936</v>
      </c>
      <c r="B104" s="2">
        <v>43943</v>
      </c>
      <c r="C104" t="s">
        <v>2</v>
      </c>
      <c r="D104" s="6">
        <v>250</v>
      </c>
      <c r="E104" s="6">
        <v>187.5</v>
      </c>
      <c r="F104" s="6">
        <v>5</v>
      </c>
      <c r="G104" s="6">
        <v>1250</v>
      </c>
      <c r="H104" t="s">
        <v>53</v>
      </c>
      <c r="I104" t="s">
        <v>79</v>
      </c>
      <c r="J104" t="s">
        <v>86</v>
      </c>
    </row>
    <row r="105" spans="1:10" x14ac:dyDescent="0.3">
      <c r="A105" s="2">
        <v>43937</v>
      </c>
      <c r="B105" s="2">
        <v>43939</v>
      </c>
      <c r="C105" t="s">
        <v>12</v>
      </c>
      <c r="D105" s="6">
        <v>320</v>
      </c>
      <c r="E105" s="6">
        <v>233.6</v>
      </c>
      <c r="F105" s="6">
        <v>4</v>
      </c>
      <c r="G105" s="6">
        <v>1280</v>
      </c>
      <c r="H105" t="s">
        <v>41</v>
      </c>
      <c r="I105" t="s">
        <v>80</v>
      </c>
      <c r="J105" t="s">
        <v>86</v>
      </c>
    </row>
    <row r="106" spans="1:10" x14ac:dyDescent="0.3">
      <c r="A106" s="2">
        <v>43937</v>
      </c>
      <c r="B106" s="2">
        <v>43944</v>
      </c>
      <c r="C106" t="s">
        <v>8</v>
      </c>
      <c r="D106" s="6">
        <v>59</v>
      </c>
      <c r="E106" s="6">
        <v>41.3</v>
      </c>
      <c r="F106" s="6">
        <v>3</v>
      </c>
      <c r="G106" s="6">
        <v>177</v>
      </c>
      <c r="H106" t="s">
        <v>29</v>
      </c>
      <c r="I106" t="s">
        <v>82</v>
      </c>
      <c r="J106" t="s">
        <v>86</v>
      </c>
    </row>
    <row r="107" spans="1:10" x14ac:dyDescent="0.3">
      <c r="A107" s="2">
        <v>43938</v>
      </c>
      <c r="B107" s="2">
        <v>43939</v>
      </c>
      <c r="C107" t="s">
        <v>9</v>
      </c>
      <c r="D107" s="6">
        <v>215</v>
      </c>
      <c r="E107" s="6">
        <v>152.65</v>
      </c>
      <c r="F107" s="6">
        <v>3</v>
      </c>
      <c r="G107" s="6">
        <v>645</v>
      </c>
      <c r="H107" t="s">
        <v>29</v>
      </c>
      <c r="I107" t="s">
        <v>83</v>
      </c>
      <c r="J107" t="s">
        <v>85</v>
      </c>
    </row>
    <row r="108" spans="1:10" x14ac:dyDescent="0.3">
      <c r="A108" s="2">
        <v>43939</v>
      </c>
      <c r="B108" s="2">
        <v>43941</v>
      </c>
      <c r="C108" t="s">
        <v>8</v>
      </c>
      <c r="D108" s="6">
        <v>59</v>
      </c>
      <c r="E108" s="6">
        <v>41.3</v>
      </c>
      <c r="F108" s="6">
        <v>6</v>
      </c>
      <c r="G108" s="6">
        <v>354</v>
      </c>
      <c r="H108" t="s">
        <v>34</v>
      </c>
      <c r="I108" t="s">
        <v>83</v>
      </c>
      <c r="J108" t="s">
        <v>85</v>
      </c>
    </row>
    <row r="109" spans="1:10" x14ac:dyDescent="0.3">
      <c r="A109" s="2">
        <v>43939</v>
      </c>
      <c r="B109" s="2">
        <v>43943</v>
      </c>
      <c r="C109" t="s">
        <v>12</v>
      </c>
      <c r="D109" s="6">
        <v>320</v>
      </c>
      <c r="E109" s="6">
        <v>233.6</v>
      </c>
      <c r="F109" s="6">
        <v>6</v>
      </c>
      <c r="G109" s="6">
        <v>1920</v>
      </c>
      <c r="H109" t="s">
        <v>45</v>
      </c>
      <c r="I109" t="s">
        <v>81</v>
      </c>
      <c r="J109" t="s">
        <v>86</v>
      </c>
    </row>
    <row r="110" spans="1:10" x14ac:dyDescent="0.3">
      <c r="A110" s="2">
        <v>43941</v>
      </c>
      <c r="B110" s="2">
        <v>43944</v>
      </c>
      <c r="C110" t="s">
        <v>7</v>
      </c>
      <c r="D110" s="6">
        <v>250</v>
      </c>
      <c r="E110" s="6">
        <v>167.5</v>
      </c>
      <c r="F110" s="6">
        <v>2</v>
      </c>
      <c r="G110" s="6">
        <v>500</v>
      </c>
      <c r="H110" t="s">
        <v>43</v>
      </c>
      <c r="I110" t="s">
        <v>81</v>
      </c>
      <c r="J110" t="s">
        <v>86</v>
      </c>
    </row>
    <row r="111" spans="1:10" x14ac:dyDescent="0.3">
      <c r="A111" s="2">
        <v>43941</v>
      </c>
      <c r="B111" s="2">
        <v>43948</v>
      </c>
      <c r="C111" t="s">
        <v>8</v>
      </c>
      <c r="D111" s="6">
        <v>59</v>
      </c>
      <c r="E111" s="6">
        <v>41.3</v>
      </c>
      <c r="F111" s="6">
        <v>7</v>
      </c>
      <c r="G111" s="6">
        <v>413</v>
      </c>
      <c r="H111" t="s">
        <v>65</v>
      </c>
      <c r="I111" t="s">
        <v>82</v>
      </c>
      <c r="J111" t="s">
        <v>86</v>
      </c>
    </row>
    <row r="112" spans="1:10" x14ac:dyDescent="0.3">
      <c r="A112" s="2">
        <v>43943</v>
      </c>
      <c r="B112" s="2">
        <v>43944</v>
      </c>
      <c r="C112" t="s">
        <v>7</v>
      </c>
      <c r="D112" s="6">
        <v>250</v>
      </c>
      <c r="E112" s="6">
        <v>167.5</v>
      </c>
      <c r="F112" s="6">
        <v>6</v>
      </c>
      <c r="G112" s="6">
        <v>1500</v>
      </c>
      <c r="H112" t="s">
        <v>46</v>
      </c>
      <c r="I112" t="s">
        <v>80</v>
      </c>
      <c r="J112" t="s">
        <v>86</v>
      </c>
    </row>
    <row r="113" spans="1:10" x14ac:dyDescent="0.3">
      <c r="A113" s="2">
        <v>43944</v>
      </c>
      <c r="B113" s="2">
        <v>43949</v>
      </c>
      <c r="C113" t="s">
        <v>17</v>
      </c>
      <c r="D113" s="6">
        <v>195</v>
      </c>
      <c r="E113" s="6">
        <v>138.44999999999999</v>
      </c>
      <c r="F113" s="6">
        <v>4</v>
      </c>
      <c r="G113" s="6">
        <v>780</v>
      </c>
      <c r="H113" t="s">
        <v>31</v>
      </c>
      <c r="I113" t="s">
        <v>81</v>
      </c>
      <c r="J113" t="s">
        <v>85</v>
      </c>
    </row>
    <row r="114" spans="1:10" x14ac:dyDescent="0.3">
      <c r="A114" s="2">
        <v>43945</v>
      </c>
      <c r="B114" s="2">
        <v>43951</v>
      </c>
      <c r="C114" t="s">
        <v>12</v>
      </c>
      <c r="D114" s="6">
        <v>320</v>
      </c>
      <c r="E114" s="6">
        <v>233.6</v>
      </c>
      <c r="F114" s="6">
        <v>2</v>
      </c>
      <c r="G114" s="6">
        <v>640</v>
      </c>
      <c r="H114" t="s">
        <v>41</v>
      </c>
      <c r="I114" t="s">
        <v>79</v>
      </c>
      <c r="J114" t="s">
        <v>85</v>
      </c>
    </row>
    <row r="115" spans="1:10" x14ac:dyDescent="0.3">
      <c r="A115" s="2">
        <v>43945</v>
      </c>
      <c r="B115" s="2">
        <v>43946</v>
      </c>
      <c r="C115" t="s">
        <v>2</v>
      </c>
      <c r="D115" s="6">
        <v>250</v>
      </c>
      <c r="E115" s="6">
        <v>187.5</v>
      </c>
      <c r="F115" s="6">
        <v>1</v>
      </c>
      <c r="G115" s="6">
        <v>250</v>
      </c>
      <c r="H115" t="s">
        <v>33</v>
      </c>
      <c r="I115" t="s">
        <v>82</v>
      </c>
      <c r="J115" t="s">
        <v>86</v>
      </c>
    </row>
    <row r="116" spans="1:10" x14ac:dyDescent="0.3">
      <c r="A116" s="2">
        <v>43946</v>
      </c>
      <c r="B116" s="2">
        <v>43953</v>
      </c>
      <c r="C116" t="s">
        <v>5</v>
      </c>
      <c r="D116" s="6">
        <v>290</v>
      </c>
      <c r="E116" s="6">
        <v>185.6</v>
      </c>
      <c r="F116" s="6">
        <v>8</v>
      </c>
      <c r="G116" s="6">
        <v>2320</v>
      </c>
      <c r="H116" t="s">
        <v>66</v>
      </c>
      <c r="I116" t="s">
        <v>80</v>
      </c>
      <c r="J116" t="s">
        <v>86</v>
      </c>
    </row>
    <row r="117" spans="1:10" x14ac:dyDescent="0.3">
      <c r="A117" s="2">
        <v>43946</v>
      </c>
      <c r="B117" s="2">
        <v>43947</v>
      </c>
      <c r="C117" t="s">
        <v>15</v>
      </c>
      <c r="D117" s="6">
        <v>110</v>
      </c>
      <c r="E117" s="6">
        <v>78.099999999999994</v>
      </c>
      <c r="F117" s="6">
        <v>8</v>
      </c>
      <c r="G117" s="6">
        <v>880</v>
      </c>
      <c r="H117" t="s">
        <v>46</v>
      </c>
      <c r="I117" t="s">
        <v>82</v>
      </c>
      <c r="J117" t="s">
        <v>86</v>
      </c>
    </row>
    <row r="118" spans="1:10" x14ac:dyDescent="0.3">
      <c r="A118" s="2">
        <v>43948</v>
      </c>
      <c r="B118" s="2">
        <v>43953</v>
      </c>
      <c r="C118" t="s">
        <v>17</v>
      </c>
      <c r="D118" s="6">
        <v>195</v>
      </c>
      <c r="E118" s="6">
        <v>138.44999999999999</v>
      </c>
      <c r="F118" s="6">
        <v>9</v>
      </c>
      <c r="G118" s="6">
        <v>1755</v>
      </c>
      <c r="H118" t="s">
        <v>75</v>
      </c>
      <c r="I118" t="s">
        <v>83</v>
      </c>
      <c r="J118" t="s">
        <v>86</v>
      </c>
    </row>
    <row r="119" spans="1:10" x14ac:dyDescent="0.3">
      <c r="A119" s="2">
        <v>43948</v>
      </c>
      <c r="B119" s="2">
        <v>43951</v>
      </c>
      <c r="C119" t="s">
        <v>12</v>
      </c>
      <c r="D119" s="6">
        <v>320</v>
      </c>
      <c r="E119" s="6">
        <v>233.6</v>
      </c>
      <c r="F119" s="6">
        <v>3</v>
      </c>
      <c r="G119" s="6">
        <v>960</v>
      </c>
      <c r="H119" t="s">
        <v>56</v>
      </c>
      <c r="I119" t="s">
        <v>81</v>
      </c>
      <c r="J119" t="s">
        <v>86</v>
      </c>
    </row>
    <row r="120" spans="1:10" x14ac:dyDescent="0.3">
      <c r="A120" s="2">
        <v>43950</v>
      </c>
      <c r="B120" s="2">
        <v>43954</v>
      </c>
      <c r="C120" t="s">
        <v>18</v>
      </c>
      <c r="D120" s="6">
        <v>80</v>
      </c>
      <c r="E120" s="6">
        <v>48.8</v>
      </c>
      <c r="F120" s="6">
        <v>7</v>
      </c>
      <c r="G120" s="6">
        <v>560</v>
      </c>
      <c r="H120" t="s">
        <v>36</v>
      </c>
      <c r="I120" t="s">
        <v>83</v>
      </c>
      <c r="J120" t="s">
        <v>86</v>
      </c>
    </row>
    <row r="121" spans="1:10" x14ac:dyDescent="0.3">
      <c r="A121" s="2">
        <v>43950</v>
      </c>
      <c r="B121" s="2">
        <v>43956</v>
      </c>
      <c r="C121" t="s">
        <v>17</v>
      </c>
      <c r="D121" s="6">
        <v>195</v>
      </c>
      <c r="E121" s="6">
        <v>138.44999999999999</v>
      </c>
      <c r="F121" s="6">
        <v>6</v>
      </c>
      <c r="G121" s="6">
        <v>1170</v>
      </c>
      <c r="H121" t="s">
        <v>67</v>
      </c>
      <c r="I121" t="s">
        <v>83</v>
      </c>
      <c r="J121" t="s">
        <v>85</v>
      </c>
    </row>
    <row r="122" spans="1:10" x14ac:dyDescent="0.3">
      <c r="A122" s="2">
        <v>43951</v>
      </c>
      <c r="B122" s="2">
        <v>43952</v>
      </c>
      <c r="C122" t="s">
        <v>5</v>
      </c>
      <c r="D122" s="6">
        <v>290</v>
      </c>
      <c r="E122" s="6">
        <v>185.6</v>
      </c>
      <c r="F122" s="6">
        <v>6</v>
      </c>
      <c r="G122" s="6">
        <v>1740</v>
      </c>
      <c r="H122" t="s">
        <v>66</v>
      </c>
      <c r="I122" t="s">
        <v>83</v>
      </c>
      <c r="J122" t="s">
        <v>86</v>
      </c>
    </row>
    <row r="123" spans="1:10" x14ac:dyDescent="0.3">
      <c r="A123" s="2">
        <v>43955</v>
      </c>
      <c r="B123" s="2">
        <v>43961</v>
      </c>
      <c r="C123" t="s">
        <v>8</v>
      </c>
      <c r="D123" s="6">
        <v>59</v>
      </c>
      <c r="E123" s="6">
        <v>41.3</v>
      </c>
      <c r="F123" s="6">
        <v>3</v>
      </c>
      <c r="G123" s="6">
        <v>177</v>
      </c>
      <c r="H123" t="s">
        <v>41</v>
      </c>
      <c r="I123" t="s">
        <v>80</v>
      </c>
      <c r="J123" t="s">
        <v>86</v>
      </c>
    </row>
    <row r="124" spans="1:10" x14ac:dyDescent="0.3">
      <c r="A124" s="2">
        <v>43956</v>
      </c>
      <c r="B124" s="2">
        <v>43963</v>
      </c>
      <c r="C124" t="s">
        <v>12</v>
      </c>
      <c r="D124" s="6">
        <v>320</v>
      </c>
      <c r="E124" s="6">
        <v>233.6</v>
      </c>
      <c r="F124" s="6">
        <v>5</v>
      </c>
      <c r="G124" s="6">
        <v>1600</v>
      </c>
      <c r="H124" t="s">
        <v>43</v>
      </c>
      <c r="I124" t="s">
        <v>80</v>
      </c>
      <c r="J124" t="s">
        <v>86</v>
      </c>
    </row>
    <row r="125" spans="1:10" x14ac:dyDescent="0.3">
      <c r="A125" s="2">
        <v>43957</v>
      </c>
      <c r="B125" s="2">
        <v>43958</v>
      </c>
      <c r="C125" t="s">
        <v>10</v>
      </c>
      <c r="D125" s="6">
        <v>390</v>
      </c>
      <c r="E125" s="6">
        <v>253.5</v>
      </c>
      <c r="F125" s="6">
        <v>7</v>
      </c>
      <c r="G125" s="6">
        <v>2730</v>
      </c>
      <c r="H125" t="s">
        <v>55</v>
      </c>
      <c r="I125" t="s">
        <v>82</v>
      </c>
      <c r="J125" t="s">
        <v>86</v>
      </c>
    </row>
    <row r="126" spans="1:10" x14ac:dyDescent="0.3">
      <c r="A126" s="2">
        <v>43958</v>
      </c>
      <c r="B126" s="2">
        <v>43959</v>
      </c>
      <c r="C126" t="s">
        <v>14</v>
      </c>
      <c r="D126" s="6">
        <v>375</v>
      </c>
      <c r="E126" s="6">
        <v>247.5</v>
      </c>
      <c r="F126" s="6">
        <v>2</v>
      </c>
      <c r="G126" s="6">
        <v>750</v>
      </c>
      <c r="H126" t="s">
        <v>31</v>
      </c>
      <c r="I126" t="s">
        <v>83</v>
      </c>
      <c r="J126" t="s">
        <v>85</v>
      </c>
    </row>
    <row r="127" spans="1:10" x14ac:dyDescent="0.3">
      <c r="A127" s="2">
        <v>43959</v>
      </c>
      <c r="B127" s="2">
        <v>43962</v>
      </c>
      <c r="C127" t="s">
        <v>23</v>
      </c>
      <c r="D127" s="6">
        <v>275</v>
      </c>
      <c r="E127" s="6">
        <v>200.75</v>
      </c>
      <c r="F127" s="6">
        <v>8</v>
      </c>
      <c r="G127" s="6">
        <v>2200</v>
      </c>
      <c r="H127" t="s">
        <v>68</v>
      </c>
      <c r="I127" t="s">
        <v>82</v>
      </c>
      <c r="J127" t="s">
        <v>85</v>
      </c>
    </row>
    <row r="128" spans="1:10" x14ac:dyDescent="0.3">
      <c r="A128" s="2">
        <v>43960</v>
      </c>
      <c r="B128" s="2">
        <v>43962</v>
      </c>
      <c r="C128" t="s">
        <v>18</v>
      </c>
      <c r="D128" s="6">
        <v>80</v>
      </c>
      <c r="E128" s="6">
        <v>48.8</v>
      </c>
      <c r="F128" s="6">
        <v>3</v>
      </c>
      <c r="G128" s="6">
        <v>240</v>
      </c>
      <c r="H128" t="s">
        <v>49</v>
      </c>
      <c r="I128" t="s">
        <v>81</v>
      </c>
      <c r="J128" t="s">
        <v>85</v>
      </c>
    </row>
    <row r="129" spans="1:10" x14ac:dyDescent="0.3">
      <c r="A129" s="2">
        <v>43960</v>
      </c>
      <c r="B129" s="2">
        <v>43963</v>
      </c>
      <c r="C129" t="s">
        <v>23</v>
      </c>
      <c r="D129" s="6">
        <v>275</v>
      </c>
      <c r="E129" s="6">
        <v>200.75</v>
      </c>
      <c r="F129" s="6">
        <v>5</v>
      </c>
      <c r="G129" s="6">
        <v>1375</v>
      </c>
      <c r="H129" t="s">
        <v>67</v>
      </c>
      <c r="I129" t="s">
        <v>82</v>
      </c>
      <c r="J129" t="s">
        <v>85</v>
      </c>
    </row>
    <row r="130" spans="1:10" x14ac:dyDescent="0.3">
      <c r="A130" s="2">
        <v>43962</v>
      </c>
      <c r="B130" s="2">
        <v>43965</v>
      </c>
      <c r="C130" t="s">
        <v>21</v>
      </c>
      <c r="D130" s="6">
        <v>355</v>
      </c>
      <c r="E130" s="6">
        <v>252.04999999999998</v>
      </c>
      <c r="F130" s="6">
        <v>5</v>
      </c>
      <c r="G130" s="6">
        <v>1775</v>
      </c>
      <c r="H130" t="s">
        <v>65</v>
      </c>
      <c r="I130" t="s">
        <v>80</v>
      </c>
      <c r="J130" t="s">
        <v>85</v>
      </c>
    </row>
    <row r="131" spans="1:10" x14ac:dyDescent="0.3">
      <c r="A131" s="2">
        <v>43963</v>
      </c>
      <c r="B131" s="2">
        <v>43966</v>
      </c>
      <c r="C131" t="s">
        <v>9</v>
      </c>
      <c r="D131" s="6">
        <v>215</v>
      </c>
      <c r="E131" s="6">
        <v>152.65</v>
      </c>
      <c r="F131" s="6">
        <v>1</v>
      </c>
      <c r="G131" s="6">
        <v>215</v>
      </c>
      <c r="H131" t="s">
        <v>50</v>
      </c>
      <c r="I131" t="s">
        <v>83</v>
      </c>
      <c r="J131" t="s">
        <v>86</v>
      </c>
    </row>
    <row r="132" spans="1:10" x14ac:dyDescent="0.3">
      <c r="A132" s="2">
        <v>43965</v>
      </c>
      <c r="B132" s="2">
        <v>43971</v>
      </c>
      <c r="C132" t="s">
        <v>14</v>
      </c>
      <c r="D132" s="6">
        <v>375</v>
      </c>
      <c r="E132" s="6">
        <v>247.5</v>
      </c>
      <c r="F132" s="6">
        <v>9</v>
      </c>
      <c r="G132" s="6">
        <v>3375</v>
      </c>
      <c r="H132" t="s">
        <v>62</v>
      </c>
      <c r="I132" t="s">
        <v>81</v>
      </c>
      <c r="J132" t="s">
        <v>85</v>
      </c>
    </row>
    <row r="133" spans="1:10" x14ac:dyDescent="0.3">
      <c r="A133" s="2">
        <v>43967</v>
      </c>
      <c r="B133" s="2">
        <v>43971</v>
      </c>
      <c r="C133" t="s">
        <v>23</v>
      </c>
      <c r="D133" s="6">
        <v>275</v>
      </c>
      <c r="E133" s="6">
        <v>200.75</v>
      </c>
      <c r="F133" s="6">
        <v>9</v>
      </c>
      <c r="G133" s="6">
        <v>2475</v>
      </c>
      <c r="H133" t="s">
        <v>49</v>
      </c>
      <c r="I133" t="s">
        <v>82</v>
      </c>
      <c r="J133" t="s">
        <v>85</v>
      </c>
    </row>
    <row r="134" spans="1:10" x14ac:dyDescent="0.3">
      <c r="A134" s="2">
        <v>43968</v>
      </c>
      <c r="B134" s="2">
        <v>43974</v>
      </c>
      <c r="C134" t="s">
        <v>17</v>
      </c>
      <c r="D134" s="6">
        <v>195</v>
      </c>
      <c r="E134" s="6">
        <v>138.44999999999999</v>
      </c>
      <c r="F134" s="6">
        <v>2</v>
      </c>
      <c r="G134" s="6">
        <v>390</v>
      </c>
      <c r="H134" t="s">
        <v>41</v>
      </c>
      <c r="I134" t="s">
        <v>80</v>
      </c>
      <c r="J134" t="s">
        <v>85</v>
      </c>
    </row>
    <row r="135" spans="1:10" x14ac:dyDescent="0.3">
      <c r="A135" s="2">
        <v>43968</v>
      </c>
      <c r="B135" s="2">
        <v>43974</v>
      </c>
      <c r="C135" t="s">
        <v>13</v>
      </c>
      <c r="D135" s="6">
        <v>445</v>
      </c>
      <c r="E135" s="6">
        <v>280.35000000000002</v>
      </c>
      <c r="F135" s="6">
        <v>5</v>
      </c>
      <c r="G135" s="6">
        <v>2225</v>
      </c>
      <c r="H135" t="s">
        <v>69</v>
      </c>
      <c r="I135" t="s">
        <v>83</v>
      </c>
      <c r="J135" t="s">
        <v>86</v>
      </c>
    </row>
    <row r="136" spans="1:10" x14ac:dyDescent="0.3">
      <c r="A136" s="2">
        <v>43969</v>
      </c>
      <c r="B136" s="2">
        <v>43972</v>
      </c>
      <c r="C136" t="s">
        <v>12</v>
      </c>
      <c r="D136" s="6">
        <v>320</v>
      </c>
      <c r="E136" s="6">
        <v>233.6</v>
      </c>
      <c r="F136" s="6">
        <v>6</v>
      </c>
      <c r="G136" s="6">
        <v>1920</v>
      </c>
      <c r="H136" t="s">
        <v>75</v>
      </c>
      <c r="I136" t="s">
        <v>81</v>
      </c>
      <c r="J136" t="s">
        <v>86</v>
      </c>
    </row>
    <row r="137" spans="1:10" x14ac:dyDescent="0.3">
      <c r="A137" s="2">
        <v>43969</v>
      </c>
      <c r="B137" s="2">
        <v>43971</v>
      </c>
      <c r="C137" t="s">
        <v>13</v>
      </c>
      <c r="D137" s="6">
        <v>445</v>
      </c>
      <c r="E137" s="6">
        <v>280.35000000000002</v>
      </c>
      <c r="F137" s="6">
        <v>2</v>
      </c>
      <c r="G137" s="6">
        <v>890</v>
      </c>
      <c r="H137" t="s">
        <v>39</v>
      </c>
      <c r="I137" t="s">
        <v>81</v>
      </c>
      <c r="J137" t="s">
        <v>85</v>
      </c>
    </row>
    <row r="138" spans="1:10" x14ac:dyDescent="0.3">
      <c r="A138" s="2">
        <v>43970</v>
      </c>
      <c r="B138" s="2">
        <v>43975</v>
      </c>
      <c r="C138" t="s">
        <v>4</v>
      </c>
      <c r="D138" s="6">
        <v>390</v>
      </c>
      <c r="E138" s="6">
        <v>288.60000000000002</v>
      </c>
      <c r="F138" s="6">
        <v>3</v>
      </c>
      <c r="G138" s="6">
        <v>1170</v>
      </c>
      <c r="H138" t="s">
        <v>63</v>
      </c>
      <c r="I138" t="s">
        <v>80</v>
      </c>
      <c r="J138" t="s">
        <v>86</v>
      </c>
    </row>
    <row r="139" spans="1:10" x14ac:dyDescent="0.3">
      <c r="A139" s="2">
        <v>43971</v>
      </c>
      <c r="B139" s="2">
        <v>43973</v>
      </c>
      <c r="C139" t="s">
        <v>15</v>
      </c>
      <c r="D139" s="6">
        <v>110</v>
      </c>
      <c r="E139" s="6">
        <v>78.099999999999994</v>
      </c>
      <c r="F139" s="6">
        <v>8</v>
      </c>
      <c r="G139" s="6">
        <v>880</v>
      </c>
      <c r="H139" t="s">
        <v>67</v>
      </c>
      <c r="I139" t="s">
        <v>82</v>
      </c>
      <c r="J139" t="s">
        <v>85</v>
      </c>
    </row>
    <row r="140" spans="1:10" x14ac:dyDescent="0.3">
      <c r="A140" s="2">
        <v>43971</v>
      </c>
      <c r="B140" s="2">
        <v>43975</v>
      </c>
      <c r="C140" t="s">
        <v>6</v>
      </c>
      <c r="D140" s="6">
        <v>99</v>
      </c>
      <c r="E140" s="6">
        <v>62.37</v>
      </c>
      <c r="F140" s="6">
        <v>4</v>
      </c>
      <c r="G140" s="6">
        <v>396</v>
      </c>
      <c r="H140" t="s">
        <v>44</v>
      </c>
      <c r="I140" t="s">
        <v>82</v>
      </c>
      <c r="J140" t="s">
        <v>86</v>
      </c>
    </row>
    <row r="141" spans="1:10" x14ac:dyDescent="0.3">
      <c r="A141" s="2">
        <v>43971</v>
      </c>
      <c r="B141" s="2">
        <v>43972</v>
      </c>
      <c r="C141" t="s">
        <v>9</v>
      </c>
      <c r="D141" s="6">
        <v>215</v>
      </c>
      <c r="E141" s="6">
        <v>152.65</v>
      </c>
      <c r="F141" s="6">
        <v>9</v>
      </c>
      <c r="G141" s="6">
        <v>1935</v>
      </c>
      <c r="H141" t="s">
        <v>42</v>
      </c>
      <c r="I141" t="s">
        <v>83</v>
      </c>
      <c r="J141" t="s">
        <v>86</v>
      </c>
    </row>
    <row r="142" spans="1:10" x14ac:dyDescent="0.3">
      <c r="A142" s="2">
        <v>43972</v>
      </c>
      <c r="B142" s="2">
        <v>43976</v>
      </c>
      <c r="C142" t="s">
        <v>18</v>
      </c>
      <c r="D142" s="6">
        <v>80</v>
      </c>
      <c r="E142" s="6">
        <v>48.8</v>
      </c>
      <c r="F142" s="6">
        <v>3</v>
      </c>
      <c r="G142" s="6">
        <v>240</v>
      </c>
      <c r="H142" t="s">
        <v>63</v>
      </c>
      <c r="I142" t="s">
        <v>81</v>
      </c>
      <c r="J142" t="s">
        <v>86</v>
      </c>
    </row>
    <row r="143" spans="1:10" x14ac:dyDescent="0.3">
      <c r="A143" s="2">
        <v>43972</v>
      </c>
      <c r="B143" s="2">
        <v>43975</v>
      </c>
      <c r="C143" t="s">
        <v>17</v>
      </c>
      <c r="D143" s="6">
        <v>195</v>
      </c>
      <c r="E143" s="6">
        <v>138.44999999999999</v>
      </c>
      <c r="F143" s="6">
        <v>4</v>
      </c>
      <c r="G143" s="6">
        <v>780</v>
      </c>
      <c r="H143" t="s">
        <v>47</v>
      </c>
      <c r="I143" t="s">
        <v>79</v>
      </c>
      <c r="J143" t="s">
        <v>85</v>
      </c>
    </row>
    <row r="144" spans="1:10" x14ac:dyDescent="0.3">
      <c r="A144" s="2">
        <v>43974</v>
      </c>
      <c r="B144" s="2">
        <v>43977</v>
      </c>
      <c r="C144" t="s">
        <v>15</v>
      </c>
      <c r="D144" s="6">
        <v>110</v>
      </c>
      <c r="E144" s="6">
        <v>78.099999999999994</v>
      </c>
      <c r="F144" s="6">
        <v>6</v>
      </c>
      <c r="G144" s="6">
        <v>660</v>
      </c>
      <c r="H144" t="s">
        <v>37</v>
      </c>
      <c r="I144" t="s">
        <v>82</v>
      </c>
      <c r="J144" t="s">
        <v>86</v>
      </c>
    </row>
    <row r="145" spans="1:10" x14ac:dyDescent="0.3">
      <c r="A145" s="2">
        <v>43976</v>
      </c>
      <c r="B145" s="2">
        <v>43983</v>
      </c>
      <c r="C145" t="s">
        <v>5</v>
      </c>
      <c r="D145" s="6">
        <v>290</v>
      </c>
      <c r="E145" s="6">
        <v>185.6</v>
      </c>
      <c r="F145" s="6">
        <v>5</v>
      </c>
      <c r="G145" s="6">
        <v>1450</v>
      </c>
      <c r="H145" t="s">
        <v>37</v>
      </c>
      <c r="I145" t="s">
        <v>83</v>
      </c>
      <c r="J145" t="s">
        <v>86</v>
      </c>
    </row>
    <row r="146" spans="1:10" x14ac:dyDescent="0.3">
      <c r="A146" s="2">
        <v>43976</v>
      </c>
      <c r="B146" s="2">
        <v>43979</v>
      </c>
      <c r="C146" t="s">
        <v>11</v>
      </c>
      <c r="D146" s="6">
        <v>490</v>
      </c>
      <c r="E146" s="6">
        <v>298.89999999999998</v>
      </c>
      <c r="F146" s="6">
        <v>7</v>
      </c>
      <c r="G146" s="6">
        <v>3430</v>
      </c>
      <c r="H146" t="s">
        <v>62</v>
      </c>
      <c r="I146" t="s">
        <v>81</v>
      </c>
      <c r="J146" t="s">
        <v>85</v>
      </c>
    </row>
    <row r="147" spans="1:10" x14ac:dyDescent="0.3">
      <c r="A147" s="2">
        <v>43978</v>
      </c>
      <c r="B147" s="2">
        <v>43985</v>
      </c>
      <c r="C147" t="s">
        <v>23</v>
      </c>
      <c r="D147" s="6">
        <v>275</v>
      </c>
      <c r="E147" s="6">
        <v>200.75</v>
      </c>
      <c r="F147" s="6">
        <v>7</v>
      </c>
      <c r="G147" s="6">
        <v>1925</v>
      </c>
      <c r="H147" t="s">
        <v>39</v>
      </c>
      <c r="I147" t="s">
        <v>79</v>
      </c>
      <c r="J147" t="s">
        <v>86</v>
      </c>
    </row>
    <row r="148" spans="1:10" x14ac:dyDescent="0.3">
      <c r="A148" s="2">
        <v>43979</v>
      </c>
      <c r="B148" s="2">
        <v>43983</v>
      </c>
      <c r="C148" t="s">
        <v>3</v>
      </c>
      <c r="D148" s="6">
        <v>95</v>
      </c>
      <c r="E148" s="6">
        <v>60.800000000000004</v>
      </c>
      <c r="F148" s="6">
        <v>9</v>
      </c>
      <c r="G148" s="6">
        <v>855</v>
      </c>
      <c r="H148" t="s">
        <v>30</v>
      </c>
      <c r="I148" t="s">
        <v>81</v>
      </c>
      <c r="J148" t="s">
        <v>86</v>
      </c>
    </row>
    <row r="149" spans="1:10" x14ac:dyDescent="0.3">
      <c r="A149" s="2">
        <v>43980</v>
      </c>
      <c r="B149" s="2">
        <v>43983</v>
      </c>
      <c r="C149" t="s">
        <v>10</v>
      </c>
      <c r="D149" s="6">
        <v>390</v>
      </c>
      <c r="E149" s="6">
        <v>253.5</v>
      </c>
      <c r="F149" s="6">
        <v>4</v>
      </c>
      <c r="G149" s="6">
        <v>1560</v>
      </c>
      <c r="H149" t="s">
        <v>44</v>
      </c>
      <c r="I149" t="s">
        <v>79</v>
      </c>
      <c r="J149" t="s">
        <v>85</v>
      </c>
    </row>
    <row r="150" spans="1:10" x14ac:dyDescent="0.3">
      <c r="A150" s="2">
        <v>43981</v>
      </c>
      <c r="B150" s="2">
        <v>43984</v>
      </c>
      <c r="C150" t="s">
        <v>22</v>
      </c>
      <c r="D150" s="6">
        <v>460</v>
      </c>
      <c r="E150" s="6">
        <v>303.60000000000002</v>
      </c>
      <c r="F150" s="6">
        <v>3</v>
      </c>
      <c r="G150" s="6">
        <v>1380</v>
      </c>
      <c r="H150" t="s">
        <v>31</v>
      </c>
      <c r="I150" t="s">
        <v>80</v>
      </c>
      <c r="J150" t="s">
        <v>86</v>
      </c>
    </row>
    <row r="151" spans="1:10" x14ac:dyDescent="0.3">
      <c r="A151" s="2">
        <v>43981</v>
      </c>
      <c r="B151" s="2">
        <v>43982</v>
      </c>
      <c r="C151" t="s">
        <v>3</v>
      </c>
      <c r="D151" s="6">
        <v>95</v>
      </c>
      <c r="E151" s="6">
        <v>60.800000000000004</v>
      </c>
      <c r="F151" s="6">
        <v>2</v>
      </c>
      <c r="G151" s="6">
        <v>190</v>
      </c>
      <c r="H151" t="s">
        <v>37</v>
      </c>
      <c r="I151" t="s">
        <v>83</v>
      </c>
      <c r="J151" t="s">
        <v>85</v>
      </c>
    </row>
    <row r="152" spans="1:10" x14ac:dyDescent="0.3">
      <c r="A152" s="2">
        <v>43981</v>
      </c>
      <c r="B152" s="2">
        <v>43988</v>
      </c>
      <c r="C152" t="s">
        <v>10</v>
      </c>
      <c r="D152" s="6">
        <v>390</v>
      </c>
      <c r="E152" s="6">
        <v>253.5</v>
      </c>
      <c r="F152" s="6">
        <v>5</v>
      </c>
      <c r="G152" s="6">
        <v>1950</v>
      </c>
      <c r="H152" t="s">
        <v>55</v>
      </c>
      <c r="I152" t="s">
        <v>82</v>
      </c>
      <c r="J152" t="s">
        <v>85</v>
      </c>
    </row>
    <row r="153" spans="1:10" x14ac:dyDescent="0.3">
      <c r="A153" s="2">
        <v>43983</v>
      </c>
      <c r="B153" s="2">
        <v>43990</v>
      </c>
      <c r="C153" t="s">
        <v>3</v>
      </c>
      <c r="D153" s="6">
        <v>95</v>
      </c>
      <c r="E153" s="6">
        <v>60.800000000000004</v>
      </c>
      <c r="F153" s="6">
        <v>6</v>
      </c>
      <c r="G153" s="6">
        <v>570</v>
      </c>
      <c r="H153" t="s">
        <v>56</v>
      </c>
      <c r="I153" t="s">
        <v>79</v>
      </c>
      <c r="J153" t="s">
        <v>85</v>
      </c>
    </row>
    <row r="154" spans="1:10" x14ac:dyDescent="0.3">
      <c r="A154" s="2">
        <v>43985</v>
      </c>
      <c r="B154" s="2">
        <v>43992</v>
      </c>
      <c r="C154" t="s">
        <v>12</v>
      </c>
      <c r="D154" s="6">
        <v>320</v>
      </c>
      <c r="E154" s="6">
        <v>233.6</v>
      </c>
      <c r="F154" s="6">
        <v>2</v>
      </c>
      <c r="G154" s="6">
        <v>640</v>
      </c>
      <c r="H154" t="s">
        <v>62</v>
      </c>
      <c r="I154" t="s">
        <v>79</v>
      </c>
      <c r="J154" t="s">
        <v>86</v>
      </c>
    </row>
    <row r="155" spans="1:10" x14ac:dyDescent="0.3">
      <c r="A155" s="2">
        <v>43986</v>
      </c>
      <c r="B155" s="2">
        <v>43989</v>
      </c>
      <c r="C155" t="s">
        <v>21</v>
      </c>
      <c r="D155" s="6">
        <v>355</v>
      </c>
      <c r="E155" s="6">
        <v>252.04999999999998</v>
      </c>
      <c r="F155" s="6">
        <v>8</v>
      </c>
      <c r="G155" s="6">
        <v>2840</v>
      </c>
      <c r="H155" t="s">
        <v>47</v>
      </c>
      <c r="I155" t="s">
        <v>81</v>
      </c>
      <c r="J155" t="s">
        <v>85</v>
      </c>
    </row>
    <row r="156" spans="1:10" x14ac:dyDescent="0.3">
      <c r="A156" s="2">
        <v>43986</v>
      </c>
      <c r="B156" s="2">
        <v>43988</v>
      </c>
      <c r="C156" t="s">
        <v>18</v>
      </c>
      <c r="D156" s="6">
        <v>80</v>
      </c>
      <c r="E156" s="6">
        <v>48.8</v>
      </c>
      <c r="F156" s="6">
        <v>6</v>
      </c>
      <c r="G156" s="6">
        <v>480</v>
      </c>
      <c r="H156" t="s">
        <v>75</v>
      </c>
      <c r="I156" t="s">
        <v>81</v>
      </c>
      <c r="J156" t="s">
        <v>86</v>
      </c>
    </row>
    <row r="157" spans="1:10" x14ac:dyDescent="0.3">
      <c r="A157" s="2">
        <v>43986</v>
      </c>
      <c r="B157" s="2">
        <v>43987</v>
      </c>
      <c r="C157" t="s">
        <v>22</v>
      </c>
      <c r="D157" s="6">
        <v>460</v>
      </c>
      <c r="E157" s="6">
        <v>303.60000000000002</v>
      </c>
      <c r="F157" s="6">
        <v>5</v>
      </c>
      <c r="G157" s="6">
        <v>2300</v>
      </c>
      <c r="H157" t="s">
        <v>41</v>
      </c>
      <c r="I157" t="s">
        <v>81</v>
      </c>
      <c r="J157" t="s">
        <v>86</v>
      </c>
    </row>
    <row r="158" spans="1:10" x14ac:dyDescent="0.3">
      <c r="A158" s="2">
        <v>43986</v>
      </c>
      <c r="B158" s="2">
        <v>43989</v>
      </c>
      <c r="C158" t="s">
        <v>11</v>
      </c>
      <c r="D158" s="6">
        <v>490</v>
      </c>
      <c r="E158" s="6">
        <v>298.89999999999998</v>
      </c>
      <c r="F158" s="6">
        <v>4</v>
      </c>
      <c r="G158" s="6">
        <v>1960</v>
      </c>
      <c r="H158" t="s">
        <v>48</v>
      </c>
      <c r="I158" t="s">
        <v>79</v>
      </c>
      <c r="J158" t="s">
        <v>86</v>
      </c>
    </row>
    <row r="159" spans="1:10" x14ac:dyDescent="0.3">
      <c r="A159" s="2">
        <v>43989</v>
      </c>
      <c r="B159" s="2">
        <v>43993</v>
      </c>
      <c r="C159" t="s">
        <v>10</v>
      </c>
      <c r="D159" s="6">
        <v>390</v>
      </c>
      <c r="E159" s="6">
        <v>253.5</v>
      </c>
      <c r="F159" s="6">
        <v>5</v>
      </c>
      <c r="G159" s="6">
        <v>1950</v>
      </c>
      <c r="H159" t="s">
        <v>36</v>
      </c>
      <c r="I159" t="s">
        <v>79</v>
      </c>
      <c r="J159" t="s">
        <v>85</v>
      </c>
    </row>
    <row r="160" spans="1:10" x14ac:dyDescent="0.3">
      <c r="A160" s="2">
        <v>43989</v>
      </c>
      <c r="B160" s="2">
        <v>43990</v>
      </c>
      <c r="C160" t="s">
        <v>20</v>
      </c>
      <c r="D160" s="6">
        <v>440</v>
      </c>
      <c r="E160" s="6">
        <v>286</v>
      </c>
      <c r="F160" s="6">
        <v>8</v>
      </c>
      <c r="G160" s="6">
        <v>3520</v>
      </c>
      <c r="H160" t="s">
        <v>65</v>
      </c>
      <c r="I160" t="s">
        <v>79</v>
      </c>
      <c r="J160" t="s">
        <v>86</v>
      </c>
    </row>
    <row r="161" spans="1:10" x14ac:dyDescent="0.3">
      <c r="A161" s="2">
        <v>43990</v>
      </c>
      <c r="B161" s="2">
        <v>43991</v>
      </c>
      <c r="C161" t="s">
        <v>19</v>
      </c>
      <c r="D161" s="6">
        <v>220</v>
      </c>
      <c r="E161" s="6">
        <v>154</v>
      </c>
      <c r="F161" s="6">
        <v>2</v>
      </c>
      <c r="G161" s="6">
        <v>440</v>
      </c>
      <c r="H161" t="s">
        <v>70</v>
      </c>
      <c r="I161" t="s">
        <v>80</v>
      </c>
      <c r="J161" t="s">
        <v>85</v>
      </c>
    </row>
    <row r="162" spans="1:10" x14ac:dyDescent="0.3">
      <c r="A162" s="2">
        <v>43990</v>
      </c>
      <c r="B162" s="2">
        <v>43997</v>
      </c>
      <c r="C162" t="s">
        <v>17</v>
      </c>
      <c r="D162" s="6">
        <v>195</v>
      </c>
      <c r="E162" s="6">
        <v>138.44999999999999</v>
      </c>
      <c r="F162" s="6">
        <v>9</v>
      </c>
      <c r="G162" s="6">
        <v>1755</v>
      </c>
      <c r="H162" t="s">
        <v>64</v>
      </c>
      <c r="I162" t="s">
        <v>81</v>
      </c>
      <c r="J162" t="s">
        <v>85</v>
      </c>
    </row>
    <row r="163" spans="1:10" x14ac:dyDescent="0.3">
      <c r="A163" s="2">
        <v>43991</v>
      </c>
      <c r="B163" s="2">
        <v>43997</v>
      </c>
      <c r="C163" t="s">
        <v>13</v>
      </c>
      <c r="D163" s="6">
        <v>445</v>
      </c>
      <c r="E163" s="6">
        <v>280.35000000000002</v>
      </c>
      <c r="F163" s="6">
        <v>6</v>
      </c>
      <c r="G163" s="6">
        <v>2670</v>
      </c>
      <c r="H163" t="s">
        <v>49</v>
      </c>
      <c r="I163" t="s">
        <v>82</v>
      </c>
      <c r="J163" t="s">
        <v>86</v>
      </c>
    </row>
    <row r="164" spans="1:10" x14ac:dyDescent="0.3">
      <c r="A164" s="2">
        <v>43992</v>
      </c>
      <c r="B164" s="2">
        <v>43996</v>
      </c>
      <c r="C164" t="s">
        <v>4</v>
      </c>
      <c r="D164" s="6">
        <v>390</v>
      </c>
      <c r="E164" s="6">
        <v>288.60000000000002</v>
      </c>
      <c r="F164" s="6">
        <v>8</v>
      </c>
      <c r="G164" s="6">
        <v>3120</v>
      </c>
      <c r="H164" t="s">
        <v>46</v>
      </c>
      <c r="I164" t="s">
        <v>81</v>
      </c>
      <c r="J164" t="s">
        <v>86</v>
      </c>
    </row>
    <row r="165" spans="1:10" x14ac:dyDescent="0.3">
      <c r="A165" s="2">
        <v>43993</v>
      </c>
      <c r="B165" s="2">
        <v>43999</v>
      </c>
      <c r="C165" t="s">
        <v>18</v>
      </c>
      <c r="D165" s="6">
        <v>80</v>
      </c>
      <c r="E165" s="6">
        <v>48.8</v>
      </c>
      <c r="F165" s="6">
        <v>7</v>
      </c>
      <c r="G165" s="6">
        <v>560</v>
      </c>
      <c r="H165" t="s">
        <v>40</v>
      </c>
      <c r="I165" t="s">
        <v>80</v>
      </c>
      <c r="J165" t="s">
        <v>85</v>
      </c>
    </row>
    <row r="166" spans="1:10" x14ac:dyDescent="0.3">
      <c r="A166" s="2">
        <v>43994</v>
      </c>
      <c r="B166" s="2">
        <v>44001</v>
      </c>
      <c r="C166" t="s">
        <v>2</v>
      </c>
      <c r="D166" s="6">
        <v>250</v>
      </c>
      <c r="E166" s="6">
        <v>187.5</v>
      </c>
      <c r="F166" s="6">
        <v>7</v>
      </c>
      <c r="G166" s="6">
        <v>1750</v>
      </c>
      <c r="H166" t="s">
        <v>42</v>
      </c>
      <c r="I166" t="s">
        <v>82</v>
      </c>
      <c r="J166" t="s">
        <v>86</v>
      </c>
    </row>
    <row r="167" spans="1:10" x14ac:dyDescent="0.3">
      <c r="A167" s="2">
        <v>43998</v>
      </c>
      <c r="B167" s="2">
        <v>43999</v>
      </c>
      <c r="C167" t="s">
        <v>21</v>
      </c>
      <c r="D167" s="6">
        <v>355</v>
      </c>
      <c r="E167" s="6">
        <v>252.04999999999998</v>
      </c>
      <c r="F167" s="6">
        <v>9</v>
      </c>
      <c r="G167" s="6">
        <v>3195</v>
      </c>
      <c r="H167" t="s">
        <v>72</v>
      </c>
      <c r="I167" t="s">
        <v>83</v>
      </c>
      <c r="J167" t="s">
        <v>86</v>
      </c>
    </row>
    <row r="168" spans="1:10" x14ac:dyDescent="0.3">
      <c r="A168" s="2">
        <v>43998</v>
      </c>
      <c r="B168" s="2">
        <v>44002</v>
      </c>
      <c r="C168" t="s">
        <v>19</v>
      </c>
      <c r="D168" s="6">
        <v>220</v>
      </c>
      <c r="E168" s="6">
        <v>154</v>
      </c>
      <c r="F168" s="6">
        <v>8</v>
      </c>
      <c r="G168" s="6">
        <v>1760</v>
      </c>
      <c r="H168" t="s">
        <v>36</v>
      </c>
      <c r="I168" t="s">
        <v>82</v>
      </c>
      <c r="J168" t="s">
        <v>86</v>
      </c>
    </row>
    <row r="169" spans="1:10" x14ac:dyDescent="0.3">
      <c r="A169" s="2">
        <v>44001</v>
      </c>
      <c r="B169" s="2">
        <v>44007</v>
      </c>
      <c r="C169" t="s">
        <v>22</v>
      </c>
      <c r="D169" s="6">
        <v>460</v>
      </c>
      <c r="E169" s="6">
        <v>303.60000000000002</v>
      </c>
      <c r="F169" s="6">
        <v>5</v>
      </c>
      <c r="G169" s="6">
        <v>2300</v>
      </c>
      <c r="H169" t="s">
        <v>48</v>
      </c>
      <c r="I169" t="s">
        <v>83</v>
      </c>
      <c r="J169" t="s">
        <v>85</v>
      </c>
    </row>
    <row r="170" spans="1:10" x14ac:dyDescent="0.3">
      <c r="A170" s="2">
        <v>44001</v>
      </c>
      <c r="B170" s="2">
        <v>44003</v>
      </c>
      <c r="C170" t="s">
        <v>15</v>
      </c>
      <c r="D170" s="6">
        <v>110</v>
      </c>
      <c r="E170" s="6">
        <v>78.099999999999994</v>
      </c>
      <c r="F170" s="6">
        <v>2</v>
      </c>
      <c r="G170" s="6">
        <v>220</v>
      </c>
      <c r="H170" t="s">
        <v>59</v>
      </c>
      <c r="I170" t="s">
        <v>81</v>
      </c>
      <c r="J170" t="s">
        <v>85</v>
      </c>
    </row>
    <row r="171" spans="1:10" x14ac:dyDescent="0.3">
      <c r="A171" s="2">
        <v>44001</v>
      </c>
      <c r="B171" s="2">
        <v>44008</v>
      </c>
      <c r="C171" t="s">
        <v>17</v>
      </c>
      <c r="D171" s="6">
        <v>195</v>
      </c>
      <c r="E171" s="6">
        <v>138.44999999999999</v>
      </c>
      <c r="F171" s="6">
        <v>1</v>
      </c>
      <c r="G171" s="6">
        <v>195</v>
      </c>
      <c r="H171" t="s">
        <v>58</v>
      </c>
      <c r="I171" t="s">
        <v>81</v>
      </c>
      <c r="J171" t="s">
        <v>85</v>
      </c>
    </row>
    <row r="172" spans="1:10" x14ac:dyDescent="0.3">
      <c r="A172" s="2">
        <v>44002</v>
      </c>
      <c r="B172" s="2">
        <v>44009</v>
      </c>
      <c r="C172" t="s">
        <v>18</v>
      </c>
      <c r="D172" s="6">
        <v>80</v>
      </c>
      <c r="E172" s="6">
        <v>48.8</v>
      </c>
      <c r="F172" s="6">
        <v>4</v>
      </c>
      <c r="G172" s="6">
        <v>320</v>
      </c>
      <c r="H172" t="s">
        <v>40</v>
      </c>
      <c r="I172" t="s">
        <v>79</v>
      </c>
      <c r="J172" t="s">
        <v>85</v>
      </c>
    </row>
    <row r="173" spans="1:10" x14ac:dyDescent="0.3">
      <c r="A173" s="2">
        <v>44004</v>
      </c>
      <c r="B173" s="2">
        <v>44006</v>
      </c>
      <c r="C173" t="s">
        <v>18</v>
      </c>
      <c r="D173" s="6">
        <v>80</v>
      </c>
      <c r="E173" s="6">
        <v>48.8</v>
      </c>
      <c r="F173" s="6">
        <v>5</v>
      </c>
      <c r="G173" s="6">
        <v>400</v>
      </c>
      <c r="H173" t="s">
        <v>63</v>
      </c>
      <c r="I173" t="s">
        <v>82</v>
      </c>
      <c r="J173" t="s">
        <v>86</v>
      </c>
    </row>
    <row r="174" spans="1:10" x14ac:dyDescent="0.3">
      <c r="A174" s="2">
        <v>44005</v>
      </c>
      <c r="B174" s="2">
        <v>44011</v>
      </c>
      <c r="C174" t="s">
        <v>17</v>
      </c>
      <c r="D174" s="6">
        <v>195</v>
      </c>
      <c r="E174" s="6">
        <v>138.44999999999999</v>
      </c>
      <c r="F174" s="6">
        <v>3</v>
      </c>
      <c r="G174" s="6">
        <v>585</v>
      </c>
      <c r="H174" t="s">
        <v>37</v>
      </c>
      <c r="I174" t="s">
        <v>81</v>
      </c>
      <c r="J174" t="s">
        <v>86</v>
      </c>
    </row>
    <row r="175" spans="1:10" x14ac:dyDescent="0.3">
      <c r="A175" s="2">
        <v>44006</v>
      </c>
      <c r="B175" s="2">
        <v>44012</v>
      </c>
      <c r="C175" t="s">
        <v>14</v>
      </c>
      <c r="D175" s="6">
        <v>375</v>
      </c>
      <c r="E175" s="6">
        <v>247.5</v>
      </c>
      <c r="F175" s="6">
        <v>1</v>
      </c>
      <c r="G175" s="6">
        <v>375</v>
      </c>
      <c r="H175" t="s">
        <v>73</v>
      </c>
      <c r="I175" t="s">
        <v>80</v>
      </c>
      <c r="J175" t="s">
        <v>86</v>
      </c>
    </row>
    <row r="176" spans="1:10" x14ac:dyDescent="0.3">
      <c r="A176" s="2">
        <v>44008</v>
      </c>
      <c r="B176" s="2">
        <v>44009</v>
      </c>
      <c r="C176" t="s">
        <v>9</v>
      </c>
      <c r="D176" s="6">
        <v>215</v>
      </c>
      <c r="E176" s="6">
        <v>152.65</v>
      </c>
      <c r="F176" s="6">
        <v>2</v>
      </c>
      <c r="G176" s="6">
        <v>430</v>
      </c>
      <c r="H176" t="s">
        <v>66</v>
      </c>
      <c r="I176" t="s">
        <v>82</v>
      </c>
      <c r="J176" t="s">
        <v>86</v>
      </c>
    </row>
    <row r="177" spans="1:10" x14ac:dyDescent="0.3">
      <c r="A177" s="2">
        <v>44008</v>
      </c>
      <c r="B177" s="2">
        <v>44009</v>
      </c>
      <c r="C177" t="s">
        <v>6</v>
      </c>
      <c r="D177" s="6">
        <v>99</v>
      </c>
      <c r="E177" s="6">
        <v>62.37</v>
      </c>
      <c r="F177" s="6">
        <v>4</v>
      </c>
      <c r="G177" s="6">
        <v>396</v>
      </c>
      <c r="H177" t="s">
        <v>59</v>
      </c>
      <c r="I177" t="s">
        <v>82</v>
      </c>
      <c r="J177" t="s">
        <v>86</v>
      </c>
    </row>
    <row r="178" spans="1:10" x14ac:dyDescent="0.3">
      <c r="A178" s="2">
        <v>44009</v>
      </c>
      <c r="B178" s="2">
        <v>44015</v>
      </c>
      <c r="C178" t="s">
        <v>15</v>
      </c>
      <c r="D178" s="6">
        <v>110</v>
      </c>
      <c r="E178" s="6">
        <v>78.099999999999994</v>
      </c>
      <c r="F178" s="6">
        <v>8</v>
      </c>
      <c r="G178" s="6">
        <v>880</v>
      </c>
      <c r="H178" t="s">
        <v>34</v>
      </c>
      <c r="I178" t="s">
        <v>80</v>
      </c>
      <c r="J178" t="s">
        <v>86</v>
      </c>
    </row>
    <row r="179" spans="1:10" x14ac:dyDescent="0.3">
      <c r="A179" s="2">
        <v>44010</v>
      </c>
      <c r="B179" s="2">
        <v>44011</v>
      </c>
      <c r="C179" t="s">
        <v>6</v>
      </c>
      <c r="D179" s="6">
        <v>99</v>
      </c>
      <c r="E179" s="6">
        <v>62.37</v>
      </c>
      <c r="F179" s="6">
        <v>7</v>
      </c>
      <c r="G179" s="6">
        <v>693</v>
      </c>
      <c r="H179" t="s">
        <v>75</v>
      </c>
      <c r="I179" t="s">
        <v>82</v>
      </c>
      <c r="J179" t="s">
        <v>85</v>
      </c>
    </row>
    <row r="180" spans="1:10" x14ac:dyDescent="0.3">
      <c r="A180" s="2">
        <v>44010</v>
      </c>
      <c r="B180" s="2">
        <v>44015</v>
      </c>
      <c r="C180" t="s">
        <v>10</v>
      </c>
      <c r="D180" s="6">
        <v>390</v>
      </c>
      <c r="E180" s="6">
        <v>253.5</v>
      </c>
      <c r="F180" s="6">
        <v>6</v>
      </c>
      <c r="G180" s="6">
        <v>2340</v>
      </c>
      <c r="H180" t="s">
        <v>74</v>
      </c>
      <c r="I180" t="s">
        <v>80</v>
      </c>
      <c r="J180" t="s">
        <v>85</v>
      </c>
    </row>
    <row r="181" spans="1:10" x14ac:dyDescent="0.3">
      <c r="A181" s="2">
        <v>44011</v>
      </c>
      <c r="B181" s="2">
        <v>44014</v>
      </c>
      <c r="C181" t="s">
        <v>6</v>
      </c>
      <c r="D181" s="6">
        <v>99</v>
      </c>
      <c r="E181" s="6">
        <v>62.37</v>
      </c>
      <c r="F181" s="6">
        <v>6</v>
      </c>
      <c r="G181" s="6">
        <v>594</v>
      </c>
      <c r="H181" t="s">
        <v>59</v>
      </c>
      <c r="I181" t="s">
        <v>81</v>
      </c>
      <c r="J181" t="s">
        <v>85</v>
      </c>
    </row>
    <row r="182" spans="1:10" x14ac:dyDescent="0.3">
      <c r="A182" s="2">
        <v>44011</v>
      </c>
      <c r="B182" s="2">
        <v>44016</v>
      </c>
      <c r="C182" t="s">
        <v>20</v>
      </c>
      <c r="D182" s="6">
        <v>440</v>
      </c>
      <c r="E182" s="6">
        <v>286</v>
      </c>
      <c r="F182" s="6">
        <v>6</v>
      </c>
      <c r="G182" s="6">
        <v>2640</v>
      </c>
      <c r="H182" t="s">
        <v>35</v>
      </c>
      <c r="I182" t="s">
        <v>82</v>
      </c>
      <c r="J182" t="s">
        <v>86</v>
      </c>
    </row>
    <row r="183" spans="1:10" x14ac:dyDescent="0.3">
      <c r="A183" s="2">
        <v>44011</v>
      </c>
      <c r="B183" s="2">
        <v>44017</v>
      </c>
      <c r="C183" t="s">
        <v>17</v>
      </c>
      <c r="D183" s="6">
        <v>195</v>
      </c>
      <c r="E183" s="6">
        <v>138.44999999999999</v>
      </c>
      <c r="F183" s="6">
        <v>4</v>
      </c>
      <c r="G183" s="6">
        <v>780</v>
      </c>
      <c r="H183" t="s">
        <v>29</v>
      </c>
      <c r="I183" t="s">
        <v>80</v>
      </c>
      <c r="J183" t="s">
        <v>85</v>
      </c>
    </row>
    <row r="184" spans="1:10" x14ac:dyDescent="0.3">
      <c r="A184" s="2">
        <v>44013</v>
      </c>
      <c r="B184" s="2">
        <v>44019</v>
      </c>
      <c r="C184" t="s">
        <v>4</v>
      </c>
      <c r="D184" s="6">
        <v>390</v>
      </c>
      <c r="E184" s="6">
        <v>288.60000000000002</v>
      </c>
      <c r="F184" s="6">
        <v>7</v>
      </c>
      <c r="G184" s="6">
        <v>2730</v>
      </c>
      <c r="H184" t="s">
        <v>67</v>
      </c>
      <c r="I184" t="s">
        <v>79</v>
      </c>
      <c r="J184" t="s">
        <v>85</v>
      </c>
    </row>
    <row r="185" spans="1:10" x14ac:dyDescent="0.3">
      <c r="A185" s="2">
        <v>44013</v>
      </c>
      <c r="B185" s="2">
        <v>44014</v>
      </c>
      <c r="C185" t="s">
        <v>12</v>
      </c>
      <c r="D185" s="6">
        <v>320</v>
      </c>
      <c r="E185" s="6">
        <v>233.6</v>
      </c>
      <c r="F185" s="6">
        <v>9</v>
      </c>
      <c r="G185" s="6">
        <v>2880</v>
      </c>
      <c r="H185" t="s">
        <v>30</v>
      </c>
      <c r="I185" t="s">
        <v>82</v>
      </c>
      <c r="J185" t="s">
        <v>86</v>
      </c>
    </row>
    <row r="186" spans="1:10" x14ac:dyDescent="0.3">
      <c r="A186" s="2">
        <v>44016</v>
      </c>
      <c r="B186" s="2">
        <v>44023</v>
      </c>
      <c r="C186" t="s">
        <v>13</v>
      </c>
      <c r="D186" s="6">
        <v>445</v>
      </c>
      <c r="E186" s="6">
        <v>280.35000000000002</v>
      </c>
      <c r="F186" s="6">
        <v>7</v>
      </c>
      <c r="G186" s="6">
        <v>3115</v>
      </c>
      <c r="H186" t="s">
        <v>47</v>
      </c>
      <c r="I186" t="s">
        <v>81</v>
      </c>
      <c r="J186" t="s">
        <v>85</v>
      </c>
    </row>
    <row r="187" spans="1:10" x14ac:dyDescent="0.3">
      <c r="A187" s="2">
        <v>44017</v>
      </c>
      <c r="B187" s="2">
        <v>44021</v>
      </c>
      <c r="C187" t="s">
        <v>7</v>
      </c>
      <c r="D187" s="6">
        <v>250</v>
      </c>
      <c r="E187" s="6">
        <v>167.5</v>
      </c>
      <c r="F187" s="6">
        <v>3</v>
      </c>
      <c r="G187" s="6">
        <v>750</v>
      </c>
      <c r="H187" t="s">
        <v>69</v>
      </c>
      <c r="I187" t="s">
        <v>83</v>
      </c>
      <c r="J187" t="s">
        <v>85</v>
      </c>
    </row>
    <row r="188" spans="1:10" x14ac:dyDescent="0.3">
      <c r="A188" s="2">
        <v>44017</v>
      </c>
      <c r="B188" s="2">
        <v>44024</v>
      </c>
      <c r="C188" t="s">
        <v>10</v>
      </c>
      <c r="D188" s="6">
        <v>390</v>
      </c>
      <c r="E188" s="6">
        <v>253.5</v>
      </c>
      <c r="F188" s="6">
        <v>9</v>
      </c>
      <c r="G188" s="6">
        <v>3510</v>
      </c>
      <c r="H188" t="s">
        <v>56</v>
      </c>
      <c r="I188" t="s">
        <v>82</v>
      </c>
      <c r="J188" t="s">
        <v>86</v>
      </c>
    </row>
    <row r="189" spans="1:10" x14ac:dyDescent="0.3">
      <c r="A189" s="2">
        <v>44018</v>
      </c>
      <c r="B189" s="2">
        <v>44020</v>
      </c>
      <c r="C189" t="s">
        <v>4</v>
      </c>
      <c r="D189" s="6">
        <v>390</v>
      </c>
      <c r="E189" s="6">
        <v>288.60000000000002</v>
      </c>
      <c r="F189" s="6">
        <v>7</v>
      </c>
      <c r="G189" s="6">
        <v>2730</v>
      </c>
      <c r="H189" t="s">
        <v>75</v>
      </c>
      <c r="I189" t="s">
        <v>81</v>
      </c>
      <c r="J189" t="s">
        <v>85</v>
      </c>
    </row>
    <row r="190" spans="1:10" x14ac:dyDescent="0.3">
      <c r="A190" s="2">
        <v>44019</v>
      </c>
      <c r="B190" s="2">
        <v>44022</v>
      </c>
      <c r="C190" t="s">
        <v>21</v>
      </c>
      <c r="D190" s="6">
        <v>355</v>
      </c>
      <c r="E190" s="6">
        <v>252.04999999999998</v>
      </c>
      <c r="F190" s="6">
        <v>3</v>
      </c>
      <c r="G190" s="6">
        <v>1065</v>
      </c>
      <c r="H190" t="s">
        <v>74</v>
      </c>
      <c r="I190" t="s">
        <v>81</v>
      </c>
      <c r="J190" t="s">
        <v>86</v>
      </c>
    </row>
    <row r="191" spans="1:10" x14ac:dyDescent="0.3">
      <c r="A191" s="2">
        <v>44020</v>
      </c>
      <c r="B191" s="2">
        <v>44025</v>
      </c>
      <c r="C191" t="s">
        <v>13</v>
      </c>
      <c r="D191" s="6">
        <v>445</v>
      </c>
      <c r="E191" s="6">
        <v>280.35000000000002</v>
      </c>
      <c r="F191" s="6">
        <v>3</v>
      </c>
      <c r="G191" s="6">
        <v>1335</v>
      </c>
      <c r="H191" t="s">
        <v>52</v>
      </c>
      <c r="I191" t="s">
        <v>79</v>
      </c>
      <c r="J191" t="s">
        <v>85</v>
      </c>
    </row>
    <row r="192" spans="1:10" x14ac:dyDescent="0.3">
      <c r="A192" s="2">
        <v>44020</v>
      </c>
      <c r="B192" s="2">
        <v>44025</v>
      </c>
      <c r="C192" t="s">
        <v>2</v>
      </c>
      <c r="D192" s="6">
        <v>250</v>
      </c>
      <c r="E192" s="6">
        <v>187.5</v>
      </c>
      <c r="F192" s="6">
        <v>1</v>
      </c>
      <c r="G192" s="6">
        <v>250</v>
      </c>
      <c r="H192" t="s">
        <v>67</v>
      </c>
      <c r="I192" t="s">
        <v>79</v>
      </c>
      <c r="J192" t="s">
        <v>85</v>
      </c>
    </row>
    <row r="193" spans="1:10" x14ac:dyDescent="0.3">
      <c r="A193" s="2">
        <v>44021</v>
      </c>
      <c r="B193" s="2">
        <v>44023</v>
      </c>
      <c r="C193" t="s">
        <v>14</v>
      </c>
      <c r="D193" s="6">
        <v>375</v>
      </c>
      <c r="E193" s="6">
        <v>247.5</v>
      </c>
      <c r="F193" s="6">
        <v>4</v>
      </c>
      <c r="G193" s="6">
        <v>1500</v>
      </c>
      <c r="H193" t="s">
        <v>53</v>
      </c>
      <c r="I193" t="s">
        <v>83</v>
      </c>
      <c r="J193" t="s">
        <v>85</v>
      </c>
    </row>
    <row r="194" spans="1:10" x14ac:dyDescent="0.3">
      <c r="A194" s="2">
        <v>44021</v>
      </c>
      <c r="B194" s="2">
        <v>44028</v>
      </c>
      <c r="C194" t="s">
        <v>12</v>
      </c>
      <c r="D194" s="6">
        <v>320</v>
      </c>
      <c r="E194" s="6">
        <v>233.6</v>
      </c>
      <c r="F194" s="6">
        <v>7</v>
      </c>
      <c r="G194" s="6">
        <v>2240</v>
      </c>
      <c r="H194" t="s">
        <v>64</v>
      </c>
      <c r="I194" t="s">
        <v>81</v>
      </c>
      <c r="J194" t="s">
        <v>86</v>
      </c>
    </row>
    <row r="195" spans="1:10" x14ac:dyDescent="0.3">
      <c r="A195" s="2">
        <v>44023</v>
      </c>
      <c r="B195" s="2">
        <v>44028</v>
      </c>
      <c r="C195" t="s">
        <v>19</v>
      </c>
      <c r="D195" s="6">
        <v>220</v>
      </c>
      <c r="E195" s="6">
        <v>154</v>
      </c>
      <c r="F195" s="6">
        <v>6</v>
      </c>
      <c r="G195" s="6">
        <v>1320</v>
      </c>
      <c r="H195" t="s">
        <v>69</v>
      </c>
      <c r="I195" t="s">
        <v>80</v>
      </c>
      <c r="J195" t="s">
        <v>85</v>
      </c>
    </row>
    <row r="196" spans="1:10" x14ac:dyDescent="0.3">
      <c r="A196" s="2">
        <v>44023</v>
      </c>
      <c r="B196" s="2">
        <v>44025</v>
      </c>
      <c r="C196" t="s">
        <v>23</v>
      </c>
      <c r="D196" s="6">
        <v>275</v>
      </c>
      <c r="E196" s="6">
        <v>200.75</v>
      </c>
      <c r="F196" s="6">
        <v>5</v>
      </c>
      <c r="G196" s="6">
        <v>1375</v>
      </c>
      <c r="H196" t="s">
        <v>47</v>
      </c>
      <c r="I196" t="s">
        <v>82</v>
      </c>
      <c r="J196" t="s">
        <v>86</v>
      </c>
    </row>
    <row r="197" spans="1:10" x14ac:dyDescent="0.3">
      <c r="A197" s="2">
        <v>44024</v>
      </c>
      <c r="B197" s="2">
        <v>44030</v>
      </c>
      <c r="C197" t="s">
        <v>7</v>
      </c>
      <c r="D197" s="6">
        <v>250</v>
      </c>
      <c r="E197" s="6">
        <v>167.5</v>
      </c>
      <c r="F197" s="6">
        <v>5</v>
      </c>
      <c r="G197" s="6">
        <v>1250</v>
      </c>
      <c r="H197" t="s">
        <v>37</v>
      </c>
      <c r="I197" t="s">
        <v>80</v>
      </c>
      <c r="J197" t="s">
        <v>85</v>
      </c>
    </row>
    <row r="198" spans="1:10" x14ac:dyDescent="0.3">
      <c r="A198" s="2">
        <v>44025</v>
      </c>
      <c r="B198" s="2">
        <v>44031</v>
      </c>
      <c r="C198" t="s">
        <v>23</v>
      </c>
      <c r="D198" s="6">
        <v>275</v>
      </c>
      <c r="E198" s="6">
        <v>200.75</v>
      </c>
      <c r="F198" s="6">
        <v>8</v>
      </c>
      <c r="G198" s="6">
        <v>2200</v>
      </c>
      <c r="H198" t="s">
        <v>40</v>
      </c>
      <c r="I198" t="s">
        <v>83</v>
      </c>
      <c r="J198" t="s">
        <v>86</v>
      </c>
    </row>
    <row r="199" spans="1:10" x14ac:dyDescent="0.3">
      <c r="A199" s="2">
        <v>44025</v>
      </c>
      <c r="B199" s="2">
        <v>44026</v>
      </c>
      <c r="C199" t="s">
        <v>5</v>
      </c>
      <c r="D199" s="6">
        <v>290</v>
      </c>
      <c r="E199" s="6">
        <v>185.6</v>
      </c>
      <c r="F199" s="6">
        <v>6</v>
      </c>
      <c r="G199" s="6">
        <v>1740</v>
      </c>
      <c r="H199" t="s">
        <v>34</v>
      </c>
      <c r="I199" t="s">
        <v>83</v>
      </c>
      <c r="J199" t="s">
        <v>85</v>
      </c>
    </row>
    <row r="200" spans="1:10" x14ac:dyDescent="0.3">
      <c r="A200" s="2">
        <v>44027</v>
      </c>
      <c r="B200" s="2">
        <v>44031</v>
      </c>
      <c r="C200" t="s">
        <v>2</v>
      </c>
      <c r="D200" s="6">
        <v>250</v>
      </c>
      <c r="E200" s="6">
        <v>187.5</v>
      </c>
      <c r="F200" s="6">
        <v>7</v>
      </c>
      <c r="G200" s="6">
        <v>1750</v>
      </c>
      <c r="H200" t="s">
        <v>39</v>
      </c>
      <c r="I200" t="s">
        <v>79</v>
      </c>
      <c r="J200" t="s">
        <v>86</v>
      </c>
    </row>
    <row r="201" spans="1:10" x14ac:dyDescent="0.3">
      <c r="A201" s="2">
        <v>44029</v>
      </c>
      <c r="B201" s="2">
        <v>44031</v>
      </c>
      <c r="C201" t="s">
        <v>18</v>
      </c>
      <c r="D201" s="6">
        <v>80</v>
      </c>
      <c r="E201" s="6">
        <v>48.8</v>
      </c>
      <c r="F201" s="6">
        <v>2</v>
      </c>
      <c r="G201" s="6">
        <v>160</v>
      </c>
      <c r="H201" t="s">
        <v>75</v>
      </c>
      <c r="I201" t="s">
        <v>82</v>
      </c>
      <c r="J201" t="s">
        <v>85</v>
      </c>
    </row>
    <row r="202" spans="1:10" x14ac:dyDescent="0.3">
      <c r="A202" s="2">
        <v>44029</v>
      </c>
      <c r="B202" s="2">
        <v>44036</v>
      </c>
      <c r="C202" t="s">
        <v>23</v>
      </c>
      <c r="D202" s="6">
        <v>275</v>
      </c>
      <c r="E202" s="6">
        <v>200.75</v>
      </c>
      <c r="F202" s="6">
        <v>6</v>
      </c>
      <c r="G202" s="6">
        <v>1650</v>
      </c>
      <c r="H202" t="s">
        <v>70</v>
      </c>
      <c r="I202" t="s">
        <v>81</v>
      </c>
      <c r="J202" t="s">
        <v>85</v>
      </c>
    </row>
    <row r="203" spans="1:10" x14ac:dyDescent="0.3">
      <c r="A203" s="2">
        <v>44034</v>
      </c>
      <c r="B203" s="2">
        <v>44037</v>
      </c>
      <c r="C203" t="s">
        <v>16</v>
      </c>
      <c r="D203" s="6">
        <v>145</v>
      </c>
      <c r="E203" s="6">
        <v>105.85</v>
      </c>
      <c r="F203" s="6">
        <v>8</v>
      </c>
      <c r="G203" s="6">
        <v>1160</v>
      </c>
      <c r="H203" t="s">
        <v>67</v>
      </c>
      <c r="I203" t="s">
        <v>82</v>
      </c>
      <c r="J203" t="s">
        <v>86</v>
      </c>
    </row>
    <row r="204" spans="1:10" x14ac:dyDescent="0.3">
      <c r="A204" s="2">
        <v>44034</v>
      </c>
      <c r="B204" s="2">
        <v>44037</v>
      </c>
      <c r="C204" t="s">
        <v>11</v>
      </c>
      <c r="D204" s="6">
        <v>490</v>
      </c>
      <c r="E204" s="6">
        <v>298.89999999999998</v>
      </c>
      <c r="F204" s="6">
        <v>4</v>
      </c>
      <c r="G204" s="6">
        <v>1960</v>
      </c>
      <c r="H204" t="s">
        <v>71</v>
      </c>
      <c r="I204" t="s">
        <v>83</v>
      </c>
      <c r="J204" t="s">
        <v>86</v>
      </c>
    </row>
    <row r="205" spans="1:10" x14ac:dyDescent="0.3">
      <c r="A205" s="2">
        <v>44035</v>
      </c>
      <c r="B205" s="2">
        <v>44041</v>
      </c>
      <c r="C205" t="s">
        <v>19</v>
      </c>
      <c r="D205" s="6">
        <v>220</v>
      </c>
      <c r="E205" s="6">
        <v>154</v>
      </c>
      <c r="F205" s="6">
        <v>9</v>
      </c>
      <c r="G205" s="6">
        <v>1980</v>
      </c>
      <c r="H205" t="s">
        <v>75</v>
      </c>
      <c r="I205" t="s">
        <v>82</v>
      </c>
      <c r="J205" t="s">
        <v>86</v>
      </c>
    </row>
    <row r="206" spans="1:10" x14ac:dyDescent="0.3">
      <c r="A206" s="2">
        <v>44035</v>
      </c>
      <c r="B206" s="2">
        <v>44039</v>
      </c>
      <c r="C206" t="s">
        <v>22</v>
      </c>
      <c r="D206" s="6">
        <v>460</v>
      </c>
      <c r="E206" s="6">
        <v>303.60000000000002</v>
      </c>
      <c r="F206" s="6">
        <v>6</v>
      </c>
      <c r="G206" s="6">
        <v>2760</v>
      </c>
      <c r="H206" t="s">
        <v>69</v>
      </c>
      <c r="I206" t="s">
        <v>83</v>
      </c>
      <c r="J206" t="s">
        <v>85</v>
      </c>
    </row>
    <row r="207" spans="1:10" x14ac:dyDescent="0.3">
      <c r="A207" s="2">
        <v>44039</v>
      </c>
      <c r="B207" s="2">
        <v>44042</v>
      </c>
      <c r="C207" t="s">
        <v>10</v>
      </c>
      <c r="D207" s="6">
        <v>390</v>
      </c>
      <c r="E207" s="6">
        <v>253.5</v>
      </c>
      <c r="F207" s="6">
        <v>4</v>
      </c>
      <c r="G207" s="6">
        <v>1560</v>
      </c>
      <c r="H207" t="s">
        <v>60</v>
      </c>
      <c r="I207" t="s">
        <v>83</v>
      </c>
      <c r="J207" t="s">
        <v>85</v>
      </c>
    </row>
    <row r="208" spans="1:10" x14ac:dyDescent="0.3">
      <c r="A208" s="2">
        <v>44040</v>
      </c>
      <c r="B208" s="2">
        <v>44047</v>
      </c>
      <c r="C208" t="s">
        <v>21</v>
      </c>
      <c r="D208" s="6">
        <v>355</v>
      </c>
      <c r="E208" s="6">
        <v>252.04999999999998</v>
      </c>
      <c r="F208" s="6">
        <v>1</v>
      </c>
      <c r="G208" s="6">
        <v>355</v>
      </c>
      <c r="H208" t="s">
        <v>74</v>
      </c>
      <c r="I208" t="s">
        <v>83</v>
      </c>
      <c r="J208" t="s">
        <v>85</v>
      </c>
    </row>
    <row r="209" spans="1:10" x14ac:dyDescent="0.3">
      <c r="A209" s="2">
        <v>44040</v>
      </c>
      <c r="B209" s="2">
        <v>44041</v>
      </c>
      <c r="C209" t="s">
        <v>2</v>
      </c>
      <c r="D209" s="6">
        <v>250</v>
      </c>
      <c r="E209" s="6">
        <v>187.5</v>
      </c>
      <c r="F209" s="6">
        <v>7</v>
      </c>
      <c r="G209" s="6">
        <v>1750</v>
      </c>
      <c r="H209" t="s">
        <v>71</v>
      </c>
      <c r="I209" t="s">
        <v>81</v>
      </c>
      <c r="J209" t="s">
        <v>86</v>
      </c>
    </row>
    <row r="210" spans="1:10" x14ac:dyDescent="0.3">
      <c r="A210" s="2">
        <v>44040</v>
      </c>
      <c r="B210" s="2">
        <v>44042</v>
      </c>
      <c r="C210" t="s">
        <v>2</v>
      </c>
      <c r="D210" s="6">
        <v>250</v>
      </c>
      <c r="E210" s="6">
        <v>187.5</v>
      </c>
      <c r="F210" s="6">
        <v>8</v>
      </c>
      <c r="G210" s="6">
        <v>2000</v>
      </c>
      <c r="H210" t="s">
        <v>71</v>
      </c>
      <c r="I210" t="s">
        <v>83</v>
      </c>
      <c r="J210" t="s">
        <v>85</v>
      </c>
    </row>
    <row r="211" spans="1:10" x14ac:dyDescent="0.3">
      <c r="A211" s="2">
        <v>44041</v>
      </c>
      <c r="B211" s="2">
        <v>44043</v>
      </c>
      <c r="C211" t="s">
        <v>4</v>
      </c>
      <c r="D211" s="6">
        <v>390</v>
      </c>
      <c r="E211" s="6">
        <v>288.60000000000002</v>
      </c>
      <c r="F211" s="6">
        <v>8</v>
      </c>
      <c r="G211" s="6">
        <v>3120</v>
      </c>
      <c r="H211" t="s">
        <v>46</v>
      </c>
      <c r="I211" t="s">
        <v>83</v>
      </c>
      <c r="J211" t="s">
        <v>85</v>
      </c>
    </row>
    <row r="212" spans="1:10" x14ac:dyDescent="0.3">
      <c r="A212" s="2">
        <v>44041</v>
      </c>
      <c r="B212" s="2">
        <v>44046</v>
      </c>
      <c r="C212" t="s">
        <v>8</v>
      </c>
      <c r="D212" s="6">
        <v>59</v>
      </c>
      <c r="E212" s="6">
        <v>41.3</v>
      </c>
      <c r="F212" s="6">
        <v>5</v>
      </c>
      <c r="G212" s="6">
        <v>295</v>
      </c>
      <c r="H212" t="s">
        <v>40</v>
      </c>
      <c r="I212" t="s">
        <v>80</v>
      </c>
      <c r="J212" t="s">
        <v>85</v>
      </c>
    </row>
    <row r="213" spans="1:10" x14ac:dyDescent="0.3">
      <c r="A213" s="2">
        <v>44041</v>
      </c>
      <c r="B213" s="2">
        <v>44046</v>
      </c>
      <c r="C213" t="s">
        <v>5</v>
      </c>
      <c r="D213" s="6">
        <v>290</v>
      </c>
      <c r="E213" s="6">
        <v>185.6</v>
      </c>
      <c r="F213" s="6">
        <v>5</v>
      </c>
      <c r="G213" s="6">
        <v>1450</v>
      </c>
      <c r="H213" t="s">
        <v>40</v>
      </c>
      <c r="I213" t="s">
        <v>80</v>
      </c>
      <c r="J213" t="s">
        <v>85</v>
      </c>
    </row>
    <row r="214" spans="1:10" x14ac:dyDescent="0.3">
      <c r="A214" s="2">
        <v>44043</v>
      </c>
      <c r="B214" s="2">
        <v>44044</v>
      </c>
      <c r="C214" t="s">
        <v>19</v>
      </c>
      <c r="D214" s="6">
        <v>220</v>
      </c>
      <c r="E214" s="6">
        <v>154</v>
      </c>
      <c r="F214" s="6">
        <v>2</v>
      </c>
      <c r="G214" s="6">
        <v>440</v>
      </c>
      <c r="H214" t="s">
        <v>33</v>
      </c>
      <c r="I214" t="s">
        <v>80</v>
      </c>
      <c r="J214" t="s">
        <v>85</v>
      </c>
    </row>
    <row r="215" spans="1:10" x14ac:dyDescent="0.3">
      <c r="A215" s="2">
        <v>44043</v>
      </c>
      <c r="B215" s="2">
        <v>44046</v>
      </c>
      <c r="C215" t="s">
        <v>5</v>
      </c>
      <c r="D215" s="6">
        <v>290</v>
      </c>
      <c r="E215" s="6">
        <v>185.6</v>
      </c>
      <c r="F215" s="6">
        <v>7</v>
      </c>
      <c r="G215" s="6">
        <v>2030</v>
      </c>
      <c r="H215" t="s">
        <v>71</v>
      </c>
      <c r="I215" t="s">
        <v>79</v>
      </c>
      <c r="J215" t="s">
        <v>85</v>
      </c>
    </row>
    <row r="216" spans="1:10" x14ac:dyDescent="0.3">
      <c r="A216" s="2">
        <v>44044</v>
      </c>
      <c r="B216" s="2">
        <v>44050</v>
      </c>
      <c r="C216" t="s">
        <v>10</v>
      </c>
      <c r="D216" s="6">
        <v>390</v>
      </c>
      <c r="E216" s="6">
        <v>253.5</v>
      </c>
      <c r="F216" s="6">
        <v>5</v>
      </c>
      <c r="G216" s="6">
        <v>1950</v>
      </c>
      <c r="H216" t="s">
        <v>52</v>
      </c>
      <c r="I216" t="s">
        <v>82</v>
      </c>
      <c r="J216" t="s">
        <v>85</v>
      </c>
    </row>
    <row r="217" spans="1:10" x14ac:dyDescent="0.3">
      <c r="A217" s="2">
        <v>44044</v>
      </c>
      <c r="B217" s="2">
        <v>44046</v>
      </c>
      <c r="C217" t="s">
        <v>9</v>
      </c>
      <c r="D217" s="6">
        <v>215</v>
      </c>
      <c r="E217" s="6">
        <v>152.65</v>
      </c>
      <c r="F217" s="6">
        <v>6</v>
      </c>
      <c r="G217" s="6">
        <v>1290</v>
      </c>
      <c r="H217" t="s">
        <v>76</v>
      </c>
      <c r="I217" t="s">
        <v>79</v>
      </c>
      <c r="J217" t="s">
        <v>85</v>
      </c>
    </row>
    <row r="218" spans="1:10" x14ac:dyDescent="0.3">
      <c r="A218" s="2">
        <v>44046</v>
      </c>
      <c r="B218" s="2">
        <v>44050</v>
      </c>
      <c r="C218" t="s">
        <v>17</v>
      </c>
      <c r="D218" s="6">
        <v>195</v>
      </c>
      <c r="E218" s="6">
        <v>138.44999999999999</v>
      </c>
      <c r="F218" s="6">
        <v>3</v>
      </c>
      <c r="G218" s="6">
        <v>585</v>
      </c>
      <c r="H218" t="s">
        <v>37</v>
      </c>
      <c r="I218" t="s">
        <v>83</v>
      </c>
      <c r="J218" t="s">
        <v>86</v>
      </c>
    </row>
    <row r="219" spans="1:10" x14ac:dyDescent="0.3">
      <c r="A219" s="2">
        <v>44049</v>
      </c>
      <c r="B219" s="2">
        <v>44052</v>
      </c>
      <c r="C219" t="s">
        <v>6</v>
      </c>
      <c r="D219" s="6">
        <v>99</v>
      </c>
      <c r="E219" s="6">
        <v>62.37</v>
      </c>
      <c r="F219" s="6">
        <v>7</v>
      </c>
      <c r="G219" s="6">
        <v>693</v>
      </c>
      <c r="H219" t="s">
        <v>37</v>
      </c>
      <c r="I219" t="s">
        <v>81</v>
      </c>
      <c r="J219" t="s">
        <v>86</v>
      </c>
    </row>
    <row r="220" spans="1:10" x14ac:dyDescent="0.3">
      <c r="A220" s="2">
        <v>44049</v>
      </c>
      <c r="B220" s="2">
        <v>44054</v>
      </c>
      <c r="C220" t="s">
        <v>5</v>
      </c>
      <c r="D220" s="6">
        <v>290</v>
      </c>
      <c r="E220" s="6">
        <v>185.6</v>
      </c>
      <c r="F220" s="6">
        <v>1</v>
      </c>
      <c r="G220" s="6">
        <v>290</v>
      </c>
      <c r="H220" t="s">
        <v>52</v>
      </c>
      <c r="I220" t="s">
        <v>82</v>
      </c>
      <c r="J220" t="s">
        <v>86</v>
      </c>
    </row>
    <row r="221" spans="1:10" x14ac:dyDescent="0.3">
      <c r="A221" s="2">
        <v>44050</v>
      </c>
      <c r="B221" s="2">
        <v>44055</v>
      </c>
      <c r="C221" t="s">
        <v>20</v>
      </c>
      <c r="D221" s="6">
        <v>440</v>
      </c>
      <c r="E221" s="6">
        <v>286</v>
      </c>
      <c r="F221" s="6">
        <v>1</v>
      </c>
      <c r="G221" s="6">
        <v>440</v>
      </c>
      <c r="H221" t="s">
        <v>56</v>
      </c>
      <c r="I221" t="s">
        <v>81</v>
      </c>
      <c r="J221" t="s">
        <v>86</v>
      </c>
    </row>
    <row r="222" spans="1:10" x14ac:dyDescent="0.3">
      <c r="A222" s="2">
        <v>44051</v>
      </c>
      <c r="B222" s="2">
        <v>44053</v>
      </c>
      <c r="C222" t="s">
        <v>2</v>
      </c>
      <c r="D222" s="6">
        <v>250</v>
      </c>
      <c r="E222" s="6">
        <v>187.5</v>
      </c>
      <c r="F222" s="6">
        <v>3</v>
      </c>
      <c r="G222" s="6">
        <v>750</v>
      </c>
      <c r="H222" t="s">
        <v>69</v>
      </c>
      <c r="I222" t="s">
        <v>81</v>
      </c>
      <c r="J222" t="s">
        <v>86</v>
      </c>
    </row>
    <row r="223" spans="1:10" x14ac:dyDescent="0.3">
      <c r="A223" s="2">
        <v>44051</v>
      </c>
      <c r="B223" s="2">
        <v>44052</v>
      </c>
      <c r="C223" t="s">
        <v>10</v>
      </c>
      <c r="D223" s="6">
        <v>390</v>
      </c>
      <c r="E223" s="6">
        <v>253.5</v>
      </c>
      <c r="F223" s="6">
        <v>6</v>
      </c>
      <c r="G223" s="6">
        <v>2340</v>
      </c>
      <c r="H223" t="s">
        <v>59</v>
      </c>
      <c r="I223" t="s">
        <v>82</v>
      </c>
      <c r="J223" t="s">
        <v>85</v>
      </c>
    </row>
    <row r="224" spans="1:10" x14ac:dyDescent="0.3">
      <c r="A224" s="2">
        <v>44055</v>
      </c>
      <c r="B224" s="2">
        <v>44056</v>
      </c>
      <c r="C224" t="s">
        <v>11</v>
      </c>
      <c r="D224" s="6">
        <v>490</v>
      </c>
      <c r="E224" s="6">
        <v>298.89999999999998</v>
      </c>
      <c r="F224" s="6">
        <v>3</v>
      </c>
      <c r="G224" s="6">
        <v>1470</v>
      </c>
      <c r="H224" t="s">
        <v>43</v>
      </c>
      <c r="I224" t="s">
        <v>80</v>
      </c>
      <c r="J224" t="s">
        <v>85</v>
      </c>
    </row>
    <row r="225" spans="1:10" x14ac:dyDescent="0.3">
      <c r="A225" s="2">
        <v>44056</v>
      </c>
      <c r="B225" s="2">
        <v>44063</v>
      </c>
      <c r="C225" t="s">
        <v>14</v>
      </c>
      <c r="D225" s="6">
        <v>375</v>
      </c>
      <c r="E225" s="6">
        <v>247.5</v>
      </c>
      <c r="F225" s="6">
        <v>2</v>
      </c>
      <c r="G225" s="6">
        <v>750</v>
      </c>
      <c r="H225" t="s">
        <v>33</v>
      </c>
      <c r="I225" t="s">
        <v>82</v>
      </c>
      <c r="J225" t="s">
        <v>85</v>
      </c>
    </row>
    <row r="226" spans="1:10" x14ac:dyDescent="0.3">
      <c r="A226" s="2">
        <v>44057</v>
      </c>
      <c r="B226" s="2">
        <v>44059</v>
      </c>
      <c r="C226" t="s">
        <v>20</v>
      </c>
      <c r="D226" s="6">
        <v>440</v>
      </c>
      <c r="E226" s="6">
        <v>286</v>
      </c>
      <c r="F226" s="6">
        <v>3</v>
      </c>
      <c r="G226" s="6">
        <v>1320</v>
      </c>
      <c r="H226" t="s">
        <v>75</v>
      </c>
      <c r="I226" t="s">
        <v>80</v>
      </c>
      <c r="J226" t="s">
        <v>85</v>
      </c>
    </row>
    <row r="227" spans="1:10" x14ac:dyDescent="0.3">
      <c r="A227" s="2">
        <v>44057</v>
      </c>
      <c r="B227" s="2">
        <v>44060</v>
      </c>
      <c r="C227" t="s">
        <v>15</v>
      </c>
      <c r="D227" s="6">
        <v>110</v>
      </c>
      <c r="E227" s="6">
        <v>78.099999999999994</v>
      </c>
      <c r="F227" s="6">
        <v>2</v>
      </c>
      <c r="G227" s="6">
        <v>220</v>
      </c>
      <c r="H227" t="s">
        <v>37</v>
      </c>
      <c r="I227" t="s">
        <v>79</v>
      </c>
      <c r="J227" t="s">
        <v>85</v>
      </c>
    </row>
    <row r="228" spans="1:10" x14ac:dyDescent="0.3">
      <c r="A228" s="2">
        <v>44058</v>
      </c>
      <c r="B228" s="2">
        <v>44060</v>
      </c>
      <c r="C228" t="s">
        <v>11</v>
      </c>
      <c r="D228" s="6">
        <v>490</v>
      </c>
      <c r="E228" s="6">
        <v>298.89999999999998</v>
      </c>
      <c r="F228" s="6">
        <v>7</v>
      </c>
      <c r="G228" s="6">
        <v>3430</v>
      </c>
      <c r="H228" t="s">
        <v>60</v>
      </c>
      <c r="I228" t="s">
        <v>80</v>
      </c>
      <c r="J228" t="s">
        <v>85</v>
      </c>
    </row>
    <row r="229" spans="1:10" x14ac:dyDescent="0.3">
      <c r="A229" s="2">
        <v>44061</v>
      </c>
      <c r="B229" s="2">
        <v>44068</v>
      </c>
      <c r="C229" t="s">
        <v>16</v>
      </c>
      <c r="D229" s="6">
        <v>145</v>
      </c>
      <c r="E229" s="6">
        <v>105.85</v>
      </c>
      <c r="F229" s="6">
        <v>2</v>
      </c>
      <c r="G229" s="6">
        <v>290</v>
      </c>
      <c r="H229" t="s">
        <v>33</v>
      </c>
      <c r="I229" t="s">
        <v>82</v>
      </c>
      <c r="J229" t="s">
        <v>86</v>
      </c>
    </row>
    <row r="230" spans="1:10" x14ac:dyDescent="0.3">
      <c r="A230" s="2">
        <v>44063</v>
      </c>
      <c r="B230" s="2">
        <v>44069</v>
      </c>
      <c r="C230" t="s">
        <v>4</v>
      </c>
      <c r="D230" s="6">
        <v>390</v>
      </c>
      <c r="E230" s="6">
        <v>288.60000000000002</v>
      </c>
      <c r="F230" s="6">
        <v>8</v>
      </c>
      <c r="G230" s="6">
        <v>3120</v>
      </c>
      <c r="H230" t="s">
        <v>61</v>
      </c>
      <c r="I230" t="s">
        <v>79</v>
      </c>
      <c r="J230" t="s">
        <v>85</v>
      </c>
    </row>
    <row r="231" spans="1:10" x14ac:dyDescent="0.3">
      <c r="A231" s="2">
        <v>44064</v>
      </c>
      <c r="B231" s="2">
        <v>44065</v>
      </c>
      <c r="C231" t="s">
        <v>6</v>
      </c>
      <c r="D231" s="6">
        <v>99</v>
      </c>
      <c r="E231" s="6">
        <v>62.37</v>
      </c>
      <c r="F231" s="6">
        <v>1</v>
      </c>
      <c r="G231" s="6">
        <v>99</v>
      </c>
      <c r="H231" t="s">
        <v>35</v>
      </c>
      <c r="I231" t="s">
        <v>79</v>
      </c>
      <c r="J231" t="s">
        <v>86</v>
      </c>
    </row>
    <row r="232" spans="1:10" x14ac:dyDescent="0.3">
      <c r="A232" s="2">
        <v>44065</v>
      </c>
      <c r="B232" s="2">
        <v>44069</v>
      </c>
      <c r="C232" t="s">
        <v>4</v>
      </c>
      <c r="D232" s="6">
        <v>390</v>
      </c>
      <c r="E232" s="6">
        <v>288.60000000000002</v>
      </c>
      <c r="F232" s="6">
        <v>5</v>
      </c>
      <c r="G232" s="6">
        <v>1950</v>
      </c>
      <c r="H232" t="s">
        <v>54</v>
      </c>
      <c r="I232" t="s">
        <v>83</v>
      </c>
      <c r="J232" t="s">
        <v>85</v>
      </c>
    </row>
    <row r="233" spans="1:10" x14ac:dyDescent="0.3">
      <c r="A233" s="2">
        <v>44069</v>
      </c>
      <c r="B233" s="2">
        <v>44071</v>
      </c>
      <c r="C233" t="s">
        <v>3</v>
      </c>
      <c r="D233" s="6">
        <v>95</v>
      </c>
      <c r="E233" s="6">
        <v>60.800000000000004</v>
      </c>
      <c r="F233" s="6">
        <v>6</v>
      </c>
      <c r="G233" s="6">
        <v>570</v>
      </c>
      <c r="H233" t="s">
        <v>61</v>
      </c>
      <c r="I233" t="s">
        <v>81</v>
      </c>
      <c r="J233" t="s">
        <v>86</v>
      </c>
    </row>
    <row r="234" spans="1:10" x14ac:dyDescent="0.3">
      <c r="A234" s="2">
        <v>44069</v>
      </c>
      <c r="B234" s="2">
        <v>44071</v>
      </c>
      <c r="C234" t="s">
        <v>14</v>
      </c>
      <c r="D234" s="6">
        <v>375</v>
      </c>
      <c r="E234" s="6">
        <v>247.5</v>
      </c>
      <c r="F234" s="6">
        <v>9</v>
      </c>
      <c r="G234" s="6">
        <v>3375</v>
      </c>
      <c r="H234" t="s">
        <v>64</v>
      </c>
      <c r="I234" t="s">
        <v>82</v>
      </c>
      <c r="J234" t="s">
        <v>86</v>
      </c>
    </row>
    <row r="235" spans="1:10" x14ac:dyDescent="0.3">
      <c r="A235" s="2">
        <v>44072</v>
      </c>
      <c r="B235" s="2">
        <v>44078</v>
      </c>
      <c r="C235" t="s">
        <v>14</v>
      </c>
      <c r="D235" s="6">
        <v>375</v>
      </c>
      <c r="E235" s="6">
        <v>247.5</v>
      </c>
      <c r="F235" s="6">
        <v>1</v>
      </c>
      <c r="G235" s="6">
        <v>375</v>
      </c>
      <c r="H235" t="s">
        <v>52</v>
      </c>
      <c r="I235" t="s">
        <v>80</v>
      </c>
      <c r="J235" t="s">
        <v>86</v>
      </c>
    </row>
    <row r="236" spans="1:10" x14ac:dyDescent="0.3">
      <c r="A236" s="2">
        <v>44072</v>
      </c>
      <c r="B236" s="2">
        <v>44078</v>
      </c>
      <c r="C236" t="s">
        <v>11</v>
      </c>
      <c r="D236" s="6">
        <v>490</v>
      </c>
      <c r="E236" s="6">
        <v>298.89999999999998</v>
      </c>
      <c r="F236" s="6">
        <v>6</v>
      </c>
      <c r="G236" s="6">
        <v>2940</v>
      </c>
      <c r="H236" t="s">
        <v>44</v>
      </c>
      <c r="I236" t="s">
        <v>82</v>
      </c>
      <c r="J236" t="s">
        <v>85</v>
      </c>
    </row>
    <row r="237" spans="1:10" x14ac:dyDescent="0.3">
      <c r="A237" s="2">
        <v>44072</v>
      </c>
      <c r="B237" s="2">
        <v>44074</v>
      </c>
      <c r="C237" t="s">
        <v>22</v>
      </c>
      <c r="D237" s="6">
        <v>460</v>
      </c>
      <c r="E237" s="6">
        <v>303.60000000000002</v>
      </c>
      <c r="F237" s="6">
        <v>8</v>
      </c>
      <c r="G237" s="6">
        <v>3680</v>
      </c>
      <c r="H237" t="s">
        <v>54</v>
      </c>
      <c r="I237" t="s">
        <v>80</v>
      </c>
      <c r="J237" t="s">
        <v>85</v>
      </c>
    </row>
    <row r="238" spans="1:10" x14ac:dyDescent="0.3">
      <c r="A238" s="2">
        <v>44073</v>
      </c>
      <c r="B238" s="2">
        <v>44078</v>
      </c>
      <c r="C238" t="s">
        <v>8</v>
      </c>
      <c r="D238" s="6">
        <v>59</v>
      </c>
      <c r="E238" s="6">
        <v>41.3</v>
      </c>
      <c r="F238" s="6">
        <v>1</v>
      </c>
      <c r="G238" s="6">
        <v>59</v>
      </c>
      <c r="H238" t="s">
        <v>50</v>
      </c>
      <c r="I238" t="s">
        <v>80</v>
      </c>
      <c r="J238" t="s">
        <v>86</v>
      </c>
    </row>
    <row r="239" spans="1:10" x14ac:dyDescent="0.3">
      <c r="A239" s="2">
        <v>44074</v>
      </c>
      <c r="B239" s="2">
        <v>44079</v>
      </c>
      <c r="C239" t="s">
        <v>18</v>
      </c>
      <c r="D239" s="6">
        <v>80</v>
      </c>
      <c r="E239" s="6">
        <v>48.8</v>
      </c>
      <c r="F239" s="6">
        <v>5</v>
      </c>
      <c r="G239" s="6">
        <v>400</v>
      </c>
      <c r="H239" t="s">
        <v>59</v>
      </c>
      <c r="I239" t="s">
        <v>81</v>
      </c>
      <c r="J239" t="s">
        <v>86</v>
      </c>
    </row>
    <row r="240" spans="1:10" x14ac:dyDescent="0.3">
      <c r="A240" s="2">
        <v>44075</v>
      </c>
      <c r="B240" s="2">
        <v>44081</v>
      </c>
      <c r="C240" t="s">
        <v>20</v>
      </c>
      <c r="D240" s="6">
        <v>440</v>
      </c>
      <c r="E240" s="6">
        <v>286</v>
      </c>
      <c r="F240" s="6">
        <v>8</v>
      </c>
      <c r="G240" s="6">
        <v>3520</v>
      </c>
      <c r="H240" t="s">
        <v>74</v>
      </c>
      <c r="I240" t="s">
        <v>83</v>
      </c>
      <c r="J240" t="s">
        <v>86</v>
      </c>
    </row>
    <row r="241" spans="1:10" x14ac:dyDescent="0.3">
      <c r="A241" s="2">
        <v>44075</v>
      </c>
      <c r="B241" s="2">
        <v>44079</v>
      </c>
      <c r="C241" t="s">
        <v>22</v>
      </c>
      <c r="D241" s="6">
        <v>460</v>
      </c>
      <c r="E241" s="6">
        <v>303.60000000000002</v>
      </c>
      <c r="F241" s="6">
        <v>7</v>
      </c>
      <c r="G241" s="6">
        <v>3220</v>
      </c>
      <c r="H241" t="s">
        <v>29</v>
      </c>
      <c r="I241" t="s">
        <v>83</v>
      </c>
      <c r="J241" t="s">
        <v>85</v>
      </c>
    </row>
    <row r="242" spans="1:10" x14ac:dyDescent="0.3">
      <c r="A242" s="2">
        <v>44075</v>
      </c>
      <c r="B242" s="2">
        <v>44078</v>
      </c>
      <c r="C242" t="s">
        <v>19</v>
      </c>
      <c r="D242" s="6">
        <v>220</v>
      </c>
      <c r="E242" s="6">
        <v>154</v>
      </c>
      <c r="F242" s="6">
        <v>1</v>
      </c>
      <c r="G242" s="6">
        <v>220</v>
      </c>
      <c r="H242" t="s">
        <v>31</v>
      </c>
      <c r="I242" t="s">
        <v>79</v>
      </c>
      <c r="J242" t="s">
        <v>86</v>
      </c>
    </row>
    <row r="243" spans="1:10" x14ac:dyDescent="0.3">
      <c r="A243" s="2">
        <v>44076</v>
      </c>
      <c r="B243" s="2">
        <v>44080</v>
      </c>
      <c r="C243" t="s">
        <v>2</v>
      </c>
      <c r="D243" s="6">
        <v>250</v>
      </c>
      <c r="E243" s="6">
        <v>187.5</v>
      </c>
      <c r="F243" s="6">
        <v>5</v>
      </c>
      <c r="G243" s="6">
        <v>1250</v>
      </c>
      <c r="H243" t="s">
        <v>40</v>
      </c>
      <c r="I243" t="s">
        <v>79</v>
      </c>
      <c r="J243" t="s">
        <v>86</v>
      </c>
    </row>
    <row r="244" spans="1:10" x14ac:dyDescent="0.3">
      <c r="A244" s="2">
        <v>44080</v>
      </c>
      <c r="B244" s="2">
        <v>44083</v>
      </c>
      <c r="C244" t="s">
        <v>19</v>
      </c>
      <c r="D244" s="6">
        <v>220</v>
      </c>
      <c r="E244" s="6">
        <v>154</v>
      </c>
      <c r="F244" s="6">
        <v>9</v>
      </c>
      <c r="G244" s="6">
        <v>1980</v>
      </c>
      <c r="H244" t="s">
        <v>71</v>
      </c>
      <c r="I244" t="s">
        <v>82</v>
      </c>
      <c r="J244" t="s">
        <v>85</v>
      </c>
    </row>
    <row r="245" spans="1:10" x14ac:dyDescent="0.3">
      <c r="A245" s="2">
        <v>44081</v>
      </c>
      <c r="B245" s="2">
        <v>44087</v>
      </c>
      <c r="C245" t="s">
        <v>9</v>
      </c>
      <c r="D245" s="6">
        <v>215</v>
      </c>
      <c r="E245" s="6">
        <v>152.65</v>
      </c>
      <c r="F245" s="6">
        <v>8</v>
      </c>
      <c r="G245" s="6">
        <v>1720</v>
      </c>
      <c r="H245" t="s">
        <v>45</v>
      </c>
      <c r="I245" t="s">
        <v>83</v>
      </c>
      <c r="J245" t="s">
        <v>86</v>
      </c>
    </row>
    <row r="246" spans="1:10" x14ac:dyDescent="0.3">
      <c r="A246" s="2">
        <v>44081</v>
      </c>
      <c r="B246" s="2">
        <v>44087</v>
      </c>
      <c r="C246" t="s">
        <v>8</v>
      </c>
      <c r="D246" s="6">
        <v>59</v>
      </c>
      <c r="E246" s="6">
        <v>41.3</v>
      </c>
      <c r="F246" s="6">
        <v>4</v>
      </c>
      <c r="G246" s="6">
        <v>236</v>
      </c>
      <c r="H246" t="s">
        <v>38</v>
      </c>
      <c r="I246" t="s">
        <v>80</v>
      </c>
      <c r="J246" t="s">
        <v>85</v>
      </c>
    </row>
    <row r="247" spans="1:10" x14ac:dyDescent="0.3">
      <c r="A247" s="2">
        <v>44081</v>
      </c>
      <c r="B247" s="2">
        <v>44083</v>
      </c>
      <c r="C247" t="s">
        <v>23</v>
      </c>
      <c r="D247" s="6">
        <v>275</v>
      </c>
      <c r="E247" s="6">
        <v>200.75</v>
      </c>
      <c r="F247" s="6">
        <v>3</v>
      </c>
      <c r="G247" s="6">
        <v>825</v>
      </c>
      <c r="H247" t="s">
        <v>37</v>
      </c>
      <c r="I247" t="s">
        <v>79</v>
      </c>
      <c r="J247" t="s">
        <v>86</v>
      </c>
    </row>
    <row r="248" spans="1:10" x14ac:dyDescent="0.3">
      <c r="A248" s="2">
        <v>44081</v>
      </c>
      <c r="B248" s="2">
        <v>44085</v>
      </c>
      <c r="C248" t="s">
        <v>10</v>
      </c>
      <c r="D248" s="6">
        <v>390</v>
      </c>
      <c r="E248" s="6">
        <v>253.5</v>
      </c>
      <c r="F248" s="6">
        <v>6</v>
      </c>
      <c r="G248" s="6">
        <v>2340</v>
      </c>
      <c r="H248" t="s">
        <v>64</v>
      </c>
      <c r="I248" t="s">
        <v>79</v>
      </c>
      <c r="J248" t="s">
        <v>85</v>
      </c>
    </row>
    <row r="249" spans="1:10" x14ac:dyDescent="0.3">
      <c r="A249" s="2">
        <v>44081</v>
      </c>
      <c r="B249" s="2">
        <v>44088</v>
      </c>
      <c r="C249" t="s">
        <v>2</v>
      </c>
      <c r="D249" s="6">
        <v>250</v>
      </c>
      <c r="E249" s="6">
        <v>187.5</v>
      </c>
      <c r="F249" s="6">
        <v>7</v>
      </c>
      <c r="G249" s="6">
        <v>1750</v>
      </c>
      <c r="H249" t="s">
        <v>30</v>
      </c>
      <c r="I249" t="s">
        <v>80</v>
      </c>
      <c r="J249" t="s">
        <v>86</v>
      </c>
    </row>
    <row r="250" spans="1:10" x14ac:dyDescent="0.3">
      <c r="A250" s="2">
        <v>44082</v>
      </c>
      <c r="B250" s="2">
        <v>44085</v>
      </c>
      <c r="C250" t="s">
        <v>8</v>
      </c>
      <c r="D250" s="6">
        <v>59</v>
      </c>
      <c r="E250" s="6">
        <v>41.3</v>
      </c>
      <c r="F250" s="6">
        <v>8</v>
      </c>
      <c r="G250" s="6">
        <v>472</v>
      </c>
      <c r="H250" t="s">
        <v>46</v>
      </c>
      <c r="I250" t="s">
        <v>80</v>
      </c>
      <c r="J250" t="s">
        <v>85</v>
      </c>
    </row>
    <row r="251" spans="1:10" x14ac:dyDescent="0.3">
      <c r="A251" s="2">
        <v>44082</v>
      </c>
      <c r="B251" s="2">
        <v>44088</v>
      </c>
      <c r="C251" t="s">
        <v>8</v>
      </c>
      <c r="D251" s="6">
        <v>59</v>
      </c>
      <c r="E251" s="6">
        <v>41.3</v>
      </c>
      <c r="F251" s="6">
        <v>9</v>
      </c>
      <c r="G251" s="6">
        <v>531</v>
      </c>
      <c r="H251" t="s">
        <v>54</v>
      </c>
      <c r="I251" t="s">
        <v>79</v>
      </c>
      <c r="J251" t="s">
        <v>86</v>
      </c>
    </row>
    <row r="252" spans="1:10" x14ac:dyDescent="0.3">
      <c r="A252" s="2">
        <v>44082</v>
      </c>
      <c r="B252" s="2">
        <v>44088</v>
      </c>
      <c r="C252" t="s">
        <v>3</v>
      </c>
      <c r="D252" s="6">
        <v>95</v>
      </c>
      <c r="E252" s="6">
        <v>60.800000000000004</v>
      </c>
      <c r="F252" s="6">
        <v>7</v>
      </c>
      <c r="G252" s="6">
        <v>665</v>
      </c>
      <c r="H252" t="s">
        <v>64</v>
      </c>
      <c r="I252" t="s">
        <v>79</v>
      </c>
      <c r="J252" t="s">
        <v>85</v>
      </c>
    </row>
    <row r="253" spans="1:10" x14ac:dyDescent="0.3">
      <c r="A253" s="2">
        <v>44083</v>
      </c>
      <c r="B253" s="2">
        <v>44088</v>
      </c>
      <c r="C253" t="s">
        <v>8</v>
      </c>
      <c r="D253" s="6">
        <v>59</v>
      </c>
      <c r="E253" s="6">
        <v>41.3</v>
      </c>
      <c r="F253" s="6">
        <v>2</v>
      </c>
      <c r="G253" s="6">
        <v>118</v>
      </c>
      <c r="H253" t="s">
        <v>58</v>
      </c>
      <c r="I253" t="s">
        <v>80</v>
      </c>
      <c r="J253" t="s">
        <v>85</v>
      </c>
    </row>
    <row r="254" spans="1:10" x14ac:dyDescent="0.3">
      <c r="A254" s="2">
        <v>44083</v>
      </c>
      <c r="B254" s="2">
        <v>44090</v>
      </c>
      <c r="C254" t="s">
        <v>8</v>
      </c>
      <c r="D254" s="6">
        <v>59</v>
      </c>
      <c r="E254" s="6">
        <v>41.3</v>
      </c>
      <c r="F254" s="6">
        <v>5</v>
      </c>
      <c r="G254" s="6">
        <v>295</v>
      </c>
      <c r="H254" t="s">
        <v>67</v>
      </c>
      <c r="I254" t="s">
        <v>82</v>
      </c>
      <c r="J254" t="s">
        <v>85</v>
      </c>
    </row>
    <row r="255" spans="1:10" x14ac:dyDescent="0.3">
      <c r="A255" s="2">
        <v>44083</v>
      </c>
      <c r="B255" s="2">
        <v>44090</v>
      </c>
      <c r="C255" t="s">
        <v>3</v>
      </c>
      <c r="D255" s="6">
        <v>95</v>
      </c>
      <c r="E255" s="6">
        <v>60.800000000000004</v>
      </c>
      <c r="F255" s="6">
        <v>2</v>
      </c>
      <c r="G255" s="6">
        <v>190</v>
      </c>
      <c r="H255" t="s">
        <v>53</v>
      </c>
      <c r="I255" t="s">
        <v>83</v>
      </c>
      <c r="J255" t="s">
        <v>85</v>
      </c>
    </row>
    <row r="256" spans="1:10" x14ac:dyDescent="0.3">
      <c r="A256" s="2">
        <v>44084</v>
      </c>
      <c r="B256" s="2">
        <v>44088</v>
      </c>
      <c r="C256" t="s">
        <v>12</v>
      </c>
      <c r="D256" s="6">
        <v>320</v>
      </c>
      <c r="E256" s="6">
        <v>233.6</v>
      </c>
      <c r="F256" s="6">
        <v>6</v>
      </c>
      <c r="G256" s="6">
        <v>1920</v>
      </c>
      <c r="H256" t="s">
        <v>57</v>
      </c>
      <c r="I256" t="s">
        <v>80</v>
      </c>
      <c r="J256" t="s">
        <v>86</v>
      </c>
    </row>
    <row r="257" spans="1:10" x14ac:dyDescent="0.3">
      <c r="A257" s="2">
        <v>44086</v>
      </c>
      <c r="B257" s="2">
        <v>44091</v>
      </c>
      <c r="C257" t="s">
        <v>23</v>
      </c>
      <c r="D257" s="6">
        <v>275</v>
      </c>
      <c r="E257" s="6">
        <v>200.75</v>
      </c>
      <c r="F257" s="6">
        <v>5</v>
      </c>
      <c r="G257" s="6">
        <v>1375</v>
      </c>
      <c r="H257" t="s">
        <v>46</v>
      </c>
      <c r="I257" t="s">
        <v>80</v>
      </c>
      <c r="J257" t="s">
        <v>85</v>
      </c>
    </row>
    <row r="258" spans="1:10" x14ac:dyDescent="0.3">
      <c r="A258" s="2">
        <v>44087</v>
      </c>
      <c r="B258" s="2">
        <v>44093</v>
      </c>
      <c r="C258" t="s">
        <v>15</v>
      </c>
      <c r="D258" s="6">
        <v>110</v>
      </c>
      <c r="E258" s="6">
        <v>78.099999999999994</v>
      </c>
      <c r="F258" s="6">
        <v>1</v>
      </c>
      <c r="G258" s="6">
        <v>110</v>
      </c>
      <c r="H258" t="s">
        <v>47</v>
      </c>
      <c r="I258" t="s">
        <v>80</v>
      </c>
      <c r="J258" t="s">
        <v>85</v>
      </c>
    </row>
    <row r="259" spans="1:10" x14ac:dyDescent="0.3">
      <c r="A259" s="2">
        <v>44089</v>
      </c>
      <c r="B259" s="2">
        <v>44095</v>
      </c>
      <c r="C259" t="s">
        <v>11</v>
      </c>
      <c r="D259" s="6">
        <v>490</v>
      </c>
      <c r="E259" s="6">
        <v>298.89999999999998</v>
      </c>
      <c r="F259" s="6">
        <v>8</v>
      </c>
      <c r="G259" s="6">
        <v>3920</v>
      </c>
      <c r="H259" t="s">
        <v>68</v>
      </c>
      <c r="I259" t="s">
        <v>80</v>
      </c>
      <c r="J259" t="s">
        <v>85</v>
      </c>
    </row>
    <row r="260" spans="1:10" x14ac:dyDescent="0.3">
      <c r="A260" s="2">
        <v>44089</v>
      </c>
      <c r="B260" s="2">
        <v>44090</v>
      </c>
      <c r="C260" t="s">
        <v>21</v>
      </c>
      <c r="D260" s="6">
        <v>355</v>
      </c>
      <c r="E260" s="6">
        <v>252.04999999999998</v>
      </c>
      <c r="F260" s="6">
        <v>8</v>
      </c>
      <c r="G260" s="6">
        <v>2840</v>
      </c>
      <c r="H260" t="s">
        <v>37</v>
      </c>
      <c r="I260" t="s">
        <v>80</v>
      </c>
      <c r="J260" t="s">
        <v>86</v>
      </c>
    </row>
    <row r="261" spans="1:10" x14ac:dyDescent="0.3">
      <c r="A261" s="2">
        <v>44092</v>
      </c>
      <c r="B261" s="2">
        <v>44099</v>
      </c>
      <c r="C261" t="s">
        <v>19</v>
      </c>
      <c r="D261" s="6">
        <v>220</v>
      </c>
      <c r="E261" s="6">
        <v>154</v>
      </c>
      <c r="F261" s="6">
        <v>7</v>
      </c>
      <c r="G261" s="6">
        <v>1540</v>
      </c>
      <c r="H261" t="s">
        <v>57</v>
      </c>
      <c r="I261" t="s">
        <v>83</v>
      </c>
      <c r="J261" t="s">
        <v>86</v>
      </c>
    </row>
    <row r="262" spans="1:10" x14ac:dyDescent="0.3">
      <c r="A262" s="2">
        <v>44093</v>
      </c>
      <c r="B262" s="2">
        <v>44095</v>
      </c>
      <c r="C262" t="s">
        <v>20</v>
      </c>
      <c r="D262" s="6">
        <v>440</v>
      </c>
      <c r="E262" s="6">
        <v>286</v>
      </c>
      <c r="F262" s="6">
        <v>1</v>
      </c>
      <c r="G262" s="6">
        <v>440</v>
      </c>
      <c r="H262" t="s">
        <v>66</v>
      </c>
      <c r="I262" t="s">
        <v>81</v>
      </c>
      <c r="J262" t="s">
        <v>85</v>
      </c>
    </row>
    <row r="263" spans="1:10" x14ac:dyDescent="0.3">
      <c r="A263" s="2">
        <v>44093</v>
      </c>
      <c r="B263" s="2">
        <v>44098</v>
      </c>
      <c r="C263" t="s">
        <v>21</v>
      </c>
      <c r="D263" s="6">
        <v>355</v>
      </c>
      <c r="E263" s="6">
        <v>252.04999999999998</v>
      </c>
      <c r="F263" s="6">
        <v>4</v>
      </c>
      <c r="G263" s="6">
        <v>1420</v>
      </c>
      <c r="H263" t="s">
        <v>54</v>
      </c>
      <c r="I263" t="s">
        <v>79</v>
      </c>
      <c r="J263" t="s">
        <v>85</v>
      </c>
    </row>
    <row r="264" spans="1:10" x14ac:dyDescent="0.3">
      <c r="A264" s="2">
        <v>44094</v>
      </c>
      <c r="B264" s="2">
        <v>44097</v>
      </c>
      <c r="C264" t="s">
        <v>5</v>
      </c>
      <c r="D264" s="6">
        <v>290</v>
      </c>
      <c r="E264" s="6">
        <v>185.6</v>
      </c>
      <c r="F264" s="6">
        <v>8</v>
      </c>
      <c r="G264" s="6">
        <v>2320</v>
      </c>
      <c r="H264" t="s">
        <v>36</v>
      </c>
      <c r="I264" t="s">
        <v>82</v>
      </c>
      <c r="J264" t="s">
        <v>86</v>
      </c>
    </row>
    <row r="265" spans="1:10" x14ac:dyDescent="0.3">
      <c r="A265" s="2">
        <v>44094</v>
      </c>
      <c r="B265" s="2">
        <v>44096</v>
      </c>
      <c r="C265" t="s">
        <v>2</v>
      </c>
      <c r="D265" s="6">
        <v>250</v>
      </c>
      <c r="E265" s="6">
        <v>187.5</v>
      </c>
      <c r="F265" s="6">
        <v>7</v>
      </c>
      <c r="G265" s="6">
        <v>1750</v>
      </c>
      <c r="H265" t="s">
        <v>73</v>
      </c>
      <c r="I265" t="s">
        <v>83</v>
      </c>
      <c r="J265" t="s">
        <v>85</v>
      </c>
    </row>
    <row r="266" spans="1:10" x14ac:dyDescent="0.3">
      <c r="A266" s="2">
        <v>44095</v>
      </c>
      <c r="B266" s="2">
        <v>44100</v>
      </c>
      <c r="C266" t="s">
        <v>10</v>
      </c>
      <c r="D266" s="6">
        <v>390</v>
      </c>
      <c r="E266" s="6">
        <v>253.5</v>
      </c>
      <c r="F266" s="6">
        <v>5</v>
      </c>
      <c r="G266" s="6">
        <v>1950</v>
      </c>
      <c r="H266" t="s">
        <v>76</v>
      </c>
      <c r="I266" t="s">
        <v>81</v>
      </c>
      <c r="J266" t="s">
        <v>85</v>
      </c>
    </row>
    <row r="267" spans="1:10" x14ac:dyDescent="0.3">
      <c r="A267" s="2">
        <v>44098</v>
      </c>
      <c r="B267" s="2">
        <v>44102</v>
      </c>
      <c r="C267" t="s">
        <v>4</v>
      </c>
      <c r="D267" s="6">
        <v>390</v>
      </c>
      <c r="E267" s="6">
        <v>288.60000000000002</v>
      </c>
      <c r="F267" s="6">
        <v>7</v>
      </c>
      <c r="G267" s="6">
        <v>2730</v>
      </c>
      <c r="H267" t="s">
        <v>58</v>
      </c>
      <c r="I267" t="s">
        <v>82</v>
      </c>
      <c r="J267" t="s">
        <v>86</v>
      </c>
    </row>
    <row r="268" spans="1:10" x14ac:dyDescent="0.3">
      <c r="A268" s="2">
        <v>44098</v>
      </c>
      <c r="B268" s="2">
        <v>44103</v>
      </c>
      <c r="C268" t="s">
        <v>5</v>
      </c>
      <c r="D268" s="6">
        <v>290</v>
      </c>
      <c r="E268" s="6">
        <v>185.6</v>
      </c>
      <c r="F268" s="6">
        <v>3</v>
      </c>
      <c r="G268" s="6">
        <v>870</v>
      </c>
      <c r="H268" t="s">
        <v>63</v>
      </c>
      <c r="I268" t="s">
        <v>83</v>
      </c>
      <c r="J268" t="s">
        <v>85</v>
      </c>
    </row>
    <row r="269" spans="1:10" x14ac:dyDescent="0.3">
      <c r="A269" s="2">
        <v>44099</v>
      </c>
      <c r="B269" s="2">
        <v>44101</v>
      </c>
      <c r="C269" t="s">
        <v>11</v>
      </c>
      <c r="D269" s="6">
        <v>490</v>
      </c>
      <c r="E269" s="6">
        <v>298.89999999999998</v>
      </c>
      <c r="F269" s="6">
        <v>5</v>
      </c>
      <c r="G269" s="6">
        <v>2450</v>
      </c>
      <c r="H269" t="s">
        <v>30</v>
      </c>
      <c r="I269" t="s">
        <v>81</v>
      </c>
      <c r="J269" t="s">
        <v>86</v>
      </c>
    </row>
    <row r="270" spans="1:10" x14ac:dyDescent="0.3">
      <c r="A270" s="2">
        <v>44106</v>
      </c>
      <c r="B270" s="2">
        <v>44111</v>
      </c>
      <c r="C270" t="s">
        <v>14</v>
      </c>
      <c r="D270" s="6">
        <v>375</v>
      </c>
      <c r="E270" s="6">
        <v>247.5</v>
      </c>
      <c r="F270" s="6">
        <v>4</v>
      </c>
      <c r="G270" s="6">
        <v>1500</v>
      </c>
      <c r="H270" t="s">
        <v>52</v>
      </c>
      <c r="I270" t="s">
        <v>82</v>
      </c>
      <c r="J270" t="s">
        <v>86</v>
      </c>
    </row>
    <row r="271" spans="1:10" x14ac:dyDescent="0.3">
      <c r="A271" s="2">
        <v>44107</v>
      </c>
      <c r="B271" s="2">
        <v>44111</v>
      </c>
      <c r="C271" t="s">
        <v>13</v>
      </c>
      <c r="D271" s="6">
        <v>445</v>
      </c>
      <c r="E271" s="6">
        <v>280.35000000000002</v>
      </c>
      <c r="F271" s="6">
        <v>3</v>
      </c>
      <c r="G271" s="6">
        <v>1335</v>
      </c>
      <c r="H271" t="s">
        <v>76</v>
      </c>
      <c r="I271" t="s">
        <v>82</v>
      </c>
      <c r="J271" t="s">
        <v>86</v>
      </c>
    </row>
    <row r="272" spans="1:10" x14ac:dyDescent="0.3">
      <c r="A272" s="2">
        <v>44107</v>
      </c>
      <c r="B272" s="2">
        <v>44109</v>
      </c>
      <c r="C272" t="s">
        <v>9</v>
      </c>
      <c r="D272" s="6">
        <v>215</v>
      </c>
      <c r="E272" s="6">
        <v>152.65</v>
      </c>
      <c r="F272" s="6">
        <v>3</v>
      </c>
      <c r="G272" s="6">
        <v>645</v>
      </c>
      <c r="H272" t="s">
        <v>43</v>
      </c>
      <c r="I272" t="s">
        <v>80</v>
      </c>
      <c r="J272" t="s">
        <v>85</v>
      </c>
    </row>
    <row r="273" spans="1:10" x14ac:dyDescent="0.3">
      <c r="A273" s="2">
        <v>44108</v>
      </c>
      <c r="B273" s="2">
        <v>44109</v>
      </c>
      <c r="C273" t="s">
        <v>20</v>
      </c>
      <c r="D273" s="6">
        <v>440</v>
      </c>
      <c r="E273" s="6">
        <v>286</v>
      </c>
      <c r="F273" s="6">
        <v>5</v>
      </c>
      <c r="G273" s="6">
        <v>2200</v>
      </c>
      <c r="H273" t="s">
        <v>74</v>
      </c>
      <c r="I273" t="s">
        <v>79</v>
      </c>
      <c r="J273" t="s">
        <v>85</v>
      </c>
    </row>
    <row r="274" spans="1:10" x14ac:dyDescent="0.3">
      <c r="A274" s="2">
        <v>44109</v>
      </c>
      <c r="B274" s="2">
        <v>44116</v>
      </c>
      <c r="C274" t="s">
        <v>8</v>
      </c>
      <c r="D274" s="6">
        <v>59</v>
      </c>
      <c r="E274" s="6">
        <v>41.3</v>
      </c>
      <c r="F274" s="6">
        <v>8</v>
      </c>
      <c r="G274" s="6">
        <v>472</v>
      </c>
      <c r="H274" t="s">
        <v>36</v>
      </c>
      <c r="I274" t="s">
        <v>82</v>
      </c>
      <c r="J274" t="s">
        <v>86</v>
      </c>
    </row>
    <row r="275" spans="1:10" x14ac:dyDescent="0.3">
      <c r="A275" s="2">
        <v>44109</v>
      </c>
      <c r="B275" s="2">
        <v>44116</v>
      </c>
      <c r="C275" t="s">
        <v>9</v>
      </c>
      <c r="D275" s="6">
        <v>215</v>
      </c>
      <c r="E275" s="6">
        <v>152.65</v>
      </c>
      <c r="F275" s="6">
        <v>2</v>
      </c>
      <c r="G275" s="6">
        <v>430</v>
      </c>
      <c r="H275" t="s">
        <v>59</v>
      </c>
      <c r="I275" t="s">
        <v>79</v>
      </c>
      <c r="J275" t="s">
        <v>86</v>
      </c>
    </row>
    <row r="276" spans="1:10" x14ac:dyDescent="0.3">
      <c r="A276" s="2">
        <v>44111</v>
      </c>
      <c r="B276" s="2">
        <v>44114</v>
      </c>
      <c r="C276" t="s">
        <v>7</v>
      </c>
      <c r="D276" s="6">
        <v>250</v>
      </c>
      <c r="E276" s="6">
        <v>167.5</v>
      </c>
      <c r="F276" s="6">
        <v>6</v>
      </c>
      <c r="G276" s="6">
        <v>1500</v>
      </c>
      <c r="H276" t="s">
        <v>62</v>
      </c>
      <c r="I276" t="s">
        <v>79</v>
      </c>
      <c r="J276" t="s">
        <v>86</v>
      </c>
    </row>
    <row r="277" spans="1:10" x14ac:dyDescent="0.3">
      <c r="A277" s="2">
        <v>44111</v>
      </c>
      <c r="B277" s="2">
        <v>44115</v>
      </c>
      <c r="C277" t="s">
        <v>15</v>
      </c>
      <c r="D277" s="6">
        <v>110</v>
      </c>
      <c r="E277" s="6">
        <v>78.099999999999994</v>
      </c>
      <c r="F277" s="6">
        <v>7</v>
      </c>
      <c r="G277" s="6">
        <v>770</v>
      </c>
      <c r="H277" t="s">
        <v>42</v>
      </c>
      <c r="I277" t="s">
        <v>80</v>
      </c>
      <c r="J277" t="s">
        <v>85</v>
      </c>
    </row>
    <row r="278" spans="1:10" x14ac:dyDescent="0.3">
      <c r="A278" s="2">
        <v>44111</v>
      </c>
      <c r="B278" s="2">
        <v>44117</v>
      </c>
      <c r="C278" t="s">
        <v>6</v>
      </c>
      <c r="D278" s="6">
        <v>99</v>
      </c>
      <c r="E278" s="6">
        <v>62.37</v>
      </c>
      <c r="F278" s="6">
        <v>9</v>
      </c>
      <c r="G278" s="6">
        <v>891</v>
      </c>
      <c r="H278" t="s">
        <v>49</v>
      </c>
      <c r="I278" t="s">
        <v>82</v>
      </c>
      <c r="J278" t="s">
        <v>86</v>
      </c>
    </row>
    <row r="279" spans="1:10" x14ac:dyDescent="0.3">
      <c r="A279" s="2">
        <v>44111</v>
      </c>
      <c r="B279" s="2">
        <v>44112</v>
      </c>
      <c r="C279" t="s">
        <v>14</v>
      </c>
      <c r="D279" s="6">
        <v>375</v>
      </c>
      <c r="E279" s="6">
        <v>247.5</v>
      </c>
      <c r="F279" s="6">
        <v>4</v>
      </c>
      <c r="G279" s="6">
        <v>1500</v>
      </c>
      <c r="H279" t="s">
        <v>56</v>
      </c>
      <c r="I279" t="s">
        <v>80</v>
      </c>
      <c r="J279" t="s">
        <v>85</v>
      </c>
    </row>
    <row r="280" spans="1:10" x14ac:dyDescent="0.3">
      <c r="A280" s="2">
        <v>44112</v>
      </c>
      <c r="B280" s="2">
        <v>44115</v>
      </c>
      <c r="C280" t="s">
        <v>17</v>
      </c>
      <c r="D280" s="6">
        <v>195</v>
      </c>
      <c r="E280" s="6">
        <v>138.44999999999999</v>
      </c>
      <c r="F280" s="6">
        <v>1</v>
      </c>
      <c r="G280" s="6">
        <v>195</v>
      </c>
      <c r="H280" t="s">
        <v>32</v>
      </c>
      <c r="I280" t="s">
        <v>81</v>
      </c>
      <c r="J280" t="s">
        <v>85</v>
      </c>
    </row>
    <row r="281" spans="1:10" x14ac:dyDescent="0.3">
      <c r="A281" s="2">
        <v>44113</v>
      </c>
      <c r="B281" s="2">
        <v>44118</v>
      </c>
      <c r="C281" t="s">
        <v>16</v>
      </c>
      <c r="D281" s="6">
        <v>145</v>
      </c>
      <c r="E281" s="6">
        <v>105.85</v>
      </c>
      <c r="F281" s="6">
        <v>5</v>
      </c>
      <c r="G281" s="6">
        <v>725</v>
      </c>
      <c r="H281" t="s">
        <v>54</v>
      </c>
      <c r="I281" t="s">
        <v>80</v>
      </c>
      <c r="J281" t="s">
        <v>86</v>
      </c>
    </row>
    <row r="282" spans="1:10" x14ac:dyDescent="0.3">
      <c r="A282" s="2">
        <v>44114</v>
      </c>
      <c r="B282" s="2">
        <v>44117</v>
      </c>
      <c r="C282" t="s">
        <v>5</v>
      </c>
      <c r="D282" s="6">
        <v>290</v>
      </c>
      <c r="E282" s="6">
        <v>185.6</v>
      </c>
      <c r="F282" s="6">
        <v>4</v>
      </c>
      <c r="G282" s="6">
        <v>1160</v>
      </c>
      <c r="H282" t="s">
        <v>64</v>
      </c>
      <c r="I282" t="s">
        <v>79</v>
      </c>
      <c r="J282" t="s">
        <v>86</v>
      </c>
    </row>
    <row r="283" spans="1:10" x14ac:dyDescent="0.3">
      <c r="A283" s="2">
        <v>44114</v>
      </c>
      <c r="B283" s="2">
        <v>44116</v>
      </c>
      <c r="C283" t="s">
        <v>3</v>
      </c>
      <c r="D283" s="6">
        <v>95</v>
      </c>
      <c r="E283" s="6">
        <v>60.800000000000004</v>
      </c>
      <c r="F283" s="6">
        <v>2</v>
      </c>
      <c r="G283" s="6">
        <v>190</v>
      </c>
      <c r="H283" t="s">
        <v>52</v>
      </c>
      <c r="I283" t="s">
        <v>81</v>
      </c>
      <c r="J283" t="s">
        <v>86</v>
      </c>
    </row>
    <row r="284" spans="1:10" x14ac:dyDescent="0.3">
      <c r="A284" s="2">
        <v>44115</v>
      </c>
      <c r="B284" s="2">
        <v>44118</v>
      </c>
      <c r="C284" t="s">
        <v>15</v>
      </c>
      <c r="D284" s="6">
        <v>110</v>
      </c>
      <c r="E284" s="6">
        <v>78.099999999999994</v>
      </c>
      <c r="F284" s="6">
        <v>8</v>
      </c>
      <c r="G284" s="6">
        <v>880</v>
      </c>
      <c r="H284" t="s">
        <v>34</v>
      </c>
      <c r="I284" t="s">
        <v>81</v>
      </c>
      <c r="J284" t="s">
        <v>86</v>
      </c>
    </row>
    <row r="285" spans="1:10" x14ac:dyDescent="0.3">
      <c r="A285" s="2">
        <v>44116</v>
      </c>
      <c r="B285" s="2">
        <v>44123</v>
      </c>
      <c r="C285" t="s">
        <v>21</v>
      </c>
      <c r="D285" s="6">
        <v>355</v>
      </c>
      <c r="E285" s="6">
        <v>252.04999999999998</v>
      </c>
      <c r="F285" s="6">
        <v>6</v>
      </c>
      <c r="G285" s="6">
        <v>2130</v>
      </c>
      <c r="H285" t="s">
        <v>30</v>
      </c>
      <c r="I285" t="s">
        <v>81</v>
      </c>
      <c r="J285" t="s">
        <v>85</v>
      </c>
    </row>
    <row r="286" spans="1:10" x14ac:dyDescent="0.3">
      <c r="A286" s="2">
        <v>44117</v>
      </c>
      <c r="B286" s="2">
        <v>44123</v>
      </c>
      <c r="C286" t="s">
        <v>14</v>
      </c>
      <c r="D286" s="6">
        <v>375</v>
      </c>
      <c r="E286" s="6">
        <v>247.5</v>
      </c>
      <c r="F286" s="6">
        <v>3</v>
      </c>
      <c r="G286" s="6">
        <v>1125</v>
      </c>
      <c r="H286" t="s">
        <v>34</v>
      </c>
      <c r="I286" t="s">
        <v>82</v>
      </c>
      <c r="J286" t="s">
        <v>85</v>
      </c>
    </row>
    <row r="287" spans="1:10" x14ac:dyDescent="0.3">
      <c r="A287" s="2">
        <v>44117</v>
      </c>
      <c r="B287" s="2">
        <v>44124</v>
      </c>
      <c r="C287" t="s">
        <v>12</v>
      </c>
      <c r="D287" s="6">
        <v>320</v>
      </c>
      <c r="E287" s="6">
        <v>233.6</v>
      </c>
      <c r="F287" s="6">
        <v>4</v>
      </c>
      <c r="G287" s="6">
        <v>1280</v>
      </c>
      <c r="H287" t="s">
        <v>76</v>
      </c>
      <c r="I287" t="s">
        <v>81</v>
      </c>
      <c r="J287" t="s">
        <v>85</v>
      </c>
    </row>
    <row r="288" spans="1:10" x14ac:dyDescent="0.3">
      <c r="A288" s="2">
        <v>44118</v>
      </c>
      <c r="B288" s="2">
        <v>44124</v>
      </c>
      <c r="C288" t="s">
        <v>6</v>
      </c>
      <c r="D288" s="6">
        <v>99</v>
      </c>
      <c r="E288" s="6">
        <v>62.37</v>
      </c>
      <c r="F288" s="6">
        <v>5</v>
      </c>
      <c r="G288" s="6">
        <v>495</v>
      </c>
      <c r="H288" t="s">
        <v>41</v>
      </c>
      <c r="I288" t="s">
        <v>82</v>
      </c>
      <c r="J288" t="s">
        <v>85</v>
      </c>
    </row>
    <row r="289" spans="1:10" x14ac:dyDescent="0.3">
      <c r="A289" s="2">
        <v>44119</v>
      </c>
      <c r="B289" s="2">
        <v>44120</v>
      </c>
      <c r="C289" t="s">
        <v>5</v>
      </c>
      <c r="D289" s="6">
        <v>290</v>
      </c>
      <c r="E289" s="6">
        <v>185.6</v>
      </c>
      <c r="F289" s="6">
        <v>9</v>
      </c>
      <c r="G289" s="6">
        <v>2610</v>
      </c>
      <c r="H289" t="s">
        <v>41</v>
      </c>
      <c r="I289" t="s">
        <v>81</v>
      </c>
      <c r="J289" t="s">
        <v>86</v>
      </c>
    </row>
    <row r="290" spans="1:10" x14ac:dyDescent="0.3">
      <c r="A290" s="2">
        <v>44119</v>
      </c>
      <c r="B290" s="2">
        <v>44121</v>
      </c>
      <c r="C290" t="s">
        <v>10</v>
      </c>
      <c r="D290" s="6">
        <v>390</v>
      </c>
      <c r="E290" s="6">
        <v>253.5</v>
      </c>
      <c r="F290" s="6">
        <v>1</v>
      </c>
      <c r="G290" s="6">
        <v>390</v>
      </c>
      <c r="H290" t="s">
        <v>60</v>
      </c>
      <c r="I290" t="s">
        <v>83</v>
      </c>
      <c r="J290" t="s">
        <v>85</v>
      </c>
    </row>
    <row r="291" spans="1:10" x14ac:dyDescent="0.3">
      <c r="A291" s="2">
        <v>44119</v>
      </c>
      <c r="B291" s="2">
        <v>44121</v>
      </c>
      <c r="C291" t="s">
        <v>2</v>
      </c>
      <c r="D291" s="6">
        <v>250</v>
      </c>
      <c r="E291" s="6">
        <v>187.5</v>
      </c>
      <c r="F291" s="6">
        <v>4</v>
      </c>
      <c r="G291" s="6">
        <v>1000</v>
      </c>
      <c r="H291" t="s">
        <v>46</v>
      </c>
      <c r="I291" t="s">
        <v>83</v>
      </c>
      <c r="J291" t="s">
        <v>86</v>
      </c>
    </row>
    <row r="292" spans="1:10" x14ac:dyDescent="0.3">
      <c r="A292" s="2">
        <v>44120</v>
      </c>
      <c r="B292" s="2">
        <v>44123</v>
      </c>
      <c r="C292" t="s">
        <v>2</v>
      </c>
      <c r="D292" s="6">
        <v>250</v>
      </c>
      <c r="E292" s="6">
        <v>187.5</v>
      </c>
      <c r="F292" s="6">
        <v>1</v>
      </c>
      <c r="G292" s="6">
        <v>250</v>
      </c>
      <c r="H292" t="s">
        <v>51</v>
      </c>
      <c r="I292" t="s">
        <v>81</v>
      </c>
      <c r="J292" t="s">
        <v>85</v>
      </c>
    </row>
    <row r="293" spans="1:10" x14ac:dyDescent="0.3">
      <c r="A293" s="2">
        <v>44120</v>
      </c>
      <c r="B293" s="2">
        <v>44126</v>
      </c>
      <c r="C293" t="s">
        <v>12</v>
      </c>
      <c r="D293" s="6">
        <v>320</v>
      </c>
      <c r="E293" s="6">
        <v>233.6</v>
      </c>
      <c r="F293" s="6">
        <v>8</v>
      </c>
      <c r="G293" s="6">
        <v>2560</v>
      </c>
      <c r="H293" t="s">
        <v>31</v>
      </c>
      <c r="I293" t="s">
        <v>81</v>
      </c>
      <c r="J293" t="s">
        <v>85</v>
      </c>
    </row>
    <row r="294" spans="1:10" x14ac:dyDescent="0.3">
      <c r="A294" s="2">
        <v>44121</v>
      </c>
      <c r="B294" s="2">
        <v>44123</v>
      </c>
      <c r="C294" t="s">
        <v>9</v>
      </c>
      <c r="D294" s="6">
        <v>215</v>
      </c>
      <c r="E294" s="6">
        <v>152.65</v>
      </c>
      <c r="F294" s="6">
        <v>9</v>
      </c>
      <c r="G294" s="6">
        <v>1935</v>
      </c>
      <c r="H294" t="s">
        <v>46</v>
      </c>
      <c r="I294" t="s">
        <v>82</v>
      </c>
      <c r="J294" t="s">
        <v>85</v>
      </c>
    </row>
    <row r="295" spans="1:10" x14ac:dyDescent="0.3">
      <c r="A295" s="2">
        <v>44122</v>
      </c>
      <c r="B295" s="2">
        <v>44124</v>
      </c>
      <c r="C295" t="s">
        <v>7</v>
      </c>
      <c r="D295" s="6">
        <v>250</v>
      </c>
      <c r="E295" s="6">
        <v>167.5</v>
      </c>
      <c r="F295" s="6">
        <v>5</v>
      </c>
      <c r="G295" s="6">
        <v>1250</v>
      </c>
      <c r="H295" t="s">
        <v>74</v>
      </c>
      <c r="I295" t="s">
        <v>82</v>
      </c>
      <c r="J295" t="s">
        <v>86</v>
      </c>
    </row>
    <row r="296" spans="1:10" x14ac:dyDescent="0.3">
      <c r="A296" s="2">
        <v>44125</v>
      </c>
      <c r="B296" s="2">
        <v>44132</v>
      </c>
      <c r="C296" t="s">
        <v>15</v>
      </c>
      <c r="D296" s="6">
        <v>110</v>
      </c>
      <c r="E296" s="6">
        <v>78.099999999999994</v>
      </c>
      <c r="F296" s="6">
        <v>8</v>
      </c>
      <c r="G296" s="6">
        <v>880</v>
      </c>
      <c r="H296" t="s">
        <v>64</v>
      </c>
      <c r="I296" t="s">
        <v>82</v>
      </c>
      <c r="J296" t="s">
        <v>85</v>
      </c>
    </row>
    <row r="297" spans="1:10" x14ac:dyDescent="0.3">
      <c r="A297" s="2">
        <v>44127</v>
      </c>
      <c r="B297" s="2">
        <v>44133</v>
      </c>
      <c r="C297" t="s">
        <v>14</v>
      </c>
      <c r="D297" s="6">
        <v>375</v>
      </c>
      <c r="E297" s="6">
        <v>247.5</v>
      </c>
      <c r="F297" s="6">
        <v>4</v>
      </c>
      <c r="G297" s="6">
        <v>1500</v>
      </c>
      <c r="H297" t="s">
        <v>51</v>
      </c>
      <c r="I297" t="s">
        <v>81</v>
      </c>
      <c r="J297" t="s">
        <v>86</v>
      </c>
    </row>
    <row r="298" spans="1:10" x14ac:dyDescent="0.3">
      <c r="A298" s="2">
        <v>44127</v>
      </c>
      <c r="B298" s="2">
        <v>44130</v>
      </c>
      <c r="C298" t="s">
        <v>4</v>
      </c>
      <c r="D298" s="6">
        <v>390</v>
      </c>
      <c r="E298" s="6">
        <v>288.60000000000002</v>
      </c>
      <c r="F298" s="6">
        <v>9</v>
      </c>
      <c r="G298" s="6">
        <v>3510</v>
      </c>
      <c r="H298" t="s">
        <v>41</v>
      </c>
      <c r="I298" t="s">
        <v>82</v>
      </c>
      <c r="J298" t="s">
        <v>86</v>
      </c>
    </row>
    <row r="299" spans="1:10" x14ac:dyDescent="0.3">
      <c r="A299" s="2">
        <v>44128</v>
      </c>
      <c r="B299" s="2">
        <v>44130</v>
      </c>
      <c r="C299" t="s">
        <v>9</v>
      </c>
      <c r="D299" s="6">
        <v>215</v>
      </c>
      <c r="E299" s="6">
        <v>152.65</v>
      </c>
      <c r="F299" s="6">
        <v>6</v>
      </c>
      <c r="G299" s="6">
        <v>1290</v>
      </c>
      <c r="H299" t="s">
        <v>58</v>
      </c>
      <c r="I299" t="s">
        <v>83</v>
      </c>
      <c r="J299" t="s">
        <v>86</v>
      </c>
    </row>
    <row r="300" spans="1:10" x14ac:dyDescent="0.3">
      <c r="A300" s="2">
        <v>44129</v>
      </c>
      <c r="B300" s="2">
        <v>44136</v>
      </c>
      <c r="C300" t="s">
        <v>23</v>
      </c>
      <c r="D300" s="6">
        <v>275</v>
      </c>
      <c r="E300" s="6">
        <v>200.75</v>
      </c>
      <c r="F300" s="6">
        <v>6</v>
      </c>
      <c r="G300" s="6">
        <v>1650</v>
      </c>
      <c r="H300" t="s">
        <v>72</v>
      </c>
      <c r="I300" t="s">
        <v>83</v>
      </c>
      <c r="J300" t="s">
        <v>86</v>
      </c>
    </row>
    <row r="301" spans="1:10" x14ac:dyDescent="0.3">
      <c r="A301" s="2">
        <v>44131</v>
      </c>
      <c r="B301" s="2">
        <v>44135</v>
      </c>
      <c r="C301" t="s">
        <v>2</v>
      </c>
      <c r="D301" s="6">
        <v>250</v>
      </c>
      <c r="E301" s="6">
        <v>187.5</v>
      </c>
      <c r="F301" s="6">
        <v>4</v>
      </c>
      <c r="G301" s="6">
        <v>1000</v>
      </c>
      <c r="H301" t="s">
        <v>31</v>
      </c>
      <c r="I301" t="s">
        <v>79</v>
      </c>
      <c r="J301" t="s">
        <v>86</v>
      </c>
    </row>
    <row r="302" spans="1:10" x14ac:dyDescent="0.3">
      <c r="A302" s="2">
        <v>44132</v>
      </c>
      <c r="B302" s="2">
        <v>44138</v>
      </c>
      <c r="C302" t="s">
        <v>8</v>
      </c>
      <c r="D302" s="6">
        <v>59</v>
      </c>
      <c r="E302" s="6">
        <v>41.3</v>
      </c>
      <c r="F302" s="6">
        <v>1</v>
      </c>
      <c r="G302" s="6">
        <v>59</v>
      </c>
      <c r="H302" t="s">
        <v>74</v>
      </c>
      <c r="I302" t="s">
        <v>82</v>
      </c>
      <c r="J302" t="s">
        <v>86</v>
      </c>
    </row>
    <row r="303" spans="1:10" x14ac:dyDescent="0.3">
      <c r="A303" s="2">
        <v>44132</v>
      </c>
      <c r="B303" s="2">
        <v>44135</v>
      </c>
      <c r="C303" t="s">
        <v>17</v>
      </c>
      <c r="D303" s="6">
        <v>195</v>
      </c>
      <c r="E303" s="6">
        <v>138.44999999999999</v>
      </c>
      <c r="F303" s="6">
        <v>1</v>
      </c>
      <c r="G303" s="6">
        <v>195</v>
      </c>
      <c r="H303" t="s">
        <v>52</v>
      </c>
      <c r="I303" t="s">
        <v>81</v>
      </c>
      <c r="J303" t="s">
        <v>86</v>
      </c>
    </row>
    <row r="304" spans="1:10" x14ac:dyDescent="0.3">
      <c r="A304" s="2">
        <v>44132</v>
      </c>
      <c r="B304" s="2">
        <v>44138</v>
      </c>
      <c r="C304" t="s">
        <v>17</v>
      </c>
      <c r="D304" s="6">
        <v>195</v>
      </c>
      <c r="E304" s="6">
        <v>138.44999999999999</v>
      </c>
      <c r="F304" s="6">
        <v>2</v>
      </c>
      <c r="G304" s="6">
        <v>390</v>
      </c>
      <c r="H304" t="s">
        <v>40</v>
      </c>
      <c r="I304" t="s">
        <v>82</v>
      </c>
      <c r="J304" t="s">
        <v>86</v>
      </c>
    </row>
    <row r="305" spans="1:10" x14ac:dyDescent="0.3">
      <c r="A305" s="2">
        <v>44134</v>
      </c>
      <c r="B305" s="2">
        <v>44136</v>
      </c>
      <c r="C305" t="s">
        <v>23</v>
      </c>
      <c r="D305" s="6">
        <v>275</v>
      </c>
      <c r="E305" s="6">
        <v>200.75</v>
      </c>
      <c r="F305" s="6">
        <v>8</v>
      </c>
      <c r="G305" s="6">
        <v>2200</v>
      </c>
      <c r="H305" t="s">
        <v>46</v>
      </c>
      <c r="I305" t="s">
        <v>80</v>
      </c>
      <c r="J305" t="s">
        <v>86</v>
      </c>
    </row>
    <row r="306" spans="1:10" x14ac:dyDescent="0.3">
      <c r="A306" s="2">
        <v>44136</v>
      </c>
      <c r="B306" s="2">
        <v>44140</v>
      </c>
      <c r="C306" t="s">
        <v>20</v>
      </c>
      <c r="D306" s="6">
        <v>440</v>
      </c>
      <c r="E306" s="6">
        <v>286</v>
      </c>
      <c r="F306" s="6">
        <v>3</v>
      </c>
      <c r="G306" s="6">
        <v>1320</v>
      </c>
      <c r="H306" t="s">
        <v>42</v>
      </c>
      <c r="I306" t="s">
        <v>83</v>
      </c>
      <c r="J306" t="s">
        <v>86</v>
      </c>
    </row>
    <row r="307" spans="1:10" x14ac:dyDescent="0.3">
      <c r="A307" s="2">
        <v>44137</v>
      </c>
      <c r="B307" s="2">
        <v>44143</v>
      </c>
      <c r="C307" t="s">
        <v>9</v>
      </c>
      <c r="D307" s="6">
        <v>215</v>
      </c>
      <c r="E307" s="6">
        <v>152.65</v>
      </c>
      <c r="F307" s="6">
        <v>4</v>
      </c>
      <c r="G307" s="6">
        <v>860</v>
      </c>
      <c r="H307" t="s">
        <v>52</v>
      </c>
      <c r="I307" t="s">
        <v>82</v>
      </c>
      <c r="J307" t="s">
        <v>86</v>
      </c>
    </row>
    <row r="308" spans="1:10" x14ac:dyDescent="0.3">
      <c r="A308" s="2">
        <v>44138</v>
      </c>
      <c r="B308" s="2">
        <v>44140</v>
      </c>
      <c r="C308" t="s">
        <v>5</v>
      </c>
      <c r="D308" s="6">
        <v>290</v>
      </c>
      <c r="E308" s="6">
        <v>185.6</v>
      </c>
      <c r="F308" s="6">
        <v>3</v>
      </c>
      <c r="G308" s="6">
        <v>870</v>
      </c>
      <c r="H308" t="s">
        <v>35</v>
      </c>
      <c r="I308" t="s">
        <v>83</v>
      </c>
      <c r="J308" t="s">
        <v>85</v>
      </c>
    </row>
    <row r="309" spans="1:10" x14ac:dyDescent="0.3">
      <c r="A309" s="2">
        <v>44138</v>
      </c>
      <c r="B309" s="2">
        <v>44145</v>
      </c>
      <c r="C309" t="s">
        <v>22</v>
      </c>
      <c r="D309" s="6">
        <v>460</v>
      </c>
      <c r="E309" s="6">
        <v>303.60000000000002</v>
      </c>
      <c r="F309" s="6">
        <v>5</v>
      </c>
      <c r="G309" s="6">
        <v>2300</v>
      </c>
      <c r="H309" t="s">
        <v>50</v>
      </c>
      <c r="I309" t="s">
        <v>81</v>
      </c>
      <c r="J309" t="s">
        <v>86</v>
      </c>
    </row>
    <row r="310" spans="1:10" x14ac:dyDescent="0.3">
      <c r="A310" s="2">
        <v>44139</v>
      </c>
      <c r="B310" s="2">
        <v>44143</v>
      </c>
      <c r="C310" t="s">
        <v>10</v>
      </c>
      <c r="D310" s="6">
        <v>390</v>
      </c>
      <c r="E310" s="6">
        <v>253.5</v>
      </c>
      <c r="F310" s="6">
        <v>7</v>
      </c>
      <c r="G310" s="6">
        <v>2730</v>
      </c>
      <c r="H310" t="s">
        <v>46</v>
      </c>
      <c r="I310" t="s">
        <v>82</v>
      </c>
      <c r="J310" t="s">
        <v>85</v>
      </c>
    </row>
    <row r="311" spans="1:10" x14ac:dyDescent="0.3">
      <c r="A311" s="2">
        <v>44141</v>
      </c>
      <c r="B311" s="2">
        <v>44144</v>
      </c>
      <c r="C311" t="s">
        <v>15</v>
      </c>
      <c r="D311" s="6">
        <v>110</v>
      </c>
      <c r="E311" s="6">
        <v>78.099999999999994</v>
      </c>
      <c r="F311" s="6">
        <v>4</v>
      </c>
      <c r="G311" s="6">
        <v>440</v>
      </c>
      <c r="H311" t="s">
        <v>41</v>
      </c>
      <c r="I311" t="s">
        <v>82</v>
      </c>
      <c r="J311" t="s">
        <v>86</v>
      </c>
    </row>
    <row r="312" spans="1:10" x14ac:dyDescent="0.3">
      <c r="A312" s="2">
        <v>44141</v>
      </c>
      <c r="B312" s="2">
        <v>44147</v>
      </c>
      <c r="C312" t="s">
        <v>13</v>
      </c>
      <c r="D312" s="6">
        <v>445</v>
      </c>
      <c r="E312" s="6">
        <v>280.35000000000002</v>
      </c>
      <c r="F312" s="6">
        <v>8</v>
      </c>
      <c r="G312" s="6">
        <v>3560</v>
      </c>
      <c r="H312" t="s">
        <v>41</v>
      </c>
      <c r="I312" t="s">
        <v>82</v>
      </c>
      <c r="J312" t="s">
        <v>86</v>
      </c>
    </row>
    <row r="313" spans="1:10" x14ac:dyDescent="0.3">
      <c r="A313" s="2">
        <v>44142</v>
      </c>
      <c r="B313" s="2">
        <v>44145</v>
      </c>
      <c r="C313" t="s">
        <v>13</v>
      </c>
      <c r="D313" s="6">
        <v>445</v>
      </c>
      <c r="E313" s="6">
        <v>280.35000000000002</v>
      </c>
      <c r="F313" s="6">
        <v>7</v>
      </c>
      <c r="G313" s="6">
        <v>3115</v>
      </c>
      <c r="H313" t="s">
        <v>42</v>
      </c>
      <c r="I313" t="s">
        <v>82</v>
      </c>
      <c r="J313" t="s">
        <v>85</v>
      </c>
    </row>
    <row r="314" spans="1:10" x14ac:dyDescent="0.3">
      <c r="A314" s="2">
        <v>44142</v>
      </c>
      <c r="B314" s="2">
        <v>44145</v>
      </c>
      <c r="C314" t="s">
        <v>3</v>
      </c>
      <c r="D314" s="6">
        <v>95</v>
      </c>
      <c r="E314" s="6">
        <v>60.800000000000004</v>
      </c>
      <c r="F314" s="6">
        <v>3</v>
      </c>
      <c r="G314" s="6">
        <v>285</v>
      </c>
      <c r="H314" t="s">
        <v>74</v>
      </c>
      <c r="I314" t="s">
        <v>80</v>
      </c>
      <c r="J314" t="s">
        <v>85</v>
      </c>
    </row>
    <row r="315" spans="1:10" x14ac:dyDescent="0.3">
      <c r="A315" s="2">
        <v>44142</v>
      </c>
      <c r="B315" s="2">
        <v>44146</v>
      </c>
      <c r="C315" t="s">
        <v>12</v>
      </c>
      <c r="D315" s="6">
        <v>320</v>
      </c>
      <c r="E315" s="6">
        <v>233.6</v>
      </c>
      <c r="F315" s="6">
        <v>5</v>
      </c>
      <c r="G315" s="6">
        <v>1600</v>
      </c>
      <c r="H315" t="s">
        <v>45</v>
      </c>
      <c r="I315" t="s">
        <v>80</v>
      </c>
      <c r="J315" t="s">
        <v>85</v>
      </c>
    </row>
    <row r="316" spans="1:10" x14ac:dyDescent="0.3">
      <c r="A316" s="2">
        <v>44145</v>
      </c>
      <c r="B316" s="2">
        <v>44152</v>
      </c>
      <c r="C316" t="s">
        <v>13</v>
      </c>
      <c r="D316" s="6">
        <v>445</v>
      </c>
      <c r="E316" s="6">
        <v>280.35000000000002</v>
      </c>
      <c r="F316" s="6">
        <v>4</v>
      </c>
      <c r="G316" s="6">
        <v>1780</v>
      </c>
      <c r="H316" t="s">
        <v>46</v>
      </c>
      <c r="I316" t="s">
        <v>80</v>
      </c>
      <c r="J316" t="s">
        <v>86</v>
      </c>
    </row>
    <row r="317" spans="1:10" x14ac:dyDescent="0.3">
      <c r="A317" s="2">
        <v>44145</v>
      </c>
      <c r="B317" s="2">
        <v>44152</v>
      </c>
      <c r="C317" t="s">
        <v>14</v>
      </c>
      <c r="D317" s="6">
        <v>375</v>
      </c>
      <c r="E317" s="6">
        <v>247.5</v>
      </c>
      <c r="F317" s="6">
        <v>2</v>
      </c>
      <c r="G317" s="6">
        <v>750</v>
      </c>
      <c r="H317" t="s">
        <v>47</v>
      </c>
      <c r="I317" t="s">
        <v>83</v>
      </c>
      <c r="J317" t="s">
        <v>85</v>
      </c>
    </row>
    <row r="318" spans="1:10" x14ac:dyDescent="0.3">
      <c r="A318" s="2">
        <v>44147</v>
      </c>
      <c r="B318" s="2">
        <v>44148</v>
      </c>
      <c r="C318" t="s">
        <v>4</v>
      </c>
      <c r="D318" s="6">
        <v>390</v>
      </c>
      <c r="E318" s="6">
        <v>288.60000000000002</v>
      </c>
      <c r="F318" s="6">
        <v>7</v>
      </c>
      <c r="G318" s="6">
        <v>2730</v>
      </c>
      <c r="H318" t="s">
        <v>61</v>
      </c>
      <c r="I318" t="s">
        <v>82</v>
      </c>
      <c r="J318" t="s">
        <v>85</v>
      </c>
    </row>
    <row r="319" spans="1:10" x14ac:dyDescent="0.3">
      <c r="A319" s="2">
        <v>44147</v>
      </c>
      <c r="B319" s="2">
        <v>44154</v>
      </c>
      <c r="C319" t="s">
        <v>12</v>
      </c>
      <c r="D319" s="6">
        <v>320</v>
      </c>
      <c r="E319" s="6">
        <v>233.6</v>
      </c>
      <c r="F319" s="6">
        <v>3</v>
      </c>
      <c r="G319" s="6">
        <v>960</v>
      </c>
      <c r="H319" t="s">
        <v>75</v>
      </c>
      <c r="I319" t="s">
        <v>80</v>
      </c>
      <c r="J319" t="s">
        <v>86</v>
      </c>
    </row>
    <row r="320" spans="1:10" x14ac:dyDescent="0.3">
      <c r="A320" s="2">
        <v>44147</v>
      </c>
      <c r="B320" s="2">
        <v>44152</v>
      </c>
      <c r="C320" t="s">
        <v>21</v>
      </c>
      <c r="D320" s="6">
        <v>355</v>
      </c>
      <c r="E320" s="6">
        <v>252.04999999999998</v>
      </c>
      <c r="F320" s="6">
        <v>3</v>
      </c>
      <c r="G320" s="6">
        <v>1065</v>
      </c>
      <c r="H320" t="s">
        <v>43</v>
      </c>
      <c r="I320" t="s">
        <v>80</v>
      </c>
      <c r="J320" t="s">
        <v>85</v>
      </c>
    </row>
    <row r="321" spans="1:10" x14ac:dyDescent="0.3">
      <c r="A321" s="2">
        <v>44147</v>
      </c>
      <c r="B321" s="2">
        <v>44153</v>
      </c>
      <c r="C321" t="s">
        <v>13</v>
      </c>
      <c r="D321" s="6">
        <v>445</v>
      </c>
      <c r="E321" s="6">
        <v>280.35000000000002</v>
      </c>
      <c r="F321" s="6">
        <v>4</v>
      </c>
      <c r="G321" s="6">
        <v>1780</v>
      </c>
      <c r="H321" t="s">
        <v>71</v>
      </c>
      <c r="I321" t="s">
        <v>81</v>
      </c>
      <c r="J321" t="s">
        <v>85</v>
      </c>
    </row>
    <row r="322" spans="1:10" x14ac:dyDescent="0.3">
      <c r="A322" s="2">
        <v>44148</v>
      </c>
      <c r="B322" s="2">
        <v>44150</v>
      </c>
      <c r="C322" t="s">
        <v>18</v>
      </c>
      <c r="D322" s="6">
        <v>80</v>
      </c>
      <c r="E322" s="6">
        <v>48.8</v>
      </c>
      <c r="F322" s="6">
        <v>5</v>
      </c>
      <c r="G322" s="6">
        <v>400</v>
      </c>
      <c r="H322" t="s">
        <v>39</v>
      </c>
      <c r="I322" t="s">
        <v>83</v>
      </c>
      <c r="J322" t="s">
        <v>85</v>
      </c>
    </row>
    <row r="323" spans="1:10" x14ac:dyDescent="0.3">
      <c r="A323" s="2">
        <v>44149</v>
      </c>
      <c r="B323" s="2">
        <v>44151</v>
      </c>
      <c r="C323" t="s">
        <v>23</v>
      </c>
      <c r="D323" s="6">
        <v>275</v>
      </c>
      <c r="E323" s="6">
        <v>200.75</v>
      </c>
      <c r="F323" s="6">
        <v>1</v>
      </c>
      <c r="G323" s="6">
        <v>275</v>
      </c>
      <c r="H323" t="s">
        <v>66</v>
      </c>
      <c r="I323" t="s">
        <v>79</v>
      </c>
      <c r="J323" t="s">
        <v>85</v>
      </c>
    </row>
    <row r="324" spans="1:10" x14ac:dyDescent="0.3">
      <c r="A324" s="2">
        <v>44151</v>
      </c>
      <c r="B324" s="2">
        <v>44158</v>
      </c>
      <c r="C324" t="s">
        <v>4</v>
      </c>
      <c r="D324" s="6">
        <v>390</v>
      </c>
      <c r="E324" s="6">
        <v>288.60000000000002</v>
      </c>
      <c r="F324" s="6">
        <v>4</v>
      </c>
      <c r="G324" s="6">
        <v>1560</v>
      </c>
      <c r="H324" t="s">
        <v>65</v>
      </c>
      <c r="I324" t="s">
        <v>83</v>
      </c>
      <c r="J324" t="s">
        <v>86</v>
      </c>
    </row>
    <row r="325" spans="1:10" x14ac:dyDescent="0.3">
      <c r="A325" s="2">
        <v>44151</v>
      </c>
      <c r="B325" s="2">
        <v>44152</v>
      </c>
      <c r="C325" t="s">
        <v>16</v>
      </c>
      <c r="D325" s="6">
        <v>145</v>
      </c>
      <c r="E325" s="6">
        <v>105.85</v>
      </c>
      <c r="F325" s="6">
        <v>1</v>
      </c>
      <c r="G325" s="6">
        <v>145</v>
      </c>
      <c r="H325" t="s">
        <v>59</v>
      </c>
      <c r="I325" t="s">
        <v>83</v>
      </c>
      <c r="J325" t="s">
        <v>86</v>
      </c>
    </row>
    <row r="326" spans="1:10" x14ac:dyDescent="0.3">
      <c r="A326" s="2">
        <v>44152</v>
      </c>
      <c r="B326" s="2">
        <v>44155</v>
      </c>
      <c r="C326" t="s">
        <v>22</v>
      </c>
      <c r="D326" s="6">
        <v>460</v>
      </c>
      <c r="E326" s="6">
        <v>303.60000000000002</v>
      </c>
      <c r="F326" s="6">
        <v>8</v>
      </c>
      <c r="G326" s="6">
        <v>3680</v>
      </c>
      <c r="H326" t="s">
        <v>50</v>
      </c>
      <c r="I326" t="s">
        <v>80</v>
      </c>
      <c r="J326" t="s">
        <v>85</v>
      </c>
    </row>
    <row r="327" spans="1:10" x14ac:dyDescent="0.3">
      <c r="A327" s="2">
        <v>44153</v>
      </c>
      <c r="B327" s="2">
        <v>44160</v>
      </c>
      <c r="C327" t="s">
        <v>21</v>
      </c>
      <c r="D327" s="6">
        <v>355</v>
      </c>
      <c r="E327" s="6">
        <v>252.04999999999998</v>
      </c>
      <c r="F327" s="6">
        <v>7</v>
      </c>
      <c r="G327" s="6">
        <v>2485</v>
      </c>
      <c r="H327" t="s">
        <v>70</v>
      </c>
      <c r="I327" t="s">
        <v>79</v>
      </c>
      <c r="J327" t="s">
        <v>85</v>
      </c>
    </row>
    <row r="328" spans="1:10" x14ac:dyDescent="0.3">
      <c r="A328" s="2">
        <v>44153</v>
      </c>
      <c r="B328" s="2">
        <v>44158</v>
      </c>
      <c r="C328" t="s">
        <v>13</v>
      </c>
      <c r="D328" s="6">
        <v>445</v>
      </c>
      <c r="E328" s="6">
        <v>280.35000000000002</v>
      </c>
      <c r="F328" s="6">
        <v>3</v>
      </c>
      <c r="G328" s="6">
        <v>1335</v>
      </c>
      <c r="H328" t="s">
        <v>41</v>
      </c>
      <c r="I328" t="s">
        <v>82</v>
      </c>
      <c r="J328" t="s">
        <v>86</v>
      </c>
    </row>
    <row r="329" spans="1:10" x14ac:dyDescent="0.3">
      <c r="A329" s="2">
        <v>44153</v>
      </c>
      <c r="B329" s="2">
        <v>44160</v>
      </c>
      <c r="C329" t="s">
        <v>4</v>
      </c>
      <c r="D329" s="6">
        <v>390</v>
      </c>
      <c r="E329" s="6">
        <v>288.60000000000002</v>
      </c>
      <c r="F329" s="6">
        <v>9</v>
      </c>
      <c r="G329" s="6">
        <v>3510</v>
      </c>
      <c r="H329" t="s">
        <v>61</v>
      </c>
      <c r="I329" t="s">
        <v>80</v>
      </c>
      <c r="J329" t="s">
        <v>85</v>
      </c>
    </row>
    <row r="330" spans="1:10" x14ac:dyDescent="0.3">
      <c r="A330" s="2">
        <v>44155</v>
      </c>
      <c r="B330" s="2">
        <v>44162</v>
      </c>
      <c r="C330" t="s">
        <v>17</v>
      </c>
      <c r="D330" s="6">
        <v>195</v>
      </c>
      <c r="E330" s="6">
        <v>138.44999999999999</v>
      </c>
      <c r="F330" s="6">
        <v>2</v>
      </c>
      <c r="G330" s="6">
        <v>390</v>
      </c>
      <c r="H330" t="s">
        <v>74</v>
      </c>
      <c r="I330" t="s">
        <v>79</v>
      </c>
      <c r="J330" t="s">
        <v>86</v>
      </c>
    </row>
    <row r="331" spans="1:10" x14ac:dyDescent="0.3">
      <c r="A331" s="2">
        <v>44156</v>
      </c>
      <c r="B331" s="2">
        <v>44162</v>
      </c>
      <c r="C331" t="s">
        <v>16</v>
      </c>
      <c r="D331" s="6">
        <v>145</v>
      </c>
      <c r="E331" s="6">
        <v>105.85</v>
      </c>
      <c r="F331" s="6">
        <v>3</v>
      </c>
      <c r="G331" s="6">
        <v>435</v>
      </c>
      <c r="H331" t="s">
        <v>68</v>
      </c>
      <c r="I331" t="s">
        <v>80</v>
      </c>
      <c r="J331" t="s">
        <v>85</v>
      </c>
    </row>
    <row r="332" spans="1:10" x14ac:dyDescent="0.3">
      <c r="A332" s="2">
        <v>44158</v>
      </c>
      <c r="B332" s="2">
        <v>44161</v>
      </c>
      <c r="C332" t="s">
        <v>5</v>
      </c>
      <c r="D332" s="6">
        <v>290</v>
      </c>
      <c r="E332" s="6">
        <v>185.6</v>
      </c>
      <c r="F332" s="6">
        <v>5</v>
      </c>
      <c r="G332" s="6">
        <v>1450</v>
      </c>
      <c r="H332" t="s">
        <v>75</v>
      </c>
      <c r="I332" t="s">
        <v>82</v>
      </c>
      <c r="J332" t="s">
        <v>86</v>
      </c>
    </row>
    <row r="333" spans="1:10" x14ac:dyDescent="0.3">
      <c r="A333" s="2">
        <v>44158</v>
      </c>
      <c r="B333" s="2">
        <v>44159</v>
      </c>
      <c r="C333" t="s">
        <v>5</v>
      </c>
      <c r="D333" s="6">
        <v>290</v>
      </c>
      <c r="E333" s="6">
        <v>185.6</v>
      </c>
      <c r="F333" s="6">
        <v>6</v>
      </c>
      <c r="G333" s="6">
        <v>1740</v>
      </c>
      <c r="H333" t="s">
        <v>68</v>
      </c>
      <c r="I333" t="s">
        <v>79</v>
      </c>
      <c r="J333" t="s">
        <v>86</v>
      </c>
    </row>
    <row r="334" spans="1:10" x14ac:dyDescent="0.3">
      <c r="A334" s="2">
        <v>44160</v>
      </c>
      <c r="B334" s="2">
        <v>44165</v>
      </c>
      <c r="C334" t="s">
        <v>14</v>
      </c>
      <c r="D334" s="6">
        <v>375</v>
      </c>
      <c r="E334" s="6">
        <v>247.5</v>
      </c>
      <c r="F334" s="6">
        <v>4</v>
      </c>
      <c r="G334" s="6">
        <v>1500</v>
      </c>
      <c r="H334" t="s">
        <v>44</v>
      </c>
      <c r="I334" t="s">
        <v>80</v>
      </c>
      <c r="J334" t="s">
        <v>85</v>
      </c>
    </row>
    <row r="335" spans="1:10" x14ac:dyDescent="0.3">
      <c r="A335" s="2">
        <v>44160</v>
      </c>
      <c r="B335" s="2">
        <v>44163</v>
      </c>
      <c r="C335" t="s">
        <v>14</v>
      </c>
      <c r="D335" s="6">
        <v>375</v>
      </c>
      <c r="E335" s="6">
        <v>247.5</v>
      </c>
      <c r="F335" s="6">
        <v>5</v>
      </c>
      <c r="G335" s="6">
        <v>1875</v>
      </c>
      <c r="H335" t="s">
        <v>57</v>
      </c>
      <c r="I335" t="s">
        <v>80</v>
      </c>
      <c r="J335" t="s">
        <v>85</v>
      </c>
    </row>
    <row r="336" spans="1:10" x14ac:dyDescent="0.3">
      <c r="A336" s="2">
        <v>44162</v>
      </c>
      <c r="B336" s="2">
        <v>44169</v>
      </c>
      <c r="C336" t="s">
        <v>7</v>
      </c>
      <c r="D336" s="6">
        <v>250</v>
      </c>
      <c r="E336" s="6">
        <v>167.5</v>
      </c>
      <c r="F336" s="6">
        <v>4</v>
      </c>
      <c r="G336" s="6">
        <v>1000</v>
      </c>
      <c r="H336" t="s">
        <v>43</v>
      </c>
      <c r="I336" t="s">
        <v>79</v>
      </c>
      <c r="J336" t="s">
        <v>86</v>
      </c>
    </row>
    <row r="337" spans="1:10" x14ac:dyDescent="0.3">
      <c r="A337" s="2">
        <v>44165</v>
      </c>
      <c r="B337" s="2">
        <v>44170</v>
      </c>
      <c r="C337" t="s">
        <v>13</v>
      </c>
      <c r="D337" s="6">
        <v>445</v>
      </c>
      <c r="E337" s="6">
        <v>280.35000000000002</v>
      </c>
      <c r="F337" s="6">
        <v>1</v>
      </c>
      <c r="G337" s="6">
        <v>445</v>
      </c>
      <c r="H337" t="s">
        <v>70</v>
      </c>
      <c r="I337" t="s">
        <v>83</v>
      </c>
      <c r="J337" t="s">
        <v>86</v>
      </c>
    </row>
    <row r="338" spans="1:10" x14ac:dyDescent="0.3">
      <c r="A338" s="2">
        <v>44166</v>
      </c>
      <c r="B338" s="2">
        <v>44169</v>
      </c>
      <c r="C338" t="s">
        <v>5</v>
      </c>
      <c r="D338" s="6">
        <v>290</v>
      </c>
      <c r="E338" s="6">
        <v>185.6</v>
      </c>
      <c r="F338" s="6">
        <v>9</v>
      </c>
      <c r="G338" s="6">
        <v>2610</v>
      </c>
      <c r="H338" t="s">
        <v>51</v>
      </c>
      <c r="I338" t="s">
        <v>80</v>
      </c>
      <c r="J338" t="s">
        <v>86</v>
      </c>
    </row>
    <row r="339" spans="1:10" x14ac:dyDescent="0.3">
      <c r="A339" s="2">
        <v>44167</v>
      </c>
      <c r="B339" s="2">
        <v>44169</v>
      </c>
      <c r="C339" t="s">
        <v>4</v>
      </c>
      <c r="D339" s="6">
        <v>390</v>
      </c>
      <c r="E339" s="6">
        <v>288.60000000000002</v>
      </c>
      <c r="F339" s="6">
        <v>2</v>
      </c>
      <c r="G339" s="6">
        <v>780</v>
      </c>
      <c r="H339" t="s">
        <v>33</v>
      </c>
      <c r="I339" t="s">
        <v>82</v>
      </c>
      <c r="J339" t="s">
        <v>86</v>
      </c>
    </row>
    <row r="340" spans="1:10" x14ac:dyDescent="0.3">
      <c r="A340" s="2">
        <v>44169</v>
      </c>
      <c r="B340" s="2">
        <v>44171</v>
      </c>
      <c r="C340" t="s">
        <v>13</v>
      </c>
      <c r="D340" s="6">
        <v>445</v>
      </c>
      <c r="E340" s="6">
        <v>280.35000000000002</v>
      </c>
      <c r="F340" s="6">
        <v>4</v>
      </c>
      <c r="G340" s="6">
        <v>1780</v>
      </c>
      <c r="H340" t="s">
        <v>66</v>
      </c>
      <c r="I340" t="s">
        <v>79</v>
      </c>
      <c r="J340" t="s">
        <v>85</v>
      </c>
    </row>
    <row r="341" spans="1:10" x14ac:dyDescent="0.3">
      <c r="A341" s="2">
        <v>44170</v>
      </c>
      <c r="B341" s="2">
        <v>44177</v>
      </c>
      <c r="C341" t="s">
        <v>7</v>
      </c>
      <c r="D341" s="6">
        <v>250</v>
      </c>
      <c r="E341" s="6">
        <v>167.5</v>
      </c>
      <c r="F341" s="6">
        <v>8</v>
      </c>
      <c r="G341" s="6">
        <v>2000</v>
      </c>
      <c r="H341" t="s">
        <v>38</v>
      </c>
      <c r="I341" t="s">
        <v>82</v>
      </c>
      <c r="J341" t="s">
        <v>86</v>
      </c>
    </row>
    <row r="342" spans="1:10" x14ac:dyDescent="0.3">
      <c r="A342" s="2">
        <v>44175</v>
      </c>
      <c r="B342" s="2">
        <v>44179</v>
      </c>
      <c r="C342" t="s">
        <v>8</v>
      </c>
      <c r="D342" s="6">
        <v>59</v>
      </c>
      <c r="E342" s="6">
        <v>41.3</v>
      </c>
      <c r="F342" s="6">
        <v>3</v>
      </c>
      <c r="G342" s="6">
        <v>177</v>
      </c>
      <c r="H342" t="s">
        <v>34</v>
      </c>
      <c r="I342" t="s">
        <v>82</v>
      </c>
      <c r="J342" t="s">
        <v>86</v>
      </c>
    </row>
    <row r="343" spans="1:10" x14ac:dyDescent="0.3">
      <c r="A343" s="2">
        <v>44175</v>
      </c>
      <c r="B343" s="2">
        <v>44182</v>
      </c>
      <c r="C343" t="s">
        <v>23</v>
      </c>
      <c r="D343" s="6">
        <v>275</v>
      </c>
      <c r="E343" s="6">
        <v>200.75</v>
      </c>
      <c r="F343" s="6">
        <v>9</v>
      </c>
      <c r="G343" s="6">
        <v>2475</v>
      </c>
      <c r="H343" t="s">
        <v>51</v>
      </c>
      <c r="I343" t="s">
        <v>82</v>
      </c>
      <c r="J343" t="s">
        <v>85</v>
      </c>
    </row>
    <row r="344" spans="1:10" x14ac:dyDescent="0.3">
      <c r="A344" s="2">
        <v>44176</v>
      </c>
      <c r="B344" s="2">
        <v>44182</v>
      </c>
      <c r="C344" t="s">
        <v>4</v>
      </c>
      <c r="D344" s="6">
        <v>390</v>
      </c>
      <c r="E344" s="6">
        <v>288.60000000000002</v>
      </c>
      <c r="F344" s="6">
        <v>7</v>
      </c>
      <c r="G344" s="6">
        <v>2730</v>
      </c>
      <c r="H344" t="s">
        <v>75</v>
      </c>
      <c r="I344" t="s">
        <v>79</v>
      </c>
      <c r="J344" t="s">
        <v>86</v>
      </c>
    </row>
    <row r="345" spans="1:10" x14ac:dyDescent="0.3">
      <c r="A345" s="2">
        <v>44178</v>
      </c>
      <c r="B345" s="2">
        <v>44183</v>
      </c>
      <c r="C345" t="s">
        <v>5</v>
      </c>
      <c r="D345" s="6">
        <v>290</v>
      </c>
      <c r="E345" s="6">
        <v>185.6</v>
      </c>
      <c r="F345" s="6">
        <v>7</v>
      </c>
      <c r="G345" s="6">
        <v>2030</v>
      </c>
      <c r="H345" t="s">
        <v>41</v>
      </c>
      <c r="I345" t="s">
        <v>82</v>
      </c>
      <c r="J345" t="s">
        <v>86</v>
      </c>
    </row>
    <row r="346" spans="1:10" x14ac:dyDescent="0.3">
      <c r="A346" s="2">
        <v>44179</v>
      </c>
      <c r="B346" s="2">
        <v>44181</v>
      </c>
      <c r="C346" t="s">
        <v>16</v>
      </c>
      <c r="D346" s="6">
        <v>145</v>
      </c>
      <c r="E346" s="6">
        <v>105.85</v>
      </c>
      <c r="F346" s="6">
        <v>1</v>
      </c>
      <c r="G346" s="6">
        <v>145</v>
      </c>
      <c r="H346" t="s">
        <v>48</v>
      </c>
      <c r="I346" t="s">
        <v>82</v>
      </c>
      <c r="J346" t="s">
        <v>85</v>
      </c>
    </row>
    <row r="347" spans="1:10" x14ac:dyDescent="0.3">
      <c r="A347" s="2">
        <v>44182</v>
      </c>
      <c r="B347" s="2">
        <v>44185</v>
      </c>
      <c r="C347" t="s">
        <v>7</v>
      </c>
      <c r="D347" s="6">
        <v>250</v>
      </c>
      <c r="E347" s="6">
        <v>167.5</v>
      </c>
      <c r="F347" s="6">
        <v>5</v>
      </c>
      <c r="G347" s="6">
        <v>1250</v>
      </c>
      <c r="H347" t="s">
        <v>43</v>
      </c>
      <c r="I347" t="s">
        <v>79</v>
      </c>
      <c r="J347" t="s">
        <v>86</v>
      </c>
    </row>
    <row r="348" spans="1:10" x14ac:dyDescent="0.3">
      <c r="A348" s="2">
        <v>44183</v>
      </c>
      <c r="B348" s="2">
        <v>44185</v>
      </c>
      <c r="C348" t="s">
        <v>7</v>
      </c>
      <c r="D348" s="6">
        <v>250</v>
      </c>
      <c r="E348" s="6">
        <v>167.5</v>
      </c>
      <c r="F348" s="6">
        <v>9</v>
      </c>
      <c r="G348" s="6">
        <v>2250</v>
      </c>
      <c r="H348" t="s">
        <v>76</v>
      </c>
      <c r="I348" t="s">
        <v>80</v>
      </c>
      <c r="J348" t="s">
        <v>85</v>
      </c>
    </row>
    <row r="349" spans="1:10" x14ac:dyDescent="0.3">
      <c r="A349" s="2">
        <v>44185</v>
      </c>
      <c r="B349" s="2">
        <v>44191</v>
      </c>
      <c r="C349" t="s">
        <v>7</v>
      </c>
      <c r="D349" s="6">
        <v>250</v>
      </c>
      <c r="E349" s="6">
        <v>167.5</v>
      </c>
      <c r="F349" s="6">
        <v>5</v>
      </c>
      <c r="G349" s="6">
        <v>1250</v>
      </c>
      <c r="H349" t="s">
        <v>69</v>
      </c>
      <c r="I349" t="s">
        <v>83</v>
      </c>
      <c r="J349" t="s">
        <v>86</v>
      </c>
    </row>
    <row r="350" spans="1:10" x14ac:dyDescent="0.3">
      <c r="A350" s="2">
        <v>44186</v>
      </c>
      <c r="B350" s="2">
        <v>44187</v>
      </c>
      <c r="C350" t="s">
        <v>15</v>
      </c>
      <c r="D350" s="6">
        <v>110</v>
      </c>
      <c r="E350" s="6">
        <v>78.099999999999994</v>
      </c>
      <c r="F350" s="6">
        <v>1</v>
      </c>
      <c r="G350" s="6">
        <v>110</v>
      </c>
      <c r="H350" t="s">
        <v>33</v>
      </c>
      <c r="I350" t="s">
        <v>82</v>
      </c>
      <c r="J350" t="s">
        <v>86</v>
      </c>
    </row>
    <row r="351" spans="1:10" x14ac:dyDescent="0.3">
      <c r="A351" s="2">
        <v>44188</v>
      </c>
      <c r="B351" s="2">
        <v>44195</v>
      </c>
      <c r="C351" t="s">
        <v>20</v>
      </c>
      <c r="D351" s="6">
        <v>440</v>
      </c>
      <c r="E351" s="6">
        <v>286</v>
      </c>
      <c r="F351" s="6">
        <v>9</v>
      </c>
      <c r="G351" s="6">
        <v>3960</v>
      </c>
      <c r="H351" t="s">
        <v>67</v>
      </c>
      <c r="I351" t="s">
        <v>79</v>
      </c>
      <c r="J351" t="s">
        <v>86</v>
      </c>
    </row>
    <row r="352" spans="1:10" x14ac:dyDescent="0.3">
      <c r="A352" s="2">
        <v>44189</v>
      </c>
      <c r="B352" s="2">
        <v>44196</v>
      </c>
      <c r="C352" t="s">
        <v>19</v>
      </c>
      <c r="D352" s="6">
        <v>220</v>
      </c>
      <c r="E352" s="6">
        <v>154</v>
      </c>
      <c r="F352" s="6">
        <v>3</v>
      </c>
      <c r="G352" s="6">
        <v>660</v>
      </c>
      <c r="H352" t="s">
        <v>51</v>
      </c>
      <c r="I352" t="s">
        <v>79</v>
      </c>
      <c r="J352" t="s">
        <v>85</v>
      </c>
    </row>
    <row r="353" spans="1:10" x14ac:dyDescent="0.3">
      <c r="A353" s="2">
        <v>44190</v>
      </c>
      <c r="B353" s="2">
        <v>44196</v>
      </c>
      <c r="C353" t="s">
        <v>8</v>
      </c>
      <c r="D353" s="6">
        <v>59</v>
      </c>
      <c r="E353" s="6">
        <v>41.3</v>
      </c>
      <c r="F353" s="6">
        <v>2</v>
      </c>
      <c r="G353" s="6">
        <v>118</v>
      </c>
      <c r="H353" t="s">
        <v>42</v>
      </c>
      <c r="I353" t="s">
        <v>83</v>
      </c>
      <c r="J353" t="s">
        <v>86</v>
      </c>
    </row>
    <row r="354" spans="1:10" x14ac:dyDescent="0.3">
      <c r="A354" s="2">
        <v>44192</v>
      </c>
      <c r="B354" s="2">
        <v>44196</v>
      </c>
      <c r="C354" t="s">
        <v>7</v>
      </c>
      <c r="D354" s="6">
        <v>250</v>
      </c>
      <c r="E354" s="6">
        <v>167.5</v>
      </c>
      <c r="F354" s="6">
        <v>3</v>
      </c>
      <c r="G354" s="6">
        <v>750</v>
      </c>
      <c r="H354" t="s">
        <v>76</v>
      </c>
      <c r="I354" t="s">
        <v>80</v>
      </c>
      <c r="J354" t="s">
        <v>86</v>
      </c>
    </row>
    <row r="355" spans="1:10" x14ac:dyDescent="0.3">
      <c r="A355" s="2">
        <v>44195</v>
      </c>
      <c r="B355" s="2">
        <v>44202</v>
      </c>
      <c r="C355" t="s">
        <v>8</v>
      </c>
      <c r="D355" s="6">
        <v>59</v>
      </c>
      <c r="E355" s="6">
        <v>41.3</v>
      </c>
      <c r="F355" s="6">
        <v>6</v>
      </c>
      <c r="G355" s="6">
        <v>354</v>
      </c>
      <c r="H355" t="s">
        <v>59</v>
      </c>
      <c r="I355" t="s">
        <v>79</v>
      </c>
      <c r="J355" t="s">
        <v>86</v>
      </c>
    </row>
    <row r="356" spans="1:10" x14ac:dyDescent="0.3">
      <c r="A356" s="2">
        <v>44200</v>
      </c>
      <c r="B356" s="2">
        <v>44206</v>
      </c>
      <c r="C356" t="s">
        <v>18</v>
      </c>
      <c r="D356" s="6">
        <v>80</v>
      </c>
      <c r="E356" s="6">
        <v>48.8</v>
      </c>
      <c r="F356" s="6">
        <v>3</v>
      </c>
      <c r="G356" s="6">
        <v>240</v>
      </c>
      <c r="H356" t="s">
        <v>58</v>
      </c>
      <c r="I356" t="s">
        <v>83</v>
      </c>
      <c r="J356" t="s">
        <v>85</v>
      </c>
    </row>
    <row r="357" spans="1:10" x14ac:dyDescent="0.3">
      <c r="A357" s="2">
        <v>44200</v>
      </c>
      <c r="B357" s="2">
        <v>44202</v>
      </c>
      <c r="C357" t="s">
        <v>2</v>
      </c>
      <c r="D357" s="6">
        <v>250</v>
      </c>
      <c r="E357" s="6">
        <v>187.5</v>
      </c>
      <c r="F357" s="6">
        <v>7</v>
      </c>
      <c r="G357" s="6">
        <v>1750</v>
      </c>
      <c r="H357" t="s">
        <v>39</v>
      </c>
      <c r="I357" t="s">
        <v>80</v>
      </c>
      <c r="J357" t="s">
        <v>85</v>
      </c>
    </row>
    <row r="358" spans="1:10" x14ac:dyDescent="0.3">
      <c r="A358" s="2">
        <v>44201</v>
      </c>
      <c r="B358" s="2">
        <v>44206</v>
      </c>
      <c r="C358" t="s">
        <v>9</v>
      </c>
      <c r="D358" s="6">
        <v>215</v>
      </c>
      <c r="E358" s="6">
        <v>152.65</v>
      </c>
      <c r="F358" s="6">
        <v>3</v>
      </c>
      <c r="G358" s="6">
        <v>645</v>
      </c>
      <c r="H358" t="s">
        <v>65</v>
      </c>
      <c r="I358" t="s">
        <v>83</v>
      </c>
      <c r="J358" t="s">
        <v>86</v>
      </c>
    </row>
    <row r="359" spans="1:10" x14ac:dyDescent="0.3">
      <c r="A359" s="2">
        <v>44201</v>
      </c>
      <c r="B359" s="2">
        <v>44203</v>
      </c>
      <c r="C359" t="s">
        <v>2</v>
      </c>
      <c r="D359" s="6">
        <v>250</v>
      </c>
      <c r="E359" s="6">
        <v>187.5</v>
      </c>
      <c r="F359" s="6">
        <v>9</v>
      </c>
      <c r="G359" s="6">
        <v>2250</v>
      </c>
      <c r="H359" t="s">
        <v>30</v>
      </c>
      <c r="I359" t="s">
        <v>79</v>
      </c>
      <c r="J359" t="s">
        <v>86</v>
      </c>
    </row>
    <row r="360" spans="1:10" x14ac:dyDescent="0.3">
      <c r="A360" s="2">
        <v>44201</v>
      </c>
      <c r="B360" s="2">
        <v>44208</v>
      </c>
      <c r="C360" t="s">
        <v>8</v>
      </c>
      <c r="D360" s="6">
        <v>59</v>
      </c>
      <c r="E360" s="6">
        <v>41.3</v>
      </c>
      <c r="F360" s="6">
        <v>6</v>
      </c>
      <c r="G360" s="6">
        <v>354</v>
      </c>
      <c r="H360" t="s">
        <v>64</v>
      </c>
      <c r="I360" t="s">
        <v>81</v>
      </c>
      <c r="J360" t="s">
        <v>86</v>
      </c>
    </row>
    <row r="361" spans="1:10" x14ac:dyDescent="0.3">
      <c r="A361" s="2">
        <v>44201</v>
      </c>
      <c r="B361" s="2">
        <v>44203</v>
      </c>
      <c r="C361" t="s">
        <v>22</v>
      </c>
      <c r="D361" s="6">
        <v>460</v>
      </c>
      <c r="E361" s="6">
        <v>303.60000000000002</v>
      </c>
      <c r="F361" s="6">
        <v>8</v>
      </c>
      <c r="G361" s="6">
        <v>3680</v>
      </c>
      <c r="H361" t="s">
        <v>36</v>
      </c>
      <c r="I361" t="s">
        <v>82</v>
      </c>
      <c r="J361" t="s">
        <v>86</v>
      </c>
    </row>
    <row r="362" spans="1:10" x14ac:dyDescent="0.3">
      <c r="A362" s="2">
        <v>44201</v>
      </c>
      <c r="B362" s="2">
        <v>44205</v>
      </c>
      <c r="C362" t="s">
        <v>21</v>
      </c>
      <c r="D362" s="6">
        <v>355</v>
      </c>
      <c r="E362" s="6">
        <v>252.04999999999998</v>
      </c>
      <c r="F362" s="6">
        <v>1</v>
      </c>
      <c r="G362" s="6">
        <v>355</v>
      </c>
      <c r="H362" t="s">
        <v>64</v>
      </c>
      <c r="I362" t="s">
        <v>80</v>
      </c>
      <c r="J362" t="s">
        <v>86</v>
      </c>
    </row>
    <row r="363" spans="1:10" x14ac:dyDescent="0.3">
      <c r="A363" s="2">
        <v>44201</v>
      </c>
      <c r="B363" s="2">
        <v>44207</v>
      </c>
      <c r="C363" t="s">
        <v>6</v>
      </c>
      <c r="D363" s="6">
        <v>99</v>
      </c>
      <c r="E363" s="6">
        <v>62.37</v>
      </c>
      <c r="F363" s="6">
        <v>2</v>
      </c>
      <c r="G363" s="6">
        <v>198</v>
      </c>
      <c r="H363" t="s">
        <v>34</v>
      </c>
      <c r="I363" t="s">
        <v>80</v>
      </c>
      <c r="J363" t="s">
        <v>86</v>
      </c>
    </row>
    <row r="364" spans="1:10" x14ac:dyDescent="0.3">
      <c r="A364" s="2">
        <v>44202</v>
      </c>
      <c r="B364" s="2">
        <v>44203</v>
      </c>
      <c r="C364" t="s">
        <v>15</v>
      </c>
      <c r="D364" s="6">
        <v>110</v>
      </c>
      <c r="E364" s="6">
        <v>78.099999999999994</v>
      </c>
      <c r="F364" s="6">
        <v>4</v>
      </c>
      <c r="G364" s="6">
        <v>440</v>
      </c>
      <c r="H364" t="s">
        <v>58</v>
      </c>
      <c r="I364" t="s">
        <v>82</v>
      </c>
      <c r="J364" t="s">
        <v>85</v>
      </c>
    </row>
    <row r="365" spans="1:10" x14ac:dyDescent="0.3">
      <c r="A365" s="2">
        <v>44202</v>
      </c>
      <c r="B365" s="2">
        <v>44209</v>
      </c>
      <c r="C365" t="s">
        <v>3</v>
      </c>
      <c r="D365" s="6">
        <v>95</v>
      </c>
      <c r="E365" s="6">
        <v>60.800000000000004</v>
      </c>
      <c r="F365" s="6">
        <v>8</v>
      </c>
      <c r="G365" s="6">
        <v>760</v>
      </c>
      <c r="H365" t="s">
        <v>54</v>
      </c>
      <c r="I365" t="s">
        <v>79</v>
      </c>
      <c r="J365" t="s">
        <v>85</v>
      </c>
    </row>
    <row r="366" spans="1:10" x14ac:dyDescent="0.3">
      <c r="A366" s="2">
        <v>44203</v>
      </c>
      <c r="B366" s="2">
        <v>44210</v>
      </c>
      <c r="C366" t="s">
        <v>15</v>
      </c>
      <c r="D366" s="6">
        <v>110</v>
      </c>
      <c r="E366" s="6">
        <v>78.099999999999994</v>
      </c>
      <c r="F366" s="6">
        <v>3</v>
      </c>
      <c r="G366" s="6">
        <v>330</v>
      </c>
      <c r="H366" t="s">
        <v>59</v>
      </c>
      <c r="I366" t="s">
        <v>81</v>
      </c>
      <c r="J366" t="s">
        <v>86</v>
      </c>
    </row>
    <row r="367" spans="1:10" x14ac:dyDescent="0.3">
      <c r="A367" s="2">
        <v>44205</v>
      </c>
      <c r="B367" s="2">
        <v>44211</v>
      </c>
      <c r="C367" t="s">
        <v>19</v>
      </c>
      <c r="D367" s="6">
        <v>220</v>
      </c>
      <c r="E367" s="6">
        <v>154</v>
      </c>
      <c r="F367" s="6">
        <v>8</v>
      </c>
      <c r="G367" s="6">
        <v>1760</v>
      </c>
      <c r="H367" t="s">
        <v>30</v>
      </c>
      <c r="I367" t="s">
        <v>83</v>
      </c>
      <c r="J367" t="s">
        <v>85</v>
      </c>
    </row>
    <row r="368" spans="1:10" x14ac:dyDescent="0.3">
      <c r="A368" s="2">
        <v>44206</v>
      </c>
      <c r="B368" s="2">
        <v>44213</v>
      </c>
      <c r="C368" t="s">
        <v>20</v>
      </c>
      <c r="D368" s="6">
        <v>440</v>
      </c>
      <c r="E368" s="6">
        <v>286</v>
      </c>
      <c r="F368" s="6">
        <v>1</v>
      </c>
      <c r="G368" s="6">
        <v>440</v>
      </c>
      <c r="H368" t="s">
        <v>54</v>
      </c>
      <c r="I368" t="s">
        <v>81</v>
      </c>
      <c r="J368" t="s">
        <v>86</v>
      </c>
    </row>
    <row r="369" spans="1:10" x14ac:dyDescent="0.3">
      <c r="A369" s="2">
        <v>44207</v>
      </c>
      <c r="B369" s="2">
        <v>44212</v>
      </c>
      <c r="C369" t="s">
        <v>15</v>
      </c>
      <c r="D369" s="6">
        <v>110</v>
      </c>
      <c r="E369" s="6">
        <v>78.099999999999994</v>
      </c>
      <c r="F369" s="6">
        <v>1</v>
      </c>
      <c r="G369" s="6">
        <v>110</v>
      </c>
      <c r="H369" t="s">
        <v>46</v>
      </c>
      <c r="I369" t="s">
        <v>83</v>
      </c>
      <c r="J369" t="s">
        <v>86</v>
      </c>
    </row>
    <row r="370" spans="1:10" x14ac:dyDescent="0.3">
      <c r="A370" s="2">
        <v>44208</v>
      </c>
      <c r="B370" s="2">
        <v>44209</v>
      </c>
      <c r="C370" t="s">
        <v>7</v>
      </c>
      <c r="D370" s="6">
        <v>250</v>
      </c>
      <c r="E370" s="6">
        <v>167.5</v>
      </c>
      <c r="F370" s="6">
        <v>7</v>
      </c>
      <c r="G370" s="6">
        <v>1750</v>
      </c>
      <c r="H370" t="s">
        <v>75</v>
      </c>
      <c r="I370" t="s">
        <v>83</v>
      </c>
      <c r="J370" t="s">
        <v>86</v>
      </c>
    </row>
    <row r="371" spans="1:10" x14ac:dyDescent="0.3">
      <c r="A371" s="2">
        <v>44209</v>
      </c>
      <c r="B371" s="2">
        <v>44216</v>
      </c>
      <c r="C371" t="s">
        <v>21</v>
      </c>
      <c r="D371" s="6">
        <v>355</v>
      </c>
      <c r="E371" s="6">
        <v>252.04999999999998</v>
      </c>
      <c r="F371" s="6">
        <v>9</v>
      </c>
      <c r="G371" s="6">
        <v>3195</v>
      </c>
      <c r="H371" t="s">
        <v>68</v>
      </c>
      <c r="I371" t="s">
        <v>82</v>
      </c>
      <c r="J371" t="s">
        <v>85</v>
      </c>
    </row>
    <row r="372" spans="1:10" x14ac:dyDescent="0.3">
      <c r="A372" s="2">
        <v>44210</v>
      </c>
      <c r="B372" s="2">
        <v>44213</v>
      </c>
      <c r="C372" t="s">
        <v>19</v>
      </c>
      <c r="D372" s="6">
        <v>220</v>
      </c>
      <c r="E372" s="6">
        <v>154</v>
      </c>
      <c r="F372" s="6">
        <v>9</v>
      </c>
      <c r="G372" s="6">
        <v>1980</v>
      </c>
      <c r="H372" t="s">
        <v>66</v>
      </c>
      <c r="I372" t="s">
        <v>79</v>
      </c>
      <c r="J372" t="s">
        <v>86</v>
      </c>
    </row>
    <row r="373" spans="1:10" x14ac:dyDescent="0.3">
      <c r="A373" s="2">
        <v>44210</v>
      </c>
      <c r="B373" s="2">
        <v>44215</v>
      </c>
      <c r="C373" t="s">
        <v>3</v>
      </c>
      <c r="D373" s="6">
        <v>95</v>
      </c>
      <c r="E373" s="6">
        <v>60.800000000000004</v>
      </c>
      <c r="F373" s="6">
        <v>5</v>
      </c>
      <c r="G373" s="6">
        <v>475</v>
      </c>
      <c r="H373" t="s">
        <v>66</v>
      </c>
      <c r="I373" t="s">
        <v>83</v>
      </c>
      <c r="J373" t="s">
        <v>86</v>
      </c>
    </row>
    <row r="374" spans="1:10" x14ac:dyDescent="0.3">
      <c r="A374" s="2">
        <v>44213</v>
      </c>
      <c r="B374" s="2">
        <v>44219</v>
      </c>
      <c r="C374" t="s">
        <v>6</v>
      </c>
      <c r="D374" s="6">
        <v>99</v>
      </c>
      <c r="E374" s="6">
        <v>62.37</v>
      </c>
      <c r="F374" s="6">
        <v>5</v>
      </c>
      <c r="G374" s="6">
        <v>495</v>
      </c>
      <c r="H374" t="s">
        <v>45</v>
      </c>
      <c r="I374" t="s">
        <v>82</v>
      </c>
      <c r="J374" t="s">
        <v>86</v>
      </c>
    </row>
    <row r="375" spans="1:10" x14ac:dyDescent="0.3">
      <c r="A375" s="2">
        <v>44214</v>
      </c>
      <c r="B375" s="2">
        <v>44217</v>
      </c>
      <c r="C375" t="s">
        <v>20</v>
      </c>
      <c r="D375" s="6">
        <v>440</v>
      </c>
      <c r="E375" s="6">
        <v>286</v>
      </c>
      <c r="F375" s="6">
        <v>1</v>
      </c>
      <c r="G375" s="6">
        <v>440</v>
      </c>
      <c r="H375" t="s">
        <v>56</v>
      </c>
      <c r="I375" t="s">
        <v>81</v>
      </c>
      <c r="J375" t="s">
        <v>86</v>
      </c>
    </row>
    <row r="376" spans="1:10" x14ac:dyDescent="0.3">
      <c r="A376" s="2">
        <v>44214</v>
      </c>
      <c r="B376" s="2">
        <v>44219</v>
      </c>
      <c r="C376" t="s">
        <v>2</v>
      </c>
      <c r="D376" s="6">
        <v>250</v>
      </c>
      <c r="E376" s="6">
        <v>187.5</v>
      </c>
      <c r="F376" s="6">
        <v>2</v>
      </c>
      <c r="G376" s="6">
        <v>500</v>
      </c>
      <c r="H376" t="s">
        <v>45</v>
      </c>
      <c r="I376" t="s">
        <v>83</v>
      </c>
      <c r="J376" t="s">
        <v>86</v>
      </c>
    </row>
    <row r="377" spans="1:10" x14ac:dyDescent="0.3">
      <c r="A377" s="2">
        <v>44214</v>
      </c>
      <c r="B377" s="2">
        <v>44220</v>
      </c>
      <c r="C377" t="s">
        <v>22</v>
      </c>
      <c r="D377" s="6">
        <v>460</v>
      </c>
      <c r="E377" s="6">
        <v>303.60000000000002</v>
      </c>
      <c r="F377" s="6">
        <v>2</v>
      </c>
      <c r="G377" s="6">
        <v>920</v>
      </c>
      <c r="H377" t="s">
        <v>32</v>
      </c>
      <c r="I377" t="s">
        <v>83</v>
      </c>
      <c r="J377" t="s">
        <v>86</v>
      </c>
    </row>
    <row r="378" spans="1:10" x14ac:dyDescent="0.3">
      <c r="A378" s="2">
        <v>44214</v>
      </c>
      <c r="B378" s="2">
        <v>44215</v>
      </c>
      <c r="C378" t="s">
        <v>21</v>
      </c>
      <c r="D378" s="6">
        <v>355</v>
      </c>
      <c r="E378" s="6">
        <v>252.04999999999998</v>
      </c>
      <c r="F378" s="6">
        <v>8</v>
      </c>
      <c r="G378" s="6">
        <v>2840</v>
      </c>
      <c r="H378" t="s">
        <v>52</v>
      </c>
      <c r="I378" t="s">
        <v>83</v>
      </c>
      <c r="J378" t="s">
        <v>85</v>
      </c>
    </row>
    <row r="379" spans="1:10" x14ac:dyDescent="0.3">
      <c r="A379" s="2">
        <v>44217</v>
      </c>
      <c r="B379" s="2">
        <v>44224</v>
      </c>
      <c r="C379" t="s">
        <v>16</v>
      </c>
      <c r="D379" s="6">
        <v>145</v>
      </c>
      <c r="E379" s="6">
        <v>105.85</v>
      </c>
      <c r="F379" s="6">
        <v>3</v>
      </c>
      <c r="G379" s="6">
        <v>435</v>
      </c>
      <c r="H379" t="s">
        <v>42</v>
      </c>
      <c r="I379" t="s">
        <v>80</v>
      </c>
      <c r="J379" t="s">
        <v>85</v>
      </c>
    </row>
    <row r="380" spans="1:10" x14ac:dyDescent="0.3">
      <c r="A380" s="2">
        <v>44217</v>
      </c>
      <c r="B380" s="2">
        <v>44221</v>
      </c>
      <c r="C380" t="s">
        <v>5</v>
      </c>
      <c r="D380" s="6">
        <v>290</v>
      </c>
      <c r="E380" s="6">
        <v>185.6</v>
      </c>
      <c r="F380" s="6">
        <v>2</v>
      </c>
      <c r="G380" s="6">
        <v>580</v>
      </c>
      <c r="H380" t="s">
        <v>30</v>
      </c>
      <c r="I380" t="s">
        <v>83</v>
      </c>
      <c r="J380" t="s">
        <v>85</v>
      </c>
    </row>
    <row r="381" spans="1:10" x14ac:dyDescent="0.3">
      <c r="A381" s="2">
        <v>44217</v>
      </c>
      <c r="B381" s="2">
        <v>44218</v>
      </c>
      <c r="C381" t="s">
        <v>9</v>
      </c>
      <c r="D381" s="6">
        <v>215</v>
      </c>
      <c r="E381" s="6">
        <v>152.65</v>
      </c>
      <c r="F381" s="6">
        <v>5</v>
      </c>
      <c r="G381" s="6">
        <v>1075</v>
      </c>
      <c r="H381" t="s">
        <v>42</v>
      </c>
      <c r="I381" t="s">
        <v>83</v>
      </c>
      <c r="J381" t="s">
        <v>86</v>
      </c>
    </row>
    <row r="382" spans="1:10" x14ac:dyDescent="0.3">
      <c r="A382" s="2">
        <v>44218</v>
      </c>
      <c r="B382" s="2">
        <v>44223</v>
      </c>
      <c r="C382" t="s">
        <v>6</v>
      </c>
      <c r="D382" s="6">
        <v>99</v>
      </c>
      <c r="E382" s="6">
        <v>62.37</v>
      </c>
      <c r="F382" s="6">
        <v>6</v>
      </c>
      <c r="G382" s="6">
        <v>594</v>
      </c>
      <c r="H382" t="s">
        <v>57</v>
      </c>
      <c r="I382" t="s">
        <v>80</v>
      </c>
      <c r="J382" t="s">
        <v>85</v>
      </c>
    </row>
    <row r="383" spans="1:10" x14ac:dyDescent="0.3">
      <c r="A383" s="2">
        <v>44220</v>
      </c>
      <c r="B383" s="2">
        <v>44221</v>
      </c>
      <c r="C383" t="s">
        <v>6</v>
      </c>
      <c r="D383" s="6">
        <v>99</v>
      </c>
      <c r="E383" s="6">
        <v>62.37</v>
      </c>
      <c r="F383" s="6">
        <v>7</v>
      </c>
      <c r="G383" s="6">
        <v>693</v>
      </c>
      <c r="H383" t="s">
        <v>66</v>
      </c>
      <c r="I383" t="s">
        <v>79</v>
      </c>
      <c r="J383" t="s">
        <v>86</v>
      </c>
    </row>
    <row r="384" spans="1:10" x14ac:dyDescent="0.3">
      <c r="A384" s="2">
        <v>44221</v>
      </c>
      <c r="B384" s="2">
        <v>44227</v>
      </c>
      <c r="C384" t="s">
        <v>9</v>
      </c>
      <c r="D384" s="6">
        <v>215</v>
      </c>
      <c r="E384" s="6">
        <v>152.65</v>
      </c>
      <c r="F384" s="6">
        <v>1</v>
      </c>
      <c r="G384" s="6">
        <v>215</v>
      </c>
      <c r="H384" t="s">
        <v>67</v>
      </c>
      <c r="I384" t="s">
        <v>82</v>
      </c>
      <c r="J384" t="s">
        <v>86</v>
      </c>
    </row>
    <row r="385" spans="1:10" x14ac:dyDescent="0.3">
      <c r="A385" s="2">
        <v>44222</v>
      </c>
      <c r="B385" s="2">
        <v>44224</v>
      </c>
      <c r="C385" t="s">
        <v>10</v>
      </c>
      <c r="D385" s="6">
        <v>390</v>
      </c>
      <c r="E385" s="6">
        <v>253.5</v>
      </c>
      <c r="F385" s="6">
        <v>1</v>
      </c>
      <c r="G385" s="6">
        <v>390</v>
      </c>
      <c r="H385" t="s">
        <v>62</v>
      </c>
      <c r="I385" t="s">
        <v>83</v>
      </c>
      <c r="J385" t="s">
        <v>86</v>
      </c>
    </row>
    <row r="386" spans="1:10" x14ac:dyDescent="0.3">
      <c r="A386" s="2">
        <v>44223</v>
      </c>
      <c r="B386" s="2">
        <v>44225</v>
      </c>
      <c r="C386" t="s">
        <v>17</v>
      </c>
      <c r="D386" s="6">
        <v>195</v>
      </c>
      <c r="E386" s="6">
        <v>138.44999999999999</v>
      </c>
      <c r="F386" s="6">
        <v>5</v>
      </c>
      <c r="G386" s="6">
        <v>975</v>
      </c>
      <c r="H386" t="s">
        <v>33</v>
      </c>
      <c r="I386" t="s">
        <v>83</v>
      </c>
      <c r="J386" t="s">
        <v>85</v>
      </c>
    </row>
    <row r="387" spans="1:10" x14ac:dyDescent="0.3">
      <c r="A387" s="2">
        <v>44224</v>
      </c>
      <c r="B387" s="2">
        <v>44230</v>
      </c>
      <c r="C387" t="s">
        <v>5</v>
      </c>
      <c r="D387" s="6">
        <v>290</v>
      </c>
      <c r="E387" s="6">
        <v>185.6</v>
      </c>
      <c r="F387" s="6">
        <v>2</v>
      </c>
      <c r="G387" s="6">
        <v>580</v>
      </c>
      <c r="H387" t="s">
        <v>44</v>
      </c>
      <c r="I387" t="s">
        <v>81</v>
      </c>
      <c r="J387" t="s">
        <v>86</v>
      </c>
    </row>
    <row r="388" spans="1:10" x14ac:dyDescent="0.3">
      <c r="A388" s="2">
        <v>44225</v>
      </c>
      <c r="B388" s="2">
        <v>44231</v>
      </c>
      <c r="C388" t="s">
        <v>6</v>
      </c>
      <c r="D388" s="6">
        <v>99</v>
      </c>
      <c r="E388" s="6">
        <v>62.37</v>
      </c>
      <c r="F388" s="6">
        <v>3</v>
      </c>
      <c r="G388" s="6">
        <v>297</v>
      </c>
      <c r="H388" t="s">
        <v>67</v>
      </c>
      <c r="I388" t="s">
        <v>81</v>
      </c>
      <c r="J388" t="s">
        <v>86</v>
      </c>
    </row>
    <row r="389" spans="1:10" x14ac:dyDescent="0.3">
      <c r="A389" s="2">
        <v>44225</v>
      </c>
      <c r="B389" s="2">
        <v>44229</v>
      </c>
      <c r="C389" t="s">
        <v>23</v>
      </c>
      <c r="D389" s="6">
        <v>275</v>
      </c>
      <c r="E389" s="6">
        <v>200.75</v>
      </c>
      <c r="F389" s="6">
        <v>7</v>
      </c>
      <c r="G389" s="6">
        <v>1925</v>
      </c>
      <c r="H389" t="s">
        <v>55</v>
      </c>
      <c r="I389" t="s">
        <v>83</v>
      </c>
      <c r="J389" t="s">
        <v>85</v>
      </c>
    </row>
    <row r="390" spans="1:10" x14ac:dyDescent="0.3">
      <c r="A390" s="2">
        <v>44228</v>
      </c>
      <c r="B390" s="2">
        <v>44229</v>
      </c>
      <c r="C390" t="s">
        <v>14</v>
      </c>
      <c r="D390" s="6">
        <v>375</v>
      </c>
      <c r="E390" s="6">
        <v>247.5</v>
      </c>
      <c r="F390" s="6">
        <v>4</v>
      </c>
      <c r="G390" s="6">
        <v>1500</v>
      </c>
      <c r="H390" t="s">
        <v>64</v>
      </c>
      <c r="I390" t="s">
        <v>81</v>
      </c>
      <c r="J390" t="s">
        <v>86</v>
      </c>
    </row>
    <row r="391" spans="1:10" x14ac:dyDescent="0.3">
      <c r="A391" s="2">
        <v>44230</v>
      </c>
      <c r="B391" s="2">
        <v>44231</v>
      </c>
      <c r="C391" t="s">
        <v>23</v>
      </c>
      <c r="D391" s="6">
        <v>275</v>
      </c>
      <c r="E391" s="6">
        <v>200.75</v>
      </c>
      <c r="F391" s="6">
        <v>2</v>
      </c>
      <c r="G391" s="6">
        <v>550</v>
      </c>
      <c r="H391" t="s">
        <v>40</v>
      </c>
      <c r="I391" t="s">
        <v>80</v>
      </c>
      <c r="J391" t="s">
        <v>86</v>
      </c>
    </row>
    <row r="392" spans="1:10" x14ac:dyDescent="0.3">
      <c r="A392" s="2">
        <v>44232</v>
      </c>
      <c r="B392" s="2">
        <v>44239</v>
      </c>
      <c r="C392" t="s">
        <v>22</v>
      </c>
      <c r="D392" s="6">
        <v>460</v>
      </c>
      <c r="E392" s="6">
        <v>303.60000000000002</v>
      </c>
      <c r="F392" s="6">
        <v>8</v>
      </c>
      <c r="G392" s="6">
        <v>3680</v>
      </c>
      <c r="H392" t="s">
        <v>50</v>
      </c>
      <c r="I392" t="s">
        <v>79</v>
      </c>
      <c r="J392" t="s">
        <v>86</v>
      </c>
    </row>
    <row r="393" spans="1:10" x14ac:dyDescent="0.3">
      <c r="A393" s="2">
        <v>44235</v>
      </c>
      <c r="B393" s="2">
        <v>44239</v>
      </c>
      <c r="C393" t="s">
        <v>23</v>
      </c>
      <c r="D393" s="6">
        <v>275</v>
      </c>
      <c r="E393" s="6">
        <v>200.75</v>
      </c>
      <c r="F393" s="6">
        <v>5</v>
      </c>
      <c r="G393" s="6">
        <v>1375</v>
      </c>
      <c r="H393" t="s">
        <v>34</v>
      </c>
      <c r="I393" t="s">
        <v>80</v>
      </c>
      <c r="J393" t="s">
        <v>86</v>
      </c>
    </row>
    <row r="394" spans="1:10" x14ac:dyDescent="0.3">
      <c r="A394" s="2">
        <v>44236</v>
      </c>
      <c r="B394" s="2">
        <v>44238</v>
      </c>
      <c r="C394" t="s">
        <v>5</v>
      </c>
      <c r="D394" s="6">
        <v>290</v>
      </c>
      <c r="E394" s="6">
        <v>185.6</v>
      </c>
      <c r="F394" s="6">
        <v>4</v>
      </c>
      <c r="G394" s="6">
        <v>1160</v>
      </c>
      <c r="H394" t="s">
        <v>31</v>
      </c>
      <c r="I394" t="s">
        <v>82</v>
      </c>
      <c r="J394" t="s">
        <v>86</v>
      </c>
    </row>
    <row r="395" spans="1:10" x14ac:dyDescent="0.3">
      <c r="A395" s="2">
        <v>44236</v>
      </c>
      <c r="B395" s="2">
        <v>44241</v>
      </c>
      <c r="C395" t="s">
        <v>2</v>
      </c>
      <c r="D395" s="6">
        <v>250</v>
      </c>
      <c r="E395" s="6">
        <v>187.5</v>
      </c>
      <c r="F395" s="6">
        <v>7</v>
      </c>
      <c r="G395" s="6">
        <v>1750</v>
      </c>
      <c r="H395" t="s">
        <v>37</v>
      </c>
      <c r="I395" t="s">
        <v>83</v>
      </c>
      <c r="J395" t="s">
        <v>86</v>
      </c>
    </row>
    <row r="396" spans="1:10" x14ac:dyDescent="0.3">
      <c r="A396" s="2">
        <v>44237</v>
      </c>
      <c r="B396" s="2">
        <v>44240</v>
      </c>
      <c r="C396" t="s">
        <v>20</v>
      </c>
      <c r="D396" s="6">
        <v>440</v>
      </c>
      <c r="E396" s="6">
        <v>286</v>
      </c>
      <c r="F396" s="6">
        <v>4</v>
      </c>
      <c r="G396" s="6">
        <v>1760</v>
      </c>
      <c r="H396" t="s">
        <v>57</v>
      </c>
      <c r="I396" t="s">
        <v>83</v>
      </c>
      <c r="J396" t="s">
        <v>86</v>
      </c>
    </row>
    <row r="397" spans="1:10" x14ac:dyDescent="0.3">
      <c r="A397" s="2">
        <v>44239</v>
      </c>
      <c r="B397" s="2">
        <v>44240</v>
      </c>
      <c r="C397" t="s">
        <v>3</v>
      </c>
      <c r="D397" s="6">
        <v>95</v>
      </c>
      <c r="E397" s="6">
        <v>60.800000000000004</v>
      </c>
      <c r="F397" s="6">
        <v>6</v>
      </c>
      <c r="G397" s="6">
        <v>570</v>
      </c>
      <c r="H397" t="s">
        <v>42</v>
      </c>
      <c r="I397" t="s">
        <v>81</v>
      </c>
      <c r="J397" t="s">
        <v>85</v>
      </c>
    </row>
    <row r="398" spans="1:10" x14ac:dyDescent="0.3">
      <c r="A398" s="2">
        <v>44239</v>
      </c>
      <c r="B398" s="2">
        <v>44241</v>
      </c>
      <c r="C398" t="s">
        <v>9</v>
      </c>
      <c r="D398" s="6">
        <v>215</v>
      </c>
      <c r="E398" s="6">
        <v>152.65</v>
      </c>
      <c r="F398" s="6">
        <v>6</v>
      </c>
      <c r="G398" s="6">
        <v>1290</v>
      </c>
      <c r="H398" t="s">
        <v>54</v>
      </c>
      <c r="I398" t="s">
        <v>79</v>
      </c>
      <c r="J398" t="s">
        <v>85</v>
      </c>
    </row>
    <row r="399" spans="1:10" x14ac:dyDescent="0.3">
      <c r="A399" s="2">
        <v>44240</v>
      </c>
      <c r="B399" s="2">
        <v>44243</v>
      </c>
      <c r="C399" t="s">
        <v>13</v>
      </c>
      <c r="D399" s="6">
        <v>445</v>
      </c>
      <c r="E399" s="6">
        <v>280.35000000000002</v>
      </c>
      <c r="F399" s="6">
        <v>6</v>
      </c>
      <c r="G399" s="6">
        <v>2670</v>
      </c>
      <c r="H399" t="s">
        <v>63</v>
      </c>
      <c r="I399" t="s">
        <v>80</v>
      </c>
      <c r="J399" t="s">
        <v>86</v>
      </c>
    </row>
    <row r="400" spans="1:10" x14ac:dyDescent="0.3">
      <c r="A400" s="2">
        <v>44241</v>
      </c>
      <c r="B400" s="2">
        <v>44242</v>
      </c>
      <c r="C400" t="s">
        <v>14</v>
      </c>
      <c r="D400" s="6">
        <v>375</v>
      </c>
      <c r="E400" s="6">
        <v>247.5</v>
      </c>
      <c r="F400" s="6">
        <v>1</v>
      </c>
      <c r="G400" s="6">
        <v>375</v>
      </c>
      <c r="H400" t="s">
        <v>50</v>
      </c>
      <c r="I400" t="s">
        <v>79</v>
      </c>
      <c r="J400" t="s">
        <v>86</v>
      </c>
    </row>
    <row r="401" spans="1:10" x14ac:dyDescent="0.3">
      <c r="A401" s="2">
        <v>44245</v>
      </c>
      <c r="B401" s="2">
        <v>44248</v>
      </c>
      <c r="C401" t="s">
        <v>17</v>
      </c>
      <c r="D401" s="6">
        <v>195</v>
      </c>
      <c r="E401" s="6">
        <v>138.44999999999999</v>
      </c>
      <c r="F401" s="6">
        <v>3</v>
      </c>
      <c r="G401" s="6">
        <v>585</v>
      </c>
      <c r="H401" t="s">
        <v>46</v>
      </c>
      <c r="I401" t="s">
        <v>81</v>
      </c>
      <c r="J401" t="s">
        <v>86</v>
      </c>
    </row>
    <row r="402" spans="1:10" x14ac:dyDescent="0.3">
      <c r="A402" s="2">
        <v>44246</v>
      </c>
      <c r="B402" s="2">
        <v>44247</v>
      </c>
      <c r="C402" t="s">
        <v>5</v>
      </c>
      <c r="D402" s="6">
        <v>290</v>
      </c>
      <c r="E402" s="6">
        <v>185.6</v>
      </c>
      <c r="F402" s="6">
        <v>3</v>
      </c>
      <c r="G402" s="6">
        <v>870</v>
      </c>
      <c r="H402" t="s">
        <v>31</v>
      </c>
      <c r="I402" t="s">
        <v>82</v>
      </c>
      <c r="J402" t="s">
        <v>85</v>
      </c>
    </row>
    <row r="403" spans="1:10" x14ac:dyDescent="0.3">
      <c r="A403" s="2">
        <v>44247</v>
      </c>
      <c r="B403" s="2">
        <v>44252</v>
      </c>
      <c r="C403" t="s">
        <v>17</v>
      </c>
      <c r="D403" s="6">
        <v>195</v>
      </c>
      <c r="E403" s="6">
        <v>138.44999999999999</v>
      </c>
      <c r="F403" s="6">
        <v>3</v>
      </c>
      <c r="G403" s="6">
        <v>585</v>
      </c>
      <c r="H403" t="s">
        <v>67</v>
      </c>
      <c r="I403" t="s">
        <v>79</v>
      </c>
      <c r="J403" t="s">
        <v>86</v>
      </c>
    </row>
    <row r="404" spans="1:10" x14ac:dyDescent="0.3">
      <c r="A404" s="2">
        <v>44247</v>
      </c>
      <c r="B404" s="2">
        <v>44253</v>
      </c>
      <c r="C404" t="s">
        <v>21</v>
      </c>
      <c r="D404" s="6">
        <v>355</v>
      </c>
      <c r="E404" s="6">
        <v>252.04999999999998</v>
      </c>
      <c r="F404" s="6">
        <v>7</v>
      </c>
      <c r="G404" s="6">
        <v>2485</v>
      </c>
      <c r="H404" t="s">
        <v>45</v>
      </c>
      <c r="I404" t="s">
        <v>79</v>
      </c>
      <c r="J404" t="s">
        <v>86</v>
      </c>
    </row>
    <row r="405" spans="1:10" x14ac:dyDescent="0.3">
      <c r="A405" s="2">
        <v>44249</v>
      </c>
      <c r="B405" s="2">
        <v>44254</v>
      </c>
      <c r="C405" t="s">
        <v>8</v>
      </c>
      <c r="D405" s="6">
        <v>59</v>
      </c>
      <c r="E405" s="6">
        <v>41.3</v>
      </c>
      <c r="F405" s="6">
        <v>1</v>
      </c>
      <c r="G405" s="6">
        <v>59</v>
      </c>
      <c r="H405" t="s">
        <v>42</v>
      </c>
      <c r="I405" t="s">
        <v>82</v>
      </c>
      <c r="J405" t="s">
        <v>86</v>
      </c>
    </row>
    <row r="406" spans="1:10" x14ac:dyDescent="0.3">
      <c r="A406" s="2">
        <v>44249</v>
      </c>
      <c r="B406" s="2">
        <v>44252</v>
      </c>
      <c r="C406" t="s">
        <v>12</v>
      </c>
      <c r="D406" s="6">
        <v>320</v>
      </c>
      <c r="E406" s="6">
        <v>233.6</v>
      </c>
      <c r="F406" s="6">
        <v>8</v>
      </c>
      <c r="G406" s="6">
        <v>2560</v>
      </c>
      <c r="H406" t="s">
        <v>70</v>
      </c>
      <c r="I406" t="s">
        <v>83</v>
      </c>
      <c r="J406" t="s">
        <v>86</v>
      </c>
    </row>
    <row r="407" spans="1:10" x14ac:dyDescent="0.3">
      <c r="A407" s="2">
        <v>44249</v>
      </c>
      <c r="B407" s="2">
        <v>44250</v>
      </c>
      <c r="C407" t="s">
        <v>11</v>
      </c>
      <c r="D407" s="6">
        <v>490</v>
      </c>
      <c r="E407" s="6">
        <v>298.89999999999998</v>
      </c>
      <c r="F407" s="6">
        <v>5</v>
      </c>
      <c r="G407" s="6">
        <v>2450</v>
      </c>
      <c r="H407" t="s">
        <v>42</v>
      </c>
      <c r="I407" t="s">
        <v>79</v>
      </c>
      <c r="J407" t="s">
        <v>86</v>
      </c>
    </row>
    <row r="408" spans="1:10" x14ac:dyDescent="0.3">
      <c r="A408" s="2">
        <v>44250</v>
      </c>
      <c r="B408" s="2">
        <v>44256</v>
      </c>
      <c r="C408" t="s">
        <v>5</v>
      </c>
      <c r="D408" s="6">
        <v>290</v>
      </c>
      <c r="E408" s="6">
        <v>185.6</v>
      </c>
      <c r="F408" s="6">
        <v>2</v>
      </c>
      <c r="G408" s="6">
        <v>580</v>
      </c>
      <c r="H408" t="s">
        <v>61</v>
      </c>
      <c r="I408" t="s">
        <v>81</v>
      </c>
      <c r="J408" t="s">
        <v>85</v>
      </c>
    </row>
    <row r="409" spans="1:10" x14ac:dyDescent="0.3">
      <c r="A409" s="2">
        <v>44251</v>
      </c>
      <c r="B409" s="2">
        <v>44258</v>
      </c>
      <c r="C409" t="s">
        <v>2</v>
      </c>
      <c r="D409" s="6">
        <v>250</v>
      </c>
      <c r="E409" s="6">
        <v>187.5</v>
      </c>
      <c r="F409" s="6">
        <v>7</v>
      </c>
      <c r="G409" s="6">
        <v>1750</v>
      </c>
      <c r="H409" t="s">
        <v>49</v>
      </c>
      <c r="I409" t="s">
        <v>83</v>
      </c>
      <c r="J409" t="s">
        <v>85</v>
      </c>
    </row>
    <row r="410" spans="1:10" x14ac:dyDescent="0.3">
      <c r="A410" s="2">
        <v>44251</v>
      </c>
      <c r="B410" s="2">
        <v>44255</v>
      </c>
      <c r="C410" t="s">
        <v>21</v>
      </c>
      <c r="D410" s="6">
        <v>355</v>
      </c>
      <c r="E410" s="6">
        <v>252.04999999999998</v>
      </c>
      <c r="F410" s="6">
        <v>4</v>
      </c>
      <c r="G410" s="6">
        <v>1420</v>
      </c>
      <c r="H410" t="s">
        <v>30</v>
      </c>
      <c r="I410" t="s">
        <v>79</v>
      </c>
      <c r="J410" t="s">
        <v>86</v>
      </c>
    </row>
    <row r="411" spans="1:10" x14ac:dyDescent="0.3">
      <c r="A411" s="2">
        <v>44251</v>
      </c>
      <c r="B411" s="2">
        <v>44256</v>
      </c>
      <c r="C411" t="s">
        <v>11</v>
      </c>
      <c r="D411" s="6">
        <v>490</v>
      </c>
      <c r="E411" s="6">
        <v>298.89999999999998</v>
      </c>
      <c r="F411" s="6">
        <v>1</v>
      </c>
      <c r="G411" s="6">
        <v>490</v>
      </c>
      <c r="H411" t="s">
        <v>39</v>
      </c>
      <c r="I411" t="s">
        <v>80</v>
      </c>
      <c r="J411" t="s">
        <v>85</v>
      </c>
    </row>
    <row r="412" spans="1:10" x14ac:dyDescent="0.3">
      <c r="A412" s="2">
        <v>44253</v>
      </c>
      <c r="B412" s="2">
        <v>44257</v>
      </c>
      <c r="C412" t="s">
        <v>5</v>
      </c>
      <c r="D412" s="6">
        <v>290</v>
      </c>
      <c r="E412" s="6">
        <v>185.6</v>
      </c>
      <c r="F412" s="6">
        <v>7</v>
      </c>
      <c r="G412" s="6">
        <v>2030</v>
      </c>
      <c r="H412" t="s">
        <v>39</v>
      </c>
      <c r="I412" t="s">
        <v>80</v>
      </c>
      <c r="J412" t="s">
        <v>85</v>
      </c>
    </row>
    <row r="413" spans="1:10" x14ac:dyDescent="0.3">
      <c r="A413" s="2">
        <v>44254</v>
      </c>
      <c r="B413" s="2">
        <v>44260</v>
      </c>
      <c r="C413" t="s">
        <v>22</v>
      </c>
      <c r="D413" s="6">
        <v>460</v>
      </c>
      <c r="E413" s="6">
        <v>303.60000000000002</v>
      </c>
      <c r="F413" s="6">
        <v>4</v>
      </c>
      <c r="G413" s="6">
        <v>1840</v>
      </c>
      <c r="H413" t="s">
        <v>54</v>
      </c>
      <c r="I413" t="s">
        <v>80</v>
      </c>
      <c r="J413" t="s">
        <v>85</v>
      </c>
    </row>
    <row r="414" spans="1:10" x14ac:dyDescent="0.3">
      <c r="A414" s="2">
        <v>44254</v>
      </c>
      <c r="B414" s="2">
        <v>44259</v>
      </c>
      <c r="C414" t="s">
        <v>19</v>
      </c>
      <c r="D414" s="6">
        <v>220</v>
      </c>
      <c r="E414" s="6">
        <v>154</v>
      </c>
      <c r="F414" s="6">
        <v>1</v>
      </c>
      <c r="G414" s="6">
        <v>220</v>
      </c>
      <c r="H414" t="s">
        <v>62</v>
      </c>
      <c r="I414" t="s">
        <v>81</v>
      </c>
      <c r="J414" t="s">
        <v>85</v>
      </c>
    </row>
    <row r="415" spans="1:10" x14ac:dyDescent="0.3">
      <c r="A415" s="2">
        <v>44255</v>
      </c>
      <c r="B415" s="2">
        <v>44258</v>
      </c>
      <c r="C415" t="s">
        <v>7</v>
      </c>
      <c r="D415" s="6">
        <v>250</v>
      </c>
      <c r="E415" s="6">
        <v>167.5</v>
      </c>
      <c r="F415" s="6">
        <v>5</v>
      </c>
      <c r="G415" s="6">
        <v>1250</v>
      </c>
      <c r="H415" t="s">
        <v>32</v>
      </c>
      <c r="I415" t="s">
        <v>81</v>
      </c>
      <c r="J415" t="s">
        <v>85</v>
      </c>
    </row>
    <row r="416" spans="1:10" x14ac:dyDescent="0.3">
      <c r="A416" s="2">
        <v>44255</v>
      </c>
      <c r="B416" s="2">
        <v>44260</v>
      </c>
      <c r="C416" t="s">
        <v>13</v>
      </c>
      <c r="D416" s="6">
        <v>445</v>
      </c>
      <c r="E416" s="6">
        <v>280.35000000000002</v>
      </c>
      <c r="F416" s="6">
        <v>1</v>
      </c>
      <c r="G416" s="6">
        <v>445</v>
      </c>
      <c r="H416" t="s">
        <v>56</v>
      </c>
      <c r="I416" t="s">
        <v>81</v>
      </c>
      <c r="J416" t="s">
        <v>85</v>
      </c>
    </row>
    <row r="417" spans="1:10" x14ac:dyDescent="0.3">
      <c r="A417" s="2">
        <v>44255</v>
      </c>
      <c r="B417" s="2">
        <v>44256</v>
      </c>
      <c r="C417" t="s">
        <v>4</v>
      </c>
      <c r="D417" s="6">
        <v>390</v>
      </c>
      <c r="E417" s="6">
        <v>288.60000000000002</v>
      </c>
      <c r="F417" s="6">
        <v>1</v>
      </c>
      <c r="G417" s="6">
        <v>390</v>
      </c>
      <c r="H417" t="s">
        <v>37</v>
      </c>
      <c r="I417" t="s">
        <v>83</v>
      </c>
      <c r="J417" t="s">
        <v>86</v>
      </c>
    </row>
    <row r="418" spans="1:10" x14ac:dyDescent="0.3">
      <c r="A418" s="2">
        <v>44258</v>
      </c>
      <c r="B418" s="2">
        <v>44261</v>
      </c>
      <c r="C418" t="s">
        <v>9</v>
      </c>
      <c r="D418" s="6">
        <v>215</v>
      </c>
      <c r="E418" s="6">
        <v>152.65</v>
      </c>
      <c r="F418" s="6">
        <v>4</v>
      </c>
      <c r="G418" s="6">
        <v>860</v>
      </c>
      <c r="H418" t="s">
        <v>62</v>
      </c>
      <c r="I418" t="s">
        <v>79</v>
      </c>
      <c r="J418" t="s">
        <v>85</v>
      </c>
    </row>
    <row r="419" spans="1:10" x14ac:dyDescent="0.3">
      <c r="A419" s="2">
        <v>44259</v>
      </c>
      <c r="B419" s="2">
        <v>44263</v>
      </c>
      <c r="C419" t="s">
        <v>20</v>
      </c>
      <c r="D419" s="6">
        <v>440</v>
      </c>
      <c r="E419" s="6">
        <v>286</v>
      </c>
      <c r="F419" s="6">
        <v>2</v>
      </c>
      <c r="G419" s="6">
        <v>880</v>
      </c>
      <c r="H419" t="s">
        <v>43</v>
      </c>
      <c r="I419" t="s">
        <v>83</v>
      </c>
      <c r="J419" t="s">
        <v>85</v>
      </c>
    </row>
    <row r="420" spans="1:10" x14ac:dyDescent="0.3">
      <c r="A420" s="2">
        <v>44265</v>
      </c>
      <c r="B420" s="2">
        <v>44269</v>
      </c>
      <c r="C420" t="s">
        <v>23</v>
      </c>
      <c r="D420" s="6">
        <v>275</v>
      </c>
      <c r="E420" s="6">
        <v>200.75</v>
      </c>
      <c r="F420" s="6">
        <v>8</v>
      </c>
      <c r="G420" s="6">
        <v>2200</v>
      </c>
      <c r="H420" t="s">
        <v>54</v>
      </c>
      <c r="I420" t="s">
        <v>80</v>
      </c>
      <c r="J420" t="s">
        <v>85</v>
      </c>
    </row>
    <row r="421" spans="1:10" x14ac:dyDescent="0.3">
      <c r="A421" s="2">
        <v>44266</v>
      </c>
      <c r="B421" s="2">
        <v>44267</v>
      </c>
      <c r="C421" t="s">
        <v>16</v>
      </c>
      <c r="D421" s="6">
        <v>145</v>
      </c>
      <c r="E421" s="6">
        <v>105.85</v>
      </c>
      <c r="F421" s="6">
        <v>5</v>
      </c>
      <c r="G421" s="6">
        <v>725</v>
      </c>
      <c r="H421" t="s">
        <v>50</v>
      </c>
      <c r="I421" t="s">
        <v>79</v>
      </c>
      <c r="J421" t="s">
        <v>85</v>
      </c>
    </row>
    <row r="422" spans="1:10" x14ac:dyDescent="0.3">
      <c r="A422" s="2">
        <v>44266</v>
      </c>
      <c r="B422" s="2">
        <v>44270</v>
      </c>
      <c r="C422" t="s">
        <v>18</v>
      </c>
      <c r="D422" s="6">
        <v>80</v>
      </c>
      <c r="E422" s="6">
        <v>48.8</v>
      </c>
      <c r="F422" s="6">
        <v>3</v>
      </c>
      <c r="G422" s="6">
        <v>240</v>
      </c>
      <c r="H422" t="s">
        <v>34</v>
      </c>
      <c r="I422" t="s">
        <v>82</v>
      </c>
      <c r="J422" t="s">
        <v>86</v>
      </c>
    </row>
    <row r="423" spans="1:10" x14ac:dyDescent="0.3">
      <c r="A423" s="2">
        <v>44266</v>
      </c>
      <c r="B423" s="2">
        <v>44270</v>
      </c>
      <c r="C423" t="s">
        <v>15</v>
      </c>
      <c r="D423" s="6">
        <v>110</v>
      </c>
      <c r="E423" s="6">
        <v>78.099999999999994</v>
      </c>
      <c r="F423" s="6">
        <v>5</v>
      </c>
      <c r="G423" s="6">
        <v>550</v>
      </c>
      <c r="H423" t="s">
        <v>38</v>
      </c>
      <c r="I423" t="s">
        <v>83</v>
      </c>
      <c r="J423" t="s">
        <v>85</v>
      </c>
    </row>
    <row r="424" spans="1:10" x14ac:dyDescent="0.3">
      <c r="A424" s="2">
        <v>44267</v>
      </c>
      <c r="B424" s="2">
        <v>44268</v>
      </c>
      <c r="C424" t="s">
        <v>20</v>
      </c>
      <c r="D424" s="6">
        <v>440</v>
      </c>
      <c r="E424" s="6">
        <v>286</v>
      </c>
      <c r="F424" s="6">
        <v>3</v>
      </c>
      <c r="G424" s="6">
        <v>1320</v>
      </c>
      <c r="H424" t="s">
        <v>60</v>
      </c>
      <c r="I424" t="s">
        <v>82</v>
      </c>
      <c r="J424" t="s">
        <v>85</v>
      </c>
    </row>
    <row r="425" spans="1:10" x14ac:dyDescent="0.3">
      <c r="A425" s="2">
        <v>44268</v>
      </c>
      <c r="B425" s="2">
        <v>44272</v>
      </c>
      <c r="C425" t="s">
        <v>15</v>
      </c>
      <c r="D425" s="6">
        <v>110</v>
      </c>
      <c r="E425" s="6">
        <v>78.099999999999994</v>
      </c>
      <c r="F425" s="6">
        <v>7</v>
      </c>
      <c r="G425" s="6">
        <v>770</v>
      </c>
      <c r="H425" t="s">
        <v>39</v>
      </c>
      <c r="I425" t="s">
        <v>83</v>
      </c>
      <c r="J425" t="s">
        <v>85</v>
      </c>
    </row>
    <row r="426" spans="1:10" x14ac:dyDescent="0.3">
      <c r="A426" s="2">
        <v>44268</v>
      </c>
      <c r="B426" s="2">
        <v>44271</v>
      </c>
      <c r="C426" t="s">
        <v>3</v>
      </c>
      <c r="D426" s="6">
        <v>95</v>
      </c>
      <c r="E426" s="6">
        <v>60.800000000000004</v>
      </c>
      <c r="F426" s="6">
        <v>4</v>
      </c>
      <c r="G426" s="6">
        <v>380</v>
      </c>
      <c r="H426" t="s">
        <v>70</v>
      </c>
      <c r="I426" t="s">
        <v>79</v>
      </c>
      <c r="J426" t="s">
        <v>86</v>
      </c>
    </row>
    <row r="427" spans="1:10" x14ac:dyDescent="0.3">
      <c r="A427" s="2">
        <v>44268</v>
      </c>
      <c r="B427" s="2">
        <v>44269</v>
      </c>
      <c r="C427" t="s">
        <v>11</v>
      </c>
      <c r="D427" s="6">
        <v>490</v>
      </c>
      <c r="E427" s="6">
        <v>298.89999999999998</v>
      </c>
      <c r="F427" s="6">
        <v>1</v>
      </c>
      <c r="G427" s="6">
        <v>490</v>
      </c>
      <c r="H427" t="s">
        <v>53</v>
      </c>
      <c r="I427" t="s">
        <v>81</v>
      </c>
      <c r="J427" t="s">
        <v>85</v>
      </c>
    </row>
    <row r="428" spans="1:10" x14ac:dyDescent="0.3">
      <c r="A428" s="2">
        <v>44270</v>
      </c>
      <c r="B428" s="2">
        <v>44271</v>
      </c>
      <c r="C428" t="s">
        <v>16</v>
      </c>
      <c r="D428" s="6">
        <v>145</v>
      </c>
      <c r="E428" s="6">
        <v>105.85</v>
      </c>
      <c r="F428" s="6">
        <v>3</v>
      </c>
      <c r="G428" s="6">
        <v>435</v>
      </c>
      <c r="H428" t="s">
        <v>68</v>
      </c>
      <c r="I428" t="s">
        <v>80</v>
      </c>
      <c r="J428" t="s">
        <v>85</v>
      </c>
    </row>
    <row r="429" spans="1:10" x14ac:dyDescent="0.3">
      <c r="A429" s="2">
        <v>44271</v>
      </c>
      <c r="B429" s="2">
        <v>44274</v>
      </c>
      <c r="C429" t="s">
        <v>20</v>
      </c>
      <c r="D429" s="6">
        <v>440</v>
      </c>
      <c r="E429" s="6">
        <v>286</v>
      </c>
      <c r="F429" s="6">
        <v>9</v>
      </c>
      <c r="G429" s="6">
        <v>3960</v>
      </c>
      <c r="H429" t="s">
        <v>72</v>
      </c>
      <c r="I429" t="s">
        <v>83</v>
      </c>
      <c r="J429" t="s">
        <v>86</v>
      </c>
    </row>
    <row r="430" spans="1:10" x14ac:dyDescent="0.3">
      <c r="A430" s="2">
        <v>44271</v>
      </c>
      <c r="B430" s="2">
        <v>44278</v>
      </c>
      <c r="C430" t="s">
        <v>19</v>
      </c>
      <c r="D430" s="6">
        <v>220</v>
      </c>
      <c r="E430" s="6">
        <v>154</v>
      </c>
      <c r="F430" s="6">
        <v>9</v>
      </c>
      <c r="G430" s="6">
        <v>1980</v>
      </c>
      <c r="H430" t="s">
        <v>53</v>
      </c>
      <c r="I430" t="s">
        <v>79</v>
      </c>
      <c r="J430" t="s">
        <v>86</v>
      </c>
    </row>
    <row r="431" spans="1:10" x14ac:dyDescent="0.3">
      <c r="A431" s="2">
        <v>44273</v>
      </c>
      <c r="B431" s="2">
        <v>44280</v>
      </c>
      <c r="C431" t="s">
        <v>7</v>
      </c>
      <c r="D431" s="6">
        <v>250</v>
      </c>
      <c r="E431" s="6">
        <v>167.5</v>
      </c>
      <c r="F431" s="6">
        <v>7</v>
      </c>
      <c r="G431" s="6">
        <v>1750</v>
      </c>
      <c r="H431" t="s">
        <v>71</v>
      </c>
      <c r="I431" t="s">
        <v>80</v>
      </c>
      <c r="J431" t="s">
        <v>85</v>
      </c>
    </row>
    <row r="432" spans="1:10" x14ac:dyDescent="0.3">
      <c r="A432" s="2">
        <v>44274</v>
      </c>
      <c r="B432" s="2">
        <v>44277</v>
      </c>
      <c r="C432" t="s">
        <v>3</v>
      </c>
      <c r="D432" s="6">
        <v>95</v>
      </c>
      <c r="E432" s="6">
        <v>60.800000000000004</v>
      </c>
      <c r="F432" s="6">
        <v>3</v>
      </c>
      <c r="G432" s="6">
        <v>285</v>
      </c>
      <c r="H432" t="s">
        <v>31</v>
      </c>
      <c r="I432" t="s">
        <v>82</v>
      </c>
      <c r="J432" t="s">
        <v>85</v>
      </c>
    </row>
    <row r="433" spans="1:10" x14ac:dyDescent="0.3">
      <c r="A433" s="2">
        <v>44275</v>
      </c>
      <c r="B433" s="2">
        <v>44280</v>
      </c>
      <c r="C433" t="s">
        <v>19</v>
      </c>
      <c r="D433" s="6">
        <v>220</v>
      </c>
      <c r="E433" s="6">
        <v>154</v>
      </c>
      <c r="F433" s="6">
        <v>3</v>
      </c>
      <c r="G433" s="6">
        <v>660</v>
      </c>
      <c r="H433" t="s">
        <v>66</v>
      </c>
      <c r="I433" t="s">
        <v>83</v>
      </c>
      <c r="J433" t="s">
        <v>85</v>
      </c>
    </row>
    <row r="434" spans="1:10" x14ac:dyDescent="0.3">
      <c r="A434" s="2">
        <v>44276</v>
      </c>
      <c r="B434" s="2">
        <v>44278</v>
      </c>
      <c r="C434" t="s">
        <v>10</v>
      </c>
      <c r="D434" s="6">
        <v>390</v>
      </c>
      <c r="E434" s="6">
        <v>253.5</v>
      </c>
      <c r="F434" s="6">
        <v>1</v>
      </c>
      <c r="G434" s="6">
        <v>390</v>
      </c>
      <c r="H434" t="s">
        <v>58</v>
      </c>
      <c r="I434" t="s">
        <v>82</v>
      </c>
      <c r="J434" t="s">
        <v>86</v>
      </c>
    </row>
    <row r="435" spans="1:10" x14ac:dyDescent="0.3">
      <c r="A435" s="2">
        <v>44277</v>
      </c>
      <c r="B435" s="2">
        <v>44281</v>
      </c>
      <c r="C435" t="s">
        <v>23</v>
      </c>
      <c r="D435" s="6">
        <v>275</v>
      </c>
      <c r="E435" s="6">
        <v>200.75</v>
      </c>
      <c r="F435" s="6">
        <v>8</v>
      </c>
      <c r="G435" s="6">
        <v>2200</v>
      </c>
      <c r="H435" t="s">
        <v>40</v>
      </c>
      <c r="I435" t="s">
        <v>82</v>
      </c>
      <c r="J435" t="s">
        <v>85</v>
      </c>
    </row>
    <row r="436" spans="1:10" x14ac:dyDescent="0.3">
      <c r="A436" s="2">
        <v>44279</v>
      </c>
      <c r="B436" s="2">
        <v>44284</v>
      </c>
      <c r="C436" t="s">
        <v>15</v>
      </c>
      <c r="D436" s="6">
        <v>110</v>
      </c>
      <c r="E436" s="6">
        <v>78.099999999999994</v>
      </c>
      <c r="F436" s="6">
        <v>8</v>
      </c>
      <c r="G436" s="6">
        <v>880</v>
      </c>
      <c r="H436" t="s">
        <v>66</v>
      </c>
      <c r="I436" t="s">
        <v>80</v>
      </c>
      <c r="J436" t="s">
        <v>86</v>
      </c>
    </row>
    <row r="437" spans="1:10" x14ac:dyDescent="0.3">
      <c r="A437" s="2">
        <v>44281</v>
      </c>
      <c r="B437" s="2">
        <v>44288</v>
      </c>
      <c r="C437" t="s">
        <v>21</v>
      </c>
      <c r="D437" s="6">
        <v>355</v>
      </c>
      <c r="E437" s="6">
        <v>252.04999999999998</v>
      </c>
      <c r="F437" s="6">
        <v>7</v>
      </c>
      <c r="G437" s="6">
        <v>2485</v>
      </c>
      <c r="H437" t="s">
        <v>63</v>
      </c>
      <c r="I437" t="s">
        <v>82</v>
      </c>
      <c r="J437" t="s">
        <v>85</v>
      </c>
    </row>
    <row r="438" spans="1:10" x14ac:dyDescent="0.3">
      <c r="A438" s="2">
        <v>44281</v>
      </c>
      <c r="B438" s="2">
        <v>44284</v>
      </c>
      <c r="C438" t="s">
        <v>3</v>
      </c>
      <c r="D438" s="6">
        <v>95</v>
      </c>
      <c r="E438" s="6">
        <v>60.800000000000004</v>
      </c>
      <c r="F438" s="6">
        <v>4</v>
      </c>
      <c r="G438" s="6">
        <v>380</v>
      </c>
      <c r="H438" t="s">
        <v>64</v>
      </c>
      <c r="I438" t="s">
        <v>80</v>
      </c>
      <c r="J438" t="s">
        <v>86</v>
      </c>
    </row>
    <row r="439" spans="1:10" x14ac:dyDescent="0.3">
      <c r="A439" s="2">
        <v>44282</v>
      </c>
      <c r="B439" s="2">
        <v>44284</v>
      </c>
      <c r="C439" t="s">
        <v>16</v>
      </c>
      <c r="D439" s="6">
        <v>145</v>
      </c>
      <c r="E439" s="6">
        <v>105.85</v>
      </c>
      <c r="F439" s="6">
        <v>5</v>
      </c>
      <c r="G439" s="6">
        <v>725</v>
      </c>
      <c r="H439" t="s">
        <v>63</v>
      </c>
      <c r="I439" t="s">
        <v>82</v>
      </c>
      <c r="J439" t="s">
        <v>86</v>
      </c>
    </row>
    <row r="440" spans="1:10" x14ac:dyDescent="0.3">
      <c r="A440" s="2">
        <v>44282</v>
      </c>
      <c r="B440" s="2">
        <v>44289</v>
      </c>
      <c r="C440" t="s">
        <v>3</v>
      </c>
      <c r="D440" s="6">
        <v>95</v>
      </c>
      <c r="E440" s="6">
        <v>60.800000000000004</v>
      </c>
      <c r="F440" s="6">
        <v>5</v>
      </c>
      <c r="G440" s="6">
        <v>475</v>
      </c>
      <c r="H440" t="s">
        <v>71</v>
      </c>
      <c r="I440" t="s">
        <v>80</v>
      </c>
      <c r="J440" t="s">
        <v>86</v>
      </c>
    </row>
    <row r="441" spans="1:10" x14ac:dyDescent="0.3">
      <c r="A441" s="2">
        <v>44282</v>
      </c>
      <c r="B441" s="2">
        <v>44286</v>
      </c>
      <c r="C441" t="s">
        <v>18</v>
      </c>
      <c r="D441" s="6">
        <v>80</v>
      </c>
      <c r="E441" s="6">
        <v>48.8</v>
      </c>
      <c r="F441" s="6">
        <v>2</v>
      </c>
      <c r="G441" s="6">
        <v>160</v>
      </c>
      <c r="H441" t="s">
        <v>34</v>
      </c>
      <c r="I441" t="s">
        <v>79</v>
      </c>
      <c r="J441" t="s">
        <v>85</v>
      </c>
    </row>
    <row r="442" spans="1:10" x14ac:dyDescent="0.3">
      <c r="A442" s="2">
        <v>44284</v>
      </c>
      <c r="B442" s="2">
        <v>44289</v>
      </c>
      <c r="C442" t="s">
        <v>18</v>
      </c>
      <c r="D442" s="6">
        <v>80</v>
      </c>
      <c r="E442" s="6">
        <v>48.8</v>
      </c>
      <c r="F442" s="6">
        <v>6</v>
      </c>
      <c r="G442" s="6">
        <v>480</v>
      </c>
      <c r="H442" t="s">
        <v>64</v>
      </c>
      <c r="I442" t="s">
        <v>83</v>
      </c>
      <c r="J442" t="s">
        <v>85</v>
      </c>
    </row>
    <row r="443" spans="1:10" x14ac:dyDescent="0.3">
      <c r="A443" s="2">
        <v>44284</v>
      </c>
      <c r="B443" s="2">
        <v>44287</v>
      </c>
      <c r="C443" t="s">
        <v>2</v>
      </c>
      <c r="D443" s="6">
        <v>250</v>
      </c>
      <c r="E443" s="6">
        <v>187.5</v>
      </c>
      <c r="F443" s="6">
        <v>3</v>
      </c>
      <c r="G443" s="6">
        <v>750</v>
      </c>
      <c r="H443" t="s">
        <v>62</v>
      </c>
      <c r="I443" t="s">
        <v>80</v>
      </c>
      <c r="J443" t="s">
        <v>86</v>
      </c>
    </row>
    <row r="444" spans="1:10" x14ac:dyDescent="0.3">
      <c r="A444" s="2">
        <v>44285</v>
      </c>
      <c r="B444" s="2">
        <v>44287</v>
      </c>
      <c r="C444" t="s">
        <v>7</v>
      </c>
      <c r="D444" s="6">
        <v>250</v>
      </c>
      <c r="E444" s="6">
        <v>167.5</v>
      </c>
      <c r="F444" s="6">
        <v>8</v>
      </c>
      <c r="G444" s="6">
        <v>2000</v>
      </c>
      <c r="H444" t="s">
        <v>68</v>
      </c>
      <c r="I444" t="s">
        <v>81</v>
      </c>
      <c r="J444" t="s">
        <v>86</v>
      </c>
    </row>
    <row r="445" spans="1:10" x14ac:dyDescent="0.3">
      <c r="A445" s="2">
        <v>44285</v>
      </c>
      <c r="B445" s="2">
        <v>44292</v>
      </c>
      <c r="C445" t="s">
        <v>6</v>
      </c>
      <c r="D445" s="6">
        <v>99</v>
      </c>
      <c r="E445" s="6">
        <v>62.37</v>
      </c>
      <c r="F445" s="6">
        <v>8</v>
      </c>
      <c r="G445" s="6">
        <v>792</v>
      </c>
      <c r="H445" t="s">
        <v>36</v>
      </c>
      <c r="I445" t="s">
        <v>81</v>
      </c>
      <c r="J445" t="s">
        <v>85</v>
      </c>
    </row>
    <row r="446" spans="1:10" x14ac:dyDescent="0.3">
      <c r="A446" s="2">
        <v>44286</v>
      </c>
      <c r="B446" s="2">
        <v>44287</v>
      </c>
      <c r="C446" t="s">
        <v>22</v>
      </c>
      <c r="D446" s="6">
        <v>460</v>
      </c>
      <c r="E446" s="6">
        <v>303.60000000000002</v>
      </c>
      <c r="F446" s="6">
        <v>3</v>
      </c>
      <c r="G446" s="6">
        <v>1380</v>
      </c>
      <c r="H446" t="s">
        <v>44</v>
      </c>
      <c r="I446" t="s">
        <v>80</v>
      </c>
      <c r="J446" t="s">
        <v>86</v>
      </c>
    </row>
    <row r="447" spans="1:10" x14ac:dyDescent="0.3">
      <c r="A447" s="2">
        <v>44286</v>
      </c>
      <c r="B447" s="2">
        <v>44291</v>
      </c>
      <c r="C447" t="s">
        <v>5</v>
      </c>
      <c r="D447" s="6">
        <v>290</v>
      </c>
      <c r="E447" s="6">
        <v>185.6</v>
      </c>
      <c r="F447" s="6">
        <v>1</v>
      </c>
      <c r="G447" s="6">
        <v>290</v>
      </c>
      <c r="H447" t="s">
        <v>59</v>
      </c>
      <c r="I447" t="s">
        <v>82</v>
      </c>
      <c r="J447" t="s">
        <v>85</v>
      </c>
    </row>
    <row r="448" spans="1:10" x14ac:dyDescent="0.3">
      <c r="A448" s="2">
        <v>44286</v>
      </c>
      <c r="B448" s="2">
        <v>44290</v>
      </c>
      <c r="C448" t="s">
        <v>15</v>
      </c>
      <c r="D448" s="6">
        <v>110</v>
      </c>
      <c r="E448" s="6">
        <v>78.099999999999994</v>
      </c>
      <c r="F448" s="6">
        <v>4</v>
      </c>
      <c r="G448" s="6">
        <v>440</v>
      </c>
      <c r="H448" t="s">
        <v>42</v>
      </c>
      <c r="I448" t="s">
        <v>82</v>
      </c>
      <c r="J448" t="s">
        <v>86</v>
      </c>
    </row>
    <row r="449" spans="1:10" x14ac:dyDescent="0.3">
      <c r="A449" s="2">
        <v>44287</v>
      </c>
      <c r="B449" s="2">
        <v>44290</v>
      </c>
      <c r="C449" t="s">
        <v>15</v>
      </c>
      <c r="D449" s="6">
        <v>110</v>
      </c>
      <c r="E449" s="6">
        <v>78.099999999999994</v>
      </c>
      <c r="F449" s="6">
        <v>8</v>
      </c>
      <c r="G449" s="6">
        <v>880</v>
      </c>
      <c r="H449" t="s">
        <v>33</v>
      </c>
      <c r="I449" t="s">
        <v>81</v>
      </c>
      <c r="J449" t="s">
        <v>85</v>
      </c>
    </row>
    <row r="450" spans="1:10" x14ac:dyDescent="0.3">
      <c r="A450" s="2">
        <v>44288</v>
      </c>
      <c r="B450" s="2">
        <v>44292</v>
      </c>
      <c r="C450" t="s">
        <v>15</v>
      </c>
      <c r="D450" s="6">
        <v>110</v>
      </c>
      <c r="E450" s="6">
        <v>78.099999999999994</v>
      </c>
      <c r="F450" s="6">
        <v>7</v>
      </c>
      <c r="G450" s="6">
        <v>770</v>
      </c>
      <c r="H450" t="s">
        <v>61</v>
      </c>
      <c r="I450" t="s">
        <v>82</v>
      </c>
      <c r="J450" t="s">
        <v>86</v>
      </c>
    </row>
    <row r="451" spans="1:10" x14ac:dyDescent="0.3">
      <c r="A451" s="2">
        <v>44288</v>
      </c>
      <c r="B451" s="2">
        <v>44290</v>
      </c>
      <c r="C451" t="s">
        <v>2</v>
      </c>
      <c r="D451" s="6">
        <v>250</v>
      </c>
      <c r="E451" s="6">
        <v>187.5</v>
      </c>
      <c r="F451" s="6">
        <v>8</v>
      </c>
      <c r="G451" s="6">
        <v>2000</v>
      </c>
      <c r="H451" t="s">
        <v>54</v>
      </c>
      <c r="I451" t="s">
        <v>83</v>
      </c>
      <c r="J451" t="s">
        <v>85</v>
      </c>
    </row>
    <row r="452" spans="1:10" x14ac:dyDescent="0.3">
      <c r="A452" s="2">
        <v>44288</v>
      </c>
      <c r="B452" s="2">
        <v>44295</v>
      </c>
      <c r="C452" t="s">
        <v>18</v>
      </c>
      <c r="D452" s="6">
        <v>80</v>
      </c>
      <c r="E452" s="6">
        <v>48.8</v>
      </c>
      <c r="F452" s="6">
        <v>5</v>
      </c>
      <c r="G452" s="6">
        <v>400</v>
      </c>
      <c r="H452" t="s">
        <v>59</v>
      </c>
      <c r="I452" t="s">
        <v>82</v>
      </c>
      <c r="J452" t="s">
        <v>86</v>
      </c>
    </row>
    <row r="453" spans="1:10" x14ac:dyDescent="0.3">
      <c r="A453" s="2">
        <v>44291</v>
      </c>
      <c r="B453" s="2">
        <v>44295</v>
      </c>
      <c r="C453" t="s">
        <v>3</v>
      </c>
      <c r="D453" s="6">
        <v>95</v>
      </c>
      <c r="E453" s="6">
        <v>60.800000000000004</v>
      </c>
      <c r="F453" s="6">
        <v>1</v>
      </c>
      <c r="G453" s="6">
        <v>95</v>
      </c>
      <c r="H453" t="s">
        <v>30</v>
      </c>
      <c r="I453" t="s">
        <v>79</v>
      </c>
      <c r="J453" t="s">
        <v>85</v>
      </c>
    </row>
    <row r="454" spans="1:10" x14ac:dyDescent="0.3">
      <c r="A454" s="2">
        <v>44292</v>
      </c>
      <c r="B454" s="2">
        <v>44293</v>
      </c>
      <c r="C454" t="s">
        <v>21</v>
      </c>
      <c r="D454" s="6">
        <v>355</v>
      </c>
      <c r="E454" s="6">
        <v>252.04999999999998</v>
      </c>
      <c r="F454" s="6">
        <v>1</v>
      </c>
      <c r="G454" s="6">
        <v>355</v>
      </c>
      <c r="H454" t="s">
        <v>39</v>
      </c>
      <c r="I454" t="s">
        <v>79</v>
      </c>
      <c r="J454" t="s">
        <v>85</v>
      </c>
    </row>
    <row r="455" spans="1:10" x14ac:dyDescent="0.3">
      <c r="A455" s="2">
        <v>44293</v>
      </c>
      <c r="B455" s="2">
        <v>44297</v>
      </c>
      <c r="C455" t="s">
        <v>21</v>
      </c>
      <c r="D455" s="6">
        <v>355</v>
      </c>
      <c r="E455" s="6">
        <v>252.04999999999998</v>
      </c>
      <c r="F455" s="6">
        <v>9</v>
      </c>
      <c r="G455" s="6">
        <v>3195</v>
      </c>
      <c r="H455" t="s">
        <v>44</v>
      </c>
      <c r="I455" t="s">
        <v>83</v>
      </c>
      <c r="J455" t="s">
        <v>85</v>
      </c>
    </row>
    <row r="456" spans="1:10" x14ac:dyDescent="0.3">
      <c r="A456" s="2">
        <v>44293</v>
      </c>
      <c r="B456" s="2">
        <v>44297</v>
      </c>
      <c r="C456" t="s">
        <v>9</v>
      </c>
      <c r="D456" s="6">
        <v>215</v>
      </c>
      <c r="E456" s="6">
        <v>152.65</v>
      </c>
      <c r="F456" s="6">
        <v>5</v>
      </c>
      <c r="G456" s="6">
        <v>1075</v>
      </c>
      <c r="H456" t="s">
        <v>42</v>
      </c>
      <c r="I456" t="s">
        <v>83</v>
      </c>
      <c r="J456" t="s">
        <v>86</v>
      </c>
    </row>
    <row r="457" spans="1:10" x14ac:dyDescent="0.3">
      <c r="A457" s="2">
        <v>44294</v>
      </c>
      <c r="B457" s="2">
        <v>44296</v>
      </c>
      <c r="C457" t="s">
        <v>17</v>
      </c>
      <c r="D457" s="6">
        <v>195</v>
      </c>
      <c r="E457" s="6">
        <v>138.44999999999999</v>
      </c>
      <c r="F457" s="6">
        <v>9</v>
      </c>
      <c r="G457" s="6">
        <v>1755</v>
      </c>
      <c r="H457" t="s">
        <v>51</v>
      </c>
      <c r="I457" t="s">
        <v>81</v>
      </c>
      <c r="J457" t="s">
        <v>86</v>
      </c>
    </row>
    <row r="458" spans="1:10" x14ac:dyDescent="0.3">
      <c r="A458" s="2">
        <v>44297</v>
      </c>
      <c r="B458" s="2">
        <v>44301</v>
      </c>
      <c r="C458" t="s">
        <v>7</v>
      </c>
      <c r="D458" s="6">
        <v>250</v>
      </c>
      <c r="E458" s="6">
        <v>167.5</v>
      </c>
      <c r="F458" s="6">
        <v>3</v>
      </c>
      <c r="G458" s="6">
        <v>750</v>
      </c>
      <c r="H458" t="s">
        <v>57</v>
      </c>
      <c r="I458" t="s">
        <v>79</v>
      </c>
      <c r="J458" t="s">
        <v>85</v>
      </c>
    </row>
    <row r="459" spans="1:10" x14ac:dyDescent="0.3">
      <c r="A459" s="2">
        <v>44297</v>
      </c>
      <c r="B459" s="2">
        <v>44302</v>
      </c>
      <c r="C459" t="s">
        <v>21</v>
      </c>
      <c r="D459" s="6">
        <v>355</v>
      </c>
      <c r="E459" s="6">
        <v>252.04999999999998</v>
      </c>
      <c r="F459" s="6">
        <v>1</v>
      </c>
      <c r="G459" s="6">
        <v>355</v>
      </c>
      <c r="H459" t="s">
        <v>59</v>
      </c>
      <c r="I459" t="s">
        <v>79</v>
      </c>
      <c r="J459" t="s">
        <v>85</v>
      </c>
    </row>
    <row r="460" spans="1:10" x14ac:dyDescent="0.3">
      <c r="A460" s="2">
        <v>44298</v>
      </c>
      <c r="B460" s="2">
        <v>44304</v>
      </c>
      <c r="C460" t="s">
        <v>9</v>
      </c>
      <c r="D460" s="6">
        <v>215</v>
      </c>
      <c r="E460" s="6">
        <v>152.65</v>
      </c>
      <c r="F460" s="6">
        <v>8</v>
      </c>
      <c r="G460" s="6">
        <v>1720</v>
      </c>
      <c r="H460" t="s">
        <v>30</v>
      </c>
      <c r="I460" t="s">
        <v>79</v>
      </c>
      <c r="J460" t="s">
        <v>86</v>
      </c>
    </row>
    <row r="461" spans="1:10" x14ac:dyDescent="0.3">
      <c r="A461" s="2">
        <v>44298</v>
      </c>
      <c r="B461" s="2">
        <v>44303</v>
      </c>
      <c r="C461" t="s">
        <v>20</v>
      </c>
      <c r="D461" s="6">
        <v>440</v>
      </c>
      <c r="E461" s="6">
        <v>286</v>
      </c>
      <c r="F461" s="6">
        <v>5</v>
      </c>
      <c r="G461" s="6">
        <v>2200</v>
      </c>
      <c r="H461" t="s">
        <v>47</v>
      </c>
      <c r="I461" t="s">
        <v>82</v>
      </c>
      <c r="J461" t="s">
        <v>85</v>
      </c>
    </row>
    <row r="462" spans="1:10" x14ac:dyDescent="0.3">
      <c r="A462" s="2">
        <v>44301</v>
      </c>
      <c r="B462" s="2">
        <v>44303</v>
      </c>
      <c r="C462" t="s">
        <v>8</v>
      </c>
      <c r="D462" s="6">
        <v>59</v>
      </c>
      <c r="E462" s="6">
        <v>41.3</v>
      </c>
      <c r="F462" s="6">
        <v>9</v>
      </c>
      <c r="G462" s="6">
        <v>531</v>
      </c>
      <c r="H462" t="s">
        <v>51</v>
      </c>
      <c r="I462" t="s">
        <v>81</v>
      </c>
      <c r="J462" t="s">
        <v>85</v>
      </c>
    </row>
    <row r="463" spans="1:10" x14ac:dyDescent="0.3">
      <c r="A463" s="2">
        <v>44301</v>
      </c>
      <c r="B463" s="2">
        <v>44302</v>
      </c>
      <c r="C463" t="s">
        <v>9</v>
      </c>
      <c r="D463" s="6">
        <v>215</v>
      </c>
      <c r="E463" s="6">
        <v>152.65</v>
      </c>
      <c r="F463" s="6">
        <v>1</v>
      </c>
      <c r="G463" s="6">
        <v>215</v>
      </c>
      <c r="H463" t="s">
        <v>40</v>
      </c>
      <c r="I463" t="s">
        <v>83</v>
      </c>
      <c r="J463" t="s">
        <v>86</v>
      </c>
    </row>
    <row r="464" spans="1:10" x14ac:dyDescent="0.3">
      <c r="A464" s="2">
        <v>44303</v>
      </c>
      <c r="B464" s="2">
        <v>44309</v>
      </c>
      <c r="C464" t="s">
        <v>14</v>
      </c>
      <c r="D464" s="6">
        <v>375</v>
      </c>
      <c r="E464" s="6">
        <v>247.5</v>
      </c>
      <c r="F464" s="6">
        <v>7</v>
      </c>
      <c r="G464" s="6">
        <v>2625</v>
      </c>
      <c r="H464" t="s">
        <v>76</v>
      </c>
      <c r="I464" t="s">
        <v>79</v>
      </c>
      <c r="J464" t="s">
        <v>85</v>
      </c>
    </row>
    <row r="465" spans="1:10" x14ac:dyDescent="0.3">
      <c r="A465" s="2">
        <v>44303</v>
      </c>
      <c r="B465" s="2">
        <v>44309</v>
      </c>
      <c r="C465" t="s">
        <v>15</v>
      </c>
      <c r="D465" s="6">
        <v>110</v>
      </c>
      <c r="E465" s="6">
        <v>78.099999999999994</v>
      </c>
      <c r="F465" s="6">
        <v>3</v>
      </c>
      <c r="G465" s="6">
        <v>330</v>
      </c>
      <c r="H465" t="s">
        <v>42</v>
      </c>
      <c r="I465" t="s">
        <v>82</v>
      </c>
      <c r="J465" t="s">
        <v>86</v>
      </c>
    </row>
    <row r="466" spans="1:10" x14ac:dyDescent="0.3">
      <c r="A466" s="2">
        <v>44303</v>
      </c>
      <c r="B466" s="2">
        <v>44308</v>
      </c>
      <c r="C466" t="s">
        <v>11</v>
      </c>
      <c r="D466" s="6">
        <v>490</v>
      </c>
      <c r="E466" s="6">
        <v>298.89999999999998</v>
      </c>
      <c r="F466" s="6">
        <v>9</v>
      </c>
      <c r="G466" s="6">
        <v>4410</v>
      </c>
      <c r="H466" t="s">
        <v>60</v>
      </c>
      <c r="I466" t="s">
        <v>83</v>
      </c>
      <c r="J466" t="s">
        <v>85</v>
      </c>
    </row>
    <row r="467" spans="1:10" x14ac:dyDescent="0.3">
      <c r="A467" s="2">
        <v>44306</v>
      </c>
      <c r="B467" s="2">
        <v>44313</v>
      </c>
      <c r="C467" t="s">
        <v>18</v>
      </c>
      <c r="D467" s="6">
        <v>80</v>
      </c>
      <c r="E467" s="6">
        <v>48.8</v>
      </c>
      <c r="F467" s="6">
        <v>8</v>
      </c>
      <c r="G467" s="6">
        <v>640</v>
      </c>
      <c r="H467" t="s">
        <v>43</v>
      </c>
      <c r="I467" t="s">
        <v>82</v>
      </c>
      <c r="J467" t="s">
        <v>85</v>
      </c>
    </row>
    <row r="468" spans="1:10" x14ac:dyDescent="0.3">
      <c r="A468" s="2">
        <v>44306</v>
      </c>
      <c r="B468" s="2">
        <v>44308</v>
      </c>
      <c r="C468" t="s">
        <v>11</v>
      </c>
      <c r="D468" s="6">
        <v>490</v>
      </c>
      <c r="E468" s="6">
        <v>298.89999999999998</v>
      </c>
      <c r="F468" s="6">
        <v>2</v>
      </c>
      <c r="G468" s="6">
        <v>980</v>
      </c>
      <c r="H468" t="s">
        <v>50</v>
      </c>
      <c r="I468" t="s">
        <v>79</v>
      </c>
      <c r="J468" t="s">
        <v>86</v>
      </c>
    </row>
    <row r="469" spans="1:10" x14ac:dyDescent="0.3">
      <c r="A469" s="2">
        <v>44307</v>
      </c>
      <c r="B469" s="2">
        <v>44311</v>
      </c>
      <c r="C469" t="s">
        <v>4</v>
      </c>
      <c r="D469" s="6">
        <v>390</v>
      </c>
      <c r="E469" s="6">
        <v>288.60000000000002</v>
      </c>
      <c r="F469" s="6">
        <v>6</v>
      </c>
      <c r="G469" s="6">
        <v>2340</v>
      </c>
      <c r="H469" t="s">
        <v>56</v>
      </c>
      <c r="I469" t="s">
        <v>79</v>
      </c>
      <c r="J469" t="s">
        <v>85</v>
      </c>
    </row>
    <row r="470" spans="1:10" x14ac:dyDescent="0.3">
      <c r="A470" s="2">
        <v>44307</v>
      </c>
      <c r="B470" s="2">
        <v>44309</v>
      </c>
      <c r="C470" t="s">
        <v>20</v>
      </c>
      <c r="D470" s="6">
        <v>440</v>
      </c>
      <c r="E470" s="6">
        <v>286</v>
      </c>
      <c r="F470" s="6">
        <v>4</v>
      </c>
      <c r="G470" s="6">
        <v>1760</v>
      </c>
      <c r="H470" t="s">
        <v>29</v>
      </c>
      <c r="I470" t="s">
        <v>82</v>
      </c>
      <c r="J470" t="s">
        <v>86</v>
      </c>
    </row>
    <row r="471" spans="1:10" x14ac:dyDescent="0.3">
      <c r="A471" s="2">
        <v>44308</v>
      </c>
      <c r="B471" s="2">
        <v>44315</v>
      </c>
      <c r="C471" t="s">
        <v>7</v>
      </c>
      <c r="D471" s="6">
        <v>250</v>
      </c>
      <c r="E471" s="6">
        <v>167.5</v>
      </c>
      <c r="F471" s="6">
        <v>4</v>
      </c>
      <c r="G471" s="6">
        <v>1000</v>
      </c>
      <c r="H471" t="s">
        <v>67</v>
      </c>
      <c r="I471" t="s">
        <v>83</v>
      </c>
      <c r="J471" t="s">
        <v>85</v>
      </c>
    </row>
    <row r="472" spans="1:10" x14ac:dyDescent="0.3">
      <c r="A472" s="2">
        <v>44309</v>
      </c>
      <c r="B472" s="2">
        <v>44312</v>
      </c>
      <c r="C472" t="s">
        <v>6</v>
      </c>
      <c r="D472" s="6">
        <v>99</v>
      </c>
      <c r="E472" s="6">
        <v>62.37</v>
      </c>
      <c r="F472" s="6">
        <v>4</v>
      </c>
      <c r="G472" s="6">
        <v>396</v>
      </c>
      <c r="H472" t="s">
        <v>48</v>
      </c>
      <c r="I472" t="s">
        <v>80</v>
      </c>
      <c r="J472" t="s">
        <v>85</v>
      </c>
    </row>
    <row r="473" spans="1:10" x14ac:dyDescent="0.3">
      <c r="A473" s="2">
        <v>44309</v>
      </c>
      <c r="B473" s="2">
        <v>44314</v>
      </c>
      <c r="C473" t="s">
        <v>5</v>
      </c>
      <c r="D473" s="6">
        <v>290</v>
      </c>
      <c r="E473" s="6">
        <v>185.6</v>
      </c>
      <c r="F473" s="6">
        <v>9</v>
      </c>
      <c r="G473" s="6">
        <v>2610</v>
      </c>
      <c r="H473" t="s">
        <v>33</v>
      </c>
      <c r="I473" t="s">
        <v>79</v>
      </c>
      <c r="J473" t="s">
        <v>85</v>
      </c>
    </row>
    <row r="474" spans="1:10" x14ac:dyDescent="0.3">
      <c r="A474" s="2">
        <v>44310</v>
      </c>
      <c r="B474" s="2">
        <v>44312</v>
      </c>
      <c r="C474" t="s">
        <v>20</v>
      </c>
      <c r="D474" s="6">
        <v>440</v>
      </c>
      <c r="E474" s="6">
        <v>286</v>
      </c>
      <c r="F474" s="6">
        <v>7</v>
      </c>
      <c r="G474" s="6">
        <v>3080</v>
      </c>
      <c r="H474" t="s">
        <v>66</v>
      </c>
      <c r="I474" t="s">
        <v>79</v>
      </c>
      <c r="J474" t="s">
        <v>86</v>
      </c>
    </row>
    <row r="475" spans="1:10" x14ac:dyDescent="0.3">
      <c r="A475" s="2">
        <v>44312</v>
      </c>
      <c r="B475" s="2">
        <v>44318</v>
      </c>
      <c r="C475" t="s">
        <v>6</v>
      </c>
      <c r="D475" s="6">
        <v>99</v>
      </c>
      <c r="E475" s="6">
        <v>62.37</v>
      </c>
      <c r="F475" s="6">
        <v>2</v>
      </c>
      <c r="G475" s="6">
        <v>198</v>
      </c>
      <c r="H475" t="s">
        <v>67</v>
      </c>
      <c r="I475" t="s">
        <v>79</v>
      </c>
      <c r="J475" t="s">
        <v>86</v>
      </c>
    </row>
    <row r="476" spans="1:10" x14ac:dyDescent="0.3">
      <c r="A476" s="2">
        <v>44312</v>
      </c>
      <c r="B476" s="2">
        <v>44318</v>
      </c>
      <c r="C476" t="s">
        <v>2</v>
      </c>
      <c r="D476" s="6">
        <v>250</v>
      </c>
      <c r="E476" s="6">
        <v>187.5</v>
      </c>
      <c r="F476" s="6">
        <v>5</v>
      </c>
      <c r="G476" s="6">
        <v>1250</v>
      </c>
      <c r="H476" t="s">
        <v>74</v>
      </c>
      <c r="I476" t="s">
        <v>79</v>
      </c>
      <c r="J476" t="s">
        <v>85</v>
      </c>
    </row>
    <row r="477" spans="1:10" x14ac:dyDescent="0.3">
      <c r="A477" s="2">
        <v>44314</v>
      </c>
      <c r="B477" s="2">
        <v>44315</v>
      </c>
      <c r="C477" t="s">
        <v>21</v>
      </c>
      <c r="D477" s="6">
        <v>355</v>
      </c>
      <c r="E477" s="6">
        <v>252.04999999999998</v>
      </c>
      <c r="F477" s="6">
        <v>8</v>
      </c>
      <c r="G477" s="6">
        <v>2840</v>
      </c>
      <c r="H477" t="s">
        <v>59</v>
      </c>
      <c r="I477" t="s">
        <v>83</v>
      </c>
      <c r="J477" t="s">
        <v>86</v>
      </c>
    </row>
    <row r="478" spans="1:10" x14ac:dyDescent="0.3">
      <c r="A478" s="2">
        <v>44315</v>
      </c>
      <c r="B478" s="2">
        <v>44319</v>
      </c>
      <c r="C478" t="s">
        <v>4</v>
      </c>
      <c r="D478" s="6">
        <v>390</v>
      </c>
      <c r="E478" s="6">
        <v>288.60000000000002</v>
      </c>
      <c r="F478" s="6">
        <v>4</v>
      </c>
      <c r="G478" s="6">
        <v>1560</v>
      </c>
      <c r="H478" t="s">
        <v>43</v>
      </c>
      <c r="I478" t="s">
        <v>83</v>
      </c>
      <c r="J478" t="s">
        <v>86</v>
      </c>
    </row>
    <row r="479" spans="1:10" x14ac:dyDescent="0.3">
      <c r="A479" s="2">
        <v>44316</v>
      </c>
      <c r="B479" s="2">
        <v>44318</v>
      </c>
      <c r="C479" t="s">
        <v>11</v>
      </c>
      <c r="D479" s="6">
        <v>490</v>
      </c>
      <c r="E479" s="6">
        <v>298.89999999999998</v>
      </c>
      <c r="F479" s="6">
        <v>5</v>
      </c>
      <c r="G479" s="6">
        <v>2450</v>
      </c>
      <c r="H479" t="s">
        <v>62</v>
      </c>
      <c r="I479" t="s">
        <v>79</v>
      </c>
      <c r="J479" t="s">
        <v>85</v>
      </c>
    </row>
    <row r="480" spans="1:10" x14ac:dyDescent="0.3">
      <c r="A480" s="2">
        <v>44318</v>
      </c>
      <c r="B480" s="2">
        <v>44325</v>
      </c>
      <c r="C480" t="s">
        <v>8</v>
      </c>
      <c r="D480" s="6">
        <v>59</v>
      </c>
      <c r="E480" s="6">
        <v>41.3</v>
      </c>
      <c r="F480" s="6">
        <v>1</v>
      </c>
      <c r="G480" s="6">
        <v>59</v>
      </c>
      <c r="H480" t="s">
        <v>46</v>
      </c>
      <c r="I480" t="s">
        <v>81</v>
      </c>
      <c r="J480" t="s">
        <v>86</v>
      </c>
    </row>
    <row r="481" spans="1:10" x14ac:dyDescent="0.3">
      <c r="A481" s="2">
        <v>44319</v>
      </c>
      <c r="B481" s="2">
        <v>44324</v>
      </c>
      <c r="C481" t="s">
        <v>10</v>
      </c>
      <c r="D481" s="6">
        <v>390</v>
      </c>
      <c r="E481" s="6">
        <v>253.5</v>
      </c>
      <c r="F481" s="6">
        <v>4</v>
      </c>
      <c r="G481" s="6">
        <v>1560</v>
      </c>
      <c r="H481" t="s">
        <v>49</v>
      </c>
      <c r="I481" t="s">
        <v>83</v>
      </c>
      <c r="J481" t="s">
        <v>86</v>
      </c>
    </row>
    <row r="482" spans="1:10" x14ac:dyDescent="0.3">
      <c r="A482" s="2">
        <v>44321</v>
      </c>
      <c r="B482" s="2">
        <v>44328</v>
      </c>
      <c r="C482" t="s">
        <v>9</v>
      </c>
      <c r="D482" s="6">
        <v>215</v>
      </c>
      <c r="E482" s="6">
        <v>152.65</v>
      </c>
      <c r="F482" s="6">
        <v>1</v>
      </c>
      <c r="G482" s="6">
        <v>215</v>
      </c>
      <c r="H482" t="s">
        <v>71</v>
      </c>
      <c r="I482" t="s">
        <v>80</v>
      </c>
      <c r="J482" t="s">
        <v>85</v>
      </c>
    </row>
    <row r="483" spans="1:10" x14ac:dyDescent="0.3">
      <c r="A483" s="2">
        <v>44322</v>
      </c>
      <c r="B483" s="2">
        <v>44326</v>
      </c>
      <c r="C483" t="s">
        <v>8</v>
      </c>
      <c r="D483" s="6">
        <v>59</v>
      </c>
      <c r="E483" s="6">
        <v>41.3</v>
      </c>
      <c r="F483" s="6">
        <v>5</v>
      </c>
      <c r="G483" s="6">
        <v>295</v>
      </c>
      <c r="H483" t="s">
        <v>31</v>
      </c>
      <c r="I483" t="s">
        <v>83</v>
      </c>
      <c r="J483" t="s">
        <v>86</v>
      </c>
    </row>
    <row r="484" spans="1:10" x14ac:dyDescent="0.3">
      <c r="A484" s="2">
        <v>44324</v>
      </c>
      <c r="B484" s="2">
        <v>44330</v>
      </c>
      <c r="C484" t="s">
        <v>9</v>
      </c>
      <c r="D484" s="6">
        <v>215</v>
      </c>
      <c r="E484" s="6">
        <v>152.65</v>
      </c>
      <c r="F484" s="6">
        <v>3</v>
      </c>
      <c r="G484" s="6">
        <v>645</v>
      </c>
      <c r="H484" t="s">
        <v>43</v>
      </c>
      <c r="I484" t="s">
        <v>83</v>
      </c>
      <c r="J484" t="s">
        <v>86</v>
      </c>
    </row>
    <row r="485" spans="1:10" x14ac:dyDescent="0.3">
      <c r="A485" s="2">
        <v>44326</v>
      </c>
      <c r="B485" s="2">
        <v>44333</v>
      </c>
      <c r="C485" t="s">
        <v>2</v>
      </c>
      <c r="D485" s="6">
        <v>250</v>
      </c>
      <c r="E485" s="6">
        <v>187.5</v>
      </c>
      <c r="F485" s="6">
        <v>3</v>
      </c>
      <c r="G485" s="6">
        <v>750</v>
      </c>
      <c r="H485" t="s">
        <v>33</v>
      </c>
      <c r="I485" t="s">
        <v>80</v>
      </c>
      <c r="J485" t="s">
        <v>85</v>
      </c>
    </row>
    <row r="486" spans="1:10" x14ac:dyDescent="0.3">
      <c r="A486" s="2">
        <v>44328</v>
      </c>
      <c r="B486" s="2">
        <v>44335</v>
      </c>
      <c r="C486" t="s">
        <v>5</v>
      </c>
      <c r="D486" s="6">
        <v>290</v>
      </c>
      <c r="E486" s="6">
        <v>185.6</v>
      </c>
      <c r="F486" s="6">
        <v>2</v>
      </c>
      <c r="G486" s="6">
        <v>580</v>
      </c>
      <c r="H486" t="s">
        <v>31</v>
      </c>
      <c r="I486" t="s">
        <v>80</v>
      </c>
      <c r="J486" t="s">
        <v>85</v>
      </c>
    </row>
    <row r="487" spans="1:10" x14ac:dyDescent="0.3">
      <c r="A487" s="2">
        <v>44329</v>
      </c>
      <c r="B487" s="2">
        <v>44331</v>
      </c>
      <c r="C487" t="s">
        <v>15</v>
      </c>
      <c r="D487" s="6">
        <v>110</v>
      </c>
      <c r="E487" s="6">
        <v>78.099999999999994</v>
      </c>
      <c r="F487" s="6">
        <v>1</v>
      </c>
      <c r="G487" s="6">
        <v>110</v>
      </c>
      <c r="H487" t="s">
        <v>55</v>
      </c>
      <c r="I487" t="s">
        <v>79</v>
      </c>
      <c r="J487" t="s">
        <v>85</v>
      </c>
    </row>
    <row r="488" spans="1:10" x14ac:dyDescent="0.3">
      <c r="A488" s="2">
        <v>44330</v>
      </c>
      <c r="B488" s="2">
        <v>44333</v>
      </c>
      <c r="C488" t="s">
        <v>15</v>
      </c>
      <c r="D488" s="6">
        <v>110</v>
      </c>
      <c r="E488" s="6">
        <v>78.099999999999994</v>
      </c>
      <c r="F488" s="6">
        <v>4</v>
      </c>
      <c r="G488" s="6">
        <v>440</v>
      </c>
      <c r="H488" t="s">
        <v>75</v>
      </c>
      <c r="I488" t="s">
        <v>83</v>
      </c>
      <c r="J488" t="s">
        <v>86</v>
      </c>
    </row>
    <row r="489" spans="1:10" x14ac:dyDescent="0.3">
      <c r="A489" s="2">
        <v>44332</v>
      </c>
      <c r="B489" s="2">
        <v>44339</v>
      </c>
      <c r="C489" t="s">
        <v>18</v>
      </c>
      <c r="D489" s="6">
        <v>80</v>
      </c>
      <c r="E489" s="6">
        <v>48.8</v>
      </c>
      <c r="F489" s="6">
        <v>9</v>
      </c>
      <c r="G489" s="6">
        <v>720</v>
      </c>
      <c r="H489" t="s">
        <v>74</v>
      </c>
      <c r="I489" t="s">
        <v>81</v>
      </c>
      <c r="J489" t="s">
        <v>85</v>
      </c>
    </row>
    <row r="490" spans="1:10" x14ac:dyDescent="0.3">
      <c r="A490" s="2">
        <v>44332</v>
      </c>
      <c r="B490" s="2">
        <v>44338</v>
      </c>
      <c r="C490" t="s">
        <v>9</v>
      </c>
      <c r="D490" s="6">
        <v>215</v>
      </c>
      <c r="E490" s="6">
        <v>152.65</v>
      </c>
      <c r="F490" s="6">
        <v>1</v>
      </c>
      <c r="G490" s="6">
        <v>215</v>
      </c>
      <c r="H490" t="s">
        <v>45</v>
      </c>
      <c r="I490" t="s">
        <v>83</v>
      </c>
      <c r="J490" t="s">
        <v>86</v>
      </c>
    </row>
    <row r="491" spans="1:10" x14ac:dyDescent="0.3">
      <c r="A491" s="2">
        <v>44332</v>
      </c>
      <c r="B491" s="2">
        <v>44338</v>
      </c>
      <c r="C491" t="s">
        <v>3</v>
      </c>
      <c r="D491" s="6">
        <v>95</v>
      </c>
      <c r="E491" s="6">
        <v>60.800000000000004</v>
      </c>
      <c r="F491" s="6">
        <v>4</v>
      </c>
      <c r="G491" s="6">
        <v>380</v>
      </c>
      <c r="H491" t="s">
        <v>58</v>
      </c>
      <c r="I491" t="s">
        <v>83</v>
      </c>
      <c r="J491" t="s">
        <v>85</v>
      </c>
    </row>
    <row r="492" spans="1:10" x14ac:dyDescent="0.3">
      <c r="A492" s="2">
        <v>44332</v>
      </c>
      <c r="B492" s="2">
        <v>44339</v>
      </c>
      <c r="C492" t="s">
        <v>16</v>
      </c>
      <c r="D492" s="6">
        <v>145</v>
      </c>
      <c r="E492" s="6">
        <v>105.85</v>
      </c>
      <c r="F492" s="6">
        <v>8</v>
      </c>
      <c r="G492" s="6">
        <v>1160</v>
      </c>
      <c r="H492" t="s">
        <v>38</v>
      </c>
      <c r="I492" t="s">
        <v>80</v>
      </c>
      <c r="J492" t="s">
        <v>85</v>
      </c>
    </row>
    <row r="493" spans="1:10" x14ac:dyDescent="0.3">
      <c r="A493" s="2">
        <v>44332</v>
      </c>
      <c r="B493" s="2">
        <v>44335</v>
      </c>
      <c r="C493" t="s">
        <v>17</v>
      </c>
      <c r="D493" s="6">
        <v>195</v>
      </c>
      <c r="E493" s="6">
        <v>138.44999999999999</v>
      </c>
      <c r="F493" s="6">
        <v>1</v>
      </c>
      <c r="G493" s="6">
        <v>195</v>
      </c>
      <c r="H493" t="s">
        <v>51</v>
      </c>
      <c r="I493" t="s">
        <v>83</v>
      </c>
      <c r="J493" t="s">
        <v>85</v>
      </c>
    </row>
    <row r="494" spans="1:10" x14ac:dyDescent="0.3">
      <c r="A494" s="2">
        <v>44333</v>
      </c>
      <c r="B494" s="2">
        <v>44339</v>
      </c>
      <c r="C494" t="s">
        <v>6</v>
      </c>
      <c r="D494" s="6">
        <v>99</v>
      </c>
      <c r="E494" s="6">
        <v>62.37</v>
      </c>
      <c r="F494" s="6">
        <v>5</v>
      </c>
      <c r="G494" s="6">
        <v>495</v>
      </c>
      <c r="H494" t="s">
        <v>66</v>
      </c>
      <c r="I494" t="s">
        <v>79</v>
      </c>
      <c r="J494" t="s">
        <v>85</v>
      </c>
    </row>
    <row r="495" spans="1:10" x14ac:dyDescent="0.3">
      <c r="A495" s="2">
        <v>44335</v>
      </c>
      <c r="B495" s="2">
        <v>44337</v>
      </c>
      <c r="C495" t="s">
        <v>5</v>
      </c>
      <c r="D495" s="6">
        <v>290</v>
      </c>
      <c r="E495" s="6">
        <v>185.6</v>
      </c>
      <c r="F495" s="6">
        <v>1</v>
      </c>
      <c r="G495" s="6">
        <v>290</v>
      </c>
      <c r="H495" t="s">
        <v>73</v>
      </c>
      <c r="I495" t="s">
        <v>81</v>
      </c>
      <c r="J495" t="s">
        <v>86</v>
      </c>
    </row>
    <row r="496" spans="1:10" x14ac:dyDescent="0.3">
      <c r="A496" s="2">
        <v>44338</v>
      </c>
      <c r="B496" s="2">
        <v>44343</v>
      </c>
      <c r="C496" t="s">
        <v>15</v>
      </c>
      <c r="D496" s="6">
        <v>110</v>
      </c>
      <c r="E496" s="6">
        <v>78.099999999999994</v>
      </c>
      <c r="F496" s="6">
        <v>4</v>
      </c>
      <c r="G496" s="6">
        <v>440</v>
      </c>
      <c r="H496" t="s">
        <v>75</v>
      </c>
      <c r="I496" t="s">
        <v>83</v>
      </c>
      <c r="J496" t="s">
        <v>85</v>
      </c>
    </row>
    <row r="497" spans="1:10" x14ac:dyDescent="0.3">
      <c r="A497" s="2">
        <v>44338</v>
      </c>
      <c r="B497" s="2">
        <v>44345</v>
      </c>
      <c r="C497" t="s">
        <v>18</v>
      </c>
      <c r="D497" s="6">
        <v>80</v>
      </c>
      <c r="E497" s="6">
        <v>48.8</v>
      </c>
      <c r="F497" s="6">
        <v>3</v>
      </c>
      <c r="G497" s="6">
        <v>240</v>
      </c>
      <c r="H497" t="s">
        <v>59</v>
      </c>
      <c r="I497" t="s">
        <v>82</v>
      </c>
      <c r="J497" t="s">
        <v>85</v>
      </c>
    </row>
    <row r="498" spans="1:10" x14ac:dyDescent="0.3">
      <c r="A498" s="2">
        <v>44340</v>
      </c>
      <c r="B498" s="2">
        <v>44346</v>
      </c>
      <c r="C498" t="s">
        <v>8</v>
      </c>
      <c r="D498" s="6">
        <v>59</v>
      </c>
      <c r="E498" s="6">
        <v>41.3</v>
      </c>
      <c r="F498" s="6">
        <v>7</v>
      </c>
      <c r="G498" s="6">
        <v>413</v>
      </c>
      <c r="H498" t="s">
        <v>43</v>
      </c>
      <c r="I498" t="s">
        <v>83</v>
      </c>
      <c r="J498" t="s">
        <v>85</v>
      </c>
    </row>
    <row r="499" spans="1:10" x14ac:dyDescent="0.3">
      <c r="A499" s="2">
        <v>44341</v>
      </c>
      <c r="B499" s="2">
        <v>44348</v>
      </c>
      <c r="C499" t="s">
        <v>19</v>
      </c>
      <c r="D499" s="6">
        <v>220</v>
      </c>
      <c r="E499" s="6">
        <v>154</v>
      </c>
      <c r="F499" s="6">
        <v>9</v>
      </c>
      <c r="G499" s="6">
        <v>1980</v>
      </c>
      <c r="H499" t="s">
        <v>65</v>
      </c>
      <c r="I499" t="s">
        <v>83</v>
      </c>
      <c r="J499" t="s">
        <v>85</v>
      </c>
    </row>
    <row r="500" spans="1:10" x14ac:dyDescent="0.3">
      <c r="A500" s="2">
        <v>44342</v>
      </c>
      <c r="B500" s="2">
        <v>44348</v>
      </c>
      <c r="C500" t="s">
        <v>12</v>
      </c>
      <c r="D500" s="6">
        <v>320</v>
      </c>
      <c r="E500" s="6">
        <v>233.6</v>
      </c>
      <c r="F500" s="6">
        <v>4</v>
      </c>
      <c r="G500" s="6">
        <v>1280</v>
      </c>
      <c r="H500" t="s">
        <v>40</v>
      </c>
      <c r="I500" t="s">
        <v>80</v>
      </c>
      <c r="J500" t="s">
        <v>85</v>
      </c>
    </row>
    <row r="501" spans="1:10" x14ac:dyDescent="0.3">
      <c r="A501" s="2">
        <v>44344</v>
      </c>
      <c r="B501" s="2">
        <v>44349</v>
      </c>
      <c r="C501" t="s">
        <v>20</v>
      </c>
      <c r="D501" s="6">
        <v>440</v>
      </c>
      <c r="E501" s="6">
        <v>286</v>
      </c>
      <c r="F501" s="6">
        <v>6</v>
      </c>
      <c r="G501" s="6">
        <v>2640</v>
      </c>
      <c r="H501" t="s">
        <v>73</v>
      </c>
      <c r="I501" t="s">
        <v>79</v>
      </c>
      <c r="J501" t="s">
        <v>85</v>
      </c>
    </row>
    <row r="502" spans="1:10" x14ac:dyDescent="0.3">
      <c r="A502" s="2">
        <v>44344</v>
      </c>
      <c r="B502" s="2">
        <v>44349</v>
      </c>
      <c r="C502" t="s">
        <v>14</v>
      </c>
      <c r="D502" s="6">
        <v>375</v>
      </c>
      <c r="E502" s="6">
        <v>247.5</v>
      </c>
      <c r="F502" s="6">
        <v>5</v>
      </c>
      <c r="G502" s="6">
        <v>1875</v>
      </c>
      <c r="H502" t="s">
        <v>45</v>
      </c>
      <c r="I502" t="s">
        <v>82</v>
      </c>
      <c r="J502" t="s">
        <v>85</v>
      </c>
    </row>
    <row r="503" spans="1:10" x14ac:dyDescent="0.3">
      <c r="A503" s="2">
        <v>44344</v>
      </c>
      <c r="B503" s="2">
        <v>44345</v>
      </c>
      <c r="C503" t="s">
        <v>18</v>
      </c>
      <c r="D503" s="6">
        <v>80</v>
      </c>
      <c r="E503" s="6">
        <v>48.8</v>
      </c>
      <c r="F503" s="6">
        <v>9</v>
      </c>
      <c r="G503" s="6">
        <v>720</v>
      </c>
      <c r="H503" t="s">
        <v>71</v>
      </c>
      <c r="I503" t="s">
        <v>79</v>
      </c>
      <c r="J503" t="s">
        <v>85</v>
      </c>
    </row>
    <row r="504" spans="1:10" x14ac:dyDescent="0.3">
      <c r="A504" s="2">
        <v>44344</v>
      </c>
      <c r="B504" s="2">
        <v>44347</v>
      </c>
      <c r="C504" t="s">
        <v>16</v>
      </c>
      <c r="D504" s="6">
        <v>145</v>
      </c>
      <c r="E504" s="6">
        <v>105.85</v>
      </c>
      <c r="F504" s="6">
        <v>8</v>
      </c>
      <c r="G504" s="6">
        <v>1160</v>
      </c>
      <c r="H504" t="s">
        <v>55</v>
      </c>
      <c r="I504" t="s">
        <v>79</v>
      </c>
      <c r="J504" t="s">
        <v>86</v>
      </c>
    </row>
    <row r="505" spans="1:10" x14ac:dyDescent="0.3">
      <c r="A505" s="2">
        <v>44345</v>
      </c>
      <c r="B505" s="2">
        <v>44351</v>
      </c>
      <c r="C505" t="s">
        <v>11</v>
      </c>
      <c r="D505" s="6">
        <v>490</v>
      </c>
      <c r="E505" s="6">
        <v>298.89999999999998</v>
      </c>
      <c r="F505" s="6">
        <v>2</v>
      </c>
      <c r="G505" s="6">
        <v>980</v>
      </c>
      <c r="H505" t="s">
        <v>53</v>
      </c>
      <c r="I505" t="s">
        <v>82</v>
      </c>
      <c r="J505" t="s">
        <v>85</v>
      </c>
    </row>
    <row r="506" spans="1:10" x14ac:dyDescent="0.3">
      <c r="A506" s="2">
        <v>44345</v>
      </c>
      <c r="B506" s="2">
        <v>44346</v>
      </c>
      <c r="C506" t="s">
        <v>10</v>
      </c>
      <c r="D506" s="6">
        <v>390</v>
      </c>
      <c r="E506" s="6">
        <v>253.5</v>
      </c>
      <c r="F506" s="6">
        <v>6</v>
      </c>
      <c r="G506" s="6">
        <v>2340</v>
      </c>
      <c r="H506" t="s">
        <v>32</v>
      </c>
      <c r="I506" t="s">
        <v>79</v>
      </c>
      <c r="J506" t="s">
        <v>86</v>
      </c>
    </row>
    <row r="507" spans="1:10" x14ac:dyDescent="0.3">
      <c r="A507" s="2">
        <v>44347</v>
      </c>
      <c r="B507" s="2">
        <v>44349</v>
      </c>
      <c r="C507" t="s">
        <v>21</v>
      </c>
      <c r="D507" s="6">
        <v>355</v>
      </c>
      <c r="E507" s="6">
        <v>252.04999999999998</v>
      </c>
      <c r="F507" s="6">
        <v>3</v>
      </c>
      <c r="G507" s="6">
        <v>1065</v>
      </c>
      <c r="H507" t="s">
        <v>74</v>
      </c>
      <c r="I507" t="s">
        <v>82</v>
      </c>
      <c r="J507" t="s">
        <v>85</v>
      </c>
    </row>
    <row r="508" spans="1:10" x14ac:dyDescent="0.3">
      <c r="A508" s="2">
        <v>44348</v>
      </c>
      <c r="B508" s="2">
        <v>44350</v>
      </c>
      <c r="C508" t="s">
        <v>5</v>
      </c>
      <c r="D508" s="6">
        <v>290</v>
      </c>
      <c r="E508" s="6">
        <v>185.6</v>
      </c>
      <c r="F508" s="6">
        <v>7</v>
      </c>
      <c r="G508" s="6">
        <v>2030</v>
      </c>
      <c r="H508" t="s">
        <v>57</v>
      </c>
      <c r="I508" t="s">
        <v>82</v>
      </c>
      <c r="J508" t="s">
        <v>86</v>
      </c>
    </row>
    <row r="509" spans="1:10" x14ac:dyDescent="0.3">
      <c r="A509" s="2">
        <v>44352</v>
      </c>
      <c r="B509" s="2">
        <v>44355</v>
      </c>
      <c r="C509" t="s">
        <v>15</v>
      </c>
      <c r="D509" s="6">
        <v>110</v>
      </c>
      <c r="E509" s="6">
        <v>78.099999999999994</v>
      </c>
      <c r="F509" s="6">
        <v>5</v>
      </c>
      <c r="G509" s="6">
        <v>550</v>
      </c>
      <c r="H509" t="s">
        <v>74</v>
      </c>
      <c r="I509" t="s">
        <v>79</v>
      </c>
      <c r="J509" t="s">
        <v>86</v>
      </c>
    </row>
    <row r="510" spans="1:10" x14ac:dyDescent="0.3">
      <c r="A510" s="2">
        <v>44353</v>
      </c>
      <c r="B510" s="2">
        <v>44358</v>
      </c>
      <c r="C510" t="s">
        <v>13</v>
      </c>
      <c r="D510" s="6">
        <v>445</v>
      </c>
      <c r="E510" s="6">
        <v>280.35000000000002</v>
      </c>
      <c r="F510" s="6">
        <v>1</v>
      </c>
      <c r="G510" s="6">
        <v>445</v>
      </c>
      <c r="H510" t="s">
        <v>39</v>
      </c>
      <c r="I510" t="s">
        <v>83</v>
      </c>
      <c r="J510" t="s">
        <v>85</v>
      </c>
    </row>
    <row r="511" spans="1:10" x14ac:dyDescent="0.3">
      <c r="A511" s="2">
        <v>44353</v>
      </c>
      <c r="B511" s="2">
        <v>44355</v>
      </c>
      <c r="C511" t="s">
        <v>4</v>
      </c>
      <c r="D511" s="6">
        <v>390</v>
      </c>
      <c r="E511" s="6">
        <v>288.60000000000002</v>
      </c>
      <c r="F511" s="6">
        <v>1</v>
      </c>
      <c r="G511" s="6">
        <v>390</v>
      </c>
      <c r="H511" t="s">
        <v>50</v>
      </c>
      <c r="I511" t="s">
        <v>83</v>
      </c>
      <c r="J511" t="s">
        <v>85</v>
      </c>
    </row>
    <row r="512" spans="1:10" x14ac:dyDescent="0.3">
      <c r="A512" s="2">
        <v>44354</v>
      </c>
      <c r="B512" s="2">
        <v>44355</v>
      </c>
      <c r="C512" t="s">
        <v>8</v>
      </c>
      <c r="D512" s="6">
        <v>59</v>
      </c>
      <c r="E512" s="6">
        <v>41.3</v>
      </c>
      <c r="F512" s="6">
        <v>8</v>
      </c>
      <c r="G512" s="6">
        <v>472</v>
      </c>
      <c r="H512" t="s">
        <v>50</v>
      </c>
      <c r="I512" t="s">
        <v>82</v>
      </c>
      <c r="J512" t="s">
        <v>85</v>
      </c>
    </row>
    <row r="513" spans="1:10" x14ac:dyDescent="0.3">
      <c r="A513" s="2">
        <v>44354</v>
      </c>
      <c r="B513" s="2">
        <v>44359</v>
      </c>
      <c r="C513" t="s">
        <v>11</v>
      </c>
      <c r="D513" s="6">
        <v>490</v>
      </c>
      <c r="E513" s="6">
        <v>298.89999999999998</v>
      </c>
      <c r="F513" s="6">
        <v>1</v>
      </c>
      <c r="G513" s="6">
        <v>490</v>
      </c>
      <c r="H513" t="s">
        <v>43</v>
      </c>
      <c r="I513" t="s">
        <v>80</v>
      </c>
      <c r="J513" t="s">
        <v>85</v>
      </c>
    </row>
    <row r="514" spans="1:10" x14ac:dyDescent="0.3">
      <c r="A514" s="2">
        <v>44356</v>
      </c>
      <c r="B514" s="2">
        <v>44361</v>
      </c>
      <c r="C514" t="s">
        <v>2</v>
      </c>
      <c r="D514" s="6">
        <v>250</v>
      </c>
      <c r="E514" s="6">
        <v>187.5</v>
      </c>
      <c r="F514" s="6">
        <v>1</v>
      </c>
      <c r="G514" s="6">
        <v>250</v>
      </c>
      <c r="H514" t="s">
        <v>50</v>
      </c>
      <c r="I514" t="s">
        <v>81</v>
      </c>
      <c r="J514" t="s">
        <v>86</v>
      </c>
    </row>
    <row r="515" spans="1:10" x14ac:dyDescent="0.3">
      <c r="A515" s="2">
        <v>44357</v>
      </c>
      <c r="B515" s="2">
        <v>44364</v>
      </c>
      <c r="C515" t="s">
        <v>6</v>
      </c>
      <c r="D515" s="6">
        <v>99</v>
      </c>
      <c r="E515" s="6">
        <v>62.37</v>
      </c>
      <c r="F515" s="6">
        <v>6</v>
      </c>
      <c r="G515" s="6">
        <v>594</v>
      </c>
      <c r="H515" t="s">
        <v>40</v>
      </c>
      <c r="I515" t="s">
        <v>83</v>
      </c>
      <c r="J515" t="s">
        <v>86</v>
      </c>
    </row>
    <row r="516" spans="1:10" x14ac:dyDescent="0.3">
      <c r="A516" s="2">
        <v>44357</v>
      </c>
      <c r="B516" s="2">
        <v>44362</v>
      </c>
      <c r="C516" t="s">
        <v>14</v>
      </c>
      <c r="D516" s="6">
        <v>375</v>
      </c>
      <c r="E516" s="6">
        <v>247.5</v>
      </c>
      <c r="F516" s="6">
        <v>7</v>
      </c>
      <c r="G516" s="6">
        <v>2625</v>
      </c>
      <c r="H516" t="s">
        <v>64</v>
      </c>
      <c r="I516" t="s">
        <v>81</v>
      </c>
      <c r="J516" t="s">
        <v>86</v>
      </c>
    </row>
    <row r="517" spans="1:10" x14ac:dyDescent="0.3">
      <c r="A517" s="2">
        <v>44357</v>
      </c>
      <c r="B517" s="2">
        <v>44364</v>
      </c>
      <c r="C517" t="s">
        <v>21</v>
      </c>
      <c r="D517" s="6">
        <v>355</v>
      </c>
      <c r="E517" s="6">
        <v>252.04999999999998</v>
      </c>
      <c r="F517" s="6">
        <v>7</v>
      </c>
      <c r="G517" s="6">
        <v>2485</v>
      </c>
      <c r="H517" t="s">
        <v>56</v>
      </c>
      <c r="I517" t="s">
        <v>83</v>
      </c>
      <c r="J517" t="s">
        <v>86</v>
      </c>
    </row>
    <row r="518" spans="1:10" x14ac:dyDescent="0.3">
      <c r="A518" s="2">
        <v>44357</v>
      </c>
      <c r="B518" s="2">
        <v>44361</v>
      </c>
      <c r="C518" t="s">
        <v>2</v>
      </c>
      <c r="D518" s="6">
        <v>250</v>
      </c>
      <c r="E518" s="6">
        <v>187.5</v>
      </c>
      <c r="F518" s="6">
        <v>4</v>
      </c>
      <c r="G518" s="6">
        <v>1000</v>
      </c>
      <c r="H518" t="s">
        <v>46</v>
      </c>
      <c r="I518" t="s">
        <v>79</v>
      </c>
      <c r="J518" t="s">
        <v>85</v>
      </c>
    </row>
    <row r="519" spans="1:10" x14ac:dyDescent="0.3">
      <c r="A519" s="2">
        <v>44359</v>
      </c>
      <c r="B519" s="2">
        <v>44361</v>
      </c>
      <c r="C519" t="s">
        <v>10</v>
      </c>
      <c r="D519" s="6">
        <v>390</v>
      </c>
      <c r="E519" s="6">
        <v>253.5</v>
      </c>
      <c r="F519" s="6">
        <v>8</v>
      </c>
      <c r="G519" s="6">
        <v>3120</v>
      </c>
      <c r="H519" t="s">
        <v>52</v>
      </c>
      <c r="I519" t="s">
        <v>82</v>
      </c>
      <c r="J519" t="s">
        <v>85</v>
      </c>
    </row>
    <row r="520" spans="1:10" x14ac:dyDescent="0.3">
      <c r="A520" s="2">
        <v>44360</v>
      </c>
      <c r="B520" s="2">
        <v>44366</v>
      </c>
      <c r="C520" t="s">
        <v>19</v>
      </c>
      <c r="D520" s="6">
        <v>220</v>
      </c>
      <c r="E520" s="6">
        <v>154</v>
      </c>
      <c r="F520" s="6">
        <v>1</v>
      </c>
      <c r="G520" s="6">
        <v>220</v>
      </c>
      <c r="H520" t="s">
        <v>58</v>
      </c>
      <c r="I520" t="s">
        <v>79</v>
      </c>
      <c r="J520" t="s">
        <v>86</v>
      </c>
    </row>
    <row r="521" spans="1:10" x14ac:dyDescent="0.3">
      <c r="A521" s="2">
        <v>44364</v>
      </c>
      <c r="B521" s="2">
        <v>44367</v>
      </c>
      <c r="C521" t="s">
        <v>4</v>
      </c>
      <c r="D521" s="6">
        <v>390</v>
      </c>
      <c r="E521" s="6">
        <v>288.60000000000002</v>
      </c>
      <c r="F521" s="6">
        <v>2</v>
      </c>
      <c r="G521" s="6">
        <v>780</v>
      </c>
      <c r="H521" t="s">
        <v>39</v>
      </c>
      <c r="I521" t="s">
        <v>83</v>
      </c>
      <c r="J521" t="s">
        <v>86</v>
      </c>
    </row>
    <row r="522" spans="1:10" x14ac:dyDescent="0.3">
      <c r="A522" s="2">
        <v>44364</v>
      </c>
      <c r="B522" s="2">
        <v>44371</v>
      </c>
      <c r="C522" t="s">
        <v>16</v>
      </c>
      <c r="D522" s="6">
        <v>145</v>
      </c>
      <c r="E522" s="6">
        <v>105.85</v>
      </c>
      <c r="F522" s="6">
        <v>2</v>
      </c>
      <c r="G522" s="6">
        <v>290</v>
      </c>
      <c r="H522" t="s">
        <v>68</v>
      </c>
      <c r="I522" t="s">
        <v>79</v>
      </c>
      <c r="J522" t="s">
        <v>86</v>
      </c>
    </row>
    <row r="523" spans="1:10" x14ac:dyDescent="0.3">
      <c r="A523" s="2">
        <v>44365</v>
      </c>
      <c r="B523" s="2">
        <v>44367</v>
      </c>
      <c r="C523" t="s">
        <v>8</v>
      </c>
      <c r="D523" s="6">
        <v>59</v>
      </c>
      <c r="E523" s="6">
        <v>41.3</v>
      </c>
      <c r="F523" s="6">
        <v>1</v>
      </c>
      <c r="G523" s="6">
        <v>59</v>
      </c>
      <c r="H523" t="s">
        <v>32</v>
      </c>
      <c r="I523" t="s">
        <v>82</v>
      </c>
      <c r="J523" t="s">
        <v>86</v>
      </c>
    </row>
    <row r="524" spans="1:10" x14ac:dyDescent="0.3">
      <c r="A524" s="2">
        <v>44366</v>
      </c>
      <c r="B524" s="2">
        <v>44367</v>
      </c>
      <c r="C524" t="s">
        <v>18</v>
      </c>
      <c r="D524" s="6">
        <v>80</v>
      </c>
      <c r="E524" s="6">
        <v>48.8</v>
      </c>
      <c r="F524" s="6">
        <v>3</v>
      </c>
      <c r="G524" s="6">
        <v>240</v>
      </c>
      <c r="H524" t="s">
        <v>42</v>
      </c>
      <c r="I524" t="s">
        <v>79</v>
      </c>
      <c r="J524" t="s">
        <v>86</v>
      </c>
    </row>
    <row r="525" spans="1:10" x14ac:dyDescent="0.3">
      <c r="A525" s="2">
        <v>44366</v>
      </c>
      <c r="B525" s="2">
        <v>44367</v>
      </c>
      <c r="C525" t="s">
        <v>17</v>
      </c>
      <c r="D525" s="6">
        <v>195</v>
      </c>
      <c r="E525" s="6">
        <v>138.44999999999999</v>
      </c>
      <c r="F525" s="6">
        <v>1</v>
      </c>
      <c r="G525" s="6">
        <v>195</v>
      </c>
      <c r="H525" t="s">
        <v>57</v>
      </c>
      <c r="I525" t="s">
        <v>81</v>
      </c>
      <c r="J525" t="s">
        <v>85</v>
      </c>
    </row>
    <row r="526" spans="1:10" x14ac:dyDescent="0.3">
      <c r="A526" s="2">
        <v>44367</v>
      </c>
      <c r="B526" s="2">
        <v>44372</v>
      </c>
      <c r="C526" t="s">
        <v>8</v>
      </c>
      <c r="D526" s="6">
        <v>59</v>
      </c>
      <c r="E526" s="6">
        <v>41.3</v>
      </c>
      <c r="F526" s="6">
        <v>4</v>
      </c>
      <c r="G526" s="6">
        <v>236</v>
      </c>
      <c r="H526" t="s">
        <v>75</v>
      </c>
      <c r="I526" t="s">
        <v>83</v>
      </c>
      <c r="J526" t="s">
        <v>85</v>
      </c>
    </row>
    <row r="527" spans="1:10" x14ac:dyDescent="0.3">
      <c r="A527" s="2">
        <v>44369</v>
      </c>
      <c r="B527" s="2">
        <v>44375</v>
      </c>
      <c r="C527" t="s">
        <v>6</v>
      </c>
      <c r="D527" s="6">
        <v>99</v>
      </c>
      <c r="E527" s="6">
        <v>62.37</v>
      </c>
      <c r="F527" s="6">
        <v>8</v>
      </c>
      <c r="G527" s="6">
        <v>792</v>
      </c>
      <c r="H527" t="s">
        <v>67</v>
      </c>
      <c r="I527" t="s">
        <v>81</v>
      </c>
      <c r="J527" t="s">
        <v>85</v>
      </c>
    </row>
    <row r="528" spans="1:10" x14ac:dyDescent="0.3">
      <c r="A528" s="2">
        <v>44369</v>
      </c>
      <c r="B528" s="2">
        <v>44371</v>
      </c>
      <c r="C528" t="s">
        <v>20</v>
      </c>
      <c r="D528" s="6">
        <v>440</v>
      </c>
      <c r="E528" s="6">
        <v>286</v>
      </c>
      <c r="F528" s="6">
        <v>4</v>
      </c>
      <c r="G528" s="6">
        <v>1760</v>
      </c>
      <c r="H528" t="s">
        <v>37</v>
      </c>
      <c r="I528" t="s">
        <v>81</v>
      </c>
      <c r="J528" t="s">
        <v>86</v>
      </c>
    </row>
    <row r="529" spans="1:10" x14ac:dyDescent="0.3">
      <c r="A529" s="2">
        <v>44369</v>
      </c>
      <c r="B529" s="2">
        <v>44372</v>
      </c>
      <c r="C529" t="s">
        <v>10</v>
      </c>
      <c r="D529" s="6">
        <v>390</v>
      </c>
      <c r="E529" s="6">
        <v>253.5</v>
      </c>
      <c r="F529" s="6">
        <v>4</v>
      </c>
      <c r="G529" s="6">
        <v>1560</v>
      </c>
      <c r="H529" t="s">
        <v>47</v>
      </c>
      <c r="I529" t="s">
        <v>82</v>
      </c>
      <c r="J529" t="s">
        <v>85</v>
      </c>
    </row>
    <row r="530" spans="1:10" x14ac:dyDescent="0.3">
      <c r="A530" s="2">
        <v>44370</v>
      </c>
      <c r="B530" s="2">
        <v>44375</v>
      </c>
      <c r="C530" t="s">
        <v>4</v>
      </c>
      <c r="D530" s="6">
        <v>390</v>
      </c>
      <c r="E530" s="6">
        <v>288.60000000000002</v>
      </c>
      <c r="F530" s="6">
        <v>2</v>
      </c>
      <c r="G530" s="6">
        <v>780</v>
      </c>
      <c r="H530" t="s">
        <v>58</v>
      </c>
      <c r="I530" t="s">
        <v>81</v>
      </c>
      <c r="J530" t="s">
        <v>85</v>
      </c>
    </row>
    <row r="531" spans="1:10" x14ac:dyDescent="0.3">
      <c r="A531" s="2">
        <v>44371</v>
      </c>
      <c r="B531" s="2">
        <v>44375</v>
      </c>
      <c r="C531" t="s">
        <v>6</v>
      </c>
      <c r="D531" s="6">
        <v>99</v>
      </c>
      <c r="E531" s="6">
        <v>62.37</v>
      </c>
      <c r="F531" s="6">
        <v>9</v>
      </c>
      <c r="G531" s="6">
        <v>891</v>
      </c>
      <c r="H531" t="s">
        <v>55</v>
      </c>
      <c r="I531" t="s">
        <v>82</v>
      </c>
      <c r="J531" t="s">
        <v>86</v>
      </c>
    </row>
    <row r="532" spans="1:10" x14ac:dyDescent="0.3">
      <c r="A532" s="2">
        <v>44372</v>
      </c>
      <c r="B532" s="2">
        <v>44378</v>
      </c>
      <c r="C532" t="s">
        <v>4</v>
      </c>
      <c r="D532" s="6">
        <v>390</v>
      </c>
      <c r="E532" s="6">
        <v>288.60000000000002</v>
      </c>
      <c r="F532" s="6">
        <v>3</v>
      </c>
      <c r="G532" s="6">
        <v>1170</v>
      </c>
      <c r="H532" t="s">
        <v>61</v>
      </c>
      <c r="I532" t="s">
        <v>81</v>
      </c>
      <c r="J532" t="s">
        <v>86</v>
      </c>
    </row>
    <row r="533" spans="1:10" x14ac:dyDescent="0.3">
      <c r="A533" s="2">
        <v>44372</v>
      </c>
      <c r="B533" s="2">
        <v>44376</v>
      </c>
      <c r="C533" t="s">
        <v>16</v>
      </c>
      <c r="D533" s="6">
        <v>145</v>
      </c>
      <c r="E533" s="6">
        <v>105.85</v>
      </c>
      <c r="F533" s="6">
        <v>2</v>
      </c>
      <c r="G533" s="6">
        <v>290</v>
      </c>
      <c r="H533" t="s">
        <v>29</v>
      </c>
      <c r="I533" t="s">
        <v>83</v>
      </c>
      <c r="J533" t="s">
        <v>86</v>
      </c>
    </row>
    <row r="534" spans="1:10" x14ac:dyDescent="0.3">
      <c r="A534" s="2">
        <v>44373</v>
      </c>
      <c r="B534" s="2">
        <v>44377</v>
      </c>
      <c r="C534" t="s">
        <v>10</v>
      </c>
      <c r="D534" s="6">
        <v>390</v>
      </c>
      <c r="E534" s="6">
        <v>253.5</v>
      </c>
      <c r="F534" s="6">
        <v>9</v>
      </c>
      <c r="G534" s="6">
        <v>3510</v>
      </c>
      <c r="H534" t="s">
        <v>44</v>
      </c>
      <c r="I534" t="s">
        <v>80</v>
      </c>
      <c r="J534" t="s">
        <v>85</v>
      </c>
    </row>
    <row r="535" spans="1:10" x14ac:dyDescent="0.3">
      <c r="A535" s="2">
        <v>44375</v>
      </c>
      <c r="B535" s="2">
        <v>44377</v>
      </c>
      <c r="C535" t="s">
        <v>10</v>
      </c>
      <c r="D535" s="6">
        <v>390</v>
      </c>
      <c r="E535" s="6">
        <v>253.5</v>
      </c>
      <c r="F535" s="6">
        <v>9</v>
      </c>
      <c r="G535" s="6">
        <v>3510</v>
      </c>
      <c r="H535" t="s">
        <v>39</v>
      </c>
      <c r="I535" t="s">
        <v>83</v>
      </c>
      <c r="J535" t="s">
        <v>86</v>
      </c>
    </row>
    <row r="536" spans="1:10" x14ac:dyDescent="0.3">
      <c r="A536" s="2">
        <v>44376</v>
      </c>
      <c r="B536" s="2">
        <v>44378</v>
      </c>
      <c r="C536" t="s">
        <v>20</v>
      </c>
      <c r="D536" s="6">
        <v>440</v>
      </c>
      <c r="E536" s="6">
        <v>286</v>
      </c>
      <c r="F536" s="6">
        <v>1</v>
      </c>
      <c r="G536" s="6">
        <v>440</v>
      </c>
      <c r="H536" t="s">
        <v>31</v>
      </c>
      <c r="I536" t="s">
        <v>80</v>
      </c>
      <c r="J536" t="s">
        <v>86</v>
      </c>
    </row>
    <row r="537" spans="1:10" x14ac:dyDescent="0.3">
      <c r="A537" s="2">
        <v>44377</v>
      </c>
      <c r="B537" s="2">
        <v>44380</v>
      </c>
      <c r="C537" t="s">
        <v>22</v>
      </c>
      <c r="D537" s="6">
        <v>460</v>
      </c>
      <c r="E537" s="6">
        <v>303.60000000000002</v>
      </c>
      <c r="F537" s="6">
        <v>6</v>
      </c>
      <c r="G537" s="6">
        <v>2760</v>
      </c>
      <c r="H537" t="s">
        <v>53</v>
      </c>
      <c r="I537" t="s">
        <v>82</v>
      </c>
      <c r="J537" t="s">
        <v>85</v>
      </c>
    </row>
    <row r="538" spans="1:10" x14ac:dyDescent="0.3">
      <c r="A538" s="2">
        <v>44377</v>
      </c>
      <c r="B538" s="2">
        <v>44380</v>
      </c>
      <c r="C538" t="s">
        <v>11</v>
      </c>
      <c r="D538" s="6">
        <v>490</v>
      </c>
      <c r="E538" s="6">
        <v>298.89999999999998</v>
      </c>
      <c r="F538" s="6">
        <v>8</v>
      </c>
      <c r="G538" s="6">
        <v>3920</v>
      </c>
      <c r="H538" t="s">
        <v>43</v>
      </c>
      <c r="I538" t="s">
        <v>79</v>
      </c>
      <c r="J538" t="s">
        <v>85</v>
      </c>
    </row>
    <row r="539" spans="1:10" x14ac:dyDescent="0.3">
      <c r="A539" s="2">
        <v>44384</v>
      </c>
      <c r="B539" s="2">
        <v>44386</v>
      </c>
      <c r="C539" t="s">
        <v>17</v>
      </c>
      <c r="D539" s="6">
        <v>195</v>
      </c>
      <c r="E539" s="6">
        <v>138.44999999999999</v>
      </c>
      <c r="F539" s="6">
        <v>8</v>
      </c>
      <c r="G539" s="6">
        <v>1560</v>
      </c>
      <c r="H539" t="s">
        <v>63</v>
      </c>
      <c r="I539" t="s">
        <v>81</v>
      </c>
      <c r="J539" t="s">
        <v>85</v>
      </c>
    </row>
    <row r="540" spans="1:10" x14ac:dyDescent="0.3">
      <c r="A540" s="2">
        <v>44386</v>
      </c>
      <c r="B540" s="2">
        <v>44389</v>
      </c>
      <c r="C540" t="s">
        <v>13</v>
      </c>
      <c r="D540" s="6">
        <v>445</v>
      </c>
      <c r="E540" s="6">
        <v>280.35000000000002</v>
      </c>
      <c r="F540" s="6">
        <v>7</v>
      </c>
      <c r="G540" s="6">
        <v>3115</v>
      </c>
      <c r="H540" t="s">
        <v>55</v>
      </c>
      <c r="I540" t="s">
        <v>80</v>
      </c>
      <c r="J540" t="s">
        <v>86</v>
      </c>
    </row>
    <row r="541" spans="1:10" x14ac:dyDescent="0.3">
      <c r="A541" s="2">
        <v>44387</v>
      </c>
      <c r="B541" s="2">
        <v>44393</v>
      </c>
      <c r="C541" t="s">
        <v>4</v>
      </c>
      <c r="D541" s="6">
        <v>390</v>
      </c>
      <c r="E541" s="6">
        <v>288.60000000000002</v>
      </c>
      <c r="F541" s="6">
        <v>8</v>
      </c>
      <c r="G541" s="6">
        <v>3120</v>
      </c>
      <c r="H541" t="s">
        <v>75</v>
      </c>
      <c r="I541" t="s">
        <v>79</v>
      </c>
      <c r="J541" t="s">
        <v>86</v>
      </c>
    </row>
    <row r="542" spans="1:10" x14ac:dyDescent="0.3">
      <c r="A542" s="2">
        <v>44388</v>
      </c>
      <c r="B542" s="2">
        <v>44393</v>
      </c>
      <c r="C542" t="s">
        <v>23</v>
      </c>
      <c r="D542" s="6">
        <v>275</v>
      </c>
      <c r="E542" s="6">
        <v>200.75</v>
      </c>
      <c r="F542" s="6">
        <v>3</v>
      </c>
      <c r="G542" s="6">
        <v>825</v>
      </c>
      <c r="H542" t="s">
        <v>42</v>
      </c>
      <c r="I542" t="s">
        <v>83</v>
      </c>
      <c r="J542" t="s">
        <v>85</v>
      </c>
    </row>
    <row r="543" spans="1:10" x14ac:dyDescent="0.3">
      <c r="A543" s="2">
        <v>44391</v>
      </c>
      <c r="B543" s="2">
        <v>44395</v>
      </c>
      <c r="C543" t="s">
        <v>13</v>
      </c>
      <c r="D543" s="6">
        <v>445</v>
      </c>
      <c r="E543" s="6">
        <v>280.35000000000002</v>
      </c>
      <c r="F543" s="6">
        <v>2</v>
      </c>
      <c r="G543" s="6">
        <v>890</v>
      </c>
      <c r="H543" t="s">
        <v>70</v>
      </c>
      <c r="I543" t="s">
        <v>83</v>
      </c>
      <c r="J543" t="s">
        <v>85</v>
      </c>
    </row>
    <row r="544" spans="1:10" x14ac:dyDescent="0.3">
      <c r="A544" s="2">
        <v>44392</v>
      </c>
      <c r="B544" s="2">
        <v>44397</v>
      </c>
      <c r="C544" t="s">
        <v>11</v>
      </c>
      <c r="D544" s="6">
        <v>490</v>
      </c>
      <c r="E544" s="6">
        <v>298.89999999999998</v>
      </c>
      <c r="F544" s="6">
        <v>1</v>
      </c>
      <c r="G544" s="6">
        <v>490</v>
      </c>
      <c r="H544" t="s">
        <v>66</v>
      </c>
      <c r="I544" t="s">
        <v>81</v>
      </c>
      <c r="J544" t="s">
        <v>86</v>
      </c>
    </row>
    <row r="545" spans="1:10" x14ac:dyDescent="0.3">
      <c r="A545" s="2">
        <v>44394</v>
      </c>
      <c r="B545" s="2">
        <v>44400</v>
      </c>
      <c r="C545" t="s">
        <v>12</v>
      </c>
      <c r="D545" s="6">
        <v>320</v>
      </c>
      <c r="E545" s="6">
        <v>233.6</v>
      </c>
      <c r="F545" s="6">
        <v>8</v>
      </c>
      <c r="G545" s="6">
        <v>2560</v>
      </c>
      <c r="H545" t="s">
        <v>52</v>
      </c>
      <c r="I545" t="s">
        <v>79</v>
      </c>
      <c r="J545" t="s">
        <v>86</v>
      </c>
    </row>
    <row r="546" spans="1:10" x14ac:dyDescent="0.3">
      <c r="A546" s="2">
        <v>44394</v>
      </c>
      <c r="B546" s="2">
        <v>44400</v>
      </c>
      <c r="C546" t="s">
        <v>9</v>
      </c>
      <c r="D546" s="6">
        <v>215</v>
      </c>
      <c r="E546" s="6">
        <v>152.65</v>
      </c>
      <c r="F546" s="6">
        <v>4</v>
      </c>
      <c r="G546" s="6">
        <v>860</v>
      </c>
      <c r="H546" t="s">
        <v>46</v>
      </c>
      <c r="I546" t="s">
        <v>80</v>
      </c>
      <c r="J546" t="s">
        <v>86</v>
      </c>
    </row>
    <row r="547" spans="1:10" x14ac:dyDescent="0.3">
      <c r="A547" s="2">
        <v>44395</v>
      </c>
      <c r="B547" s="2">
        <v>44399</v>
      </c>
      <c r="C547" t="s">
        <v>14</v>
      </c>
      <c r="D547" s="6">
        <v>375</v>
      </c>
      <c r="E547" s="6">
        <v>247.5</v>
      </c>
      <c r="F547" s="6">
        <v>2</v>
      </c>
      <c r="G547" s="6">
        <v>750</v>
      </c>
      <c r="H547" t="s">
        <v>54</v>
      </c>
      <c r="I547" t="s">
        <v>82</v>
      </c>
      <c r="J547" t="s">
        <v>86</v>
      </c>
    </row>
    <row r="548" spans="1:10" x14ac:dyDescent="0.3">
      <c r="A548" s="2">
        <v>44398</v>
      </c>
      <c r="B548" s="2">
        <v>44402</v>
      </c>
      <c r="C548" t="s">
        <v>8</v>
      </c>
      <c r="D548" s="6">
        <v>59</v>
      </c>
      <c r="E548" s="6">
        <v>41.3</v>
      </c>
      <c r="F548" s="6">
        <v>7</v>
      </c>
      <c r="G548" s="6">
        <v>413</v>
      </c>
      <c r="H548" t="s">
        <v>64</v>
      </c>
      <c r="I548" t="s">
        <v>83</v>
      </c>
      <c r="J548" t="s">
        <v>85</v>
      </c>
    </row>
    <row r="549" spans="1:10" x14ac:dyDescent="0.3">
      <c r="A549" s="2">
        <v>44401</v>
      </c>
      <c r="B549" s="2">
        <v>44407</v>
      </c>
      <c r="C549" t="s">
        <v>6</v>
      </c>
      <c r="D549" s="6">
        <v>99</v>
      </c>
      <c r="E549" s="6">
        <v>62.37</v>
      </c>
      <c r="F549" s="6">
        <v>6</v>
      </c>
      <c r="G549" s="6">
        <v>594</v>
      </c>
      <c r="H549" t="s">
        <v>53</v>
      </c>
      <c r="I549" t="s">
        <v>79</v>
      </c>
      <c r="J549" t="s">
        <v>86</v>
      </c>
    </row>
    <row r="550" spans="1:10" x14ac:dyDescent="0.3">
      <c r="A550" s="2">
        <v>44403</v>
      </c>
      <c r="B550" s="2">
        <v>44407</v>
      </c>
      <c r="C550" t="s">
        <v>11</v>
      </c>
      <c r="D550" s="6">
        <v>490</v>
      </c>
      <c r="E550" s="6">
        <v>298.89999999999998</v>
      </c>
      <c r="F550" s="6">
        <v>1</v>
      </c>
      <c r="G550" s="6">
        <v>490</v>
      </c>
      <c r="H550" t="s">
        <v>55</v>
      </c>
      <c r="I550" t="s">
        <v>82</v>
      </c>
      <c r="J550" t="s">
        <v>86</v>
      </c>
    </row>
    <row r="551" spans="1:10" x14ac:dyDescent="0.3">
      <c r="A551" s="2">
        <v>44403</v>
      </c>
      <c r="B551" s="2">
        <v>44406</v>
      </c>
      <c r="C551" t="s">
        <v>5</v>
      </c>
      <c r="D551" s="6">
        <v>290</v>
      </c>
      <c r="E551" s="6">
        <v>185.6</v>
      </c>
      <c r="F551" s="6">
        <v>3</v>
      </c>
      <c r="G551" s="6">
        <v>870</v>
      </c>
      <c r="H551" t="s">
        <v>31</v>
      </c>
      <c r="I551" t="s">
        <v>82</v>
      </c>
      <c r="J551" t="s">
        <v>85</v>
      </c>
    </row>
    <row r="552" spans="1:10" x14ac:dyDescent="0.3">
      <c r="A552" s="2">
        <v>44403</v>
      </c>
      <c r="B552" s="2">
        <v>44409</v>
      </c>
      <c r="C552" t="s">
        <v>7</v>
      </c>
      <c r="D552" s="6">
        <v>250</v>
      </c>
      <c r="E552" s="6">
        <v>167.5</v>
      </c>
      <c r="F552" s="6">
        <v>5</v>
      </c>
      <c r="G552" s="6">
        <v>1250</v>
      </c>
      <c r="H552" t="s">
        <v>59</v>
      </c>
      <c r="I552" t="s">
        <v>83</v>
      </c>
      <c r="J552" t="s">
        <v>86</v>
      </c>
    </row>
    <row r="553" spans="1:10" x14ac:dyDescent="0.3">
      <c r="A553" s="2">
        <v>44403</v>
      </c>
      <c r="B553" s="2">
        <v>44410</v>
      </c>
      <c r="C553" t="s">
        <v>4</v>
      </c>
      <c r="D553" s="6">
        <v>390</v>
      </c>
      <c r="E553" s="6">
        <v>288.60000000000002</v>
      </c>
      <c r="F553" s="6">
        <v>6</v>
      </c>
      <c r="G553" s="6">
        <v>2340</v>
      </c>
      <c r="H553" t="s">
        <v>32</v>
      </c>
      <c r="I553" t="s">
        <v>81</v>
      </c>
      <c r="J553" t="s">
        <v>86</v>
      </c>
    </row>
    <row r="554" spans="1:10" x14ac:dyDescent="0.3">
      <c r="A554" s="2">
        <v>44406</v>
      </c>
      <c r="B554" s="2">
        <v>44409</v>
      </c>
      <c r="C554" t="s">
        <v>22</v>
      </c>
      <c r="D554" s="6">
        <v>460</v>
      </c>
      <c r="E554" s="6">
        <v>303.60000000000002</v>
      </c>
      <c r="F554" s="6">
        <v>8</v>
      </c>
      <c r="G554" s="6">
        <v>3680</v>
      </c>
      <c r="H554" t="s">
        <v>54</v>
      </c>
      <c r="I554" t="s">
        <v>81</v>
      </c>
      <c r="J554" t="s">
        <v>86</v>
      </c>
    </row>
    <row r="555" spans="1:10" x14ac:dyDescent="0.3">
      <c r="A555" s="2">
        <v>44407</v>
      </c>
      <c r="B555" s="2">
        <v>44411</v>
      </c>
      <c r="C555" t="s">
        <v>13</v>
      </c>
      <c r="D555" s="6">
        <v>445</v>
      </c>
      <c r="E555" s="6">
        <v>280.35000000000002</v>
      </c>
      <c r="F555" s="6">
        <v>3</v>
      </c>
      <c r="G555" s="6">
        <v>1335</v>
      </c>
      <c r="H555" t="s">
        <v>37</v>
      </c>
      <c r="I555" t="s">
        <v>83</v>
      </c>
      <c r="J555" t="s">
        <v>85</v>
      </c>
    </row>
    <row r="556" spans="1:10" x14ac:dyDescent="0.3">
      <c r="A556" s="2">
        <v>44407</v>
      </c>
      <c r="B556" s="2">
        <v>44412</v>
      </c>
      <c r="C556" t="s">
        <v>16</v>
      </c>
      <c r="D556" s="6">
        <v>145</v>
      </c>
      <c r="E556" s="6">
        <v>105.85</v>
      </c>
      <c r="F556" s="6">
        <v>6</v>
      </c>
      <c r="G556" s="6">
        <v>870</v>
      </c>
      <c r="H556" t="s">
        <v>57</v>
      </c>
      <c r="I556" t="s">
        <v>80</v>
      </c>
      <c r="J556" t="s">
        <v>85</v>
      </c>
    </row>
    <row r="557" spans="1:10" x14ac:dyDescent="0.3">
      <c r="A557" s="2">
        <v>44408</v>
      </c>
      <c r="B557" s="2">
        <v>44412</v>
      </c>
      <c r="C557" t="s">
        <v>14</v>
      </c>
      <c r="D557" s="6">
        <v>375</v>
      </c>
      <c r="E557" s="6">
        <v>247.5</v>
      </c>
      <c r="F557" s="6">
        <v>2</v>
      </c>
      <c r="G557" s="6">
        <v>750</v>
      </c>
      <c r="H557" t="s">
        <v>31</v>
      </c>
      <c r="I557" t="s">
        <v>79</v>
      </c>
      <c r="J557" t="s">
        <v>86</v>
      </c>
    </row>
    <row r="558" spans="1:10" x14ac:dyDescent="0.3">
      <c r="A558" s="2">
        <v>44408</v>
      </c>
      <c r="B558" s="2">
        <v>44409</v>
      </c>
      <c r="C558" t="s">
        <v>18</v>
      </c>
      <c r="D558" s="6">
        <v>80</v>
      </c>
      <c r="E558" s="6">
        <v>48.8</v>
      </c>
      <c r="F558" s="6">
        <v>6</v>
      </c>
      <c r="G558" s="6">
        <v>480</v>
      </c>
      <c r="H558" t="s">
        <v>55</v>
      </c>
      <c r="I558" t="s">
        <v>79</v>
      </c>
      <c r="J558" t="s">
        <v>86</v>
      </c>
    </row>
    <row r="559" spans="1:10" x14ac:dyDescent="0.3">
      <c r="A559" s="2">
        <v>44409</v>
      </c>
      <c r="B559" s="2">
        <v>44416</v>
      </c>
      <c r="C559" t="s">
        <v>7</v>
      </c>
      <c r="D559" s="6">
        <v>250</v>
      </c>
      <c r="E559" s="6">
        <v>167.5</v>
      </c>
      <c r="F559" s="6">
        <v>8</v>
      </c>
      <c r="G559" s="6">
        <v>2000</v>
      </c>
      <c r="H559" t="s">
        <v>70</v>
      </c>
      <c r="I559" t="s">
        <v>82</v>
      </c>
      <c r="J559" t="s">
        <v>86</v>
      </c>
    </row>
    <row r="560" spans="1:10" x14ac:dyDescent="0.3">
      <c r="A560" s="2">
        <v>44409</v>
      </c>
      <c r="B560" s="2">
        <v>44415</v>
      </c>
      <c r="C560" t="s">
        <v>20</v>
      </c>
      <c r="D560" s="6">
        <v>440</v>
      </c>
      <c r="E560" s="6">
        <v>286</v>
      </c>
      <c r="F560" s="6">
        <v>3</v>
      </c>
      <c r="G560" s="6">
        <v>1320</v>
      </c>
      <c r="H560" t="s">
        <v>58</v>
      </c>
      <c r="I560" t="s">
        <v>80</v>
      </c>
      <c r="J560" t="s">
        <v>86</v>
      </c>
    </row>
    <row r="561" spans="1:10" x14ac:dyDescent="0.3">
      <c r="A561" s="2">
        <v>44410</v>
      </c>
      <c r="B561" s="2">
        <v>44416</v>
      </c>
      <c r="C561" t="s">
        <v>14</v>
      </c>
      <c r="D561" s="6">
        <v>375</v>
      </c>
      <c r="E561" s="6">
        <v>247.5</v>
      </c>
      <c r="F561" s="6">
        <v>1</v>
      </c>
      <c r="G561" s="6">
        <v>375</v>
      </c>
      <c r="H561" t="s">
        <v>55</v>
      </c>
      <c r="I561" t="s">
        <v>79</v>
      </c>
      <c r="J561" t="s">
        <v>86</v>
      </c>
    </row>
    <row r="562" spans="1:10" x14ac:dyDescent="0.3">
      <c r="A562" s="2">
        <v>44410</v>
      </c>
      <c r="B562" s="2">
        <v>44413</v>
      </c>
      <c r="C562" t="s">
        <v>6</v>
      </c>
      <c r="D562" s="6">
        <v>99</v>
      </c>
      <c r="E562" s="6">
        <v>62.37</v>
      </c>
      <c r="F562" s="6">
        <v>2</v>
      </c>
      <c r="G562" s="6">
        <v>198</v>
      </c>
      <c r="H562" t="s">
        <v>41</v>
      </c>
      <c r="I562" t="s">
        <v>80</v>
      </c>
      <c r="J562" t="s">
        <v>85</v>
      </c>
    </row>
    <row r="563" spans="1:10" x14ac:dyDescent="0.3">
      <c r="A563" s="2">
        <v>44414</v>
      </c>
      <c r="B563" s="2">
        <v>44420</v>
      </c>
      <c r="C563" t="s">
        <v>2</v>
      </c>
      <c r="D563" s="6">
        <v>250</v>
      </c>
      <c r="E563" s="6">
        <v>187.5</v>
      </c>
      <c r="F563" s="6">
        <v>9</v>
      </c>
      <c r="G563" s="6">
        <v>2250</v>
      </c>
      <c r="H563" t="s">
        <v>50</v>
      </c>
      <c r="I563" t="s">
        <v>82</v>
      </c>
      <c r="J563" t="s">
        <v>85</v>
      </c>
    </row>
    <row r="564" spans="1:10" x14ac:dyDescent="0.3">
      <c r="A564" s="2">
        <v>44414</v>
      </c>
      <c r="B564" s="2">
        <v>44419</v>
      </c>
      <c r="C564" t="s">
        <v>22</v>
      </c>
      <c r="D564" s="6">
        <v>460</v>
      </c>
      <c r="E564" s="6">
        <v>303.60000000000002</v>
      </c>
      <c r="F564" s="6">
        <v>4</v>
      </c>
      <c r="G564" s="6">
        <v>1840</v>
      </c>
      <c r="H564" t="s">
        <v>60</v>
      </c>
      <c r="I564" t="s">
        <v>81</v>
      </c>
      <c r="J564" t="s">
        <v>85</v>
      </c>
    </row>
    <row r="565" spans="1:10" x14ac:dyDescent="0.3">
      <c r="A565" s="2">
        <v>44415</v>
      </c>
      <c r="B565" s="2">
        <v>44422</v>
      </c>
      <c r="C565" t="s">
        <v>10</v>
      </c>
      <c r="D565" s="6">
        <v>390</v>
      </c>
      <c r="E565" s="6">
        <v>253.5</v>
      </c>
      <c r="F565" s="6">
        <v>7</v>
      </c>
      <c r="G565" s="6">
        <v>2730</v>
      </c>
      <c r="H565" t="s">
        <v>33</v>
      </c>
      <c r="I565" t="s">
        <v>80</v>
      </c>
      <c r="J565" t="s">
        <v>86</v>
      </c>
    </row>
    <row r="566" spans="1:10" x14ac:dyDescent="0.3">
      <c r="A566" s="2">
        <v>44416</v>
      </c>
      <c r="B566" s="2">
        <v>44420</v>
      </c>
      <c r="C566" t="s">
        <v>3</v>
      </c>
      <c r="D566" s="6">
        <v>95</v>
      </c>
      <c r="E566" s="6">
        <v>60.800000000000004</v>
      </c>
      <c r="F566" s="6">
        <v>3</v>
      </c>
      <c r="G566" s="6">
        <v>285</v>
      </c>
      <c r="H566" t="s">
        <v>48</v>
      </c>
      <c r="I566" t="s">
        <v>82</v>
      </c>
      <c r="J566" t="s">
        <v>86</v>
      </c>
    </row>
    <row r="567" spans="1:10" x14ac:dyDescent="0.3">
      <c r="A567" s="2">
        <v>44416</v>
      </c>
      <c r="B567" s="2">
        <v>44419</v>
      </c>
      <c r="C567" t="s">
        <v>14</v>
      </c>
      <c r="D567" s="6">
        <v>375</v>
      </c>
      <c r="E567" s="6">
        <v>247.5</v>
      </c>
      <c r="F567" s="6">
        <v>5</v>
      </c>
      <c r="G567" s="6">
        <v>1875</v>
      </c>
      <c r="H567" t="s">
        <v>65</v>
      </c>
      <c r="I567" t="s">
        <v>80</v>
      </c>
      <c r="J567" t="s">
        <v>85</v>
      </c>
    </row>
    <row r="568" spans="1:10" x14ac:dyDescent="0.3">
      <c r="A568" s="2">
        <v>44416</v>
      </c>
      <c r="B568" s="2">
        <v>44420</v>
      </c>
      <c r="C568" t="s">
        <v>4</v>
      </c>
      <c r="D568" s="6">
        <v>390</v>
      </c>
      <c r="E568" s="6">
        <v>288.60000000000002</v>
      </c>
      <c r="F568" s="6">
        <v>3</v>
      </c>
      <c r="G568" s="6">
        <v>1170</v>
      </c>
      <c r="H568" t="s">
        <v>55</v>
      </c>
      <c r="I568" t="s">
        <v>79</v>
      </c>
      <c r="J568" t="s">
        <v>85</v>
      </c>
    </row>
    <row r="569" spans="1:10" x14ac:dyDescent="0.3">
      <c r="A569" s="2">
        <v>44417</v>
      </c>
      <c r="B569" s="2">
        <v>44424</v>
      </c>
      <c r="C569" t="s">
        <v>8</v>
      </c>
      <c r="D569" s="6">
        <v>59</v>
      </c>
      <c r="E569" s="6">
        <v>41.3</v>
      </c>
      <c r="F569" s="6">
        <v>3</v>
      </c>
      <c r="G569" s="6">
        <v>177</v>
      </c>
      <c r="H569" t="s">
        <v>33</v>
      </c>
      <c r="I569" t="s">
        <v>79</v>
      </c>
      <c r="J569" t="s">
        <v>86</v>
      </c>
    </row>
    <row r="570" spans="1:10" x14ac:dyDescent="0.3">
      <c r="A570" s="2">
        <v>44423</v>
      </c>
      <c r="B570" s="2">
        <v>44427</v>
      </c>
      <c r="C570" t="s">
        <v>5</v>
      </c>
      <c r="D570" s="6">
        <v>290</v>
      </c>
      <c r="E570" s="6">
        <v>185.6</v>
      </c>
      <c r="F570" s="6">
        <v>6</v>
      </c>
      <c r="G570" s="6">
        <v>1740</v>
      </c>
      <c r="H570" t="s">
        <v>37</v>
      </c>
      <c r="I570" t="s">
        <v>82</v>
      </c>
      <c r="J570" t="s">
        <v>85</v>
      </c>
    </row>
    <row r="571" spans="1:10" x14ac:dyDescent="0.3">
      <c r="A571" s="2">
        <v>44423</v>
      </c>
      <c r="B571" s="2">
        <v>44426</v>
      </c>
      <c r="C571" t="s">
        <v>2</v>
      </c>
      <c r="D571" s="6">
        <v>250</v>
      </c>
      <c r="E571" s="6">
        <v>187.5</v>
      </c>
      <c r="F571" s="6">
        <v>4</v>
      </c>
      <c r="G571" s="6">
        <v>1000</v>
      </c>
      <c r="H571" t="s">
        <v>29</v>
      </c>
      <c r="I571" t="s">
        <v>81</v>
      </c>
      <c r="J571" t="s">
        <v>85</v>
      </c>
    </row>
    <row r="572" spans="1:10" x14ac:dyDescent="0.3">
      <c r="A572" s="2">
        <v>44423</v>
      </c>
      <c r="B572" s="2">
        <v>44427</v>
      </c>
      <c r="C572" t="s">
        <v>9</v>
      </c>
      <c r="D572" s="6">
        <v>215</v>
      </c>
      <c r="E572" s="6">
        <v>152.65</v>
      </c>
      <c r="F572" s="6">
        <v>7</v>
      </c>
      <c r="G572" s="6">
        <v>1505</v>
      </c>
      <c r="H572" t="s">
        <v>55</v>
      </c>
      <c r="I572" t="s">
        <v>80</v>
      </c>
      <c r="J572" t="s">
        <v>86</v>
      </c>
    </row>
    <row r="573" spans="1:10" x14ac:dyDescent="0.3">
      <c r="A573" s="2">
        <v>44424</v>
      </c>
      <c r="B573" s="2">
        <v>44429</v>
      </c>
      <c r="C573" t="s">
        <v>11</v>
      </c>
      <c r="D573" s="6">
        <v>490</v>
      </c>
      <c r="E573" s="6">
        <v>298.89999999999998</v>
      </c>
      <c r="F573" s="6">
        <v>3</v>
      </c>
      <c r="G573" s="6">
        <v>1470</v>
      </c>
      <c r="H573" t="s">
        <v>52</v>
      </c>
      <c r="I573" t="s">
        <v>82</v>
      </c>
      <c r="J573" t="s">
        <v>86</v>
      </c>
    </row>
    <row r="574" spans="1:10" x14ac:dyDescent="0.3">
      <c r="A574" s="2">
        <v>44424</v>
      </c>
      <c r="B574" s="2">
        <v>44429</v>
      </c>
      <c r="C574" t="s">
        <v>11</v>
      </c>
      <c r="D574" s="6">
        <v>490</v>
      </c>
      <c r="E574" s="6">
        <v>298.89999999999998</v>
      </c>
      <c r="F574" s="6">
        <v>9</v>
      </c>
      <c r="G574" s="6">
        <v>4410</v>
      </c>
      <c r="H574" t="s">
        <v>62</v>
      </c>
      <c r="I574" t="s">
        <v>83</v>
      </c>
      <c r="J574" t="s">
        <v>85</v>
      </c>
    </row>
    <row r="575" spans="1:10" x14ac:dyDescent="0.3">
      <c r="A575" s="2">
        <v>44425</v>
      </c>
      <c r="B575" s="2">
        <v>44427</v>
      </c>
      <c r="C575" t="s">
        <v>16</v>
      </c>
      <c r="D575" s="6">
        <v>145</v>
      </c>
      <c r="E575" s="6">
        <v>105.85</v>
      </c>
      <c r="F575" s="6">
        <v>8</v>
      </c>
      <c r="G575" s="6">
        <v>1160</v>
      </c>
      <c r="H575" t="s">
        <v>70</v>
      </c>
      <c r="I575" t="s">
        <v>80</v>
      </c>
      <c r="J575" t="s">
        <v>86</v>
      </c>
    </row>
    <row r="576" spans="1:10" x14ac:dyDescent="0.3">
      <c r="A576" s="2">
        <v>44426</v>
      </c>
      <c r="B576" s="2">
        <v>44430</v>
      </c>
      <c r="C576" t="s">
        <v>3</v>
      </c>
      <c r="D576" s="6">
        <v>95</v>
      </c>
      <c r="E576" s="6">
        <v>60.800000000000004</v>
      </c>
      <c r="F576" s="6">
        <v>3</v>
      </c>
      <c r="G576" s="6">
        <v>285</v>
      </c>
      <c r="H576" t="s">
        <v>40</v>
      </c>
      <c r="I576" t="s">
        <v>79</v>
      </c>
      <c r="J576" t="s">
        <v>86</v>
      </c>
    </row>
    <row r="577" spans="1:10" x14ac:dyDescent="0.3">
      <c r="A577" s="2">
        <v>44430</v>
      </c>
      <c r="B577" s="2">
        <v>44433</v>
      </c>
      <c r="C577" t="s">
        <v>23</v>
      </c>
      <c r="D577" s="6">
        <v>275</v>
      </c>
      <c r="E577" s="6">
        <v>200.75</v>
      </c>
      <c r="F577" s="6">
        <v>9</v>
      </c>
      <c r="G577" s="6">
        <v>2475</v>
      </c>
      <c r="H577" t="s">
        <v>74</v>
      </c>
      <c r="I577" t="s">
        <v>83</v>
      </c>
      <c r="J577" t="s">
        <v>86</v>
      </c>
    </row>
    <row r="578" spans="1:10" x14ac:dyDescent="0.3">
      <c r="A578" s="2">
        <v>44430</v>
      </c>
      <c r="B578" s="2">
        <v>44436</v>
      </c>
      <c r="C578" t="s">
        <v>18</v>
      </c>
      <c r="D578" s="6">
        <v>80</v>
      </c>
      <c r="E578" s="6">
        <v>48.8</v>
      </c>
      <c r="F578" s="6">
        <v>9</v>
      </c>
      <c r="G578" s="6">
        <v>720</v>
      </c>
      <c r="H578" t="s">
        <v>73</v>
      </c>
      <c r="I578" t="s">
        <v>79</v>
      </c>
      <c r="J578" t="s">
        <v>85</v>
      </c>
    </row>
    <row r="579" spans="1:10" x14ac:dyDescent="0.3">
      <c r="A579" s="2">
        <v>44430</v>
      </c>
      <c r="B579" s="2">
        <v>44437</v>
      </c>
      <c r="C579" t="s">
        <v>23</v>
      </c>
      <c r="D579" s="6">
        <v>275</v>
      </c>
      <c r="E579" s="6">
        <v>200.75</v>
      </c>
      <c r="F579" s="6">
        <v>4</v>
      </c>
      <c r="G579" s="6">
        <v>1100</v>
      </c>
      <c r="H579" t="s">
        <v>53</v>
      </c>
      <c r="I579" t="s">
        <v>82</v>
      </c>
      <c r="J579" t="s">
        <v>86</v>
      </c>
    </row>
    <row r="580" spans="1:10" x14ac:dyDescent="0.3">
      <c r="A580" s="2">
        <v>44432</v>
      </c>
      <c r="B580" s="2">
        <v>44433</v>
      </c>
      <c r="C580" t="s">
        <v>11</v>
      </c>
      <c r="D580" s="6">
        <v>490</v>
      </c>
      <c r="E580" s="6">
        <v>298.89999999999998</v>
      </c>
      <c r="F580" s="6">
        <v>7</v>
      </c>
      <c r="G580" s="6">
        <v>3430</v>
      </c>
      <c r="H580" t="s">
        <v>39</v>
      </c>
      <c r="I580" t="s">
        <v>83</v>
      </c>
      <c r="J580" t="s">
        <v>85</v>
      </c>
    </row>
    <row r="581" spans="1:10" x14ac:dyDescent="0.3">
      <c r="A581" s="2">
        <v>44432</v>
      </c>
      <c r="B581" s="2">
        <v>44437</v>
      </c>
      <c r="C581" t="s">
        <v>3</v>
      </c>
      <c r="D581" s="6">
        <v>95</v>
      </c>
      <c r="E581" s="6">
        <v>60.800000000000004</v>
      </c>
      <c r="F581" s="6">
        <v>5</v>
      </c>
      <c r="G581" s="6">
        <v>475</v>
      </c>
      <c r="H581" t="s">
        <v>45</v>
      </c>
      <c r="I581" t="s">
        <v>80</v>
      </c>
      <c r="J581" t="s">
        <v>85</v>
      </c>
    </row>
    <row r="582" spans="1:10" x14ac:dyDescent="0.3">
      <c r="A582" s="2">
        <v>44433</v>
      </c>
      <c r="B582" s="2">
        <v>44440</v>
      </c>
      <c r="C582" t="s">
        <v>20</v>
      </c>
      <c r="D582" s="6">
        <v>440</v>
      </c>
      <c r="E582" s="6">
        <v>286</v>
      </c>
      <c r="F582" s="6">
        <v>8</v>
      </c>
      <c r="G582" s="6">
        <v>3520</v>
      </c>
      <c r="H582" t="s">
        <v>58</v>
      </c>
      <c r="I582" t="s">
        <v>80</v>
      </c>
      <c r="J582" t="s">
        <v>86</v>
      </c>
    </row>
    <row r="583" spans="1:10" x14ac:dyDescent="0.3">
      <c r="A583" s="2">
        <v>44434</v>
      </c>
      <c r="B583" s="2">
        <v>44436</v>
      </c>
      <c r="C583" t="s">
        <v>19</v>
      </c>
      <c r="D583" s="6">
        <v>220</v>
      </c>
      <c r="E583" s="6">
        <v>154</v>
      </c>
      <c r="F583" s="6">
        <v>8</v>
      </c>
      <c r="G583" s="6">
        <v>1760</v>
      </c>
      <c r="H583" t="s">
        <v>75</v>
      </c>
      <c r="I583" t="s">
        <v>82</v>
      </c>
      <c r="J583" t="s">
        <v>86</v>
      </c>
    </row>
    <row r="584" spans="1:10" x14ac:dyDescent="0.3">
      <c r="A584" s="2">
        <v>44435</v>
      </c>
      <c r="B584" s="2">
        <v>44442</v>
      </c>
      <c r="C584" t="s">
        <v>2</v>
      </c>
      <c r="D584" s="6">
        <v>250</v>
      </c>
      <c r="E584" s="6">
        <v>187.5</v>
      </c>
      <c r="F584" s="6">
        <v>3</v>
      </c>
      <c r="G584" s="6">
        <v>750</v>
      </c>
      <c r="H584" t="s">
        <v>59</v>
      </c>
      <c r="I584" t="s">
        <v>81</v>
      </c>
      <c r="J584" t="s">
        <v>85</v>
      </c>
    </row>
    <row r="585" spans="1:10" x14ac:dyDescent="0.3">
      <c r="A585" s="2">
        <v>44435</v>
      </c>
      <c r="B585" s="2">
        <v>44440</v>
      </c>
      <c r="C585" t="s">
        <v>9</v>
      </c>
      <c r="D585" s="6">
        <v>215</v>
      </c>
      <c r="E585" s="6">
        <v>152.65</v>
      </c>
      <c r="F585" s="6">
        <v>4</v>
      </c>
      <c r="G585" s="6">
        <v>860</v>
      </c>
      <c r="H585" t="s">
        <v>47</v>
      </c>
      <c r="I585" t="s">
        <v>83</v>
      </c>
      <c r="J585" t="s">
        <v>85</v>
      </c>
    </row>
    <row r="586" spans="1:10" x14ac:dyDescent="0.3">
      <c r="A586" s="2">
        <v>44436</v>
      </c>
      <c r="B586" s="2">
        <v>44441</v>
      </c>
      <c r="C586" t="s">
        <v>12</v>
      </c>
      <c r="D586" s="6">
        <v>320</v>
      </c>
      <c r="E586" s="6">
        <v>233.6</v>
      </c>
      <c r="F586" s="6">
        <v>2</v>
      </c>
      <c r="G586" s="6">
        <v>640</v>
      </c>
      <c r="H586" t="s">
        <v>37</v>
      </c>
      <c r="I586" t="s">
        <v>79</v>
      </c>
      <c r="J586" t="s">
        <v>86</v>
      </c>
    </row>
    <row r="587" spans="1:10" x14ac:dyDescent="0.3">
      <c r="A587" s="2">
        <v>44436</v>
      </c>
      <c r="B587" s="2">
        <v>44440</v>
      </c>
      <c r="C587" t="s">
        <v>17</v>
      </c>
      <c r="D587" s="6">
        <v>195</v>
      </c>
      <c r="E587" s="6">
        <v>138.44999999999999</v>
      </c>
      <c r="F587" s="6">
        <v>6</v>
      </c>
      <c r="G587" s="6">
        <v>1170</v>
      </c>
      <c r="H587" t="s">
        <v>70</v>
      </c>
      <c r="I587" t="s">
        <v>82</v>
      </c>
      <c r="J587" t="s">
        <v>85</v>
      </c>
    </row>
    <row r="588" spans="1:10" x14ac:dyDescent="0.3">
      <c r="A588" s="2">
        <v>44437</v>
      </c>
      <c r="B588" s="2">
        <v>44438</v>
      </c>
      <c r="C588" t="s">
        <v>10</v>
      </c>
      <c r="D588" s="6">
        <v>390</v>
      </c>
      <c r="E588" s="6">
        <v>253.5</v>
      </c>
      <c r="F588" s="6">
        <v>3</v>
      </c>
      <c r="G588" s="6">
        <v>1170</v>
      </c>
      <c r="H588" t="s">
        <v>34</v>
      </c>
      <c r="I588" t="s">
        <v>80</v>
      </c>
      <c r="J588" t="s">
        <v>86</v>
      </c>
    </row>
    <row r="589" spans="1:10" x14ac:dyDescent="0.3">
      <c r="A589" s="2">
        <v>44437</v>
      </c>
      <c r="B589" s="2">
        <v>44444</v>
      </c>
      <c r="C589" t="s">
        <v>7</v>
      </c>
      <c r="D589" s="6">
        <v>250</v>
      </c>
      <c r="E589" s="6">
        <v>167.5</v>
      </c>
      <c r="F589" s="6">
        <v>8</v>
      </c>
      <c r="G589" s="6">
        <v>2000</v>
      </c>
      <c r="H589" t="s">
        <v>73</v>
      </c>
      <c r="I589" t="s">
        <v>80</v>
      </c>
      <c r="J589" t="s">
        <v>85</v>
      </c>
    </row>
    <row r="590" spans="1:10" x14ac:dyDescent="0.3">
      <c r="A590" s="2">
        <v>44439</v>
      </c>
      <c r="B590" s="2">
        <v>44444</v>
      </c>
      <c r="C590" t="s">
        <v>19</v>
      </c>
      <c r="D590" s="6">
        <v>220</v>
      </c>
      <c r="E590" s="6">
        <v>154</v>
      </c>
      <c r="F590" s="6">
        <v>1</v>
      </c>
      <c r="G590" s="6">
        <v>220</v>
      </c>
      <c r="H590" t="s">
        <v>35</v>
      </c>
      <c r="I590" t="s">
        <v>83</v>
      </c>
      <c r="J590" t="s">
        <v>85</v>
      </c>
    </row>
    <row r="591" spans="1:10" x14ac:dyDescent="0.3">
      <c r="A591" s="2">
        <v>44440</v>
      </c>
      <c r="B591" s="2">
        <v>44447</v>
      </c>
      <c r="C591" t="s">
        <v>20</v>
      </c>
      <c r="D591" s="6">
        <v>440</v>
      </c>
      <c r="E591" s="6">
        <v>286</v>
      </c>
      <c r="F591" s="6">
        <v>7</v>
      </c>
      <c r="G591" s="6">
        <v>3080</v>
      </c>
      <c r="H591" t="s">
        <v>49</v>
      </c>
      <c r="I591" t="s">
        <v>83</v>
      </c>
      <c r="J591" t="s">
        <v>85</v>
      </c>
    </row>
    <row r="592" spans="1:10" x14ac:dyDescent="0.3">
      <c r="A592" s="2">
        <v>44440</v>
      </c>
      <c r="B592" s="2">
        <v>44445</v>
      </c>
      <c r="C592" t="s">
        <v>7</v>
      </c>
      <c r="D592" s="6">
        <v>250</v>
      </c>
      <c r="E592" s="6">
        <v>167.5</v>
      </c>
      <c r="F592" s="6">
        <v>8</v>
      </c>
      <c r="G592" s="6">
        <v>2000</v>
      </c>
      <c r="H592" t="s">
        <v>67</v>
      </c>
      <c r="I592" t="s">
        <v>82</v>
      </c>
      <c r="J592" t="s">
        <v>85</v>
      </c>
    </row>
    <row r="593" spans="1:10" x14ac:dyDescent="0.3">
      <c r="A593" s="2">
        <v>44442</v>
      </c>
      <c r="B593" s="2">
        <v>44448</v>
      </c>
      <c r="C593" t="s">
        <v>16</v>
      </c>
      <c r="D593" s="6">
        <v>145</v>
      </c>
      <c r="E593" s="6">
        <v>105.85</v>
      </c>
      <c r="F593" s="6">
        <v>5</v>
      </c>
      <c r="G593" s="6">
        <v>725</v>
      </c>
      <c r="H593" t="s">
        <v>65</v>
      </c>
      <c r="I593" t="s">
        <v>79</v>
      </c>
      <c r="J593" t="s">
        <v>86</v>
      </c>
    </row>
    <row r="594" spans="1:10" x14ac:dyDescent="0.3">
      <c r="A594" s="2">
        <v>44444</v>
      </c>
      <c r="B594" s="2">
        <v>44447</v>
      </c>
      <c r="C594" t="s">
        <v>4</v>
      </c>
      <c r="D594" s="6">
        <v>390</v>
      </c>
      <c r="E594" s="6">
        <v>288.60000000000002</v>
      </c>
      <c r="F594" s="6">
        <v>8</v>
      </c>
      <c r="G594" s="6">
        <v>3120</v>
      </c>
      <c r="H594" t="s">
        <v>71</v>
      </c>
      <c r="I594" t="s">
        <v>81</v>
      </c>
      <c r="J594" t="s">
        <v>85</v>
      </c>
    </row>
    <row r="595" spans="1:10" x14ac:dyDescent="0.3">
      <c r="A595" s="2">
        <v>44447</v>
      </c>
      <c r="B595" s="2">
        <v>44450</v>
      </c>
      <c r="C595" t="s">
        <v>12</v>
      </c>
      <c r="D595" s="6">
        <v>320</v>
      </c>
      <c r="E595" s="6">
        <v>233.6</v>
      </c>
      <c r="F595" s="6">
        <v>1</v>
      </c>
      <c r="G595" s="6">
        <v>320</v>
      </c>
      <c r="H595" t="s">
        <v>32</v>
      </c>
      <c r="I595" t="s">
        <v>80</v>
      </c>
      <c r="J595" t="s">
        <v>85</v>
      </c>
    </row>
    <row r="596" spans="1:10" x14ac:dyDescent="0.3">
      <c r="A596" s="2">
        <v>44447</v>
      </c>
      <c r="B596" s="2">
        <v>44454</v>
      </c>
      <c r="C596" t="s">
        <v>11</v>
      </c>
      <c r="D596" s="6">
        <v>490</v>
      </c>
      <c r="E596" s="6">
        <v>298.89999999999998</v>
      </c>
      <c r="F596" s="6">
        <v>8</v>
      </c>
      <c r="G596" s="6">
        <v>3920</v>
      </c>
      <c r="H596" t="s">
        <v>75</v>
      </c>
      <c r="I596" t="s">
        <v>79</v>
      </c>
      <c r="J596" t="s">
        <v>86</v>
      </c>
    </row>
    <row r="597" spans="1:10" x14ac:dyDescent="0.3">
      <c r="A597" s="2">
        <v>44447</v>
      </c>
      <c r="B597" s="2">
        <v>44450</v>
      </c>
      <c r="C597" t="s">
        <v>15</v>
      </c>
      <c r="D597" s="6">
        <v>110</v>
      </c>
      <c r="E597" s="6">
        <v>78.099999999999994</v>
      </c>
      <c r="F597" s="6">
        <v>4</v>
      </c>
      <c r="G597" s="6">
        <v>440</v>
      </c>
      <c r="H597" t="s">
        <v>67</v>
      </c>
      <c r="I597" t="s">
        <v>83</v>
      </c>
      <c r="J597" t="s">
        <v>86</v>
      </c>
    </row>
    <row r="598" spans="1:10" x14ac:dyDescent="0.3">
      <c r="A598" s="2">
        <v>44449</v>
      </c>
      <c r="B598" s="2">
        <v>44452</v>
      </c>
      <c r="C598" t="s">
        <v>19</v>
      </c>
      <c r="D598" s="6">
        <v>220</v>
      </c>
      <c r="E598" s="6">
        <v>154</v>
      </c>
      <c r="F598" s="6">
        <v>2</v>
      </c>
      <c r="G598" s="6">
        <v>440</v>
      </c>
      <c r="H598" t="s">
        <v>73</v>
      </c>
      <c r="I598" t="s">
        <v>79</v>
      </c>
      <c r="J598" t="s">
        <v>85</v>
      </c>
    </row>
    <row r="599" spans="1:10" x14ac:dyDescent="0.3">
      <c r="A599" s="2">
        <v>44450</v>
      </c>
      <c r="B599" s="2">
        <v>44457</v>
      </c>
      <c r="C599" t="s">
        <v>21</v>
      </c>
      <c r="D599" s="6">
        <v>355</v>
      </c>
      <c r="E599" s="6">
        <v>252.04999999999998</v>
      </c>
      <c r="F599" s="6">
        <v>4</v>
      </c>
      <c r="G599" s="6">
        <v>1420</v>
      </c>
      <c r="H599" t="s">
        <v>41</v>
      </c>
      <c r="I599" t="s">
        <v>83</v>
      </c>
      <c r="J599" t="s">
        <v>85</v>
      </c>
    </row>
    <row r="600" spans="1:10" x14ac:dyDescent="0.3">
      <c r="A600" s="2">
        <v>44450</v>
      </c>
      <c r="B600" s="2">
        <v>44452</v>
      </c>
      <c r="C600" t="s">
        <v>3</v>
      </c>
      <c r="D600" s="6">
        <v>95</v>
      </c>
      <c r="E600" s="6">
        <v>60.800000000000004</v>
      </c>
      <c r="F600" s="6">
        <v>4</v>
      </c>
      <c r="G600" s="6">
        <v>380</v>
      </c>
      <c r="H600" t="s">
        <v>38</v>
      </c>
      <c r="I600" t="s">
        <v>80</v>
      </c>
      <c r="J600" t="s">
        <v>85</v>
      </c>
    </row>
    <row r="601" spans="1:10" x14ac:dyDescent="0.3">
      <c r="A601" s="2">
        <v>44453</v>
      </c>
      <c r="B601" s="2">
        <v>44455</v>
      </c>
      <c r="C601" t="s">
        <v>20</v>
      </c>
      <c r="D601" s="6">
        <v>440</v>
      </c>
      <c r="E601" s="6">
        <v>286</v>
      </c>
      <c r="F601" s="6">
        <v>6</v>
      </c>
      <c r="G601" s="6">
        <v>2640</v>
      </c>
      <c r="H601" t="s">
        <v>66</v>
      </c>
      <c r="I601" t="s">
        <v>79</v>
      </c>
      <c r="J601" t="s">
        <v>85</v>
      </c>
    </row>
    <row r="602" spans="1:10" x14ac:dyDescent="0.3">
      <c r="A602" s="2">
        <v>44453</v>
      </c>
      <c r="B602" s="2">
        <v>44456</v>
      </c>
      <c r="C602" t="s">
        <v>23</v>
      </c>
      <c r="D602" s="6">
        <v>275</v>
      </c>
      <c r="E602" s="6">
        <v>200.75</v>
      </c>
      <c r="F602" s="6">
        <v>4</v>
      </c>
      <c r="G602" s="6">
        <v>1100</v>
      </c>
      <c r="H602" t="s">
        <v>30</v>
      </c>
      <c r="I602" t="s">
        <v>81</v>
      </c>
      <c r="J602" t="s">
        <v>86</v>
      </c>
    </row>
    <row r="603" spans="1:10" x14ac:dyDescent="0.3">
      <c r="A603" s="2">
        <v>44455</v>
      </c>
      <c r="B603" s="2">
        <v>44462</v>
      </c>
      <c r="C603" t="s">
        <v>23</v>
      </c>
      <c r="D603" s="6">
        <v>275</v>
      </c>
      <c r="E603" s="6">
        <v>200.75</v>
      </c>
      <c r="F603" s="6">
        <v>5</v>
      </c>
      <c r="G603" s="6">
        <v>1375</v>
      </c>
      <c r="H603" t="s">
        <v>66</v>
      </c>
      <c r="I603" t="s">
        <v>81</v>
      </c>
      <c r="J603" t="s">
        <v>85</v>
      </c>
    </row>
    <row r="604" spans="1:10" x14ac:dyDescent="0.3">
      <c r="A604" s="2">
        <v>44456</v>
      </c>
      <c r="B604" s="2">
        <v>44463</v>
      </c>
      <c r="C604" t="s">
        <v>23</v>
      </c>
      <c r="D604" s="6">
        <v>275</v>
      </c>
      <c r="E604" s="6">
        <v>200.75</v>
      </c>
      <c r="F604" s="6">
        <v>1</v>
      </c>
      <c r="G604" s="6">
        <v>275</v>
      </c>
      <c r="H604" t="s">
        <v>41</v>
      </c>
      <c r="I604" t="s">
        <v>80</v>
      </c>
      <c r="J604" t="s">
        <v>85</v>
      </c>
    </row>
    <row r="605" spans="1:10" x14ac:dyDescent="0.3">
      <c r="A605" s="2">
        <v>44456</v>
      </c>
      <c r="B605" s="2">
        <v>44459</v>
      </c>
      <c r="C605" t="s">
        <v>18</v>
      </c>
      <c r="D605" s="6">
        <v>80</v>
      </c>
      <c r="E605" s="6">
        <v>48.8</v>
      </c>
      <c r="F605" s="6">
        <v>2</v>
      </c>
      <c r="G605" s="6">
        <v>160</v>
      </c>
      <c r="H605" t="s">
        <v>31</v>
      </c>
      <c r="I605" t="s">
        <v>82</v>
      </c>
      <c r="J605" t="s">
        <v>86</v>
      </c>
    </row>
    <row r="606" spans="1:10" x14ac:dyDescent="0.3">
      <c r="A606" s="2">
        <v>44456</v>
      </c>
      <c r="B606" s="2">
        <v>44463</v>
      </c>
      <c r="C606" t="s">
        <v>15</v>
      </c>
      <c r="D606" s="6">
        <v>110</v>
      </c>
      <c r="E606" s="6">
        <v>78.099999999999994</v>
      </c>
      <c r="F606" s="6">
        <v>4</v>
      </c>
      <c r="G606" s="6">
        <v>440</v>
      </c>
      <c r="H606" t="s">
        <v>34</v>
      </c>
      <c r="I606" t="s">
        <v>79</v>
      </c>
      <c r="J606" t="s">
        <v>85</v>
      </c>
    </row>
    <row r="607" spans="1:10" x14ac:dyDescent="0.3">
      <c r="A607" s="2">
        <v>44456</v>
      </c>
      <c r="B607" s="2">
        <v>44462</v>
      </c>
      <c r="C607" t="s">
        <v>21</v>
      </c>
      <c r="D607" s="6">
        <v>355</v>
      </c>
      <c r="E607" s="6">
        <v>252.04999999999998</v>
      </c>
      <c r="F607" s="6">
        <v>7</v>
      </c>
      <c r="G607" s="6">
        <v>2485</v>
      </c>
      <c r="H607" t="s">
        <v>64</v>
      </c>
      <c r="I607" t="s">
        <v>82</v>
      </c>
      <c r="J607" t="s">
        <v>85</v>
      </c>
    </row>
    <row r="608" spans="1:10" x14ac:dyDescent="0.3">
      <c r="A608" s="2">
        <v>44459</v>
      </c>
      <c r="B608" s="2">
        <v>44461</v>
      </c>
      <c r="C608" t="s">
        <v>12</v>
      </c>
      <c r="D608" s="6">
        <v>320</v>
      </c>
      <c r="E608" s="6">
        <v>233.6</v>
      </c>
      <c r="F608" s="6">
        <v>7</v>
      </c>
      <c r="G608" s="6">
        <v>2240</v>
      </c>
      <c r="H608" t="s">
        <v>53</v>
      </c>
      <c r="I608" t="s">
        <v>79</v>
      </c>
      <c r="J608" t="s">
        <v>85</v>
      </c>
    </row>
    <row r="609" spans="1:10" x14ac:dyDescent="0.3">
      <c r="A609" s="2">
        <v>44460</v>
      </c>
      <c r="B609" s="2">
        <v>44462</v>
      </c>
      <c r="C609" t="s">
        <v>19</v>
      </c>
      <c r="D609" s="6">
        <v>220</v>
      </c>
      <c r="E609" s="6">
        <v>154</v>
      </c>
      <c r="F609" s="6">
        <v>4</v>
      </c>
      <c r="G609" s="6">
        <v>880</v>
      </c>
      <c r="H609" t="s">
        <v>65</v>
      </c>
      <c r="I609" t="s">
        <v>83</v>
      </c>
      <c r="J609" t="s">
        <v>86</v>
      </c>
    </row>
    <row r="610" spans="1:10" x14ac:dyDescent="0.3">
      <c r="A610" s="2">
        <v>44461</v>
      </c>
      <c r="B610" s="2">
        <v>44462</v>
      </c>
      <c r="C610" t="s">
        <v>5</v>
      </c>
      <c r="D610" s="6">
        <v>290</v>
      </c>
      <c r="E610" s="6">
        <v>185.6</v>
      </c>
      <c r="F610" s="6">
        <v>2</v>
      </c>
      <c r="G610" s="6">
        <v>580</v>
      </c>
      <c r="H610" t="s">
        <v>76</v>
      </c>
      <c r="I610" t="s">
        <v>79</v>
      </c>
      <c r="J610" t="s">
        <v>85</v>
      </c>
    </row>
    <row r="611" spans="1:10" x14ac:dyDescent="0.3">
      <c r="A611" s="2">
        <v>44462</v>
      </c>
      <c r="B611" s="2">
        <v>44467</v>
      </c>
      <c r="C611" t="s">
        <v>7</v>
      </c>
      <c r="D611" s="6">
        <v>250</v>
      </c>
      <c r="E611" s="6">
        <v>167.5</v>
      </c>
      <c r="F611" s="6">
        <v>1</v>
      </c>
      <c r="G611" s="6">
        <v>250</v>
      </c>
      <c r="H611" t="s">
        <v>62</v>
      </c>
      <c r="I611" t="s">
        <v>83</v>
      </c>
      <c r="J611" t="s">
        <v>86</v>
      </c>
    </row>
    <row r="612" spans="1:10" x14ac:dyDescent="0.3">
      <c r="A612" s="2">
        <v>44463</v>
      </c>
      <c r="B612" s="2">
        <v>44465</v>
      </c>
      <c r="C612" t="s">
        <v>14</v>
      </c>
      <c r="D612" s="6">
        <v>375</v>
      </c>
      <c r="E612" s="6">
        <v>247.5</v>
      </c>
      <c r="F612" s="6">
        <v>4</v>
      </c>
      <c r="G612" s="6">
        <v>1500</v>
      </c>
      <c r="H612" t="s">
        <v>35</v>
      </c>
      <c r="I612" t="s">
        <v>80</v>
      </c>
      <c r="J612" t="s">
        <v>85</v>
      </c>
    </row>
    <row r="613" spans="1:10" x14ac:dyDescent="0.3">
      <c r="A613" s="2">
        <v>44464</v>
      </c>
      <c r="B613" s="2">
        <v>44468</v>
      </c>
      <c r="C613" t="s">
        <v>2</v>
      </c>
      <c r="D613" s="6">
        <v>250</v>
      </c>
      <c r="E613" s="6">
        <v>187.5</v>
      </c>
      <c r="F613" s="6">
        <v>3</v>
      </c>
      <c r="G613" s="6">
        <v>750</v>
      </c>
      <c r="H613" t="s">
        <v>71</v>
      </c>
      <c r="I613" t="s">
        <v>83</v>
      </c>
      <c r="J613" t="s">
        <v>86</v>
      </c>
    </row>
    <row r="614" spans="1:10" x14ac:dyDescent="0.3">
      <c r="A614" s="2">
        <v>44464</v>
      </c>
      <c r="B614" s="2">
        <v>44471</v>
      </c>
      <c r="C614" t="s">
        <v>17</v>
      </c>
      <c r="D614" s="6">
        <v>195</v>
      </c>
      <c r="E614" s="6">
        <v>138.44999999999999</v>
      </c>
      <c r="F614" s="6">
        <v>8</v>
      </c>
      <c r="G614" s="6">
        <v>1560</v>
      </c>
      <c r="H614" t="s">
        <v>67</v>
      </c>
      <c r="I614" t="s">
        <v>82</v>
      </c>
      <c r="J614" t="s">
        <v>85</v>
      </c>
    </row>
    <row r="615" spans="1:10" x14ac:dyDescent="0.3">
      <c r="A615" s="2">
        <v>44465</v>
      </c>
      <c r="B615" s="2">
        <v>44466</v>
      </c>
      <c r="C615" t="s">
        <v>5</v>
      </c>
      <c r="D615" s="6">
        <v>290</v>
      </c>
      <c r="E615" s="6">
        <v>185.6</v>
      </c>
      <c r="F615" s="6">
        <v>3</v>
      </c>
      <c r="G615" s="6">
        <v>870</v>
      </c>
      <c r="H615" t="s">
        <v>51</v>
      </c>
      <c r="I615" t="s">
        <v>82</v>
      </c>
      <c r="J615" t="s">
        <v>86</v>
      </c>
    </row>
    <row r="616" spans="1:10" x14ac:dyDescent="0.3">
      <c r="A616" s="2">
        <v>44466</v>
      </c>
      <c r="B616" s="2">
        <v>44469</v>
      </c>
      <c r="C616" t="s">
        <v>21</v>
      </c>
      <c r="D616" s="6">
        <v>355</v>
      </c>
      <c r="E616" s="6">
        <v>252.04999999999998</v>
      </c>
      <c r="F616" s="6">
        <v>1</v>
      </c>
      <c r="G616" s="6">
        <v>355</v>
      </c>
      <c r="H616" t="s">
        <v>68</v>
      </c>
      <c r="I616" t="s">
        <v>81</v>
      </c>
      <c r="J616" t="s">
        <v>85</v>
      </c>
    </row>
    <row r="617" spans="1:10" x14ac:dyDescent="0.3">
      <c r="A617" s="2">
        <v>44466</v>
      </c>
      <c r="B617" s="2">
        <v>44468</v>
      </c>
      <c r="C617" t="s">
        <v>11</v>
      </c>
      <c r="D617" s="6">
        <v>490</v>
      </c>
      <c r="E617" s="6">
        <v>298.89999999999998</v>
      </c>
      <c r="F617" s="6">
        <v>6</v>
      </c>
      <c r="G617" s="6">
        <v>2940</v>
      </c>
      <c r="H617" t="s">
        <v>75</v>
      </c>
      <c r="I617" t="s">
        <v>81</v>
      </c>
      <c r="J617" t="s">
        <v>86</v>
      </c>
    </row>
    <row r="618" spans="1:10" x14ac:dyDescent="0.3">
      <c r="A618" s="2">
        <v>44467</v>
      </c>
      <c r="B618" s="2">
        <v>44468</v>
      </c>
      <c r="C618" t="s">
        <v>21</v>
      </c>
      <c r="D618" s="6">
        <v>355</v>
      </c>
      <c r="E618" s="6">
        <v>252.04999999999998</v>
      </c>
      <c r="F618" s="6">
        <v>4</v>
      </c>
      <c r="G618" s="6">
        <v>1420</v>
      </c>
      <c r="H618" t="s">
        <v>76</v>
      </c>
      <c r="I618" t="s">
        <v>79</v>
      </c>
      <c r="J618" t="s">
        <v>86</v>
      </c>
    </row>
    <row r="619" spans="1:10" x14ac:dyDescent="0.3">
      <c r="A619" s="2">
        <v>44471</v>
      </c>
      <c r="B619" s="2">
        <v>44475</v>
      </c>
      <c r="C619" t="s">
        <v>14</v>
      </c>
      <c r="D619" s="6">
        <v>375</v>
      </c>
      <c r="E619" s="6">
        <v>247.5</v>
      </c>
      <c r="F619" s="6">
        <v>3</v>
      </c>
      <c r="G619" s="6">
        <v>1125</v>
      </c>
      <c r="H619" t="s">
        <v>71</v>
      </c>
      <c r="I619" t="s">
        <v>81</v>
      </c>
      <c r="J619" t="s">
        <v>86</v>
      </c>
    </row>
    <row r="620" spans="1:10" x14ac:dyDescent="0.3">
      <c r="A620" s="2">
        <v>44472</v>
      </c>
      <c r="B620" s="2">
        <v>44478</v>
      </c>
      <c r="C620" t="s">
        <v>16</v>
      </c>
      <c r="D620" s="6">
        <v>145</v>
      </c>
      <c r="E620" s="6">
        <v>105.85</v>
      </c>
      <c r="F620" s="6">
        <v>6</v>
      </c>
      <c r="G620" s="6">
        <v>870</v>
      </c>
      <c r="H620" t="s">
        <v>52</v>
      </c>
      <c r="I620" t="s">
        <v>80</v>
      </c>
      <c r="J620" t="s">
        <v>86</v>
      </c>
    </row>
    <row r="621" spans="1:10" x14ac:dyDescent="0.3">
      <c r="A621" s="2">
        <v>44472</v>
      </c>
      <c r="B621" s="2">
        <v>44476</v>
      </c>
      <c r="C621" t="s">
        <v>11</v>
      </c>
      <c r="D621" s="6">
        <v>490</v>
      </c>
      <c r="E621" s="6">
        <v>298.89999999999998</v>
      </c>
      <c r="F621" s="6">
        <v>9</v>
      </c>
      <c r="G621" s="6">
        <v>4410</v>
      </c>
      <c r="H621" t="s">
        <v>35</v>
      </c>
      <c r="I621" t="s">
        <v>80</v>
      </c>
      <c r="J621" t="s">
        <v>85</v>
      </c>
    </row>
    <row r="622" spans="1:10" x14ac:dyDescent="0.3">
      <c r="A622" s="2">
        <v>44477</v>
      </c>
      <c r="B622" s="2">
        <v>44481</v>
      </c>
      <c r="C622" t="s">
        <v>21</v>
      </c>
      <c r="D622" s="6">
        <v>355</v>
      </c>
      <c r="E622" s="6">
        <v>252.04999999999998</v>
      </c>
      <c r="F622" s="6">
        <v>4</v>
      </c>
      <c r="G622" s="6">
        <v>1420</v>
      </c>
      <c r="H622" t="s">
        <v>64</v>
      </c>
      <c r="I622" t="s">
        <v>81</v>
      </c>
      <c r="J622" t="s">
        <v>86</v>
      </c>
    </row>
    <row r="623" spans="1:10" x14ac:dyDescent="0.3">
      <c r="A623" s="2">
        <v>44478</v>
      </c>
      <c r="B623" s="2">
        <v>44484</v>
      </c>
      <c r="C623" t="s">
        <v>5</v>
      </c>
      <c r="D623" s="6">
        <v>290</v>
      </c>
      <c r="E623" s="6">
        <v>185.6</v>
      </c>
      <c r="F623" s="6">
        <v>1</v>
      </c>
      <c r="G623" s="6">
        <v>290</v>
      </c>
      <c r="H623" t="s">
        <v>58</v>
      </c>
      <c r="I623" t="s">
        <v>81</v>
      </c>
      <c r="J623" t="s">
        <v>85</v>
      </c>
    </row>
    <row r="624" spans="1:10" x14ac:dyDescent="0.3">
      <c r="A624" s="2">
        <v>44479</v>
      </c>
      <c r="B624" s="2">
        <v>44484</v>
      </c>
      <c r="C624" t="s">
        <v>10</v>
      </c>
      <c r="D624" s="6">
        <v>390</v>
      </c>
      <c r="E624" s="6">
        <v>253.5</v>
      </c>
      <c r="F624" s="6">
        <v>1</v>
      </c>
      <c r="G624" s="6">
        <v>390</v>
      </c>
      <c r="H624" t="s">
        <v>52</v>
      </c>
      <c r="I624" t="s">
        <v>79</v>
      </c>
      <c r="J624" t="s">
        <v>85</v>
      </c>
    </row>
    <row r="625" spans="1:10" x14ac:dyDescent="0.3">
      <c r="A625" s="2">
        <v>44480</v>
      </c>
      <c r="B625" s="2">
        <v>44485</v>
      </c>
      <c r="C625" t="s">
        <v>18</v>
      </c>
      <c r="D625" s="6">
        <v>80</v>
      </c>
      <c r="E625" s="6">
        <v>48.8</v>
      </c>
      <c r="F625" s="6">
        <v>5</v>
      </c>
      <c r="G625" s="6">
        <v>400</v>
      </c>
      <c r="H625" t="s">
        <v>65</v>
      </c>
      <c r="I625" t="s">
        <v>82</v>
      </c>
      <c r="J625" t="s">
        <v>86</v>
      </c>
    </row>
    <row r="626" spans="1:10" x14ac:dyDescent="0.3">
      <c r="A626" s="2">
        <v>44480</v>
      </c>
      <c r="B626" s="2">
        <v>44482</v>
      </c>
      <c r="C626" t="s">
        <v>15</v>
      </c>
      <c r="D626" s="6">
        <v>110</v>
      </c>
      <c r="E626" s="6">
        <v>78.099999999999994</v>
      </c>
      <c r="F626" s="6">
        <v>6</v>
      </c>
      <c r="G626" s="6">
        <v>660</v>
      </c>
      <c r="H626" t="s">
        <v>36</v>
      </c>
      <c r="I626" t="s">
        <v>80</v>
      </c>
      <c r="J626" t="s">
        <v>86</v>
      </c>
    </row>
    <row r="627" spans="1:10" x14ac:dyDescent="0.3">
      <c r="A627" s="2">
        <v>44481</v>
      </c>
      <c r="B627" s="2">
        <v>44484</v>
      </c>
      <c r="C627" t="s">
        <v>10</v>
      </c>
      <c r="D627" s="6">
        <v>390</v>
      </c>
      <c r="E627" s="6">
        <v>253.5</v>
      </c>
      <c r="F627" s="6">
        <v>8</v>
      </c>
      <c r="G627" s="6">
        <v>3120</v>
      </c>
      <c r="H627" t="s">
        <v>54</v>
      </c>
      <c r="I627" t="s">
        <v>79</v>
      </c>
      <c r="J627" t="s">
        <v>85</v>
      </c>
    </row>
    <row r="628" spans="1:10" x14ac:dyDescent="0.3">
      <c r="A628" s="2">
        <v>44481</v>
      </c>
      <c r="B628" s="2">
        <v>44486</v>
      </c>
      <c r="C628" t="s">
        <v>11</v>
      </c>
      <c r="D628" s="6">
        <v>490</v>
      </c>
      <c r="E628" s="6">
        <v>298.89999999999998</v>
      </c>
      <c r="F628" s="6">
        <v>5</v>
      </c>
      <c r="G628" s="6">
        <v>2450</v>
      </c>
      <c r="H628" t="s">
        <v>44</v>
      </c>
      <c r="I628" t="s">
        <v>80</v>
      </c>
      <c r="J628" t="s">
        <v>85</v>
      </c>
    </row>
    <row r="629" spans="1:10" x14ac:dyDescent="0.3">
      <c r="A629" s="2">
        <v>44481</v>
      </c>
      <c r="B629" s="2">
        <v>44485</v>
      </c>
      <c r="C629" t="s">
        <v>4</v>
      </c>
      <c r="D629" s="6">
        <v>390</v>
      </c>
      <c r="E629" s="6">
        <v>288.60000000000002</v>
      </c>
      <c r="F629" s="6">
        <v>3</v>
      </c>
      <c r="G629" s="6">
        <v>1170</v>
      </c>
      <c r="H629" t="s">
        <v>50</v>
      </c>
      <c r="I629" t="s">
        <v>81</v>
      </c>
      <c r="J629" t="s">
        <v>86</v>
      </c>
    </row>
    <row r="630" spans="1:10" x14ac:dyDescent="0.3">
      <c r="A630" s="2">
        <v>44482</v>
      </c>
      <c r="B630" s="2">
        <v>44489</v>
      </c>
      <c r="C630" t="s">
        <v>7</v>
      </c>
      <c r="D630" s="6">
        <v>250</v>
      </c>
      <c r="E630" s="6">
        <v>167.5</v>
      </c>
      <c r="F630" s="6">
        <v>7</v>
      </c>
      <c r="G630" s="6">
        <v>1750</v>
      </c>
      <c r="H630" t="s">
        <v>36</v>
      </c>
      <c r="I630" t="s">
        <v>79</v>
      </c>
      <c r="J630" t="s">
        <v>86</v>
      </c>
    </row>
    <row r="631" spans="1:10" x14ac:dyDescent="0.3">
      <c r="A631" s="2">
        <v>44483</v>
      </c>
      <c r="B631" s="2">
        <v>44490</v>
      </c>
      <c r="C631" t="s">
        <v>15</v>
      </c>
      <c r="D631" s="6">
        <v>110</v>
      </c>
      <c r="E631" s="6">
        <v>78.099999999999994</v>
      </c>
      <c r="F631" s="6">
        <v>2</v>
      </c>
      <c r="G631" s="6">
        <v>220</v>
      </c>
      <c r="H631" t="s">
        <v>72</v>
      </c>
      <c r="I631" t="s">
        <v>83</v>
      </c>
      <c r="J631" t="s">
        <v>85</v>
      </c>
    </row>
    <row r="632" spans="1:10" x14ac:dyDescent="0.3">
      <c r="A632" s="2">
        <v>44483</v>
      </c>
      <c r="B632" s="2">
        <v>44484</v>
      </c>
      <c r="C632" t="s">
        <v>2</v>
      </c>
      <c r="D632" s="6">
        <v>250</v>
      </c>
      <c r="E632" s="6">
        <v>187.5</v>
      </c>
      <c r="F632" s="6">
        <v>7</v>
      </c>
      <c r="G632" s="6">
        <v>1750</v>
      </c>
      <c r="H632" t="s">
        <v>38</v>
      </c>
      <c r="I632" t="s">
        <v>80</v>
      </c>
      <c r="J632" t="s">
        <v>85</v>
      </c>
    </row>
    <row r="633" spans="1:10" x14ac:dyDescent="0.3">
      <c r="A633" s="2">
        <v>44486</v>
      </c>
      <c r="B633" s="2">
        <v>44491</v>
      </c>
      <c r="C633" t="s">
        <v>21</v>
      </c>
      <c r="D633" s="6">
        <v>355</v>
      </c>
      <c r="E633" s="6">
        <v>252.04999999999998</v>
      </c>
      <c r="F633" s="6">
        <v>3</v>
      </c>
      <c r="G633" s="6">
        <v>1065</v>
      </c>
      <c r="H633" t="s">
        <v>51</v>
      </c>
      <c r="I633" t="s">
        <v>82</v>
      </c>
      <c r="J633" t="s">
        <v>86</v>
      </c>
    </row>
    <row r="634" spans="1:10" x14ac:dyDescent="0.3">
      <c r="A634" s="2">
        <v>44486</v>
      </c>
      <c r="B634" s="2">
        <v>44492</v>
      </c>
      <c r="C634" t="s">
        <v>15</v>
      </c>
      <c r="D634" s="6">
        <v>110</v>
      </c>
      <c r="E634" s="6">
        <v>78.099999999999994</v>
      </c>
      <c r="F634" s="6">
        <v>5</v>
      </c>
      <c r="G634" s="6">
        <v>550</v>
      </c>
      <c r="H634" t="s">
        <v>65</v>
      </c>
      <c r="I634" t="s">
        <v>83</v>
      </c>
      <c r="J634" t="s">
        <v>85</v>
      </c>
    </row>
    <row r="635" spans="1:10" x14ac:dyDescent="0.3">
      <c r="A635" s="2">
        <v>44487</v>
      </c>
      <c r="B635" s="2">
        <v>44490</v>
      </c>
      <c r="C635" t="s">
        <v>11</v>
      </c>
      <c r="D635" s="6">
        <v>490</v>
      </c>
      <c r="E635" s="6">
        <v>298.89999999999998</v>
      </c>
      <c r="F635" s="6">
        <v>3</v>
      </c>
      <c r="G635" s="6">
        <v>1470</v>
      </c>
      <c r="H635" t="s">
        <v>29</v>
      </c>
      <c r="I635" t="s">
        <v>81</v>
      </c>
      <c r="J635" t="s">
        <v>85</v>
      </c>
    </row>
    <row r="636" spans="1:10" x14ac:dyDescent="0.3">
      <c r="A636" s="2">
        <v>44488</v>
      </c>
      <c r="B636" s="2">
        <v>44495</v>
      </c>
      <c r="C636" t="s">
        <v>15</v>
      </c>
      <c r="D636" s="6">
        <v>110</v>
      </c>
      <c r="E636" s="6">
        <v>78.099999999999994</v>
      </c>
      <c r="F636" s="6">
        <v>3</v>
      </c>
      <c r="G636" s="6">
        <v>330</v>
      </c>
      <c r="H636" t="s">
        <v>69</v>
      </c>
      <c r="I636" t="s">
        <v>82</v>
      </c>
      <c r="J636" t="s">
        <v>85</v>
      </c>
    </row>
    <row r="637" spans="1:10" x14ac:dyDescent="0.3">
      <c r="A637" s="2">
        <v>44493</v>
      </c>
      <c r="B637" s="2">
        <v>44494</v>
      </c>
      <c r="C637" t="s">
        <v>12</v>
      </c>
      <c r="D637" s="6">
        <v>320</v>
      </c>
      <c r="E637" s="6">
        <v>233.6</v>
      </c>
      <c r="F637" s="6">
        <v>9</v>
      </c>
      <c r="G637" s="6">
        <v>2880</v>
      </c>
      <c r="H637" t="s">
        <v>73</v>
      </c>
      <c r="I637" t="s">
        <v>82</v>
      </c>
      <c r="J637" t="s">
        <v>85</v>
      </c>
    </row>
    <row r="638" spans="1:10" x14ac:dyDescent="0.3">
      <c r="A638" s="2">
        <v>44497</v>
      </c>
      <c r="B638" s="2">
        <v>44499</v>
      </c>
      <c r="C638" t="s">
        <v>14</v>
      </c>
      <c r="D638" s="6">
        <v>375</v>
      </c>
      <c r="E638" s="6">
        <v>247.5</v>
      </c>
      <c r="F638" s="6">
        <v>5</v>
      </c>
      <c r="G638" s="6">
        <v>1875</v>
      </c>
      <c r="H638" t="s">
        <v>48</v>
      </c>
      <c r="I638" t="s">
        <v>79</v>
      </c>
      <c r="J638" t="s">
        <v>86</v>
      </c>
    </row>
    <row r="639" spans="1:10" x14ac:dyDescent="0.3">
      <c r="A639" s="2">
        <v>44498</v>
      </c>
      <c r="B639" s="2">
        <v>44505</v>
      </c>
      <c r="C639" t="s">
        <v>6</v>
      </c>
      <c r="D639" s="6">
        <v>99</v>
      </c>
      <c r="E639" s="6">
        <v>62.37</v>
      </c>
      <c r="F639" s="6">
        <v>9</v>
      </c>
      <c r="G639" s="6">
        <v>891</v>
      </c>
      <c r="H639" t="s">
        <v>60</v>
      </c>
      <c r="I639" t="s">
        <v>79</v>
      </c>
      <c r="J639" t="s">
        <v>86</v>
      </c>
    </row>
    <row r="640" spans="1:10" x14ac:dyDescent="0.3">
      <c r="A640" s="2">
        <v>44498</v>
      </c>
      <c r="B640" s="2">
        <v>44503</v>
      </c>
      <c r="C640" t="s">
        <v>23</v>
      </c>
      <c r="D640" s="6">
        <v>275</v>
      </c>
      <c r="E640" s="6">
        <v>200.75</v>
      </c>
      <c r="F640" s="6">
        <v>1</v>
      </c>
      <c r="G640" s="6">
        <v>275</v>
      </c>
      <c r="H640" t="s">
        <v>65</v>
      </c>
      <c r="I640" t="s">
        <v>81</v>
      </c>
      <c r="J640" t="s">
        <v>85</v>
      </c>
    </row>
    <row r="641" spans="1:10" x14ac:dyDescent="0.3">
      <c r="A641" s="2">
        <v>44501</v>
      </c>
      <c r="B641" s="2">
        <v>44505</v>
      </c>
      <c r="C641" t="s">
        <v>8</v>
      </c>
      <c r="D641" s="6">
        <v>59</v>
      </c>
      <c r="E641" s="6">
        <v>41.3</v>
      </c>
      <c r="F641" s="6">
        <v>4</v>
      </c>
      <c r="G641" s="6">
        <v>236</v>
      </c>
      <c r="H641" t="s">
        <v>58</v>
      </c>
      <c r="I641" t="s">
        <v>82</v>
      </c>
      <c r="J641" t="s">
        <v>85</v>
      </c>
    </row>
    <row r="642" spans="1:10" x14ac:dyDescent="0.3">
      <c r="A642" s="2">
        <v>44501</v>
      </c>
      <c r="B642" s="2">
        <v>44505</v>
      </c>
      <c r="C642" t="s">
        <v>2</v>
      </c>
      <c r="D642" s="6">
        <v>250</v>
      </c>
      <c r="E642" s="6">
        <v>187.5</v>
      </c>
      <c r="F642" s="6">
        <v>5</v>
      </c>
      <c r="G642" s="6">
        <v>1250</v>
      </c>
      <c r="H642" t="s">
        <v>48</v>
      </c>
      <c r="I642" t="s">
        <v>79</v>
      </c>
      <c r="J642" t="s">
        <v>85</v>
      </c>
    </row>
    <row r="643" spans="1:10" x14ac:dyDescent="0.3">
      <c r="A643" s="2">
        <v>44501</v>
      </c>
      <c r="B643" s="2">
        <v>44507</v>
      </c>
      <c r="C643" t="s">
        <v>9</v>
      </c>
      <c r="D643" s="6">
        <v>215</v>
      </c>
      <c r="E643" s="6">
        <v>152.65</v>
      </c>
      <c r="F643" s="6">
        <v>8</v>
      </c>
      <c r="G643" s="6">
        <v>1720</v>
      </c>
      <c r="H643" t="s">
        <v>72</v>
      </c>
      <c r="I643" t="s">
        <v>80</v>
      </c>
      <c r="J643" t="s">
        <v>86</v>
      </c>
    </row>
    <row r="644" spans="1:10" x14ac:dyDescent="0.3">
      <c r="A644" s="2">
        <v>44501</v>
      </c>
      <c r="B644" s="2">
        <v>44505</v>
      </c>
      <c r="C644" t="s">
        <v>22</v>
      </c>
      <c r="D644" s="6">
        <v>460</v>
      </c>
      <c r="E644" s="6">
        <v>303.60000000000002</v>
      </c>
      <c r="F644" s="6">
        <v>1</v>
      </c>
      <c r="G644" s="6">
        <v>460</v>
      </c>
      <c r="H644" t="s">
        <v>61</v>
      </c>
      <c r="I644" t="s">
        <v>81</v>
      </c>
      <c r="J644" t="s">
        <v>85</v>
      </c>
    </row>
    <row r="645" spans="1:10" x14ac:dyDescent="0.3">
      <c r="A645" s="2">
        <v>44506</v>
      </c>
      <c r="B645" s="2">
        <v>44510</v>
      </c>
      <c r="C645" t="s">
        <v>21</v>
      </c>
      <c r="D645" s="6">
        <v>355</v>
      </c>
      <c r="E645" s="6">
        <v>252.04999999999998</v>
      </c>
      <c r="F645" s="6">
        <v>8</v>
      </c>
      <c r="G645" s="6">
        <v>2840</v>
      </c>
      <c r="H645" t="s">
        <v>35</v>
      </c>
      <c r="I645" t="s">
        <v>82</v>
      </c>
      <c r="J645" t="s">
        <v>85</v>
      </c>
    </row>
    <row r="646" spans="1:10" x14ac:dyDescent="0.3">
      <c r="A646" s="2">
        <v>44509</v>
      </c>
      <c r="B646" s="2">
        <v>44514</v>
      </c>
      <c r="C646" t="s">
        <v>20</v>
      </c>
      <c r="D646" s="6">
        <v>440</v>
      </c>
      <c r="E646" s="6">
        <v>286</v>
      </c>
      <c r="F646" s="6">
        <v>8</v>
      </c>
      <c r="G646" s="6">
        <v>3520</v>
      </c>
      <c r="H646" t="s">
        <v>68</v>
      </c>
      <c r="I646" t="s">
        <v>79</v>
      </c>
      <c r="J646" t="s">
        <v>86</v>
      </c>
    </row>
    <row r="647" spans="1:10" x14ac:dyDescent="0.3">
      <c r="A647" s="2">
        <v>44510</v>
      </c>
      <c r="B647" s="2">
        <v>44516</v>
      </c>
      <c r="C647" t="s">
        <v>18</v>
      </c>
      <c r="D647" s="6">
        <v>80</v>
      </c>
      <c r="E647" s="6">
        <v>48.8</v>
      </c>
      <c r="F647" s="6">
        <v>4</v>
      </c>
      <c r="G647" s="6">
        <v>320</v>
      </c>
      <c r="H647" t="s">
        <v>60</v>
      </c>
      <c r="I647" t="s">
        <v>82</v>
      </c>
      <c r="J647" t="s">
        <v>86</v>
      </c>
    </row>
    <row r="648" spans="1:10" x14ac:dyDescent="0.3">
      <c r="A648" s="2">
        <v>44511</v>
      </c>
      <c r="B648" s="2">
        <v>44515</v>
      </c>
      <c r="C648" t="s">
        <v>22</v>
      </c>
      <c r="D648" s="6">
        <v>460</v>
      </c>
      <c r="E648" s="6">
        <v>303.60000000000002</v>
      </c>
      <c r="F648" s="6">
        <v>5</v>
      </c>
      <c r="G648" s="6">
        <v>2300</v>
      </c>
      <c r="H648" t="s">
        <v>52</v>
      </c>
      <c r="I648" t="s">
        <v>81</v>
      </c>
      <c r="J648" t="s">
        <v>85</v>
      </c>
    </row>
    <row r="649" spans="1:10" x14ac:dyDescent="0.3">
      <c r="A649" s="2">
        <v>44512</v>
      </c>
      <c r="B649" s="2">
        <v>44519</v>
      </c>
      <c r="C649" t="s">
        <v>16</v>
      </c>
      <c r="D649" s="6">
        <v>145</v>
      </c>
      <c r="E649" s="6">
        <v>105.85</v>
      </c>
      <c r="F649" s="6">
        <v>4</v>
      </c>
      <c r="G649" s="6">
        <v>580</v>
      </c>
      <c r="H649" t="s">
        <v>36</v>
      </c>
      <c r="I649" t="s">
        <v>79</v>
      </c>
      <c r="J649" t="s">
        <v>85</v>
      </c>
    </row>
    <row r="650" spans="1:10" x14ac:dyDescent="0.3">
      <c r="A650" s="2">
        <v>44512</v>
      </c>
      <c r="B650" s="2">
        <v>44516</v>
      </c>
      <c r="C650" t="s">
        <v>12</v>
      </c>
      <c r="D650" s="6">
        <v>320</v>
      </c>
      <c r="E650" s="6">
        <v>233.6</v>
      </c>
      <c r="F650" s="6">
        <v>5</v>
      </c>
      <c r="G650" s="6">
        <v>1600</v>
      </c>
      <c r="H650" t="s">
        <v>72</v>
      </c>
      <c r="I650" t="s">
        <v>82</v>
      </c>
      <c r="J650" t="s">
        <v>86</v>
      </c>
    </row>
    <row r="651" spans="1:10" x14ac:dyDescent="0.3">
      <c r="A651" s="2">
        <v>44514</v>
      </c>
      <c r="B651" s="2">
        <v>44516</v>
      </c>
      <c r="C651" t="s">
        <v>20</v>
      </c>
      <c r="D651" s="6">
        <v>440</v>
      </c>
      <c r="E651" s="6">
        <v>286</v>
      </c>
      <c r="F651" s="6">
        <v>6</v>
      </c>
      <c r="G651" s="6">
        <v>2640</v>
      </c>
      <c r="H651" t="s">
        <v>31</v>
      </c>
      <c r="I651" t="s">
        <v>81</v>
      </c>
      <c r="J651" t="s">
        <v>85</v>
      </c>
    </row>
    <row r="652" spans="1:10" x14ac:dyDescent="0.3">
      <c r="A652" s="2">
        <v>44514</v>
      </c>
      <c r="B652" s="2">
        <v>44521</v>
      </c>
      <c r="C652" t="s">
        <v>17</v>
      </c>
      <c r="D652" s="6">
        <v>195</v>
      </c>
      <c r="E652" s="6">
        <v>138.44999999999999</v>
      </c>
      <c r="F652" s="6">
        <v>3</v>
      </c>
      <c r="G652" s="6">
        <v>585</v>
      </c>
      <c r="H652" t="s">
        <v>64</v>
      </c>
      <c r="I652" t="s">
        <v>79</v>
      </c>
      <c r="J652" t="s">
        <v>85</v>
      </c>
    </row>
    <row r="653" spans="1:10" x14ac:dyDescent="0.3">
      <c r="A653" s="2">
        <v>44517</v>
      </c>
      <c r="B653" s="2">
        <v>44519</v>
      </c>
      <c r="C653" t="s">
        <v>2</v>
      </c>
      <c r="D653" s="6">
        <v>250</v>
      </c>
      <c r="E653" s="6">
        <v>187.5</v>
      </c>
      <c r="F653" s="6">
        <v>6</v>
      </c>
      <c r="G653" s="6">
        <v>1500</v>
      </c>
      <c r="H653" t="s">
        <v>37</v>
      </c>
      <c r="I653" t="s">
        <v>81</v>
      </c>
      <c r="J653" t="s">
        <v>85</v>
      </c>
    </row>
    <row r="654" spans="1:10" x14ac:dyDescent="0.3">
      <c r="A654" s="2">
        <v>44518</v>
      </c>
      <c r="B654" s="2">
        <v>44522</v>
      </c>
      <c r="C654" t="s">
        <v>17</v>
      </c>
      <c r="D654" s="6">
        <v>195</v>
      </c>
      <c r="E654" s="6">
        <v>138.44999999999999</v>
      </c>
      <c r="F654" s="6">
        <v>2</v>
      </c>
      <c r="G654" s="6">
        <v>390</v>
      </c>
      <c r="H654" t="s">
        <v>57</v>
      </c>
      <c r="I654" t="s">
        <v>79</v>
      </c>
      <c r="J654" t="s">
        <v>86</v>
      </c>
    </row>
    <row r="655" spans="1:10" x14ac:dyDescent="0.3">
      <c r="A655" s="2">
        <v>44519</v>
      </c>
      <c r="B655" s="2">
        <v>44523</v>
      </c>
      <c r="C655" t="s">
        <v>9</v>
      </c>
      <c r="D655" s="6">
        <v>215</v>
      </c>
      <c r="E655" s="6">
        <v>152.65</v>
      </c>
      <c r="F655" s="6">
        <v>7</v>
      </c>
      <c r="G655" s="6">
        <v>1505</v>
      </c>
      <c r="H655" t="s">
        <v>42</v>
      </c>
      <c r="I655" t="s">
        <v>82</v>
      </c>
      <c r="J655" t="s">
        <v>85</v>
      </c>
    </row>
    <row r="656" spans="1:10" x14ac:dyDescent="0.3">
      <c r="A656" s="2">
        <v>44519</v>
      </c>
      <c r="B656" s="2">
        <v>44524</v>
      </c>
      <c r="C656" t="s">
        <v>21</v>
      </c>
      <c r="D656" s="6">
        <v>355</v>
      </c>
      <c r="E656" s="6">
        <v>252.04999999999998</v>
      </c>
      <c r="F656" s="6">
        <v>2</v>
      </c>
      <c r="G656" s="6">
        <v>710</v>
      </c>
      <c r="H656" t="s">
        <v>48</v>
      </c>
      <c r="I656" t="s">
        <v>80</v>
      </c>
      <c r="J656" t="s">
        <v>86</v>
      </c>
    </row>
    <row r="657" spans="1:10" x14ac:dyDescent="0.3">
      <c r="A657" s="2">
        <v>44522</v>
      </c>
      <c r="B657" s="2">
        <v>44529</v>
      </c>
      <c r="C657" t="s">
        <v>12</v>
      </c>
      <c r="D657" s="6">
        <v>320</v>
      </c>
      <c r="E657" s="6">
        <v>233.6</v>
      </c>
      <c r="F657" s="6">
        <v>9</v>
      </c>
      <c r="G657" s="6">
        <v>2880</v>
      </c>
      <c r="H657" t="s">
        <v>70</v>
      </c>
      <c r="I657" t="s">
        <v>80</v>
      </c>
      <c r="J657" t="s">
        <v>86</v>
      </c>
    </row>
    <row r="658" spans="1:10" x14ac:dyDescent="0.3">
      <c r="A658" s="2">
        <v>44522</v>
      </c>
      <c r="B658" s="2">
        <v>44525</v>
      </c>
      <c r="C658" t="s">
        <v>11</v>
      </c>
      <c r="D658" s="6">
        <v>490</v>
      </c>
      <c r="E658" s="6">
        <v>298.89999999999998</v>
      </c>
      <c r="F658" s="6">
        <v>1</v>
      </c>
      <c r="G658" s="6">
        <v>490</v>
      </c>
      <c r="H658" t="s">
        <v>73</v>
      </c>
      <c r="I658" t="s">
        <v>80</v>
      </c>
      <c r="J658" t="s">
        <v>85</v>
      </c>
    </row>
    <row r="659" spans="1:10" x14ac:dyDescent="0.3">
      <c r="A659" s="2">
        <v>44523</v>
      </c>
      <c r="B659" s="2">
        <v>44527</v>
      </c>
      <c r="C659" t="s">
        <v>13</v>
      </c>
      <c r="D659" s="6">
        <v>445</v>
      </c>
      <c r="E659" s="6">
        <v>280.35000000000002</v>
      </c>
      <c r="F659" s="6">
        <v>3</v>
      </c>
      <c r="G659" s="6">
        <v>1335</v>
      </c>
      <c r="H659" t="s">
        <v>38</v>
      </c>
      <c r="I659" t="s">
        <v>82</v>
      </c>
      <c r="J659" t="s">
        <v>86</v>
      </c>
    </row>
    <row r="660" spans="1:10" x14ac:dyDescent="0.3">
      <c r="A660" s="2">
        <v>44523</v>
      </c>
      <c r="B660" s="2">
        <v>44529</v>
      </c>
      <c r="C660" t="s">
        <v>18</v>
      </c>
      <c r="D660" s="6">
        <v>80</v>
      </c>
      <c r="E660" s="6">
        <v>48.8</v>
      </c>
      <c r="F660" s="6">
        <v>4</v>
      </c>
      <c r="G660" s="6">
        <v>320</v>
      </c>
      <c r="H660" t="s">
        <v>60</v>
      </c>
      <c r="I660" t="s">
        <v>79</v>
      </c>
      <c r="J660" t="s">
        <v>86</v>
      </c>
    </row>
    <row r="661" spans="1:10" x14ac:dyDescent="0.3">
      <c r="A661" s="2">
        <v>44524</v>
      </c>
      <c r="B661" s="2">
        <v>44526</v>
      </c>
      <c r="C661" t="s">
        <v>23</v>
      </c>
      <c r="D661" s="6">
        <v>275</v>
      </c>
      <c r="E661" s="6">
        <v>200.75</v>
      </c>
      <c r="F661" s="6">
        <v>6</v>
      </c>
      <c r="G661" s="6">
        <v>1650</v>
      </c>
      <c r="H661" t="s">
        <v>59</v>
      </c>
      <c r="I661" t="s">
        <v>82</v>
      </c>
      <c r="J661" t="s">
        <v>86</v>
      </c>
    </row>
    <row r="662" spans="1:10" x14ac:dyDescent="0.3">
      <c r="A662" s="2">
        <v>44526</v>
      </c>
      <c r="B662" s="2">
        <v>44527</v>
      </c>
      <c r="C662" t="s">
        <v>15</v>
      </c>
      <c r="D662" s="6">
        <v>110</v>
      </c>
      <c r="E662" s="6">
        <v>78.099999999999994</v>
      </c>
      <c r="F662" s="6">
        <v>1</v>
      </c>
      <c r="G662" s="6">
        <v>110</v>
      </c>
      <c r="H662" t="s">
        <v>57</v>
      </c>
      <c r="I662" t="s">
        <v>81</v>
      </c>
      <c r="J662" t="s">
        <v>86</v>
      </c>
    </row>
    <row r="663" spans="1:10" x14ac:dyDescent="0.3">
      <c r="A663" s="2">
        <v>44527</v>
      </c>
      <c r="B663" s="2">
        <v>44530</v>
      </c>
      <c r="C663" t="s">
        <v>9</v>
      </c>
      <c r="D663" s="6">
        <v>215</v>
      </c>
      <c r="E663" s="6">
        <v>152.65</v>
      </c>
      <c r="F663" s="6">
        <v>8</v>
      </c>
      <c r="G663" s="6">
        <v>1720</v>
      </c>
      <c r="H663" t="s">
        <v>53</v>
      </c>
      <c r="I663" t="s">
        <v>83</v>
      </c>
      <c r="J663" t="s">
        <v>85</v>
      </c>
    </row>
    <row r="664" spans="1:10" x14ac:dyDescent="0.3">
      <c r="A664" s="2">
        <v>44527</v>
      </c>
      <c r="B664" s="2">
        <v>44533</v>
      </c>
      <c r="C664" t="s">
        <v>22</v>
      </c>
      <c r="D664" s="6">
        <v>460</v>
      </c>
      <c r="E664" s="6">
        <v>303.60000000000002</v>
      </c>
      <c r="F664" s="6">
        <v>6</v>
      </c>
      <c r="G664" s="6">
        <v>2760</v>
      </c>
      <c r="H664" t="s">
        <v>51</v>
      </c>
      <c r="I664" t="s">
        <v>79</v>
      </c>
      <c r="J664" t="s">
        <v>86</v>
      </c>
    </row>
    <row r="665" spans="1:10" x14ac:dyDescent="0.3">
      <c r="A665" s="2">
        <v>44527</v>
      </c>
      <c r="B665" s="2">
        <v>44529</v>
      </c>
      <c r="C665" t="s">
        <v>19</v>
      </c>
      <c r="D665" s="6">
        <v>220</v>
      </c>
      <c r="E665" s="6">
        <v>154</v>
      </c>
      <c r="F665" s="6">
        <v>3</v>
      </c>
      <c r="G665" s="6">
        <v>660</v>
      </c>
      <c r="H665" t="s">
        <v>72</v>
      </c>
      <c r="I665" t="s">
        <v>79</v>
      </c>
      <c r="J665" t="s">
        <v>86</v>
      </c>
    </row>
    <row r="666" spans="1:10" x14ac:dyDescent="0.3">
      <c r="A666" s="2">
        <v>44529</v>
      </c>
      <c r="B666" s="2">
        <v>44535</v>
      </c>
      <c r="C666" t="s">
        <v>23</v>
      </c>
      <c r="D666" s="6">
        <v>275</v>
      </c>
      <c r="E666" s="6">
        <v>200.75</v>
      </c>
      <c r="F666" s="6">
        <v>3</v>
      </c>
      <c r="G666" s="6">
        <v>825</v>
      </c>
      <c r="H666" t="s">
        <v>35</v>
      </c>
      <c r="I666" t="s">
        <v>83</v>
      </c>
      <c r="J666" t="s">
        <v>85</v>
      </c>
    </row>
    <row r="667" spans="1:10" x14ac:dyDescent="0.3">
      <c r="A667" s="2">
        <v>44529</v>
      </c>
      <c r="B667" s="2">
        <v>44532</v>
      </c>
      <c r="C667" t="s">
        <v>9</v>
      </c>
      <c r="D667" s="6">
        <v>215</v>
      </c>
      <c r="E667" s="6">
        <v>152.65</v>
      </c>
      <c r="F667" s="6">
        <v>6</v>
      </c>
      <c r="G667" s="6">
        <v>1290</v>
      </c>
      <c r="H667" t="s">
        <v>57</v>
      </c>
      <c r="I667" t="s">
        <v>83</v>
      </c>
      <c r="J667" t="s">
        <v>85</v>
      </c>
    </row>
    <row r="668" spans="1:10" x14ac:dyDescent="0.3">
      <c r="A668" s="2">
        <v>44529</v>
      </c>
      <c r="B668" s="2">
        <v>44535</v>
      </c>
      <c r="C668" t="s">
        <v>20</v>
      </c>
      <c r="D668" s="6">
        <v>440</v>
      </c>
      <c r="E668" s="6">
        <v>286</v>
      </c>
      <c r="F668" s="6">
        <v>3</v>
      </c>
      <c r="G668" s="6">
        <v>1320</v>
      </c>
      <c r="H668" t="s">
        <v>49</v>
      </c>
      <c r="I668" t="s">
        <v>79</v>
      </c>
      <c r="J668" t="s">
        <v>86</v>
      </c>
    </row>
    <row r="669" spans="1:10" x14ac:dyDescent="0.3">
      <c r="A669" s="2">
        <v>44530</v>
      </c>
      <c r="B669" s="2">
        <v>44531</v>
      </c>
      <c r="C669" t="s">
        <v>7</v>
      </c>
      <c r="D669" s="6">
        <v>250</v>
      </c>
      <c r="E669" s="6">
        <v>167.5</v>
      </c>
      <c r="F669" s="6">
        <v>4</v>
      </c>
      <c r="G669" s="6">
        <v>1000</v>
      </c>
      <c r="H669" t="s">
        <v>61</v>
      </c>
      <c r="I669" t="s">
        <v>83</v>
      </c>
      <c r="J669" t="s">
        <v>85</v>
      </c>
    </row>
    <row r="670" spans="1:10" x14ac:dyDescent="0.3">
      <c r="A670" s="2">
        <v>44530</v>
      </c>
      <c r="B670" s="2">
        <v>44537</v>
      </c>
      <c r="C670" t="s">
        <v>12</v>
      </c>
      <c r="D670" s="6">
        <v>320</v>
      </c>
      <c r="E670" s="6">
        <v>233.6</v>
      </c>
      <c r="F670" s="6">
        <v>4</v>
      </c>
      <c r="G670" s="6">
        <v>1280</v>
      </c>
      <c r="H670" t="s">
        <v>40</v>
      </c>
      <c r="I670" t="s">
        <v>83</v>
      </c>
      <c r="J670" t="s">
        <v>86</v>
      </c>
    </row>
    <row r="671" spans="1:10" x14ac:dyDescent="0.3">
      <c r="A671" s="2">
        <v>44531</v>
      </c>
      <c r="B671" s="2">
        <v>44534</v>
      </c>
      <c r="C671" t="s">
        <v>23</v>
      </c>
      <c r="D671" s="6">
        <v>275</v>
      </c>
      <c r="E671" s="6">
        <v>200.75</v>
      </c>
      <c r="F671" s="6">
        <v>3</v>
      </c>
      <c r="G671" s="6">
        <v>825</v>
      </c>
      <c r="H671" t="s">
        <v>55</v>
      </c>
      <c r="I671" t="s">
        <v>83</v>
      </c>
      <c r="J671" t="s">
        <v>86</v>
      </c>
    </row>
    <row r="672" spans="1:10" x14ac:dyDescent="0.3">
      <c r="A672" s="2">
        <v>44531</v>
      </c>
      <c r="B672" s="2">
        <v>44537</v>
      </c>
      <c r="C672" t="s">
        <v>6</v>
      </c>
      <c r="D672" s="6">
        <v>99</v>
      </c>
      <c r="E672" s="6">
        <v>62.37</v>
      </c>
      <c r="F672" s="6">
        <v>5</v>
      </c>
      <c r="G672" s="6">
        <v>495</v>
      </c>
      <c r="H672" t="s">
        <v>48</v>
      </c>
      <c r="I672" t="s">
        <v>80</v>
      </c>
      <c r="J672" t="s">
        <v>85</v>
      </c>
    </row>
    <row r="673" spans="1:10" x14ac:dyDescent="0.3">
      <c r="A673" s="2">
        <v>44532</v>
      </c>
      <c r="B673" s="2">
        <v>44536</v>
      </c>
      <c r="C673" t="s">
        <v>23</v>
      </c>
      <c r="D673" s="6">
        <v>275</v>
      </c>
      <c r="E673" s="6">
        <v>200.75</v>
      </c>
      <c r="F673" s="6">
        <v>7</v>
      </c>
      <c r="G673" s="6">
        <v>1925</v>
      </c>
      <c r="H673" t="s">
        <v>53</v>
      </c>
      <c r="I673" t="s">
        <v>81</v>
      </c>
      <c r="J673" t="s">
        <v>86</v>
      </c>
    </row>
    <row r="674" spans="1:10" x14ac:dyDescent="0.3">
      <c r="A674" s="2">
        <v>44533</v>
      </c>
      <c r="B674" s="2">
        <v>44536</v>
      </c>
      <c r="C674" t="s">
        <v>9</v>
      </c>
      <c r="D674" s="6">
        <v>215</v>
      </c>
      <c r="E674" s="6">
        <v>152.65</v>
      </c>
      <c r="F674" s="6">
        <v>2</v>
      </c>
      <c r="G674" s="6">
        <v>430</v>
      </c>
      <c r="H674" t="s">
        <v>35</v>
      </c>
      <c r="I674" t="s">
        <v>81</v>
      </c>
      <c r="J674" t="s">
        <v>85</v>
      </c>
    </row>
    <row r="675" spans="1:10" x14ac:dyDescent="0.3">
      <c r="A675" s="2">
        <v>44533</v>
      </c>
      <c r="B675" s="2">
        <v>44539</v>
      </c>
      <c r="C675" t="s">
        <v>17</v>
      </c>
      <c r="D675" s="6">
        <v>195</v>
      </c>
      <c r="E675" s="6">
        <v>138.44999999999999</v>
      </c>
      <c r="F675" s="6">
        <v>2</v>
      </c>
      <c r="G675" s="6">
        <v>390</v>
      </c>
      <c r="H675" t="s">
        <v>63</v>
      </c>
      <c r="I675" t="s">
        <v>82</v>
      </c>
      <c r="J675" t="s">
        <v>85</v>
      </c>
    </row>
    <row r="676" spans="1:10" x14ac:dyDescent="0.3">
      <c r="A676" s="2">
        <v>44534</v>
      </c>
      <c r="B676" s="2">
        <v>44538</v>
      </c>
      <c r="C676" t="s">
        <v>14</v>
      </c>
      <c r="D676" s="6">
        <v>375</v>
      </c>
      <c r="E676" s="6">
        <v>247.5</v>
      </c>
      <c r="F676" s="6">
        <v>5</v>
      </c>
      <c r="G676" s="6">
        <v>1875</v>
      </c>
      <c r="H676" t="s">
        <v>42</v>
      </c>
      <c r="I676" t="s">
        <v>82</v>
      </c>
      <c r="J676" t="s">
        <v>86</v>
      </c>
    </row>
    <row r="677" spans="1:10" x14ac:dyDescent="0.3">
      <c r="A677" s="2">
        <v>44534</v>
      </c>
      <c r="B677" s="2">
        <v>44535</v>
      </c>
      <c r="C677" t="s">
        <v>2</v>
      </c>
      <c r="D677" s="6">
        <v>250</v>
      </c>
      <c r="E677" s="6">
        <v>187.5</v>
      </c>
      <c r="F677" s="6">
        <v>6</v>
      </c>
      <c r="G677" s="6">
        <v>1500</v>
      </c>
      <c r="H677" t="s">
        <v>41</v>
      </c>
      <c r="I677" t="s">
        <v>80</v>
      </c>
      <c r="J677" t="s">
        <v>85</v>
      </c>
    </row>
    <row r="678" spans="1:10" x14ac:dyDescent="0.3">
      <c r="A678" s="2">
        <v>44535</v>
      </c>
      <c r="B678" s="2">
        <v>44541</v>
      </c>
      <c r="C678" t="s">
        <v>16</v>
      </c>
      <c r="D678" s="6">
        <v>145</v>
      </c>
      <c r="E678" s="6">
        <v>105.85</v>
      </c>
      <c r="F678" s="6">
        <v>7</v>
      </c>
      <c r="G678" s="6">
        <v>1015</v>
      </c>
      <c r="H678" t="s">
        <v>46</v>
      </c>
      <c r="I678" t="s">
        <v>82</v>
      </c>
      <c r="J678" t="s">
        <v>86</v>
      </c>
    </row>
    <row r="679" spans="1:10" x14ac:dyDescent="0.3">
      <c r="A679" s="2">
        <v>44536</v>
      </c>
      <c r="B679" s="2">
        <v>44543</v>
      </c>
      <c r="C679" t="s">
        <v>13</v>
      </c>
      <c r="D679" s="6">
        <v>445</v>
      </c>
      <c r="E679" s="6">
        <v>280.35000000000002</v>
      </c>
      <c r="F679" s="6">
        <v>9</v>
      </c>
      <c r="G679" s="6">
        <v>4005</v>
      </c>
      <c r="H679" t="s">
        <v>50</v>
      </c>
      <c r="I679" t="s">
        <v>82</v>
      </c>
      <c r="J679" t="s">
        <v>86</v>
      </c>
    </row>
    <row r="680" spans="1:10" x14ac:dyDescent="0.3">
      <c r="A680" s="2">
        <v>44538</v>
      </c>
      <c r="B680" s="2">
        <v>44544</v>
      </c>
      <c r="C680" t="s">
        <v>11</v>
      </c>
      <c r="D680" s="6">
        <v>490</v>
      </c>
      <c r="E680" s="6">
        <v>298.89999999999998</v>
      </c>
      <c r="F680" s="6">
        <v>2</v>
      </c>
      <c r="G680" s="6">
        <v>980</v>
      </c>
      <c r="H680" t="s">
        <v>47</v>
      </c>
      <c r="I680" t="s">
        <v>81</v>
      </c>
      <c r="J680" t="s">
        <v>85</v>
      </c>
    </row>
    <row r="681" spans="1:10" x14ac:dyDescent="0.3">
      <c r="A681" s="2">
        <v>44540</v>
      </c>
      <c r="B681" s="2">
        <v>44542</v>
      </c>
      <c r="C681" t="s">
        <v>20</v>
      </c>
      <c r="D681" s="6">
        <v>440</v>
      </c>
      <c r="E681" s="6">
        <v>286</v>
      </c>
      <c r="F681" s="6">
        <v>6</v>
      </c>
      <c r="G681" s="6">
        <v>2640</v>
      </c>
      <c r="H681" t="s">
        <v>65</v>
      </c>
      <c r="I681" t="s">
        <v>83</v>
      </c>
      <c r="J681" t="s">
        <v>85</v>
      </c>
    </row>
    <row r="682" spans="1:10" x14ac:dyDescent="0.3">
      <c r="A682" s="2">
        <v>44541</v>
      </c>
      <c r="B682" s="2">
        <v>44544</v>
      </c>
      <c r="C682" t="s">
        <v>14</v>
      </c>
      <c r="D682" s="6">
        <v>375</v>
      </c>
      <c r="E682" s="6">
        <v>247.5</v>
      </c>
      <c r="F682" s="6">
        <v>1</v>
      </c>
      <c r="G682" s="6">
        <v>375</v>
      </c>
      <c r="H682" t="s">
        <v>62</v>
      </c>
      <c r="I682" t="s">
        <v>83</v>
      </c>
      <c r="J682" t="s">
        <v>85</v>
      </c>
    </row>
    <row r="683" spans="1:10" x14ac:dyDescent="0.3">
      <c r="A683" s="2">
        <v>44541</v>
      </c>
      <c r="B683" s="2">
        <v>44548</v>
      </c>
      <c r="C683" t="s">
        <v>21</v>
      </c>
      <c r="D683" s="6">
        <v>355</v>
      </c>
      <c r="E683" s="6">
        <v>252.04999999999998</v>
      </c>
      <c r="F683" s="6">
        <v>7</v>
      </c>
      <c r="G683" s="6">
        <v>2485</v>
      </c>
      <c r="H683" t="s">
        <v>43</v>
      </c>
      <c r="I683" t="s">
        <v>79</v>
      </c>
      <c r="J683" t="s">
        <v>85</v>
      </c>
    </row>
    <row r="684" spans="1:10" x14ac:dyDescent="0.3">
      <c r="A684" s="2">
        <v>44543</v>
      </c>
      <c r="B684" s="2">
        <v>44545</v>
      </c>
      <c r="C684" t="s">
        <v>7</v>
      </c>
      <c r="D684" s="6">
        <v>250</v>
      </c>
      <c r="E684" s="6">
        <v>167.5</v>
      </c>
      <c r="F684" s="6">
        <v>3</v>
      </c>
      <c r="G684" s="6">
        <v>750</v>
      </c>
      <c r="H684" t="s">
        <v>33</v>
      </c>
      <c r="I684" t="s">
        <v>81</v>
      </c>
      <c r="J684" t="s">
        <v>86</v>
      </c>
    </row>
    <row r="685" spans="1:10" x14ac:dyDescent="0.3">
      <c r="A685" s="2">
        <v>44543</v>
      </c>
      <c r="B685" s="2">
        <v>44548</v>
      </c>
      <c r="C685" t="s">
        <v>15</v>
      </c>
      <c r="D685" s="6">
        <v>110</v>
      </c>
      <c r="E685" s="6">
        <v>78.099999999999994</v>
      </c>
      <c r="F685" s="6">
        <v>5</v>
      </c>
      <c r="G685" s="6">
        <v>550</v>
      </c>
      <c r="H685" t="s">
        <v>37</v>
      </c>
      <c r="I685" t="s">
        <v>82</v>
      </c>
      <c r="J685" t="s">
        <v>85</v>
      </c>
    </row>
    <row r="686" spans="1:10" x14ac:dyDescent="0.3">
      <c r="A686" s="2">
        <v>44543</v>
      </c>
      <c r="B686" s="2">
        <v>44547</v>
      </c>
      <c r="C686" t="s">
        <v>12</v>
      </c>
      <c r="D686" s="6">
        <v>320</v>
      </c>
      <c r="E686" s="6">
        <v>233.6</v>
      </c>
      <c r="F686" s="6">
        <v>6</v>
      </c>
      <c r="G686" s="6">
        <v>1920</v>
      </c>
      <c r="H686" t="s">
        <v>36</v>
      </c>
      <c r="I686" t="s">
        <v>83</v>
      </c>
      <c r="J686" t="s">
        <v>86</v>
      </c>
    </row>
    <row r="687" spans="1:10" x14ac:dyDescent="0.3">
      <c r="A687" s="2">
        <v>44544</v>
      </c>
      <c r="B687" s="2">
        <v>44549</v>
      </c>
      <c r="C687" t="s">
        <v>10</v>
      </c>
      <c r="D687" s="6">
        <v>390</v>
      </c>
      <c r="E687" s="6">
        <v>253.5</v>
      </c>
      <c r="F687" s="6">
        <v>9</v>
      </c>
      <c r="G687" s="6">
        <v>3510</v>
      </c>
      <c r="H687" t="s">
        <v>51</v>
      </c>
      <c r="I687" t="s">
        <v>80</v>
      </c>
      <c r="J687" t="s">
        <v>86</v>
      </c>
    </row>
    <row r="688" spans="1:10" x14ac:dyDescent="0.3">
      <c r="A688" s="2">
        <v>44544</v>
      </c>
      <c r="B688" s="2">
        <v>44551</v>
      </c>
      <c r="C688" t="s">
        <v>7</v>
      </c>
      <c r="D688" s="6">
        <v>250</v>
      </c>
      <c r="E688" s="6">
        <v>167.5</v>
      </c>
      <c r="F688" s="6">
        <v>8</v>
      </c>
      <c r="G688" s="6">
        <v>2000</v>
      </c>
      <c r="H688" t="s">
        <v>61</v>
      </c>
      <c r="I688" t="s">
        <v>81</v>
      </c>
      <c r="J688" t="s">
        <v>86</v>
      </c>
    </row>
    <row r="689" spans="1:10" x14ac:dyDescent="0.3">
      <c r="A689" s="2">
        <v>44546</v>
      </c>
      <c r="B689" s="2">
        <v>44550</v>
      </c>
      <c r="C689" t="s">
        <v>11</v>
      </c>
      <c r="D689" s="6">
        <v>490</v>
      </c>
      <c r="E689" s="6">
        <v>298.89999999999998</v>
      </c>
      <c r="F689" s="6">
        <v>4</v>
      </c>
      <c r="G689" s="6">
        <v>1960</v>
      </c>
      <c r="H689" t="s">
        <v>69</v>
      </c>
      <c r="I689" t="s">
        <v>83</v>
      </c>
      <c r="J689" t="s">
        <v>85</v>
      </c>
    </row>
    <row r="690" spans="1:10" x14ac:dyDescent="0.3">
      <c r="A690" s="2">
        <v>44546</v>
      </c>
      <c r="B690" s="2">
        <v>44548</v>
      </c>
      <c r="C690" t="s">
        <v>21</v>
      </c>
      <c r="D690" s="6">
        <v>355</v>
      </c>
      <c r="E690" s="6">
        <v>252.04999999999998</v>
      </c>
      <c r="F690" s="6">
        <v>7</v>
      </c>
      <c r="G690" s="6">
        <v>2485</v>
      </c>
      <c r="H690" t="s">
        <v>52</v>
      </c>
      <c r="I690" t="s">
        <v>80</v>
      </c>
      <c r="J690" t="s">
        <v>86</v>
      </c>
    </row>
    <row r="691" spans="1:10" x14ac:dyDescent="0.3">
      <c r="A691" s="2">
        <v>44547</v>
      </c>
      <c r="B691" s="2">
        <v>44548</v>
      </c>
      <c r="C691" t="s">
        <v>22</v>
      </c>
      <c r="D691" s="6">
        <v>460</v>
      </c>
      <c r="E691" s="6">
        <v>303.60000000000002</v>
      </c>
      <c r="F691" s="6">
        <v>5</v>
      </c>
      <c r="G691" s="6">
        <v>2300</v>
      </c>
      <c r="H691" t="s">
        <v>51</v>
      </c>
      <c r="I691" t="s">
        <v>79</v>
      </c>
      <c r="J691" t="s">
        <v>86</v>
      </c>
    </row>
    <row r="692" spans="1:10" x14ac:dyDescent="0.3">
      <c r="A692" s="2">
        <v>44551</v>
      </c>
      <c r="B692" s="2">
        <v>44555</v>
      </c>
      <c r="C692" t="s">
        <v>14</v>
      </c>
      <c r="D692" s="6">
        <v>375</v>
      </c>
      <c r="E692" s="6">
        <v>247.5</v>
      </c>
      <c r="F692" s="6">
        <v>7</v>
      </c>
      <c r="G692" s="6">
        <v>2625</v>
      </c>
      <c r="H692" t="s">
        <v>45</v>
      </c>
      <c r="I692" t="s">
        <v>83</v>
      </c>
      <c r="J692" t="s">
        <v>85</v>
      </c>
    </row>
    <row r="693" spans="1:10" x14ac:dyDescent="0.3">
      <c r="A693" s="2">
        <v>44554</v>
      </c>
      <c r="B693" s="2">
        <v>44558</v>
      </c>
      <c r="C693" t="s">
        <v>20</v>
      </c>
      <c r="D693" s="6">
        <v>440</v>
      </c>
      <c r="E693" s="6">
        <v>286</v>
      </c>
      <c r="F693" s="6">
        <v>7</v>
      </c>
      <c r="G693" s="6">
        <v>3080</v>
      </c>
      <c r="H693" t="s">
        <v>45</v>
      </c>
      <c r="I693" t="s">
        <v>82</v>
      </c>
      <c r="J693" t="s">
        <v>86</v>
      </c>
    </row>
    <row r="694" spans="1:10" x14ac:dyDescent="0.3">
      <c r="A694" s="2">
        <v>44555</v>
      </c>
      <c r="B694" s="2">
        <v>44560</v>
      </c>
      <c r="C694" t="s">
        <v>6</v>
      </c>
      <c r="D694" s="6">
        <v>99</v>
      </c>
      <c r="E694" s="6">
        <v>62.37</v>
      </c>
      <c r="F694" s="6">
        <v>5</v>
      </c>
      <c r="G694" s="6">
        <v>495</v>
      </c>
      <c r="H694" t="s">
        <v>60</v>
      </c>
      <c r="I694" t="s">
        <v>79</v>
      </c>
      <c r="J694" t="s">
        <v>85</v>
      </c>
    </row>
    <row r="695" spans="1:10" x14ac:dyDescent="0.3">
      <c r="A695" s="2">
        <v>44555</v>
      </c>
      <c r="B695" s="2">
        <v>44560</v>
      </c>
      <c r="C695" t="s">
        <v>16</v>
      </c>
      <c r="D695" s="6">
        <v>145</v>
      </c>
      <c r="E695" s="6">
        <v>105.85</v>
      </c>
      <c r="F695" s="6">
        <v>3</v>
      </c>
      <c r="G695" s="6">
        <v>435</v>
      </c>
      <c r="H695" t="s">
        <v>66</v>
      </c>
      <c r="I695" t="s">
        <v>79</v>
      </c>
      <c r="J695" t="s">
        <v>86</v>
      </c>
    </row>
    <row r="696" spans="1:10" x14ac:dyDescent="0.3">
      <c r="A696" s="2">
        <v>44555</v>
      </c>
      <c r="B696" s="2">
        <v>44560</v>
      </c>
      <c r="C696" t="s">
        <v>8</v>
      </c>
      <c r="D696" s="6">
        <v>59</v>
      </c>
      <c r="E696" s="6">
        <v>41.3</v>
      </c>
      <c r="F696" s="6">
        <v>3</v>
      </c>
      <c r="G696" s="6">
        <v>177</v>
      </c>
      <c r="H696" t="s">
        <v>52</v>
      </c>
      <c r="I696" t="s">
        <v>82</v>
      </c>
      <c r="J696" t="s">
        <v>86</v>
      </c>
    </row>
    <row r="697" spans="1:10" x14ac:dyDescent="0.3">
      <c r="A697" s="2">
        <v>44556</v>
      </c>
      <c r="B697" s="2">
        <v>44563</v>
      </c>
      <c r="C697" t="s">
        <v>11</v>
      </c>
      <c r="D697" s="6">
        <v>490</v>
      </c>
      <c r="E697" s="6">
        <v>298.89999999999998</v>
      </c>
      <c r="F697" s="6">
        <v>1</v>
      </c>
      <c r="G697" s="6">
        <v>490</v>
      </c>
      <c r="H697" t="s">
        <v>52</v>
      </c>
      <c r="I697" t="s">
        <v>82</v>
      </c>
      <c r="J697" t="s">
        <v>86</v>
      </c>
    </row>
    <row r="698" spans="1:10" x14ac:dyDescent="0.3">
      <c r="A698" s="2">
        <v>44556</v>
      </c>
      <c r="B698" s="2">
        <v>44561</v>
      </c>
      <c r="C698" t="s">
        <v>12</v>
      </c>
      <c r="D698" s="6">
        <v>320</v>
      </c>
      <c r="E698" s="6">
        <v>233.6</v>
      </c>
      <c r="F698" s="6">
        <v>7</v>
      </c>
      <c r="G698" s="6">
        <v>2240</v>
      </c>
      <c r="H698" t="s">
        <v>53</v>
      </c>
      <c r="I698" t="s">
        <v>82</v>
      </c>
      <c r="J698" t="s">
        <v>85</v>
      </c>
    </row>
    <row r="699" spans="1:10" x14ac:dyDescent="0.3">
      <c r="A699" s="2">
        <v>44556</v>
      </c>
      <c r="B699" s="2">
        <v>44563</v>
      </c>
      <c r="C699" t="s">
        <v>4</v>
      </c>
      <c r="D699" s="6">
        <v>390</v>
      </c>
      <c r="E699" s="6">
        <v>288.60000000000002</v>
      </c>
      <c r="F699" s="6">
        <v>3</v>
      </c>
      <c r="G699" s="6">
        <v>1170</v>
      </c>
      <c r="H699" t="s">
        <v>67</v>
      </c>
      <c r="I699" t="s">
        <v>81</v>
      </c>
      <c r="J699" t="s">
        <v>85</v>
      </c>
    </row>
    <row r="700" spans="1:10" x14ac:dyDescent="0.3">
      <c r="A700" s="2">
        <v>44557</v>
      </c>
      <c r="B700" s="2">
        <v>44560</v>
      </c>
      <c r="C700" t="s">
        <v>15</v>
      </c>
      <c r="D700" s="6">
        <v>110</v>
      </c>
      <c r="E700" s="6">
        <v>78.099999999999994</v>
      </c>
      <c r="F700" s="6">
        <v>8</v>
      </c>
      <c r="G700" s="6">
        <v>880</v>
      </c>
      <c r="H700" t="s">
        <v>71</v>
      </c>
      <c r="I700" t="s">
        <v>81</v>
      </c>
      <c r="J700" t="s">
        <v>85</v>
      </c>
    </row>
    <row r="701" spans="1:10" x14ac:dyDescent="0.3">
      <c r="A701" s="2">
        <v>44557</v>
      </c>
      <c r="B701" s="2">
        <v>44559</v>
      </c>
      <c r="C701" t="s">
        <v>4</v>
      </c>
      <c r="D701" s="6">
        <v>390</v>
      </c>
      <c r="E701" s="6">
        <v>288.60000000000002</v>
      </c>
      <c r="F701" s="6">
        <v>1</v>
      </c>
      <c r="G701" s="6">
        <v>390</v>
      </c>
      <c r="H701" t="s">
        <v>53</v>
      </c>
      <c r="I701" t="s">
        <v>83</v>
      </c>
      <c r="J701" t="s">
        <v>85</v>
      </c>
    </row>
    <row r="702" spans="1:10" x14ac:dyDescent="0.3">
      <c r="A702" s="2">
        <v>44558</v>
      </c>
      <c r="B702" s="2">
        <v>44563</v>
      </c>
      <c r="C702" t="s">
        <v>13</v>
      </c>
      <c r="D702" s="6">
        <v>445</v>
      </c>
      <c r="E702" s="6">
        <v>280.35000000000002</v>
      </c>
      <c r="F702" s="6">
        <v>2</v>
      </c>
      <c r="G702" s="6">
        <v>890</v>
      </c>
      <c r="H702" t="s">
        <v>42</v>
      </c>
      <c r="I702" t="s">
        <v>79</v>
      </c>
      <c r="J702" t="s">
        <v>85</v>
      </c>
    </row>
    <row r="703" spans="1:10" x14ac:dyDescent="0.3">
      <c r="A703" s="2">
        <v>44559</v>
      </c>
      <c r="B703" s="2">
        <v>44564</v>
      </c>
      <c r="C703" t="s">
        <v>3</v>
      </c>
      <c r="D703" s="6">
        <v>95</v>
      </c>
      <c r="E703" s="6">
        <v>60.800000000000004</v>
      </c>
      <c r="F703" s="6">
        <v>1</v>
      </c>
      <c r="G703" s="6">
        <v>95</v>
      </c>
      <c r="H703" t="s">
        <v>40</v>
      </c>
      <c r="I703" t="s">
        <v>80</v>
      </c>
      <c r="J703" t="s">
        <v>85</v>
      </c>
    </row>
    <row r="704" spans="1:10" x14ac:dyDescent="0.3">
      <c r="A704" s="2">
        <v>44560</v>
      </c>
      <c r="B704" s="2">
        <v>44563</v>
      </c>
      <c r="C704" t="s">
        <v>20</v>
      </c>
      <c r="D704" s="6">
        <v>440</v>
      </c>
      <c r="E704" s="6">
        <v>286</v>
      </c>
      <c r="F704" s="6">
        <v>4</v>
      </c>
      <c r="G704" s="6">
        <v>1760</v>
      </c>
      <c r="H704" t="s">
        <v>57</v>
      </c>
      <c r="I704" t="s">
        <v>81</v>
      </c>
      <c r="J704" t="s">
        <v>85</v>
      </c>
    </row>
    <row r="705" spans="1:10" x14ac:dyDescent="0.3">
      <c r="A705" s="2">
        <v>44561</v>
      </c>
      <c r="B705" s="2">
        <v>44562</v>
      </c>
      <c r="C705" t="s">
        <v>14</v>
      </c>
      <c r="D705" s="6">
        <v>375</v>
      </c>
      <c r="E705" s="6">
        <v>247.5</v>
      </c>
      <c r="F705" s="6">
        <v>6</v>
      </c>
      <c r="G705" s="6">
        <v>2250</v>
      </c>
      <c r="H705" t="s">
        <v>67</v>
      </c>
      <c r="I705" t="s">
        <v>83</v>
      </c>
      <c r="J705" t="s">
        <v>86</v>
      </c>
    </row>
    <row r="706" spans="1:10" x14ac:dyDescent="0.3">
      <c r="A706" s="2">
        <v>44562</v>
      </c>
      <c r="B706" s="2">
        <v>44565</v>
      </c>
      <c r="C706" t="s">
        <v>7</v>
      </c>
      <c r="D706" s="6">
        <v>250</v>
      </c>
      <c r="E706" s="6">
        <v>167.5</v>
      </c>
      <c r="F706" s="6">
        <v>3</v>
      </c>
      <c r="G706" s="6">
        <v>750</v>
      </c>
      <c r="H706" t="s">
        <v>72</v>
      </c>
      <c r="I706" t="s">
        <v>81</v>
      </c>
      <c r="J706" t="s">
        <v>85</v>
      </c>
    </row>
    <row r="707" spans="1:10" x14ac:dyDescent="0.3">
      <c r="A707" s="2">
        <v>44564</v>
      </c>
      <c r="B707" s="2">
        <v>44566</v>
      </c>
      <c r="C707" t="s">
        <v>6</v>
      </c>
      <c r="D707" s="6">
        <v>99</v>
      </c>
      <c r="E707" s="6">
        <v>62.37</v>
      </c>
      <c r="F707" s="6">
        <v>9</v>
      </c>
      <c r="G707" s="6">
        <v>891</v>
      </c>
      <c r="H707" t="s">
        <v>30</v>
      </c>
      <c r="I707" t="s">
        <v>83</v>
      </c>
      <c r="J707" t="s">
        <v>86</v>
      </c>
    </row>
    <row r="708" spans="1:10" x14ac:dyDescent="0.3">
      <c r="A708" s="2">
        <v>44564</v>
      </c>
      <c r="B708" s="2">
        <v>44565</v>
      </c>
      <c r="C708" t="s">
        <v>15</v>
      </c>
      <c r="D708" s="6">
        <v>110</v>
      </c>
      <c r="E708" s="6">
        <v>78.099999999999994</v>
      </c>
      <c r="F708" s="6">
        <v>7</v>
      </c>
      <c r="G708" s="6">
        <v>770</v>
      </c>
      <c r="H708" t="s">
        <v>71</v>
      </c>
      <c r="I708" t="s">
        <v>79</v>
      </c>
      <c r="J708" t="s">
        <v>85</v>
      </c>
    </row>
    <row r="709" spans="1:10" x14ac:dyDescent="0.3">
      <c r="A709" s="2">
        <v>44564</v>
      </c>
      <c r="B709" s="2">
        <v>44565</v>
      </c>
      <c r="C709" t="s">
        <v>13</v>
      </c>
      <c r="D709" s="6">
        <v>445</v>
      </c>
      <c r="E709" s="6">
        <v>280.35000000000002</v>
      </c>
      <c r="F709" s="6">
        <v>7</v>
      </c>
      <c r="G709" s="6">
        <v>3115</v>
      </c>
      <c r="H709" t="s">
        <v>35</v>
      </c>
      <c r="I709" t="s">
        <v>81</v>
      </c>
      <c r="J709" t="s">
        <v>85</v>
      </c>
    </row>
    <row r="710" spans="1:10" x14ac:dyDescent="0.3">
      <c r="A710" s="2">
        <v>44565</v>
      </c>
      <c r="B710" s="2">
        <v>44571</v>
      </c>
      <c r="C710" t="s">
        <v>15</v>
      </c>
      <c r="D710" s="6">
        <v>110</v>
      </c>
      <c r="E710" s="6">
        <v>78.099999999999994</v>
      </c>
      <c r="F710" s="6">
        <v>9</v>
      </c>
      <c r="G710" s="6">
        <v>990</v>
      </c>
      <c r="H710" t="s">
        <v>36</v>
      </c>
      <c r="I710" t="s">
        <v>82</v>
      </c>
      <c r="J710" t="s">
        <v>86</v>
      </c>
    </row>
    <row r="711" spans="1:10" x14ac:dyDescent="0.3">
      <c r="A711" s="2">
        <v>44568</v>
      </c>
      <c r="B711" s="2">
        <v>44571</v>
      </c>
      <c r="C711" t="s">
        <v>10</v>
      </c>
      <c r="D711" s="6">
        <v>390</v>
      </c>
      <c r="E711" s="6">
        <v>253.5</v>
      </c>
      <c r="F711" s="6">
        <v>8</v>
      </c>
      <c r="G711" s="6">
        <v>3120</v>
      </c>
      <c r="H711" t="s">
        <v>36</v>
      </c>
      <c r="I711" t="s">
        <v>82</v>
      </c>
      <c r="J711" t="s">
        <v>85</v>
      </c>
    </row>
    <row r="712" spans="1:10" x14ac:dyDescent="0.3">
      <c r="A712" s="2">
        <v>44569</v>
      </c>
      <c r="B712" s="2">
        <v>44576</v>
      </c>
      <c r="C712" t="s">
        <v>17</v>
      </c>
      <c r="D712" s="6">
        <v>195</v>
      </c>
      <c r="E712" s="6">
        <v>138.44999999999999</v>
      </c>
      <c r="F712" s="6">
        <v>2</v>
      </c>
      <c r="G712" s="6">
        <v>390</v>
      </c>
      <c r="H712" t="s">
        <v>34</v>
      </c>
      <c r="I712" t="s">
        <v>83</v>
      </c>
      <c r="J712" t="s">
        <v>85</v>
      </c>
    </row>
    <row r="713" spans="1:10" x14ac:dyDescent="0.3">
      <c r="A713" s="2">
        <v>44570</v>
      </c>
      <c r="B713" s="2">
        <v>44572</v>
      </c>
      <c r="C713" t="s">
        <v>6</v>
      </c>
      <c r="D713" s="6">
        <v>99</v>
      </c>
      <c r="E713" s="6">
        <v>62.37</v>
      </c>
      <c r="F713" s="6">
        <v>2</v>
      </c>
      <c r="G713" s="6">
        <v>198</v>
      </c>
      <c r="H713" t="s">
        <v>73</v>
      </c>
      <c r="I713" t="s">
        <v>79</v>
      </c>
      <c r="J713" t="s">
        <v>85</v>
      </c>
    </row>
    <row r="714" spans="1:10" x14ac:dyDescent="0.3">
      <c r="A714" s="2">
        <v>44572</v>
      </c>
      <c r="B714" s="2">
        <v>44574</v>
      </c>
      <c r="C714" t="s">
        <v>14</v>
      </c>
      <c r="D714" s="6">
        <v>375</v>
      </c>
      <c r="E714" s="6">
        <v>247.5</v>
      </c>
      <c r="F714" s="6">
        <v>9</v>
      </c>
      <c r="G714" s="6">
        <v>3375</v>
      </c>
      <c r="H714" t="s">
        <v>63</v>
      </c>
      <c r="I714" t="s">
        <v>80</v>
      </c>
      <c r="J714" t="s">
        <v>85</v>
      </c>
    </row>
    <row r="715" spans="1:10" x14ac:dyDescent="0.3">
      <c r="A715" s="2">
        <v>44572</v>
      </c>
      <c r="B715" s="2">
        <v>44576</v>
      </c>
      <c r="C715" t="s">
        <v>18</v>
      </c>
      <c r="D715" s="6">
        <v>80</v>
      </c>
      <c r="E715" s="6">
        <v>48.8</v>
      </c>
      <c r="F715" s="6">
        <v>2</v>
      </c>
      <c r="G715" s="6">
        <v>160</v>
      </c>
      <c r="H715" t="s">
        <v>35</v>
      </c>
      <c r="I715" t="s">
        <v>83</v>
      </c>
      <c r="J715" t="s">
        <v>86</v>
      </c>
    </row>
    <row r="716" spans="1:10" x14ac:dyDescent="0.3">
      <c r="A716" s="2">
        <v>44573</v>
      </c>
      <c r="B716" s="2">
        <v>44578</v>
      </c>
      <c r="C716" t="s">
        <v>8</v>
      </c>
      <c r="D716" s="6">
        <v>59</v>
      </c>
      <c r="E716" s="6">
        <v>41.3</v>
      </c>
      <c r="F716" s="6">
        <v>6</v>
      </c>
      <c r="G716" s="6">
        <v>354</v>
      </c>
      <c r="H716" t="s">
        <v>38</v>
      </c>
      <c r="I716" t="s">
        <v>80</v>
      </c>
      <c r="J716" t="s">
        <v>86</v>
      </c>
    </row>
    <row r="717" spans="1:10" x14ac:dyDescent="0.3">
      <c r="A717" s="2">
        <v>44574</v>
      </c>
      <c r="B717" s="2">
        <v>44580</v>
      </c>
      <c r="C717" t="s">
        <v>20</v>
      </c>
      <c r="D717" s="6">
        <v>440</v>
      </c>
      <c r="E717" s="6">
        <v>286</v>
      </c>
      <c r="F717" s="6">
        <v>8</v>
      </c>
      <c r="G717" s="6">
        <v>3520</v>
      </c>
      <c r="H717" t="s">
        <v>39</v>
      </c>
      <c r="I717" t="s">
        <v>80</v>
      </c>
      <c r="J717" t="s">
        <v>85</v>
      </c>
    </row>
    <row r="718" spans="1:10" x14ac:dyDescent="0.3">
      <c r="A718" s="2">
        <v>44575</v>
      </c>
      <c r="B718" s="2">
        <v>44579</v>
      </c>
      <c r="C718" t="s">
        <v>4</v>
      </c>
      <c r="D718" s="6">
        <v>390</v>
      </c>
      <c r="E718" s="6">
        <v>288.60000000000002</v>
      </c>
      <c r="F718" s="6">
        <v>3</v>
      </c>
      <c r="G718" s="6">
        <v>1170</v>
      </c>
      <c r="H718" t="s">
        <v>73</v>
      </c>
      <c r="I718" t="s">
        <v>82</v>
      </c>
      <c r="J718" t="s">
        <v>85</v>
      </c>
    </row>
    <row r="719" spans="1:10" x14ac:dyDescent="0.3">
      <c r="A719" s="2">
        <v>44575</v>
      </c>
      <c r="B719" s="2">
        <v>44578</v>
      </c>
      <c r="C719" t="s">
        <v>15</v>
      </c>
      <c r="D719" s="6">
        <v>110</v>
      </c>
      <c r="E719" s="6">
        <v>78.099999999999994</v>
      </c>
      <c r="F719" s="6">
        <v>5</v>
      </c>
      <c r="G719" s="6">
        <v>550</v>
      </c>
      <c r="H719" t="s">
        <v>64</v>
      </c>
      <c r="I719" t="s">
        <v>79</v>
      </c>
      <c r="J719" t="s">
        <v>85</v>
      </c>
    </row>
    <row r="720" spans="1:10" x14ac:dyDescent="0.3">
      <c r="A720" s="2">
        <v>44578</v>
      </c>
      <c r="B720" s="2">
        <v>44582</v>
      </c>
      <c r="C720" t="s">
        <v>17</v>
      </c>
      <c r="D720" s="6">
        <v>195</v>
      </c>
      <c r="E720" s="6">
        <v>138.44999999999999</v>
      </c>
      <c r="F720" s="6">
        <v>2</v>
      </c>
      <c r="G720" s="6">
        <v>390</v>
      </c>
      <c r="H720" t="s">
        <v>53</v>
      </c>
      <c r="I720" t="s">
        <v>82</v>
      </c>
      <c r="J720" t="s">
        <v>85</v>
      </c>
    </row>
    <row r="721" spans="1:10" x14ac:dyDescent="0.3">
      <c r="A721" s="2">
        <v>44580</v>
      </c>
      <c r="B721" s="2">
        <v>44584</v>
      </c>
      <c r="C721" t="s">
        <v>8</v>
      </c>
      <c r="D721" s="6">
        <v>59</v>
      </c>
      <c r="E721" s="6">
        <v>41.3</v>
      </c>
      <c r="F721" s="6">
        <v>8</v>
      </c>
      <c r="G721" s="6">
        <v>472</v>
      </c>
      <c r="H721" t="s">
        <v>67</v>
      </c>
      <c r="I721" t="s">
        <v>79</v>
      </c>
      <c r="J721" t="s">
        <v>85</v>
      </c>
    </row>
    <row r="722" spans="1:10" x14ac:dyDescent="0.3">
      <c r="A722" s="2">
        <v>44582</v>
      </c>
      <c r="B722" s="2">
        <v>44584</v>
      </c>
      <c r="C722" t="s">
        <v>12</v>
      </c>
      <c r="D722" s="6">
        <v>320</v>
      </c>
      <c r="E722" s="6">
        <v>233.6</v>
      </c>
      <c r="F722" s="6">
        <v>6</v>
      </c>
      <c r="G722" s="6">
        <v>1920</v>
      </c>
      <c r="H722" t="s">
        <v>39</v>
      </c>
      <c r="I722" t="s">
        <v>79</v>
      </c>
      <c r="J722" t="s">
        <v>85</v>
      </c>
    </row>
    <row r="723" spans="1:10" x14ac:dyDescent="0.3">
      <c r="A723" s="2">
        <v>44582</v>
      </c>
      <c r="B723" s="2">
        <v>44587</v>
      </c>
      <c r="C723" t="s">
        <v>7</v>
      </c>
      <c r="D723" s="6">
        <v>250</v>
      </c>
      <c r="E723" s="6">
        <v>167.5</v>
      </c>
      <c r="F723" s="6">
        <v>2</v>
      </c>
      <c r="G723" s="6">
        <v>500</v>
      </c>
      <c r="H723" t="s">
        <v>44</v>
      </c>
      <c r="I723" t="s">
        <v>81</v>
      </c>
      <c r="J723" t="s">
        <v>86</v>
      </c>
    </row>
    <row r="724" spans="1:10" x14ac:dyDescent="0.3">
      <c r="A724" s="2">
        <v>44583</v>
      </c>
      <c r="B724" s="2">
        <v>44589</v>
      </c>
      <c r="C724" t="s">
        <v>12</v>
      </c>
      <c r="D724" s="6">
        <v>320</v>
      </c>
      <c r="E724" s="6">
        <v>233.6</v>
      </c>
      <c r="F724" s="6">
        <v>7</v>
      </c>
      <c r="G724" s="6">
        <v>2240</v>
      </c>
      <c r="H724" t="s">
        <v>29</v>
      </c>
      <c r="I724" t="s">
        <v>82</v>
      </c>
      <c r="J724" t="s">
        <v>85</v>
      </c>
    </row>
    <row r="725" spans="1:10" x14ac:dyDescent="0.3">
      <c r="A725" s="2">
        <v>44583</v>
      </c>
      <c r="B725" s="2">
        <v>44589</v>
      </c>
      <c r="C725" t="s">
        <v>3</v>
      </c>
      <c r="D725" s="6">
        <v>95</v>
      </c>
      <c r="E725" s="6">
        <v>60.800000000000004</v>
      </c>
      <c r="F725" s="6">
        <v>4</v>
      </c>
      <c r="G725" s="6">
        <v>380</v>
      </c>
      <c r="H725" t="s">
        <v>52</v>
      </c>
      <c r="I725" t="s">
        <v>83</v>
      </c>
      <c r="J725" t="s">
        <v>85</v>
      </c>
    </row>
    <row r="726" spans="1:10" x14ac:dyDescent="0.3">
      <c r="A726" s="2">
        <v>44583</v>
      </c>
      <c r="B726" s="2">
        <v>44590</v>
      </c>
      <c r="C726" t="s">
        <v>14</v>
      </c>
      <c r="D726" s="6">
        <v>375</v>
      </c>
      <c r="E726" s="6">
        <v>247.5</v>
      </c>
      <c r="F726" s="6">
        <v>3</v>
      </c>
      <c r="G726" s="6">
        <v>1125</v>
      </c>
      <c r="H726" t="s">
        <v>43</v>
      </c>
      <c r="I726" t="s">
        <v>79</v>
      </c>
      <c r="J726" t="s">
        <v>86</v>
      </c>
    </row>
    <row r="727" spans="1:10" x14ac:dyDescent="0.3">
      <c r="A727" s="2">
        <v>44584</v>
      </c>
      <c r="B727" s="2">
        <v>44587</v>
      </c>
      <c r="C727" t="s">
        <v>18</v>
      </c>
      <c r="D727" s="6">
        <v>80</v>
      </c>
      <c r="E727" s="6">
        <v>48.8</v>
      </c>
      <c r="F727" s="6">
        <v>4</v>
      </c>
      <c r="G727" s="6">
        <v>320</v>
      </c>
      <c r="H727" t="s">
        <v>41</v>
      </c>
      <c r="I727" t="s">
        <v>79</v>
      </c>
      <c r="J727" t="s">
        <v>85</v>
      </c>
    </row>
    <row r="728" spans="1:10" x14ac:dyDescent="0.3">
      <c r="A728" s="2">
        <v>44585</v>
      </c>
      <c r="B728" s="2">
        <v>44591</v>
      </c>
      <c r="C728" t="s">
        <v>5</v>
      </c>
      <c r="D728" s="6">
        <v>290</v>
      </c>
      <c r="E728" s="6">
        <v>185.6</v>
      </c>
      <c r="F728" s="6">
        <v>4</v>
      </c>
      <c r="G728" s="6">
        <v>1160</v>
      </c>
      <c r="H728" t="s">
        <v>53</v>
      </c>
      <c r="I728" t="s">
        <v>81</v>
      </c>
      <c r="J728" t="s">
        <v>85</v>
      </c>
    </row>
    <row r="729" spans="1:10" x14ac:dyDescent="0.3">
      <c r="A729" s="2">
        <v>44586</v>
      </c>
      <c r="B729" s="2">
        <v>44590</v>
      </c>
      <c r="C729" t="s">
        <v>10</v>
      </c>
      <c r="D729" s="6">
        <v>390</v>
      </c>
      <c r="E729" s="6">
        <v>253.5</v>
      </c>
      <c r="F729" s="6">
        <v>1</v>
      </c>
      <c r="G729" s="6">
        <v>390</v>
      </c>
      <c r="H729" t="s">
        <v>47</v>
      </c>
      <c r="I729" t="s">
        <v>79</v>
      </c>
      <c r="J729" t="s">
        <v>86</v>
      </c>
    </row>
    <row r="730" spans="1:10" x14ac:dyDescent="0.3">
      <c r="A730" s="2">
        <v>44587</v>
      </c>
      <c r="B730" s="2">
        <v>44588</v>
      </c>
      <c r="C730" t="s">
        <v>2</v>
      </c>
      <c r="D730" s="6">
        <v>250</v>
      </c>
      <c r="E730" s="6">
        <v>187.5</v>
      </c>
      <c r="F730" s="6">
        <v>3</v>
      </c>
      <c r="G730" s="6">
        <v>750</v>
      </c>
      <c r="H730" t="s">
        <v>76</v>
      </c>
      <c r="I730" t="s">
        <v>80</v>
      </c>
      <c r="J730" t="s">
        <v>86</v>
      </c>
    </row>
    <row r="731" spans="1:10" x14ac:dyDescent="0.3">
      <c r="A731" s="2">
        <v>44587</v>
      </c>
      <c r="B731" s="2">
        <v>44592</v>
      </c>
      <c r="C731" t="s">
        <v>2</v>
      </c>
      <c r="D731" s="6">
        <v>250</v>
      </c>
      <c r="E731" s="6">
        <v>187.5</v>
      </c>
      <c r="F731" s="6">
        <v>5</v>
      </c>
      <c r="G731" s="6">
        <v>1250</v>
      </c>
      <c r="H731" t="s">
        <v>41</v>
      </c>
      <c r="I731" t="s">
        <v>80</v>
      </c>
      <c r="J731" t="s">
        <v>86</v>
      </c>
    </row>
    <row r="732" spans="1:10" x14ac:dyDescent="0.3">
      <c r="A732" s="2">
        <v>44587</v>
      </c>
      <c r="B732" s="2">
        <v>44593</v>
      </c>
      <c r="C732" t="s">
        <v>15</v>
      </c>
      <c r="D732" s="6">
        <v>110</v>
      </c>
      <c r="E732" s="6">
        <v>78.099999999999994</v>
      </c>
      <c r="F732" s="6">
        <v>5</v>
      </c>
      <c r="G732" s="6">
        <v>550</v>
      </c>
      <c r="H732" t="s">
        <v>68</v>
      </c>
      <c r="I732" t="s">
        <v>80</v>
      </c>
      <c r="J732" t="s">
        <v>85</v>
      </c>
    </row>
    <row r="733" spans="1:10" x14ac:dyDescent="0.3">
      <c r="A733" s="2">
        <v>44587</v>
      </c>
      <c r="B733" s="2">
        <v>44590</v>
      </c>
      <c r="C733" t="s">
        <v>7</v>
      </c>
      <c r="D733" s="6">
        <v>250</v>
      </c>
      <c r="E733" s="6">
        <v>167.5</v>
      </c>
      <c r="F733" s="6">
        <v>2</v>
      </c>
      <c r="G733" s="6">
        <v>500</v>
      </c>
      <c r="H733" t="s">
        <v>35</v>
      </c>
      <c r="I733" t="s">
        <v>81</v>
      </c>
      <c r="J733" t="s">
        <v>85</v>
      </c>
    </row>
    <row r="734" spans="1:10" x14ac:dyDescent="0.3">
      <c r="A734" s="2">
        <v>44588</v>
      </c>
      <c r="B734" s="2">
        <v>44589</v>
      </c>
      <c r="C734" t="s">
        <v>11</v>
      </c>
      <c r="D734" s="6">
        <v>490</v>
      </c>
      <c r="E734" s="6">
        <v>298.89999999999998</v>
      </c>
      <c r="F734" s="6">
        <v>9</v>
      </c>
      <c r="G734" s="6">
        <v>4410</v>
      </c>
      <c r="H734" t="s">
        <v>69</v>
      </c>
      <c r="I734" t="s">
        <v>83</v>
      </c>
      <c r="J734" t="s">
        <v>85</v>
      </c>
    </row>
    <row r="735" spans="1:10" x14ac:dyDescent="0.3">
      <c r="A735" s="2">
        <v>44588</v>
      </c>
      <c r="B735" s="2">
        <v>44593</v>
      </c>
      <c r="C735" t="s">
        <v>9</v>
      </c>
      <c r="D735" s="6">
        <v>215</v>
      </c>
      <c r="E735" s="6">
        <v>152.65</v>
      </c>
      <c r="F735" s="6">
        <v>4</v>
      </c>
      <c r="G735" s="6">
        <v>860</v>
      </c>
      <c r="H735" t="s">
        <v>31</v>
      </c>
      <c r="I735" t="s">
        <v>81</v>
      </c>
      <c r="J735" t="s">
        <v>85</v>
      </c>
    </row>
    <row r="736" spans="1:10" x14ac:dyDescent="0.3">
      <c r="A736" s="2">
        <v>44588</v>
      </c>
      <c r="B736" s="2">
        <v>44589</v>
      </c>
      <c r="C736" t="s">
        <v>15</v>
      </c>
      <c r="D736" s="6">
        <v>110</v>
      </c>
      <c r="E736" s="6">
        <v>78.099999999999994</v>
      </c>
      <c r="F736" s="6">
        <v>7</v>
      </c>
      <c r="G736" s="6">
        <v>770</v>
      </c>
      <c r="H736" t="s">
        <v>49</v>
      </c>
      <c r="I736" t="s">
        <v>80</v>
      </c>
      <c r="J736" t="s">
        <v>86</v>
      </c>
    </row>
    <row r="737" spans="1:10" x14ac:dyDescent="0.3">
      <c r="A737" s="2">
        <v>44588</v>
      </c>
      <c r="B737" s="2">
        <v>44593</v>
      </c>
      <c r="C737" t="s">
        <v>18</v>
      </c>
      <c r="D737" s="6">
        <v>80</v>
      </c>
      <c r="E737" s="6">
        <v>48.8</v>
      </c>
      <c r="F737" s="6">
        <v>9</v>
      </c>
      <c r="G737" s="6">
        <v>720</v>
      </c>
      <c r="H737" t="s">
        <v>49</v>
      </c>
      <c r="I737" t="s">
        <v>82</v>
      </c>
      <c r="J737" t="s">
        <v>85</v>
      </c>
    </row>
    <row r="738" spans="1:10" x14ac:dyDescent="0.3">
      <c r="A738" s="2">
        <v>44589</v>
      </c>
      <c r="B738" s="2">
        <v>44594</v>
      </c>
      <c r="C738" t="s">
        <v>20</v>
      </c>
      <c r="D738" s="6">
        <v>440</v>
      </c>
      <c r="E738" s="6">
        <v>286</v>
      </c>
      <c r="F738" s="6">
        <v>5</v>
      </c>
      <c r="G738" s="6">
        <v>2200</v>
      </c>
      <c r="H738" t="s">
        <v>55</v>
      </c>
      <c r="I738" t="s">
        <v>82</v>
      </c>
      <c r="J738" t="s">
        <v>86</v>
      </c>
    </row>
    <row r="739" spans="1:10" x14ac:dyDescent="0.3">
      <c r="A739" s="2">
        <v>44593</v>
      </c>
      <c r="B739" s="2">
        <v>44599</v>
      </c>
      <c r="C739" t="s">
        <v>20</v>
      </c>
      <c r="D739" s="6">
        <v>440</v>
      </c>
      <c r="E739" s="6">
        <v>286</v>
      </c>
      <c r="F739" s="6">
        <v>8</v>
      </c>
      <c r="G739" s="6">
        <v>3520</v>
      </c>
      <c r="H739" t="s">
        <v>76</v>
      </c>
      <c r="I739" t="s">
        <v>82</v>
      </c>
      <c r="J739" t="s">
        <v>85</v>
      </c>
    </row>
    <row r="740" spans="1:10" x14ac:dyDescent="0.3">
      <c r="A740" s="2">
        <v>44596</v>
      </c>
      <c r="B740" s="2">
        <v>44597</v>
      </c>
      <c r="C740" t="s">
        <v>23</v>
      </c>
      <c r="D740" s="6">
        <v>275</v>
      </c>
      <c r="E740" s="6">
        <v>200.75</v>
      </c>
      <c r="F740" s="6">
        <v>7</v>
      </c>
      <c r="G740" s="6">
        <v>1925</v>
      </c>
      <c r="H740" t="s">
        <v>57</v>
      </c>
      <c r="I740" t="s">
        <v>80</v>
      </c>
      <c r="J740" t="s">
        <v>85</v>
      </c>
    </row>
    <row r="741" spans="1:10" x14ac:dyDescent="0.3">
      <c r="A741" s="2">
        <v>44597</v>
      </c>
      <c r="B741" s="2">
        <v>44604</v>
      </c>
      <c r="C741" t="s">
        <v>18</v>
      </c>
      <c r="D741" s="6">
        <v>80</v>
      </c>
      <c r="E741" s="6">
        <v>48.8</v>
      </c>
      <c r="F741" s="6">
        <v>1</v>
      </c>
      <c r="G741" s="6">
        <v>80</v>
      </c>
      <c r="H741" t="s">
        <v>72</v>
      </c>
      <c r="I741" t="s">
        <v>81</v>
      </c>
      <c r="J741" t="s">
        <v>86</v>
      </c>
    </row>
    <row r="742" spans="1:10" x14ac:dyDescent="0.3">
      <c r="A742" s="2">
        <v>44597</v>
      </c>
      <c r="B742" s="2">
        <v>44603</v>
      </c>
      <c r="C742" t="s">
        <v>16</v>
      </c>
      <c r="D742" s="6">
        <v>145</v>
      </c>
      <c r="E742" s="6">
        <v>105.85</v>
      </c>
      <c r="F742" s="6">
        <v>6</v>
      </c>
      <c r="G742" s="6">
        <v>870</v>
      </c>
      <c r="H742" t="s">
        <v>46</v>
      </c>
      <c r="I742" t="s">
        <v>79</v>
      </c>
      <c r="J742" t="s">
        <v>86</v>
      </c>
    </row>
    <row r="743" spans="1:10" x14ac:dyDescent="0.3">
      <c r="A743" s="2">
        <v>44598</v>
      </c>
      <c r="B743" s="2">
        <v>44602</v>
      </c>
      <c r="C743" t="s">
        <v>19</v>
      </c>
      <c r="D743" s="6">
        <v>220</v>
      </c>
      <c r="E743" s="6">
        <v>154</v>
      </c>
      <c r="F743" s="6">
        <v>8</v>
      </c>
      <c r="G743" s="6">
        <v>1760</v>
      </c>
      <c r="H743" t="s">
        <v>67</v>
      </c>
      <c r="I743" t="s">
        <v>80</v>
      </c>
      <c r="J743" t="s">
        <v>85</v>
      </c>
    </row>
    <row r="744" spans="1:10" x14ac:dyDescent="0.3">
      <c r="A744" s="2">
        <v>44598</v>
      </c>
      <c r="B744" s="2">
        <v>44604</v>
      </c>
      <c r="C744" t="s">
        <v>11</v>
      </c>
      <c r="D744" s="6">
        <v>490</v>
      </c>
      <c r="E744" s="6">
        <v>298.89999999999998</v>
      </c>
      <c r="F744" s="6">
        <v>4</v>
      </c>
      <c r="G744" s="6">
        <v>1960</v>
      </c>
      <c r="H744" t="s">
        <v>34</v>
      </c>
      <c r="I744" t="s">
        <v>80</v>
      </c>
      <c r="J744" t="s">
        <v>86</v>
      </c>
    </row>
    <row r="745" spans="1:10" x14ac:dyDescent="0.3">
      <c r="A745" s="2">
        <v>44599</v>
      </c>
      <c r="B745" s="2">
        <v>44604</v>
      </c>
      <c r="C745" t="s">
        <v>19</v>
      </c>
      <c r="D745" s="6">
        <v>220</v>
      </c>
      <c r="E745" s="6">
        <v>154</v>
      </c>
      <c r="F745" s="6">
        <v>2</v>
      </c>
      <c r="G745" s="6">
        <v>440</v>
      </c>
      <c r="H745" t="s">
        <v>56</v>
      </c>
      <c r="I745" t="s">
        <v>80</v>
      </c>
      <c r="J745" t="s">
        <v>86</v>
      </c>
    </row>
    <row r="746" spans="1:10" x14ac:dyDescent="0.3">
      <c r="A746" s="2">
        <v>44599</v>
      </c>
      <c r="B746" s="2">
        <v>44601</v>
      </c>
      <c r="C746" t="s">
        <v>11</v>
      </c>
      <c r="D746" s="6">
        <v>490</v>
      </c>
      <c r="E746" s="6">
        <v>298.89999999999998</v>
      </c>
      <c r="F746" s="6">
        <v>5</v>
      </c>
      <c r="G746" s="6">
        <v>2450</v>
      </c>
      <c r="H746" t="s">
        <v>52</v>
      </c>
      <c r="I746" t="s">
        <v>81</v>
      </c>
      <c r="J746" t="s">
        <v>86</v>
      </c>
    </row>
    <row r="747" spans="1:10" x14ac:dyDescent="0.3">
      <c r="A747" s="2">
        <v>44599</v>
      </c>
      <c r="B747" s="2">
        <v>44604</v>
      </c>
      <c r="C747" t="s">
        <v>14</v>
      </c>
      <c r="D747" s="6">
        <v>375</v>
      </c>
      <c r="E747" s="6">
        <v>247.5</v>
      </c>
      <c r="F747" s="6">
        <v>3</v>
      </c>
      <c r="G747" s="6">
        <v>1125</v>
      </c>
      <c r="H747" t="s">
        <v>56</v>
      </c>
      <c r="I747" t="s">
        <v>81</v>
      </c>
      <c r="J747" t="s">
        <v>86</v>
      </c>
    </row>
    <row r="748" spans="1:10" x14ac:dyDescent="0.3">
      <c r="A748" s="2">
        <v>44600</v>
      </c>
      <c r="B748" s="2">
        <v>44601</v>
      </c>
      <c r="C748" t="s">
        <v>11</v>
      </c>
      <c r="D748" s="6">
        <v>490</v>
      </c>
      <c r="E748" s="6">
        <v>298.89999999999998</v>
      </c>
      <c r="F748" s="6">
        <v>3</v>
      </c>
      <c r="G748" s="6">
        <v>1470</v>
      </c>
      <c r="H748" t="s">
        <v>63</v>
      </c>
      <c r="I748" t="s">
        <v>83</v>
      </c>
      <c r="J748" t="s">
        <v>85</v>
      </c>
    </row>
    <row r="749" spans="1:10" x14ac:dyDescent="0.3">
      <c r="A749" s="2">
        <v>44600</v>
      </c>
      <c r="B749" s="2">
        <v>44603</v>
      </c>
      <c r="C749" t="s">
        <v>13</v>
      </c>
      <c r="D749" s="6">
        <v>445</v>
      </c>
      <c r="E749" s="6">
        <v>280.35000000000002</v>
      </c>
      <c r="F749" s="6">
        <v>9</v>
      </c>
      <c r="G749" s="6">
        <v>4005</v>
      </c>
      <c r="H749" t="s">
        <v>41</v>
      </c>
      <c r="I749" t="s">
        <v>79</v>
      </c>
      <c r="J749" t="s">
        <v>85</v>
      </c>
    </row>
    <row r="750" spans="1:10" x14ac:dyDescent="0.3">
      <c r="A750" s="2">
        <v>44604</v>
      </c>
      <c r="B750" s="2">
        <v>44607</v>
      </c>
      <c r="C750" t="s">
        <v>23</v>
      </c>
      <c r="D750" s="6">
        <v>275</v>
      </c>
      <c r="E750" s="6">
        <v>200.75</v>
      </c>
      <c r="F750" s="6">
        <v>5</v>
      </c>
      <c r="G750" s="6">
        <v>1375</v>
      </c>
      <c r="H750" t="s">
        <v>59</v>
      </c>
      <c r="I750" t="s">
        <v>80</v>
      </c>
      <c r="J750" t="s">
        <v>86</v>
      </c>
    </row>
    <row r="751" spans="1:10" x14ac:dyDescent="0.3">
      <c r="A751" s="2">
        <v>44604</v>
      </c>
      <c r="B751" s="2">
        <v>44606</v>
      </c>
      <c r="C751" t="s">
        <v>16</v>
      </c>
      <c r="D751" s="6">
        <v>145</v>
      </c>
      <c r="E751" s="6">
        <v>105.85</v>
      </c>
      <c r="F751" s="6">
        <v>1</v>
      </c>
      <c r="G751" s="6">
        <v>145</v>
      </c>
      <c r="H751" t="s">
        <v>49</v>
      </c>
      <c r="I751" t="s">
        <v>83</v>
      </c>
      <c r="J751" t="s">
        <v>85</v>
      </c>
    </row>
    <row r="752" spans="1:10" x14ac:dyDescent="0.3">
      <c r="A752" s="2">
        <v>44604</v>
      </c>
      <c r="B752" s="2">
        <v>44607</v>
      </c>
      <c r="C752" t="s">
        <v>8</v>
      </c>
      <c r="D752" s="6">
        <v>59</v>
      </c>
      <c r="E752" s="6">
        <v>41.3</v>
      </c>
      <c r="F752" s="6">
        <v>5</v>
      </c>
      <c r="G752" s="6">
        <v>295</v>
      </c>
      <c r="H752" t="s">
        <v>70</v>
      </c>
      <c r="I752" t="s">
        <v>81</v>
      </c>
      <c r="J752" t="s">
        <v>85</v>
      </c>
    </row>
    <row r="753" spans="1:10" x14ac:dyDescent="0.3">
      <c r="A753" s="2">
        <v>44605</v>
      </c>
      <c r="B753" s="2">
        <v>44612</v>
      </c>
      <c r="C753" t="s">
        <v>15</v>
      </c>
      <c r="D753" s="6">
        <v>110</v>
      </c>
      <c r="E753" s="6">
        <v>78.099999999999994</v>
      </c>
      <c r="F753" s="6">
        <v>1</v>
      </c>
      <c r="G753" s="6">
        <v>110</v>
      </c>
      <c r="H753" t="s">
        <v>40</v>
      </c>
      <c r="I753" t="s">
        <v>80</v>
      </c>
      <c r="J753" t="s">
        <v>86</v>
      </c>
    </row>
    <row r="754" spans="1:10" x14ac:dyDescent="0.3">
      <c r="A754" s="2">
        <v>44606</v>
      </c>
      <c r="B754" s="2">
        <v>44610</v>
      </c>
      <c r="C754" t="s">
        <v>14</v>
      </c>
      <c r="D754" s="6">
        <v>375</v>
      </c>
      <c r="E754" s="6">
        <v>247.5</v>
      </c>
      <c r="F754" s="6">
        <v>8</v>
      </c>
      <c r="G754" s="6">
        <v>3000</v>
      </c>
      <c r="H754" t="s">
        <v>51</v>
      </c>
      <c r="I754" t="s">
        <v>83</v>
      </c>
      <c r="J754" t="s">
        <v>86</v>
      </c>
    </row>
    <row r="755" spans="1:10" x14ac:dyDescent="0.3">
      <c r="A755" s="2">
        <v>44606</v>
      </c>
      <c r="B755" s="2">
        <v>44610</v>
      </c>
      <c r="C755" t="s">
        <v>14</v>
      </c>
      <c r="D755" s="6">
        <v>375</v>
      </c>
      <c r="E755" s="6">
        <v>247.5</v>
      </c>
      <c r="F755" s="6">
        <v>4</v>
      </c>
      <c r="G755" s="6">
        <v>1500</v>
      </c>
      <c r="H755" t="s">
        <v>32</v>
      </c>
      <c r="I755" t="s">
        <v>81</v>
      </c>
      <c r="J755" t="s">
        <v>86</v>
      </c>
    </row>
    <row r="756" spans="1:10" x14ac:dyDescent="0.3">
      <c r="A756" s="2">
        <v>44607</v>
      </c>
      <c r="B756" s="2">
        <v>44614</v>
      </c>
      <c r="C756" t="s">
        <v>9</v>
      </c>
      <c r="D756" s="6">
        <v>215</v>
      </c>
      <c r="E756" s="6">
        <v>152.65</v>
      </c>
      <c r="F756" s="6">
        <v>3</v>
      </c>
      <c r="G756" s="6">
        <v>645</v>
      </c>
      <c r="H756" t="s">
        <v>61</v>
      </c>
      <c r="I756" t="s">
        <v>82</v>
      </c>
      <c r="J756" t="s">
        <v>85</v>
      </c>
    </row>
    <row r="757" spans="1:10" x14ac:dyDescent="0.3">
      <c r="A757" s="2">
        <v>44608</v>
      </c>
      <c r="B757" s="2">
        <v>44611</v>
      </c>
      <c r="C757" t="s">
        <v>6</v>
      </c>
      <c r="D757" s="6">
        <v>99</v>
      </c>
      <c r="E757" s="6">
        <v>62.37</v>
      </c>
      <c r="F757" s="6">
        <v>9</v>
      </c>
      <c r="G757" s="6">
        <v>891</v>
      </c>
      <c r="H757" t="s">
        <v>64</v>
      </c>
      <c r="I757" t="s">
        <v>79</v>
      </c>
      <c r="J757" t="s">
        <v>86</v>
      </c>
    </row>
    <row r="758" spans="1:10" x14ac:dyDescent="0.3">
      <c r="A758" s="2">
        <v>44610</v>
      </c>
      <c r="B758" s="2">
        <v>44616</v>
      </c>
      <c r="C758" t="s">
        <v>17</v>
      </c>
      <c r="D758" s="6">
        <v>195</v>
      </c>
      <c r="E758" s="6">
        <v>138.44999999999999</v>
      </c>
      <c r="F758" s="6">
        <v>8</v>
      </c>
      <c r="G758" s="6">
        <v>1560</v>
      </c>
      <c r="H758" t="s">
        <v>70</v>
      </c>
      <c r="I758" t="s">
        <v>80</v>
      </c>
      <c r="J758" t="s">
        <v>86</v>
      </c>
    </row>
    <row r="759" spans="1:10" x14ac:dyDescent="0.3">
      <c r="A759" s="2">
        <v>44611</v>
      </c>
      <c r="B759" s="2">
        <v>44615</v>
      </c>
      <c r="C759" t="s">
        <v>23</v>
      </c>
      <c r="D759" s="6">
        <v>275</v>
      </c>
      <c r="E759" s="6">
        <v>200.75</v>
      </c>
      <c r="F759" s="6">
        <v>7</v>
      </c>
      <c r="G759" s="6">
        <v>1925</v>
      </c>
      <c r="H759" t="s">
        <v>57</v>
      </c>
      <c r="I759" t="s">
        <v>81</v>
      </c>
      <c r="J759" t="s">
        <v>85</v>
      </c>
    </row>
    <row r="760" spans="1:10" x14ac:dyDescent="0.3">
      <c r="A760" s="2">
        <v>44611</v>
      </c>
      <c r="B760" s="2">
        <v>44612</v>
      </c>
      <c r="C760" t="s">
        <v>23</v>
      </c>
      <c r="D760" s="6">
        <v>275</v>
      </c>
      <c r="E760" s="6">
        <v>200.75</v>
      </c>
      <c r="F760" s="6">
        <v>2</v>
      </c>
      <c r="G760" s="6">
        <v>550</v>
      </c>
      <c r="H760" t="s">
        <v>34</v>
      </c>
      <c r="I760" t="s">
        <v>82</v>
      </c>
      <c r="J760" t="s">
        <v>86</v>
      </c>
    </row>
    <row r="761" spans="1:10" x14ac:dyDescent="0.3">
      <c r="A761" s="2">
        <v>44612</v>
      </c>
      <c r="B761" s="2">
        <v>44616</v>
      </c>
      <c r="C761" t="s">
        <v>11</v>
      </c>
      <c r="D761" s="6">
        <v>490</v>
      </c>
      <c r="E761" s="6">
        <v>298.89999999999998</v>
      </c>
      <c r="F761" s="6">
        <v>7</v>
      </c>
      <c r="G761" s="6">
        <v>3430</v>
      </c>
      <c r="H761" t="s">
        <v>49</v>
      </c>
      <c r="I761" t="s">
        <v>79</v>
      </c>
      <c r="J761" t="s">
        <v>85</v>
      </c>
    </row>
    <row r="762" spans="1:10" x14ac:dyDescent="0.3">
      <c r="A762" s="2">
        <v>44612</v>
      </c>
      <c r="B762" s="2">
        <v>44613</v>
      </c>
      <c r="C762" t="s">
        <v>7</v>
      </c>
      <c r="D762" s="6">
        <v>250</v>
      </c>
      <c r="E762" s="6">
        <v>167.5</v>
      </c>
      <c r="F762" s="6">
        <v>4</v>
      </c>
      <c r="G762" s="6">
        <v>1000</v>
      </c>
      <c r="H762" t="s">
        <v>72</v>
      </c>
      <c r="I762" t="s">
        <v>81</v>
      </c>
      <c r="J762" t="s">
        <v>86</v>
      </c>
    </row>
    <row r="763" spans="1:10" x14ac:dyDescent="0.3">
      <c r="A763" s="2">
        <v>44614</v>
      </c>
      <c r="B763" s="2">
        <v>44618</v>
      </c>
      <c r="C763" t="s">
        <v>15</v>
      </c>
      <c r="D763" s="6">
        <v>110</v>
      </c>
      <c r="E763" s="6">
        <v>78.099999999999994</v>
      </c>
      <c r="F763" s="6">
        <v>3</v>
      </c>
      <c r="G763" s="6">
        <v>330</v>
      </c>
      <c r="H763" t="s">
        <v>60</v>
      </c>
      <c r="I763" t="s">
        <v>80</v>
      </c>
      <c r="J763" t="s">
        <v>85</v>
      </c>
    </row>
    <row r="764" spans="1:10" x14ac:dyDescent="0.3">
      <c r="A764" s="2">
        <v>44615</v>
      </c>
      <c r="B764" s="2">
        <v>44620</v>
      </c>
      <c r="C764" t="s">
        <v>20</v>
      </c>
      <c r="D764" s="6">
        <v>440</v>
      </c>
      <c r="E764" s="6">
        <v>286</v>
      </c>
      <c r="F764" s="6">
        <v>5</v>
      </c>
      <c r="G764" s="6">
        <v>2200</v>
      </c>
      <c r="H764" t="s">
        <v>29</v>
      </c>
      <c r="I764" t="s">
        <v>82</v>
      </c>
      <c r="J764" t="s">
        <v>85</v>
      </c>
    </row>
    <row r="765" spans="1:10" x14ac:dyDescent="0.3">
      <c r="A765" s="2">
        <v>44616</v>
      </c>
      <c r="B765" s="2">
        <v>44620</v>
      </c>
      <c r="C765" t="s">
        <v>3</v>
      </c>
      <c r="D765" s="6">
        <v>95</v>
      </c>
      <c r="E765" s="6">
        <v>60.800000000000004</v>
      </c>
      <c r="F765" s="6">
        <v>9</v>
      </c>
      <c r="G765" s="6">
        <v>855</v>
      </c>
      <c r="H765" t="s">
        <v>29</v>
      </c>
      <c r="I765" t="s">
        <v>83</v>
      </c>
      <c r="J765" t="s">
        <v>86</v>
      </c>
    </row>
    <row r="766" spans="1:10" x14ac:dyDescent="0.3">
      <c r="A766" s="2">
        <v>44617</v>
      </c>
      <c r="B766" s="2">
        <v>44620</v>
      </c>
      <c r="C766" t="s">
        <v>16</v>
      </c>
      <c r="D766" s="6">
        <v>145</v>
      </c>
      <c r="E766" s="6">
        <v>105.85</v>
      </c>
      <c r="F766" s="6">
        <v>9</v>
      </c>
      <c r="G766" s="6">
        <v>1305</v>
      </c>
      <c r="H766" t="s">
        <v>55</v>
      </c>
      <c r="I766" t="s">
        <v>82</v>
      </c>
      <c r="J766" t="s">
        <v>85</v>
      </c>
    </row>
    <row r="767" spans="1:10" x14ac:dyDescent="0.3">
      <c r="A767" s="2">
        <v>44617</v>
      </c>
      <c r="B767" s="2">
        <v>44618</v>
      </c>
      <c r="C767" t="s">
        <v>20</v>
      </c>
      <c r="D767" s="6">
        <v>440</v>
      </c>
      <c r="E767" s="6">
        <v>286</v>
      </c>
      <c r="F767" s="6">
        <v>7</v>
      </c>
      <c r="G767" s="6">
        <v>3080</v>
      </c>
      <c r="H767" t="s">
        <v>45</v>
      </c>
      <c r="I767" t="s">
        <v>82</v>
      </c>
      <c r="J767" t="s">
        <v>86</v>
      </c>
    </row>
    <row r="768" spans="1:10" x14ac:dyDescent="0.3">
      <c r="A768" s="2">
        <v>44618</v>
      </c>
      <c r="B768" s="2">
        <v>44619</v>
      </c>
      <c r="C768" t="s">
        <v>9</v>
      </c>
      <c r="D768" s="6">
        <v>215</v>
      </c>
      <c r="E768" s="6">
        <v>152.65</v>
      </c>
      <c r="F768" s="6">
        <v>8</v>
      </c>
      <c r="G768" s="6">
        <v>1720</v>
      </c>
      <c r="H768" t="s">
        <v>41</v>
      </c>
      <c r="I768" t="s">
        <v>83</v>
      </c>
      <c r="J768" t="s">
        <v>85</v>
      </c>
    </row>
    <row r="769" spans="1:10" x14ac:dyDescent="0.3">
      <c r="A769" s="2">
        <v>44619</v>
      </c>
      <c r="B769" s="2">
        <v>44621</v>
      </c>
      <c r="C769" t="s">
        <v>14</v>
      </c>
      <c r="D769" s="6">
        <v>375</v>
      </c>
      <c r="E769" s="6">
        <v>247.5</v>
      </c>
      <c r="F769" s="6">
        <v>9</v>
      </c>
      <c r="G769" s="6">
        <v>3375</v>
      </c>
      <c r="H769" t="s">
        <v>55</v>
      </c>
      <c r="I769" t="s">
        <v>79</v>
      </c>
      <c r="J769" t="s">
        <v>85</v>
      </c>
    </row>
    <row r="770" spans="1:10" x14ac:dyDescent="0.3">
      <c r="A770" s="2">
        <v>44619</v>
      </c>
      <c r="B770" s="2">
        <v>44624</v>
      </c>
      <c r="C770" t="s">
        <v>5</v>
      </c>
      <c r="D770" s="6">
        <v>290</v>
      </c>
      <c r="E770" s="6">
        <v>185.6</v>
      </c>
      <c r="F770" s="6">
        <v>8</v>
      </c>
      <c r="G770" s="6">
        <v>2320</v>
      </c>
      <c r="H770" t="s">
        <v>55</v>
      </c>
      <c r="I770" t="s">
        <v>79</v>
      </c>
      <c r="J770" t="s">
        <v>85</v>
      </c>
    </row>
    <row r="771" spans="1:10" x14ac:dyDescent="0.3">
      <c r="A771" s="2">
        <v>44619</v>
      </c>
      <c r="B771" s="2">
        <v>44622</v>
      </c>
      <c r="C771" t="s">
        <v>6</v>
      </c>
      <c r="D771" s="6">
        <v>99</v>
      </c>
      <c r="E771" s="6">
        <v>62.37</v>
      </c>
      <c r="F771" s="6">
        <v>2</v>
      </c>
      <c r="G771" s="6">
        <v>198</v>
      </c>
      <c r="H771" t="s">
        <v>69</v>
      </c>
      <c r="I771" t="s">
        <v>83</v>
      </c>
      <c r="J771" t="s">
        <v>86</v>
      </c>
    </row>
    <row r="772" spans="1:10" x14ac:dyDescent="0.3">
      <c r="A772" s="2">
        <v>44620</v>
      </c>
      <c r="B772" s="2">
        <v>44626</v>
      </c>
      <c r="C772" t="s">
        <v>3</v>
      </c>
      <c r="D772" s="6">
        <v>95</v>
      </c>
      <c r="E772" s="6">
        <v>60.800000000000004</v>
      </c>
      <c r="F772" s="6">
        <v>6</v>
      </c>
      <c r="G772" s="6">
        <v>570</v>
      </c>
      <c r="H772" t="s">
        <v>67</v>
      </c>
      <c r="I772" t="s">
        <v>83</v>
      </c>
      <c r="J772" t="s">
        <v>86</v>
      </c>
    </row>
    <row r="773" spans="1:10" x14ac:dyDescent="0.3">
      <c r="A773" s="2">
        <v>44621</v>
      </c>
      <c r="B773" s="2">
        <v>44626</v>
      </c>
      <c r="C773" t="s">
        <v>7</v>
      </c>
      <c r="D773" s="6">
        <v>250</v>
      </c>
      <c r="E773" s="6">
        <v>167.5</v>
      </c>
      <c r="F773" s="6">
        <v>7</v>
      </c>
      <c r="G773" s="6">
        <v>1750</v>
      </c>
      <c r="H773" t="s">
        <v>47</v>
      </c>
      <c r="I773" t="s">
        <v>82</v>
      </c>
      <c r="J773" t="s">
        <v>86</v>
      </c>
    </row>
    <row r="774" spans="1:10" x14ac:dyDescent="0.3">
      <c r="A774" s="2">
        <v>44621</v>
      </c>
      <c r="B774" s="2">
        <v>44623</v>
      </c>
      <c r="C774" t="s">
        <v>20</v>
      </c>
      <c r="D774" s="6">
        <v>440</v>
      </c>
      <c r="E774" s="6">
        <v>286</v>
      </c>
      <c r="F774" s="6">
        <v>1</v>
      </c>
      <c r="G774" s="6">
        <v>440</v>
      </c>
      <c r="H774" t="s">
        <v>53</v>
      </c>
      <c r="I774" t="s">
        <v>83</v>
      </c>
      <c r="J774" t="s">
        <v>85</v>
      </c>
    </row>
    <row r="775" spans="1:10" x14ac:dyDescent="0.3">
      <c r="A775" s="2">
        <v>44622</v>
      </c>
      <c r="B775" s="2">
        <v>44629</v>
      </c>
      <c r="C775" t="s">
        <v>23</v>
      </c>
      <c r="D775" s="6">
        <v>275</v>
      </c>
      <c r="E775" s="6">
        <v>200.75</v>
      </c>
      <c r="F775" s="6">
        <v>9</v>
      </c>
      <c r="G775" s="6">
        <v>2475</v>
      </c>
      <c r="H775" t="s">
        <v>39</v>
      </c>
      <c r="I775" t="s">
        <v>79</v>
      </c>
      <c r="J775" t="s">
        <v>86</v>
      </c>
    </row>
    <row r="776" spans="1:10" x14ac:dyDescent="0.3">
      <c r="A776" s="2">
        <v>44622</v>
      </c>
      <c r="B776" s="2">
        <v>44627</v>
      </c>
      <c r="C776" t="s">
        <v>23</v>
      </c>
      <c r="D776" s="6">
        <v>275</v>
      </c>
      <c r="E776" s="6">
        <v>200.75</v>
      </c>
      <c r="F776" s="6">
        <v>1</v>
      </c>
      <c r="G776" s="6">
        <v>275</v>
      </c>
      <c r="H776" t="s">
        <v>48</v>
      </c>
      <c r="I776" t="s">
        <v>80</v>
      </c>
      <c r="J776" t="s">
        <v>86</v>
      </c>
    </row>
    <row r="777" spans="1:10" x14ac:dyDescent="0.3">
      <c r="A777" s="2">
        <v>44623</v>
      </c>
      <c r="B777" s="2">
        <v>44629</v>
      </c>
      <c r="C777" t="s">
        <v>22</v>
      </c>
      <c r="D777" s="6">
        <v>460</v>
      </c>
      <c r="E777" s="6">
        <v>303.60000000000002</v>
      </c>
      <c r="F777" s="6">
        <v>7</v>
      </c>
      <c r="G777" s="6">
        <v>3220</v>
      </c>
      <c r="H777" t="s">
        <v>63</v>
      </c>
      <c r="I777" t="s">
        <v>80</v>
      </c>
      <c r="J777" t="s">
        <v>86</v>
      </c>
    </row>
    <row r="778" spans="1:10" x14ac:dyDescent="0.3">
      <c r="A778" s="2">
        <v>44624</v>
      </c>
      <c r="B778" s="2">
        <v>44627</v>
      </c>
      <c r="C778" t="s">
        <v>16</v>
      </c>
      <c r="D778" s="6">
        <v>145</v>
      </c>
      <c r="E778" s="6">
        <v>105.85</v>
      </c>
      <c r="F778" s="6">
        <v>5</v>
      </c>
      <c r="G778" s="6">
        <v>725</v>
      </c>
      <c r="H778" t="s">
        <v>39</v>
      </c>
      <c r="I778" t="s">
        <v>81</v>
      </c>
      <c r="J778" t="s">
        <v>86</v>
      </c>
    </row>
    <row r="779" spans="1:10" x14ac:dyDescent="0.3">
      <c r="A779" s="2">
        <v>44624</v>
      </c>
      <c r="B779" s="2">
        <v>44625</v>
      </c>
      <c r="C779" t="s">
        <v>19</v>
      </c>
      <c r="D779" s="6">
        <v>220</v>
      </c>
      <c r="E779" s="6">
        <v>154</v>
      </c>
      <c r="F779" s="6">
        <v>3</v>
      </c>
      <c r="G779" s="6">
        <v>660</v>
      </c>
      <c r="H779" t="s">
        <v>68</v>
      </c>
      <c r="I779" t="s">
        <v>81</v>
      </c>
      <c r="J779" t="s">
        <v>85</v>
      </c>
    </row>
    <row r="780" spans="1:10" x14ac:dyDescent="0.3">
      <c r="A780" s="2">
        <v>44625</v>
      </c>
      <c r="B780" s="2">
        <v>44626</v>
      </c>
      <c r="C780" t="s">
        <v>5</v>
      </c>
      <c r="D780" s="6">
        <v>290</v>
      </c>
      <c r="E780" s="6">
        <v>185.6</v>
      </c>
      <c r="F780" s="6">
        <v>4</v>
      </c>
      <c r="G780" s="6">
        <v>1160</v>
      </c>
      <c r="H780" t="s">
        <v>42</v>
      </c>
      <c r="I780" t="s">
        <v>83</v>
      </c>
      <c r="J780" t="s">
        <v>85</v>
      </c>
    </row>
    <row r="781" spans="1:10" x14ac:dyDescent="0.3">
      <c r="A781" s="2">
        <v>44626</v>
      </c>
      <c r="B781" s="2">
        <v>44632</v>
      </c>
      <c r="C781" t="s">
        <v>11</v>
      </c>
      <c r="D781" s="6">
        <v>490</v>
      </c>
      <c r="E781" s="6">
        <v>298.89999999999998</v>
      </c>
      <c r="F781" s="6">
        <v>4</v>
      </c>
      <c r="G781" s="6">
        <v>1960</v>
      </c>
      <c r="H781" t="s">
        <v>54</v>
      </c>
      <c r="I781" t="s">
        <v>83</v>
      </c>
      <c r="J781" t="s">
        <v>86</v>
      </c>
    </row>
    <row r="782" spans="1:10" x14ac:dyDescent="0.3">
      <c r="A782" s="2">
        <v>44628</v>
      </c>
      <c r="B782" s="2">
        <v>44633</v>
      </c>
      <c r="C782" t="s">
        <v>17</v>
      </c>
      <c r="D782" s="6">
        <v>195</v>
      </c>
      <c r="E782" s="6">
        <v>138.44999999999999</v>
      </c>
      <c r="F782" s="6">
        <v>7</v>
      </c>
      <c r="G782" s="6">
        <v>1365</v>
      </c>
      <c r="H782" t="s">
        <v>40</v>
      </c>
      <c r="I782" t="s">
        <v>81</v>
      </c>
      <c r="J782" t="s">
        <v>86</v>
      </c>
    </row>
    <row r="783" spans="1:10" x14ac:dyDescent="0.3">
      <c r="A783" s="2">
        <v>44632</v>
      </c>
      <c r="B783" s="2">
        <v>44634</v>
      </c>
      <c r="C783" t="s">
        <v>20</v>
      </c>
      <c r="D783" s="6">
        <v>440</v>
      </c>
      <c r="E783" s="6">
        <v>286</v>
      </c>
      <c r="F783" s="6">
        <v>5</v>
      </c>
      <c r="G783" s="6">
        <v>2200</v>
      </c>
      <c r="H783" t="s">
        <v>39</v>
      </c>
      <c r="I783" t="s">
        <v>83</v>
      </c>
      <c r="J783" t="s">
        <v>85</v>
      </c>
    </row>
    <row r="784" spans="1:10" x14ac:dyDescent="0.3">
      <c r="A784" s="2">
        <v>44632</v>
      </c>
      <c r="B784" s="2">
        <v>44637</v>
      </c>
      <c r="C784" t="s">
        <v>22</v>
      </c>
      <c r="D784" s="6">
        <v>460</v>
      </c>
      <c r="E784" s="6">
        <v>303.60000000000002</v>
      </c>
      <c r="F784" s="6">
        <v>8</v>
      </c>
      <c r="G784" s="6">
        <v>3680</v>
      </c>
      <c r="H784" t="s">
        <v>71</v>
      </c>
      <c r="I784" t="s">
        <v>81</v>
      </c>
      <c r="J784" t="s">
        <v>85</v>
      </c>
    </row>
    <row r="785" spans="1:10" x14ac:dyDescent="0.3">
      <c r="A785" s="2">
        <v>44633</v>
      </c>
      <c r="B785" s="2">
        <v>44640</v>
      </c>
      <c r="C785" t="s">
        <v>16</v>
      </c>
      <c r="D785" s="6">
        <v>145</v>
      </c>
      <c r="E785" s="6">
        <v>105.85</v>
      </c>
      <c r="F785" s="6">
        <v>6</v>
      </c>
      <c r="G785" s="6">
        <v>870</v>
      </c>
      <c r="H785" t="s">
        <v>67</v>
      </c>
      <c r="I785" t="s">
        <v>82</v>
      </c>
      <c r="J785" t="s">
        <v>85</v>
      </c>
    </row>
    <row r="786" spans="1:10" x14ac:dyDescent="0.3">
      <c r="A786" s="2">
        <v>44634</v>
      </c>
      <c r="B786" s="2">
        <v>44638</v>
      </c>
      <c r="C786" t="s">
        <v>2</v>
      </c>
      <c r="D786" s="6">
        <v>250</v>
      </c>
      <c r="E786" s="6">
        <v>187.5</v>
      </c>
      <c r="F786" s="6">
        <v>8</v>
      </c>
      <c r="G786" s="6">
        <v>2000</v>
      </c>
      <c r="H786" t="s">
        <v>66</v>
      </c>
      <c r="I786" t="s">
        <v>80</v>
      </c>
      <c r="J786" t="s">
        <v>85</v>
      </c>
    </row>
    <row r="787" spans="1:10" x14ac:dyDescent="0.3">
      <c r="A787" s="2">
        <v>44634</v>
      </c>
      <c r="B787" s="2">
        <v>44639</v>
      </c>
      <c r="C787" t="s">
        <v>10</v>
      </c>
      <c r="D787" s="6">
        <v>390</v>
      </c>
      <c r="E787" s="6">
        <v>253.5</v>
      </c>
      <c r="F787" s="6">
        <v>5</v>
      </c>
      <c r="G787" s="6">
        <v>1950</v>
      </c>
      <c r="H787" t="s">
        <v>71</v>
      </c>
      <c r="I787" t="s">
        <v>80</v>
      </c>
      <c r="J787" t="s">
        <v>86</v>
      </c>
    </row>
    <row r="788" spans="1:10" x14ac:dyDescent="0.3">
      <c r="A788" s="2">
        <v>44635</v>
      </c>
      <c r="B788" s="2">
        <v>44641</v>
      </c>
      <c r="C788" t="s">
        <v>2</v>
      </c>
      <c r="D788" s="6">
        <v>250</v>
      </c>
      <c r="E788" s="6">
        <v>187.5</v>
      </c>
      <c r="F788" s="6">
        <v>4</v>
      </c>
      <c r="G788" s="6">
        <v>1000</v>
      </c>
      <c r="H788" t="s">
        <v>60</v>
      </c>
      <c r="I788" t="s">
        <v>79</v>
      </c>
      <c r="J788" t="s">
        <v>85</v>
      </c>
    </row>
    <row r="789" spans="1:10" x14ac:dyDescent="0.3">
      <c r="A789" s="2">
        <v>44635</v>
      </c>
      <c r="B789" s="2">
        <v>44641</v>
      </c>
      <c r="C789" t="s">
        <v>3</v>
      </c>
      <c r="D789" s="6">
        <v>95</v>
      </c>
      <c r="E789" s="6">
        <v>60.800000000000004</v>
      </c>
      <c r="F789" s="6">
        <v>5</v>
      </c>
      <c r="G789" s="6">
        <v>475</v>
      </c>
      <c r="H789" t="s">
        <v>42</v>
      </c>
      <c r="I789" t="s">
        <v>79</v>
      </c>
      <c r="J789" t="s">
        <v>86</v>
      </c>
    </row>
    <row r="790" spans="1:10" x14ac:dyDescent="0.3">
      <c r="A790" s="2">
        <v>44636</v>
      </c>
      <c r="B790" s="2">
        <v>44643</v>
      </c>
      <c r="C790" t="s">
        <v>21</v>
      </c>
      <c r="D790" s="6">
        <v>355</v>
      </c>
      <c r="E790" s="6">
        <v>252.04999999999998</v>
      </c>
      <c r="F790" s="6">
        <v>3</v>
      </c>
      <c r="G790" s="6">
        <v>1065</v>
      </c>
      <c r="H790" t="s">
        <v>51</v>
      </c>
      <c r="I790" t="s">
        <v>80</v>
      </c>
      <c r="J790" t="s">
        <v>85</v>
      </c>
    </row>
    <row r="791" spans="1:10" x14ac:dyDescent="0.3">
      <c r="A791" s="2">
        <v>44638</v>
      </c>
      <c r="B791" s="2">
        <v>44643</v>
      </c>
      <c r="C791" t="s">
        <v>2</v>
      </c>
      <c r="D791" s="6">
        <v>250</v>
      </c>
      <c r="E791" s="6">
        <v>187.5</v>
      </c>
      <c r="F791" s="6">
        <v>9</v>
      </c>
      <c r="G791" s="6">
        <v>2250</v>
      </c>
      <c r="H791" t="s">
        <v>74</v>
      </c>
      <c r="I791" t="s">
        <v>82</v>
      </c>
      <c r="J791" t="s">
        <v>85</v>
      </c>
    </row>
    <row r="792" spans="1:10" x14ac:dyDescent="0.3">
      <c r="A792" s="2">
        <v>44638</v>
      </c>
      <c r="B792" s="2">
        <v>44642</v>
      </c>
      <c r="C792" t="s">
        <v>10</v>
      </c>
      <c r="D792" s="6">
        <v>390</v>
      </c>
      <c r="E792" s="6">
        <v>253.5</v>
      </c>
      <c r="F792" s="6">
        <v>5</v>
      </c>
      <c r="G792" s="6">
        <v>1950</v>
      </c>
      <c r="H792" t="s">
        <v>45</v>
      </c>
      <c r="I792" t="s">
        <v>79</v>
      </c>
      <c r="J792" t="s">
        <v>86</v>
      </c>
    </row>
    <row r="793" spans="1:10" x14ac:dyDescent="0.3">
      <c r="A793" s="2">
        <v>44640</v>
      </c>
      <c r="B793" s="2">
        <v>44646</v>
      </c>
      <c r="C793" t="s">
        <v>11</v>
      </c>
      <c r="D793" s="6">
        <v>490</v>
      </c>
      <c r="E793" s="6">
        <v>298.89999999999998</v>
      </c>
      <c r="F793" s="6">
        <v>3</v>
      </c>
      <c r="G793" s="6">
        <v>1470</v>
      </c>
      <c r="H793" t="s">
        <v>72</v>
      </c>
      <c r="I793" t="s">
        <v>81</v>
      </c>
      <c r="J793" t="s">
        <v>86</v>
      </c>
    </row>
    <row r="794" spans="1:10" x14ac:dyDescent="0.3">
      <c r="A794" s="2">
        <v>44641</v>
      </c>
      <c r="B794" s="2">
        <v>44647</v>
      </c>
      <c r="C794" t="s">
        <v>4</v>
      </c>
      <c r="D794" s="6">
        <v>390</v>
      </c>
      <c r="E794" s="6">
        <v>288.60000000000002</v>
      </c>
      <c r="F794" s="6">
        <v>6</v>
      </c>
      <c r="G794" s="6">
        <v>2340</v>
      </c>
      <c r="H794" t="s">
        <v>32</v>
      </c>
      <c r="I794" t="s">
        <v>80</v>
      </c>
      <c r="J794" t="s">
        <v>86</v>
      </c>
    </row>
    <row r="795" spans="1:10" x14ac:dyDescent="0.3">
      <c r="A795" s="2">
        <v>44643</v>
      </c>
      <c r="B795" s="2">
        <v>44647</v>
      </c>
      <c r="C795" t="s">
        <v>20</v>
      </c>
      <c r="D795" s="6">
        <v>440</v>
      </c>
      <c r="E795" s="6">
        <v>286</v>
      </c>
      <c r="F795" s="6">
        <v>4</v>
      </c>
      <c r="G795" s="6">
        <v>1760</v>
      </c>
      <c r="H795" t="s">
        <v>43</v>
      </c>
      <c r="I795" t="s">
        <v>81</v>
      </c>
      <c r="J795" t="s">
        <v>85</v>
      </c>
    </row>
    <row r="796" spans="1:10" x14ac:dyDescent="0.3">
      <c r="A796" s="2">
        <v>44644</v>
      </c>
      <c r="B796" s="2">
        <v>44651</v>
      </c>
      <c r="C796" t="s">
        <v>21</v>
      </c>
      <c r="D796" s="6">
        <v>355</v>
      </c>
      <c r="E796" s="6">
        <v>252.04999999999998</v>
      </c>
      <c r="F796" s="6">
        <v>3</v>
      </c>
      <c r="G796" s="6">
        <v>1065</v>
      </c>
      <c r="H796" t="s">
        <v>44</v>
      </c>
      <c r="I796" t="s">
        <v>83</v>
      </c>
      <c r="J796" t="s">
        <v>85</v>
      </c>
    </row>
    <row r="797" spans="1:10" x14ac:dyDescent="0.3">
      <c r="A797" s="2">
        <v>44645</v>
      </c>
      <c r="B797" s="2">
        <v>44651</v>
      </c>
      <c r="C797" t="s">
        <v>9</v>
      </c>
      <c r="D797" s="6">
        <v>215</v>
      </c>
      <c r="E797" s="6">
        <v>152.65</v>
      </c>
      <c r="F797" s="6">
        <v>7</v>
      </c>
      <c r="G797" s="6">
        <v>1505</v>
      </c>
      <c r="H797" t="s">
        <v>33</v>
      </c>
      <c r="I797" t="s">
        <v>82</v>
      </c>
      <c r="J797" t="s">
        <v>85</v>
      </c>
    </row>
    <row r="798" spans="1:10" x14ac:dyDescent="0.3">
      <c r="A798" s="2">
        <v>44645</v>
      </c>
      <c r="B798" s="2">
        <v>44651</v>
      </c>
      <c r="C798" t="s">
        <v>6</v>
      </c>
      <c r="D798" s="6">
        <v>99</v>
      </c>
      <c r="E798" s="6">
        <v>62.37</v>
      </c>
      <c r="F798" s="6">
        <v>7</v>
      </c>
      <c r="G798" s="6">
        <v>693</v>
      </c>
      <c r="H798" t="s">
        <v>75</v>
      </c>
      <c r="I798" t="s">
        <v>79</v>
      </c>
      <c r="J798" t="s">
        <v>86</v>
      </c>
    </row>
    <row r="799" spans="1:10" x14ac:dyDescent="0.3">
      <c r="A799" s="2">
        <v>44646</v>
      </c>
      <c r="B799" s="2">
        <v>44653</v>
      </c>
      <c r="C799" t="s">
        <v>12</v>
      </c>
      <c r="D799" s="6">
        <v>320</v>
      </c>
      <c r="E799" s="6">
        <v>233.6</v>
      </c>
      <c r="F799" s="6">
        <v>7</v>
      </c>
      <c r="G799" s="6">
        <v>2240</v>
      </c>
      <c r="H799" t="s">
        <v>30</v>
      </c>
      <c r="I799" t="s">
        <v>79</v>
      </c>
      <c r="J799" t="s">
        <v>86</v>
      </c>
    </row>
    <row r="800" spans="1:10" x14ac:dyDescent="0.3">
      <c r="A800" s="2">
        <v>44647</v>
      </c>
      <c r="B800" s="2">
        <v>44653</v>
      </c>
      <c r="C800" t="s">
        <v>20</v>
      </c>
      <c r="D800" s="6">
        <v>440</v>
      </c>
      <c r="E800" s="6">
        <v>286</v>
      </c>
      <c r="F800" s="6">
        <v>6</v>
      </c>
      <c r="G800" s="6">
        <v>2640</v>
      </c>
      <c r="H800" t="s">
        <v>71</v>
      </c>
      <c r="I800" t="s">
        <v>81</v>
      </c>
      <c r="J800" t="s">
        <v>86</v>
      </c>
    </row>
    <row r="801" spans="1:10" x14ac:dyDescent="0.3">
      <c r="A801" s="2">
        <v>44647</v>
      </c>
      <c r="B801" s="2">
        <v>44652</v>
      </c>
      <c r="C801" t="s">
        <v>7</v>
      </c>
      <c r="D801" s="6">
        <v>250</v>
      </c>
      <c r="E801" s="6">
        <v>167.5</v>
      </c>
      <c r="F801" s="6">
        <v>8</v>
      </c>
      <c r="G801" s="6">
        <v>2000</v>
      </c>
      <c r="H801" t="s">
        <v>32</v>
      </c>
      <c r="I801" t="s">
        <v>82</v>
      </c>
      <c r="J801" t="s">
        <v>85</v>
      </c>
    </row>
    <row r="802" spans="1:10" x14ac:dyDescent="0.3">
      <c r="A802" s="2">
        <v>44647</v>
      </c>
      <c r="B802" s="2">
        <v>44654</v>
      </c>
      <c r="C802" t="s">
        <v>21</v>
      </c>
      <c r="D802" s="6">
        <v>355</v>
      </c>
      <c r="E802" s="6">
        <v>252.04999999999998</v>
      </c>
      <c r="F802" s="6">
        <v>8</v>
      </c>
      <c r="G802" s="6">
        <v>2840</v>
      </c>
      <c r="H802" t="s">
        <v>61</v>
      </c>
      <c r="I802" t="s">
        <v>80</v>
      </c>
      <c r="J802" t="s">
        <v>86</v>
      </c>
    </row>
    <row r="803" spans="1:10" x14ac:dyDescent="0.3">
      <c r="A803" s="2">
        <v>44648</v>
      </c>
      <c r="B803" s="2">
        <v>44652</v>
      </c>
      <c r="C803" t="s">
        <v>17</v>
      </c>
      <c r="D803" s="6">
        <v>195</v>
      </c>
      <c r="E803" s="6">
        <v>138.44999999999999</v>
      </c>
      <c r="F803" s="6">
        <v>6</v>
      </c>
      <c r="G803" s="6">
        <v>1170</v>
      </c>
      <c r="H803" t="s">
        <v>57</v>
      </c>
      <c r="I803" t="s">
        <v>82</v>
      </c>
      <c r="J803" t="s">
        <v>85</v>
      </c>
    </row>
    <row r="804" spans="1:10" x14ac:dyDescent="0.3">
      <c r="A804" s="2">
        <v>44651</v>
      </c>
      <c r="B804" s="2">
        <v>44652</v>
      </c>
      <c r="C804" t="s">
        <v>18</v>
      </c>
      <c r="D804" s="6">
        <v>80</v>
      </c>
      <c r="E804" s="6">
        <v>48.8</v>
      </c>
      <c r="F804" s="6">
        <v>6</v>
      </c>
      <c r="G804" s="6">
        <v>480</v>
      </c>
      <c r="H804" t="s">
        <v>67</v>
      </c>
      <c r="I804" t="s">
        <v>81</v>
      </c>
      <c r="J804" t="s">
        <v>86</v>
      </c>
    </row>
    <row r="805" spans="1:10" x14ac:dyDescent="0.3">
      <c r="A805" s="2">
        <v>44651</v>
      </c>
      <c r="B805" s="2">
        <v>44655</v>
      </c>
      <c r="C805" t="s">
        <v>3</v>
      </c>
      <c r="D805" s="6">
        <v>95</v>
      </c>
      <c r="E805" s="6">
        <v>60.800000000000004</v>
      </c>
      <c r="F805" s="6">
        <v>9</v>
      </c>
      <c r="G805" s="6">
        <v>855</v>
      </c>
      <c r="H805" t="s">
        <v>49</v>
      </c>
      <c r="I805" t="s">
        <v>83</v>
      </c>
      <c r="J805" t="s">
        <v>86</v>
      </c>
    </row>
    <row r="806" spans="1:10" x14ac:dyDescent="0.3">
      <c r="A806" s="2">
        <v>44652</v>
      </c>
      <c r="B806" s="2">
        <v>44657</v>
      </c>
      <c r="C806" t="s">
        <v>10</v>
      </c>
      <c r="D806" s="6">
        <v>390</v>
      </c>
      <c r="E806" s="6">
        <v>253.5</v>
      </c>
      <c r="F806" s="6">
        <v>8</v>
      </c>
      <c r="G806" s="6">
        <v>3120</v>
      </c>
      <c r="H806" t="s">
        <v>43</v>
      </c>
      <c r="I806" t="s">
        <v>80</v>
      </c>
      <c r="J806" t="s">
        <v>86</v>
      </c>
    </row>
    <row r="807" spans="1:10" x14ac:dyDescent="0.3">
      <c r="A807" s="2">
        <v>44652</v>
      </c>
      <c r="B807" s="2">
        <v>44655</v>
      </c>
      <c r="C807" t="s">
        <v>22</v>
      </c>
      <c r="D807" s="6">
        <v>460</v>
      </c>
      <c r="E807" s="6">
        <v>303.60000000000002</v>
      </c>
      <c r="F807" s="6">
        <v>4</v>
      </c>
      <c r="G807" s="6">
        <v>1840</v>
      </c>
      <c r="H807" t="s">
        <v>62</v>
      </c>
      <c r="I807" t="s">
        <v>81</v>
      </c>
      <c r="J807" t="s">
        <v>85</v>
      </c>
    </row>
    <row r="808" spans="1:10" x14ac:dyDescent="0.3">
      <c r="A808" s="2">
        <v>44652</v>
      </c>
      <c r="B808" s="2">
        <v>44655</v>
      </c>
      <c r="C808" t="s">
        <v>4</v>
      </c>
      <c r="D808" s="6">
        <v>390</v>
      </c>
      <c r="E808" s="6">
        <v>288.60000000000002</v>
      </c>
      <c r="F808" s="6">
        <v>1</v>
      </c>
      <c r="G808" s="6">
        <v>390</v>
      </c>
      <c r="H808" t="s">
        <v>32</v>
      </c>
      <c r="I808" t="s">
        <v>80</v>
      </c>
      <c r="J808" t="s">
        <v>86</v>
      </c>
    </row>
    <row r="809" spans="1:10" x14ac:dyDescent="0.3">
      <c r="A809" s="2">
        <v>44653</v>
      </c>
      <c r="B809" s="2">
        <v>44656</v>
      </c>
      <c r="C809" t="s">
        <v>14</v>
      </c>
      <c r="D809" s="6">
        <v>375</v>
      </c>
      <c r="E809" s="6">
        <v>247.5</v>
      </c>
      <c r="F809" s="6">
        <v>4</v>
      </c>
      <c r="G809" s="6">
        <v>1500</v>
      </c>
      <c r="H809" t="s">
        <v>74</v>
      </c>
      <c r="I809" t="s">
        <v>80</v>
      </c>
      <c r="J809" t="s">
        <v>86</v>
      </c>
    </row>
    <row r="810" spans="1:10" x14ac:dyDescent="0.3">
      <c r="A810" s="2">
        <v>44653</v>
      </c>
      <c r="B810" s="2">
        <v>44656</v>
      </c>
      <c r="C810" t="s">
        <v>20</v>
      </c>
      <c r="D810" s="6">
        <v>440</v>
      </c>
      <c r="E810" s="6">
        <v>286</v>
      </c>
      <c r="F810" s="6">
        <v>6</v>
      </c>
      <c r="G810" s="6">
        <v>2640</v>
      </c>
      <c r="H810" t="s">
        <v>53</v>
      </c>
      <c r="I810" t="s">
        <v>79</v>
      </c>
      <c r="J810" t="s">
        <v>86</v>
      </c>
    </row>
    <row r="811" spans="1:10" x14ac:dyDescent="0.3">
      <c r="A811" s="2">
        <v>44657</v>
      </c>
      <c r="B811" s="2">
        <v>44659</v>
      </c>
      <c r="C811" t="s">
        <v>10</v>
      </c>
      <c r="D811" s="6">
        <v>390</v>
      </c>
      <c r="E811" s="6">
        <v>253.5</v>
      </c>
      <c r="F811" s="6">
        <v>9</v>
      </c>
      <c r="G811" s="6">
        <v>3510</v>
      </c>
      <c r="H811" t="s">
        <v>74</v>
      </c>
      <c r="I811" t="s">
        <v>83</v>
      </c>
      <c r="J811" t="s">
        <v>86</v>
      </c>
    </row>
    <row r="812" spans="1:10" x14ac:dyDescent="0.3">
      <c r="A812" s="2">
        <v>44657</v>
      </c>
      <c r="B812" s="2">
        <v>44664</v>
      </c>
      <c r="C812" t="s">
        <v>20</v>
      </c>
      <c r="D812" s="6">
        <v>440</v>
      </c>
      <c r="E812" s="6">
        <v>286</v>
      </c>
      <c r="F812" s="6">
        <v>6</v>
      </c>
      <c r="G812" s="6">
        <v>2640</v>
      </c>
      <c r="H812" t="s">
        <v>34</v>
      </c>
      <c r="I812" t="s">
        <v>79</v>
      </c>
      <c r="J812" t="s">
        <v>85</v>
      </c>
    </row>
    <row r="813" spans="1:10" x14ac:dyDescent="0.3">
      <c r="A813" s="2">
        <v>44658</v>
      </c>
      <c r="B813" s="2">
        <v>44662</v>
      </c>
      <c r="C813" t="s">
        <v>6</v>
      </c>
      <c r="D813" s="6">
        <v>99</v>
      </c>
      <c r="E813" s="6">
        <v>62.37</v>
      </c>
      <c r="F813" s="6">
        <v>8</v>
      </c>
      <c r="G813" s="6">
        <v>792</v>
      </c>
      <c r="H813" t="s">
        <v>55</v>
      </c>
      <c r="I813" t="s">
        <v>80</v>
      </c>
      <c r="J813" t="s">
        <v>85</v>
      </c>
    </row>
    <row r="814" spans="1:10" x14ac:dyDescent="0.3">
      <c r="A814" s="2">
        <v>44658</v>
      </c>
      <c r="B814" s="2">
        <v>44659</v>
      </c>
      <c r="C814" t="s">
        <v>2</v>
      </c>
      <c r="D814" s="6">
        <v>250</v>
      </c>
      <c r="E814" s="6">
        <v>187.5</v>
      </c>
      <c r="F814" s="6">
        <v>7</v>
      </c>
      <c r="G814" s="6">
        <v>1750</v>
      </c>
      <c r="H814" t="s">
        <v>44</v>
      </c>
      <c r="I814" t="s">
        <v>79</v>
      </c>
      <c r="J814" t="s">
        <v>85</v>
      </c>
    </row>
    <row r="815" spans="1:10" x14ac:dyDescent="0.3">
      <c r="A815" s="2">
        <v>44662</v>
      </c>
      <c r="B815" s="2">
        <v>44665</v>
      </c>
      <c r="C815" t="s">
        <v>10</v>
      </c>
      <c r="D815" s="6">
        <v>390</v>
      </c>
      <c r="E815" s="6">
        <v>253.5</v>
      </c>
      <c r="F815" s="6">
        <v>3</v>
      </c>
      <c r="G815" s="6">
        <v>1170</v>
      </c>
      <c r="H815" t="s">
        <v>64</v>
      </c>
      <c r="I815" t="s">
        <v>80</v>
      </c>
      <c r="J815" t="s">
        <v>85</v>
      </c>
    </row>
    <row r="816" spans="1:10" x14ac:dyDescent="0.3">
      <c r="A816" s="2">
        <v>44662</v>
      </c>
      <c r="B816" s="2">
        <v>44666</v>
      </c>
      <c r="C816" t="s">
        <v>12</v>
      </c>
      <c r="D816" s="6">
        <v>320</v>
      </c>
      <c r="E816" s="6">
        <v>233.6</v>
      </c>
      <c r="F816" s="6">
        <v>9</v>
      </c>
      <c r="G816" s="6">
        <v>2880</v>
      </c>
      <c r="H816" t="s">
        <v>71</v>
      </c>
      <c r="I816" t="s">
        <v>83</v>
      </c>
      <c r="J816" t="s">
        <v>86</v>
      </c>
    </row>
    <row r="817" spans="1:10" x14ac:dyDescent="0.3">
      <c r="A817" s="2">
        <v>44664</v>
      </c>
      <c r="B817" s="2">
        <v>44666</v>
      </c>
      <c r="C817" t="s">
        <v>17</v>
      </c>
      <c r="D817" s="6">
        <v>195</v>
      </c>
      <c r="E817" s="6">
        <v>138.44999999999999</v>
      </c>
      <c r="F817" s="6">
        <v>4</v>
      </c>
      <c r="G817" s="6">
        <v>780</v>
      </c>
      <c r="H817" t="s">
        <v>36</v>
      </c>
      <c r="I817" t="s">
        <v>82</v>
      </c>
      <c r="J817" t="s">
        <v>85</v>
      </c>
    </row>
    <row r="818" spans="1:10" x14ac:dyDescent="0.3">
      <c r="A818" s="2">
        <v>44664</v>
      </c>
      <c r="B818" s="2">
        <v>44671</v>
      </c>
      <c r="C818" t="s">
        <v>17</v>
      </c>
      <c r="D818" s="6">
        <v>195</v>
      </c>
      <c r="E818" s="6">
        <v>138.44999999999999</v>
      </c>
      <c r="F818" s="6">
        <v>9</v>
      </c>
      <c r="G818" s="6">
        <v>1755</v>
      </c>
      <c r="H818" t="s">
        <v>37</v>
      </c>
      <c r="I818" t="s">
        <v>81</v>
      </c>
      <c r="J818" t="s">
        <v>85</v>
      </c>
    </row>
    <row r="819" spans="1:10" x14ac:dyDescent="0.3">
      <c r="A819" s="2">
        <v>44667</v>
      </c>
      <c r="B819" s="2">
        <v>44668</v>
      </c>
      <c r="C819" t="s">
        <v>6</v>
      </c>
      <c r="D819" s="6">
        <v>99</v>
      </c>
      <c r="E819" s="6">
        <v>62.37</v>
      </c>
      <c r="F819" s="6">
        <v>7</v>
      </c>
      <c r="G819" s="6">
        <v>693</v>
      </c>
      <c r="H819" t="s">
        <v>47</v>
      </c>
      <c r="I819" t="s">
        <v>83</v>
      </c>
      <c r="J819" t="s">
        <v>86</v>
      </c>
    </row>
    <row r="820" spans="1:10" x14ac:dyDescent="0.3">
      <c r="A820" s="2">
        <v>44668</v>
      </c>
      <c r="B820" s="2">
        <v>44675</v>
      </c>
      <c r="C820" t="s">
        <v>18</v>
      </c>
      <c r="D820" s="6">
        <v>80</v>
      </c>
      <c r="E820" s="6">
        <v>48.8</v>
      </c>
      <c r="F820" s="6">
        <v>9</v>
      </c>
      <c r="G820" s="6">
        <v>720</v>
      </c>
      <c r="H820" t="s">
        <v>74</v>
      </c>
      <c r="I820" t="s">
        <v>79</v>
      </c>
      <c r="J820" t="s">
        <v>85</v>
      </c>
    </row>
    <row r="821" spans="1:10" x14ac:dyDescent="0.3">
      <c r="A821" s="2">
        <v>44668</v>
      </c>
      <c r="B821" s="2">
        <v>44673</v>
      </c>
      <c r="C821" t="s">
        <v>5</v>
      </c>
      <c r="D821" s="6">
        <v>290</v>
      </c>
      <c r="E821" s="6">
        <v>185.6</v>
      </c>
      <c r="F821" s="6">
        <v>1</v>
      </c>
      <c r="G821" s="6">
        <v>290</v>
      </c>
      <c r="H821" t="s">
        <v>41</v>
      </c>
      <c r="I821" t="s">
        <v>83</v>
      </c>
      <c r="J821" t="s">
        <v>86</v>
      </c>
    </row>
    <row r="822" spans="1:10" x14ac:dyDescent="0.3">
      <c r="A822" s="2">
        <v>44669</v>
      </c>
      <c r="B822" s="2">
        <v>44675</v>
      </c>
      <c r="C822" t="s">
        <v>3</v>
      </c>
      <c r="D822" s="6">
        <v>95</v>
      </c>
      <c r="E822" s="6">
        <v>60.800000000000004</v>
      </c>
      <c r="F822" s="6">
        <v>3</v>
      </c>
      <c r="G822" s="6">
        <v>285</v>
      </c>
      <c r="H822" t="s">
        <v>74</v>
      </c>
      <c r="I822" t="s">
        <v>81</v>
      </c>
      <c r="J822" t="s">
        <v>85</v>
      </c>
    </row>
    <row r="823" spans="1:10" x14ac:dyDescent="0.3">
      <c r="A823" s="2">
        <v>44669</v>
      </c>
      <c r="B823" s="2">
        <v>44673</v>
      </c>
      <c r="C823" t="s">
        <v>15</v>
      </c>
      <c r="D823" s="6">
        <v>110</v>
      </c>
      <c r="E823" s="6">
        <v>78.099999999999994</v>
      </c>
      <c r="F823" s="6">
        <v>8</v>
      </c>
      <c r="G823" s="6">
        <v>880</v>
      </c>
      <c r="H823" t="s">
        <v>52</v>
      </c>
      <c r="I823" t="s">
        <v>82</v>
      </c>
      <c r="J823" t="s">
        <v>86</v>
      </c>
    </row>
    <row r="824" spans="1:10" x14ac:dyDescent="0.3">
      <c r="A824" s="2">
        <v>44675</v>
      </c>
      <c r="B824" s="2">
        <v>44676</v>
      </c>
      <c r="C824" t="s">
        <v>7</v>
      </c>
      <c r="D824" s="6">
        <v>250</v>
      </c>
      <c r="E824" s="6">
        <v>167.5</v>
      </c>
      <c r="F824" s="6">
        <v>1</v>
      </c>
      <c r="G824" s="6">
        <v>250</v>
      </c>
      <c r="H824" t="s">
        <v>29</v>
      </c>
      <c r="I824" t="s">
        <v>82</v>
      </c>
      <c r="J824" t="s">
        <v>86</v>
      </c>
    </row>
    <row r="825" spans="1:10" x14ac:dyDescent="0.3">
      <c r="A825" s="2">
        <v>44676</v>
      </c>
      <c r="B825" s="2">
        <v>44677</v>
      </c>
      <c r="C825" t="s">
        <v>21</v>
      </c>
      <c r="D825" s="6">
        <v>355</v>
      </c>
      <c r="E825" s="6">
        <v>252.04999999999998</v>
      </c>
      <c r="F825" s="6">
        <v>9</v>
      </c>
      <c r="G825" s="6">
        <v>3195</v>
      </c>
      <c r="H825" t="s">
        <v>54</v>
      </c>
      <c r="I825" t="s">
        <v>82</v>
      </c>
      <c r="J825" t="s">
        <v>85</v>
      </c>
    </row>
    <row r="826" spans="1:10" x14ac:dyDescent="0.3">
      <c r="A826" s="2">
        <v>44678</v>
      </c>
      <c r="B826" s="2">
        <v>44683</v>
      </c>
      <c r="C826" t="s">
        <v>14</v>
      </c>
      <c r="D826" s="6">
        <v>375</v>
      </c>
      <c r="E826" s="6">
        <v>247.5</v>
      </c>
      <c r="F826" s="6">
        <v>1</v>
      </c>
      <c r="G826" s="6">
        <v>375</v>
      </c>
      <c r="H826" t="s">
        <v>68</v>
      </c>
      <c r="I826" t="s">
        <v>80</v>
      </c>
      <c r="J826" t="s">
        <v>85</v>
      </c>
    </row>
    <row r="827" spans="1:10" x14ac:dyDescent="0.3">
      <c r="A827" s="2">
        <v>44678</v>
      </c>
      <c r="B827" s="2">
        <v>44681</v>
      </c>
      <c r="C827" t="s">
        <v>9</v>
      </c>
      <c r="D827" s="6">
        <v>215</v>
      </c>
      <c r="E827" s="6">
        <v>152.65</v>
      </c>
      <c r="F827" s="6">
        <v>4</v>
      </c>
      <c r="G827" s="6">
        <v>860</v>
      </c>
      <c r="H827" t="s">
        <v>33</v>
      </c>
      <c r="I827" t="s">
        <v>83</v>
      </c>
      <c r="J827" t="s">
        <v>86</v>
      </c>
    </row>
    <row r="828" spans="1:10" x14ac:dyDescent="0.3">
      <c r="A828" s="2">
        <v>44678</v>
      </c>
      <c r="B828" s="2">
        <v>44684</v>
      </c>
      <c r="C828" t="s">
        <v>6</v>
      </c>
      <c r="D828" s="6">
        <v>99</v>
      </c>
      <c r="E828" s="6">
        <v>62.37</v>
      </c>
      <c r="F828" s="6">
        <v>7</v>
      </c>
      <c r="G828" s="6">
        <v>693</v>
      </c>
      <c r="H828" t="s">
        <v>59</v>
      </c>
      <c r="I828" t="s">
        <v>83</v>
      </c>
      <c r="J828" t="s">
        <v>86</v>
      </c>
    </row>
    <row r="829" spans="1:10" x14ac:dyDescent="0.3">
      <c r="A829" s="2">
        <v>44681</v>
      </c>
      <c r="B829" s="2">
        <v>44682</v>
      </c>
      <c r="C829" t="s">
        <v>6</v>
      </c>
      <c r="D829" s="6">
        <v>99</v>
      </c>
      <c r="E829" s="6">
        <v>62.37</v>
      </c>
      <c r="F829" s="6">
        <v>3</v>
      </c>
      <c r="G829" s="6">
        <v>297</v>
      </c>
      <c r="H829" t="s">
        <v>36</v>
      </c>
      <c r="I829" t="s">
        <v>82</v>
      </c>
      <c r="J829" t="s">
        <v>85</v>
      </c>
    </row>
    <row r="830" spans="1:10" x14ac:dyDescent="0.3">
      <c r="A830" s="2">
        <v>44682</v>
      </c>
      <c r="B830" s="2">
        <v>44686</v>
      </c>
      <c r="C830" t="s">
        <v>22</v>
      </c>
      <c r="D830" s="6">
        <v>460</v>
      </c>
      <c r="E830" s="6">
        <v>303.60000000000002</v>
      </c>
      <c r="F830" s="6">
        <v>3</v>
      </c>
      <c r="G830" s="6">
        <v>1380</v>
      </c>
      <c r="H830" t="s">
        <v>46</v>
      </c>
      <c r="I830" t="s">
        <v>79</v>
      </c>
      <c r="J830" t="s">
        <v>85</v>
      </c>
    </row>
    <row r="831" spans="1:10" x14ac:dyDescent="0.3">
      <c r="A831" s="2">
        <v>44682</v>
      </c>
      <c r="B831" s="2">
        <v>44683</v>
      </c>
      <c r="C831" t="s">
        <v>17</v>
      </c>
      <c r="D831" s="6">
        <v>195</v>
      </c>
      <c r="E831" s="6">
        <v>138.44999999999999</v>
      </c>
      <c r="F831" s="6">
        <v>1</v>
      </c>
      <c r="G831" s="6">
        <v>195</v>
      </c>
      <c r="H831" t="s">
        <v>71</v>
      </c>
      <c r="I831" t="s">
        <v>79</v>
      </c>
      <c r="J831" t="s">
        <v>86</v>
      </c>
    </row>
    <row r="832" spans="1:10" x14ac:dyDescent="0.3">
      <c r="A832" s="2">
        <v>44685</v>
      </c>
      <c r="B832" s="2">
        <v>44688</v>
      </c>
      <c r="C832" t="s">
        <v>4</v>
      </c>
      <c r="D832" s="6">
        <v>390</v>
      </c>
      <c r="E832" s="6">
        <v>288.60000000000002</v>
      </c>
      <c r="F832" s="6">
        <v>7</v>
      </c>
      <c r="G832" s="6">
        <v>2730</v>
      </c>
      <c r="H832" t="s">
        <v>69</v>
      </c>
      <c r="I832" t="s">
        <v>80</v>
      </c>
      <c r="J832" t="s">
        <v>85</v>
      </c>
    </row>
    <row r="833" spans="1:10" x14ac:dyDescent="0.3">
      <c r="A833" s="2">
        <v>44686</v>
      </c>
      <c r="B833" s="2">
        <v>44687</v>
      </c>
      <c r="C833" t="s">
        <v>4</v>
      </c>
      <c r="D833" s="6">
        <v>390</v>
      </c>
      <c r="E833" s="6">
        <v>288.60000000000002</v>
      </c>
      <c r="F833" s="6">
        <v>2</v>
      </c>
      <c r="G833" s="6">
        <v>780</v>
      </c>
      <c r="H833" t="s">
        <v>71</v>
      </c>
      <c r="I833" t="s">
        <v>79</v>
      </c>
      <c r="J833" t="s">
        <v>85</v>
      </c>
    </row>
    <row r="834" spans="1:10" x14ac:dyDescent="0.3">
      <c r="A834" s="2">
        <v>44686</v>
      </c>
      <c r="B834" s="2">
        <v>44688</v>
      </c>
      <c r="C834" t="s">
        <v>22</v>
      </c>
      <c r="D834" s="6">
        <v>460</v>
      </c>
      <c r="E834" s="6">
        <v>303.60000000000002</v>
      </c>
      <c r="F834" s="6">
        <v>7</v>
      </c>
      <c r="G834" s="6">
        <v>3220</v>
      </c>
      <c r="H834" t="s">
        <v>56</v>
      </c>
      <c r="I834" t="s">
        <v>80</v>
      </c>
      <c r="J834" t="s">
        <v>86</v>
      </c>
    </row>
    <row r="835" spans="1:10" x14ac:dyDescent="0.3">
      <c r="A835" s="2">
        <v>44687</v>
      </c>
      <c r="B835" s="2">
        <v>44688</v>
      </c>
      <c r="C835" t="s">
        <v>7</v>
      </c>
      <c r="D835" s="6">
        <v>250</v>
      </c>
      <c r="E835" s="6">
        <v>167.5</v>
      </c>
      <c r="F835" s="6">
        <v>1</v>
      </c>
      <c r="G835" s="6">
        <v>250</v>
      </c>
      <c r="H835" t="s">
        <v>32</v>
      </c>
      <c r="I835" t="s">
        <v>81</v>
      </c>
      <c r="J835" t="s">
        <v>86</v>
      </c>
    </row>
    <row r="836" spans="1:10" x14ac:dyDescent="0.3">
      <c r="A836" s="2">
        <v>44687</v>
      </c>
      <c r="B836" s="2">
        <v>44691</v>
      </c>
      <c r="C836" t="s">
        <v>7</v>
      </c>
      <c r="D836" s="6">
        <v>250</v>
      </c>
      <c r="E836" s="6">
        <v>167.5</v>
      </c>
      <c r="F836" s="6">
        <v>2</v>
      </c>
      <c r="G836" s="6">
        <v>500</v>
      </c>
      <c r="H836" t="s">
        <v>64</v>
      </c>
      <c r="I836" t="s">
        <v>82</v>
      </c>
      <c r="J836" t="s">
        <v>86</v>
      </c>
    </row>
    <row r="837" spans="1:10" x14ac:dyDescent="0.3">
      <c r="A837" s="2">
        <v>44689</v>
      </c>
      <c r="B837" s="2">
        <v>44692</v>
      </c>
      <c r="C837" t="s">
        <v>10</v>
      </c>
      <c r="D837" s="6">
        <v>390</v>
      </c>
      <c r="E837" s="6">
        <v>253.5</v>
      </c>
      <c r="F837" s="6">
        <v>5</v>
      </c>
      <c r="G837" s="6">
        <v>1950</v>
      </c>
      <c r="H837" t="s">
        <v>73</v>
      </c>
      <c r="I837" t="s">
        <v>82</v>
      </c>
      <c r="J837" t="s">
        <v>85</v>
      </c>
    </row>
    <row r="838" spans="1:10" x14ac:dyDescent="0.3">
      <c r="A838" s="2">
        <v>44690</v>
      </c>
      <c r="B838" s="2">
        <v>44693</v>
      </c>
      <c r="C838" t="s">
        <v>2</v>
      </c>
      <c r="D838" s="6">
        <v>250</v>
      </c>
      <c r="E838" s="6">
        <v>187.5</v>
      </c>
      <c r="F838" s="6">
        <v>6</v>
      </c>
      <c r="G838" s="6">
        <v>1500</v>
      </c>
      <c r="H838" t="s">
        <v>49</v>
      </c>
      <c r="I838" t="s">
        <v>82</v>
      </c>
      <c r="J838" t="s">
        <v>86</v>
      </c>
    </row>
    <row r="839" spans="1:10" x14ac:dyDescent="0.3">
      <c r="A839" s="2">
        <v>44691</v>
      </c>
      <c r="B839" s="2">
        <v>44697</v>
      </c>
      <c r="C839" t="s">
        <v>18</v>
      </c>
      <c r="D839" s="6">
        <v>80</v>
      </c>
      <c r="E839" s="6">
        <v>48.8</v>
      </c>
      <c r="F839" s="6">
        <v>4</v>
      </c>
      <c r="G839" s="6">
        <v>320</v>
      </c>
      <c r="H839" t="s">
        <v>47</v>
      </c>
      <c r="I839" t="s">
        <v>80</v>
      </c>
      <c r="J839" t="s">
        <v>86</v>
      </c>
    </row>
    <row r="840" spans="1:10" x14ac:dyDescent="0.3">
      <c r="A840" s="2">
        <v>44693</v>
      </c>
      <c r="B840" s="2">
        <v>44699</v>
      </c>
      <c r="C840" t="s">
        <v>23</v>
      </c>
      <c r="D840" s="6">
        <v>275</v>
      </c>
      <c r="E840" s="6">
        <v>200.75</v>
      </c>
      <c r="F840" s="6">
        <v>4</v>
      </c>
      <c r="G840" s="6">
        <v>1100</v>
      </c>
      <c r="H840" t="s">
        <v>63</v>
      </c>
      <c r="I840" t="s">
        <v>81</v>
      </c>
      <c r="J840" t="s">
        <v>85</v>
      </c>
    </row>
    <row r="841" spans="1:10" x14ac:dyDescent="0.3">
      <c r="A841" s="2">
        <v>44696</v>
      </c>
      <c r="B841" s="2">
        <v>44701</v>
      </c>
      <c r="C841" t="s">
        <v>5</v>
      </c>
      <c r="D841" s="6">
        <v>290</v>
      </c>
      <c r="E841" s="6">
        <v>185.6</v>
      </c>
      <c r="F841" s="6">
        <v>5</v>
      </c>
      <c r="G841" s="6">
        <v>1450</v>
      </c>
      <c r="H841" t="s">
        <v>49</v>
      </c>
      <c r="I841" t="s">
        <v>79</v>
      </c>
      <c r="J841" t="s">
        <v>85</v>
      </c>
    </row>
    <row r="842" spans="1:10" x14ac:dyDescent="0.3">
      <c r="A842" s="2">
        <v>44696</v>
      </c>
      <c r="B842" s="2">
        <v>44702</v>
      </c>
      <c r="C842" t="s">
        <v>9</v>
      </c>
      <c r="D842" s="6">
        <v>215</v>
      </c>
      <c r="E842" s="6">
        <v>152.65</v>
      </c>
      <c r="F842" s="6">
        <v>9</v>
      </c>
      <c r="G842" s="6">
        <v>1935</v>
      </c>
      <c r="H842" t="s">
        <v>44</v>
      </c>
      <c r="I842" t="s">
        <v>80</v>
      </c>
      <c r="J842" t="s">
        <v>85</v>
      </c>
    </row>
    <row r="843" spans="1:10" x14ac:dyDescent="0.3">
      <c r="A843" s="2">
        <v>44697</v>
      </c>
      <c r="B843" s="2">
        <v>44701</v>
      </c>
      <c r="C843" t="s">
        <v>22</v>
      </c>
      <c r="D843" s="6">
        <v>460</v>
      </c>
      <c r="E843" s="6">
        <v>303.60000000000002</v>
      </c>
      <c r="F843" s="6">
        <v>4</v>
      </c>
      <c r="G843" s="6">
        <v>1840</v>
      </c>
      <c r="H843" t="s">
        <v>33</v>
      </c>
      <c r="I843" t="s">
        <v>83</v>
      </c>
      <c r="J843" t="s">
        <v>85</v>
      </c>
    </row>
    <row r="844" spans="1:10" x14ac:dyDescent="0.3">
      <c r="A844" s="2">
        <v>44698</v>
      </c>
      <c r="B844" s="2">
        <v>44701</v>
      </c>
      <c r="C844" t="s">
        <v>20</v>
      </c>
      <c r="D844" s="6">
        <v>440</v>
      </c>
      <c r="E844" s="6">
        <v>286</v>
      </c>
      <c r="F844" s="6">
        <v>3</v>
      </c>
      <c r="G844" s="6">
        <v>1320</v>
      </c>
      <c r="H844" t="s">
        <v>33</v>
      </c>
      <c r="I844" t="s">
        <v>81</v>
      </c>
      <c r="J844" t="s">
        <v>86</v>
      </c>
    </row>
    <row r="845" spans="1:10" x14ac:dyDescent="0.3">
      <c r="A845" s="2">
        <v>44699</v>
      </c>
      <c r="B845" s="2">
        <v>44705</v>
      </c>
      <c r="C845" t="s">
        <v>19</v>
      </c>
      <c r="D845" s="6">
        <v>220</v>
      </c>
      <c r="E845" s="6">
        <v>154</v>
      </c>
      <c r="F845" s="6">
        <v>3</v>
      </c>
      <c r="G845" s="6">
        <v>660</v>
      </c>
      <c r="H845" t="s">
        <v>75</v>
      </c>
      <c r="I845" t="s">
        <v>80</v>
      </c>
      <c r="J845" t="s">
        <v>86</v>
      </c>
    </row>
    <row r="846" spans="1:10" x14ac:dyDescent="0.3">
      <c r="A846" s="2">
        <v>44700</v>
      </c>
      <c r="B846" s="2">
        <v>44705</v>
      </c>
      <c r="C846" t="s">
        <v>7</v>
      </c>
      <c r="D846" s="6">
        <v>250</v>
      </c>
      <c r="E846" s="6">
        <v>167.5</v>
      </c>
      <c r="F846" s="6">
        <v>4</v>
      </c>
      <c r="G846" s="6">
        <v>1000</v>
      </c>
      <c r="H846" t="s">
        <v>42</v>
      </c>
      <c r="I846" t="s">
        <v>80</v>
      </c>
      <c r="J846" t="s">
        <v>86</v>
      </c>
    </row>
    <row r="847" spans="1:10" x14ac:dyDescent="0.3">
      <c r="A847" s="2">
        <v>44702</v>
      </c>
      <c r="B847" s="2">
        <v>44704</v>
      </c>
      <c r="C847" t="s">
        <v>21</v>
      </c>
      <c r="D847" s="6">
        <v>355</v>
      </c>
      <c r="E847" s="6">
        <v>252.04999999999998</v>
      </c>
      <c r="F847" s="6">
        <v>5</v>
      </c>
      <c r="G847" s="6">
        <v>1775</v>
      </c>
      <c r="H847" t="s">
        <v>68</v>
      </c>
      <c r="I847" t="s">
        <v>83</v>
      </c>
      <c r="J847" t="s">
        <v>86</v>
      </c>
    </row>
    <row r="848" spans="1:10" x14ac:dyDescent="0.3">
      <c r="A848" s="2">
        <v>44702</v>
      </c>
      <c r="B848" s="2">
        <v>44706</v>
      </c>
      <c r="C848" t="s">
        <v>15</v>
      </c>
      <c r="D848" s="6">
        <v>110</v>
      </c>
      <c r="E848" s="6">
        <v>78.099999999999994</v>
      </c>
      <c r="F848" s="6">
        <v>1</v>
      </c>
      <c r="G848" s="6">
        <v>110</v>
      </c>
      <c r="H848" t="s">
        <v>39</v>
      </c>
      <c r="I848" t="s">
        <v>79</v>
      </c>
      <c r="J848" t="s">
        <v>86</v>
      </c>
    </row>
    <row r="849" spans="1:10" x14ac:dyDescent="0.3">
      <c r="A849" s="2">
        <v>44703</v>
      </c>
      <c r="B849" s="2">
        <v>44706</v>
      </c>
      <c r="C849" t="s">
        <v>14</v>
      </c>
      <c r="D849" s="6">
        <v>375</v>
      </c>
      <c r="E849" s="6">
        <v>247.5</v>
      </c>
      <c r="F849" s="6">
        <v>5</v>
      </c>
      <c r="G849" s="6">
        <v>1875</v>
      </c>
      <c r="H849" t="s">
        <v>49</v>
      </c>
      <c r="I849" t="s">
        <v>82</v>
      </c>
      <c r="J849" t="s">
        <v>85</v>
      </c>
    </row>
    <row r="850" spans="1:10" x14ac:dyDescent="0.3">
      <c r="A850" s="2">
        <v>44703</v>
      </c>
      <c r="B850" s="2">
        <v>44708</v>
      </c>
      <c r="C850" t="s">
        <v>7</v>
      </c>
      <c r="D850" s="6">
        <v>250</v>
      </c>
      <c r="E850" s="6">
        <v>167.5</v>
      </c>
      <c r="F850" s="6">
        <v>1</v>
      </c>
      <c r="G850" s="6">
        <v>250</v>
      </c>
      <c r="H850" t="s">
        <v>51</v>
      </c>
      <c r="I850" t="s">
        <v>82</v>
      </c>
      <c r="J850" t="s">
        <v>86</v>
      </c>
    </row>
    <row r="851" spans="1:10" x14ac:dyDescent="0.3">
      <c r="A851" s="2">
        <v>44703</v>
      </c>
      <c r="B851" s="2">
        <v>44706</v>
      </c>
      <c r="C851" t="s">
        <v>19</v>
      </c>
      <c r="D851" s="6">
        <v>220</v>
      </c>
      <c r="E851" s="6">
        <v>154</v>
      </c>
      <c r="F851" s="6">
        <v>7</v>
      </c>
      <c r="G851" s="6">
        <v>1540</v>
      </c>
      <c r="H851" t="s">
        <v>74</v>
      </c>
      <c r="I851" t="s">
        <v>83</v>
      </c>
      <c r="J851" t="s">
        <v>86</v>
      </c>
    </row>
    <row r="852" spans="1:10" x14ac:dyDescent="0.3">
      <c r="A852" s="2">
        <v>44704</v>
      </c>
      <c r="B852" s="2">
        <v>44706</v>
      </c>
      <c r="C852" t="s">
        <v>8</v>
      </c>
      <c r="D852" s="6">
        <v>59</v>
      </c>
      <c r="E852" s="6">
        <v>41.3</v>
      </c>
      <c r="F852" s="6">
        <v>7</v>
      </c>
      <c r="G852" s="6">
        <v>413</v>
      </c>
      <c r="H852" t="s">
        <v>73</v>
      </c>
      <c r="I852" t="s">
        <v>83</v>
      </c>
      <c r="J852" t="s">
        <v>86</v>
      </c>
    </row>
    <row r="853" spans="1:10" x14ac:dyDescent="0.3">
      <c r="A853" s="2">
        <v>44705</v>
      </c>
      <c r="B853" s="2">
        <v>44711</v>
      </c>
      <c r="C853" t="s">
        <v>14</v>
      </c>
      <c r="D853" s="6">
        <v>375</v>
      </c>
      <c r="E853" s="6">
        <v>247.5</v>
      </c>
      <c r="F853" s="6">
        <v>3</v>
      </c>
      <c r="G853" s="6">
        <v>1125</v>
      </c>
      <c r="H853" t="s">
        <v>34</v>
      </c>
      <c r="I853" t="s">
        <v>81</v>
      </c>
      <c r="J853" t="s">
        <v>86</v>
      </c>
    </row>
    <row r="854" spans="1:10" x14ac:dyDescent="0.3">
      <c r="A854" s="2">
        <v>44705</v>
      </c>
      <c r="B854" s="2">
        <v>44706</v>
      </c>
      <c r="C854" t="s">
        <v>20</v>
      </c>
      <c r="D854" s="6">
        <v>440</v>
      </c>
      <c r="E854" s="6">
        <v>286</v>
      </c>
      <c r="F854" s="6">
        <v>8</v>
      </c>
      <c r="G854" s="6">
        <v>3520</v>
      </c>
      <c r="H854" t="s">
        <v>56</v>
      </c>
      <c r="I854" t="s">
        <v>80</v>
      </c>
      <c r="J854" t="s">
        <v>86</v>
      </c>
    </row>
    <row r="855" spans="1:10" x14ac:dyDescent="0.3">
      <c r="A855" s="2">
        <v>44707</v>
      </c>
      <c r="B855" s="2">
        <v>44710</v>
      </c>
      <c r="C855" t="s">
        <v>18</v>
      </c>
      <c r="D855" s="6">
        <v>80</v>
      </c>
      <c r="E855" s="6">
        <v>48.8</v>
      </c>
      <c r="F855" s="6">
        <v>4</v>
      </c>
      <c r="G855" s="6">
        <v>320</v>
      </c>
      <c r="H855" t="s">
        <v>60</v>
      </c>
      <c r="I855" t="s">
        <v>82</v>
      </c>
      <c r="J855" t="s">
        <v>86</v>
      </c>
    </row>
    <row r="856" spans="1:10" x14ac:dyDescent="0.3">
      <c r="A856" s="2">
        <v>44708</v>
      </c>
      <c r="B856" s="2">
        <v>44713</v>
      </c>
      <c r="C856" t="s">
        <v>15</v>
      </c>
      <c r="D856" s="6">
        <v>110</v>
      </c>
      <c r="E856" s="6">
        <v>78.099999999999994</v>
      </c>
      <c r="F856" s="6">
        <v>1</v>
      </c>
      <c r="G856" s="6">
        <v>110</v>
      </c>
      <c r="H856" t="s">
        <v>32</v>
      </c>
      <c r="I856" t="s">
        <v>83</v>
      </c>
      <c r="J856" t="s">
        <v>85</v>
      </c>
    </row>
    <row r="857" spans="1:10" x14ac:dyDescent="0.3">
      <c r="A857" s="2">
        <v>44708</v>
      </c>
      <c r="B857" s="2">
        <v>44710</v>
      </c>
      <c r="C857" t="s">
        <v>9</v>
      </c>
      <c r="D857" s="6">
        <v>215</v>
      </c>
      <c r="E857" s="6">
        <v>152.65</v>
      </c>
      <c r="F857" s="6">
        <v>5</v>
      </c>
      <c r="G857" s="6">
        <v>1075</v>
      </c>
      <c r="H857" t="s">
        <v>70</v>
      </c>
      <c r="I857" t="s">
        <v>79</v>
      </c>
      <c r="J857" t="s">
        <v>86</v>
      </c>
    </row>
    <row r="858" spans="1:10" x14ac:dyDescent="0.3">
      <c r="A858" s="2">
        <v>44708</v>
      </c>
      <c r="B858" s="2">
        <v>44715</v>
      </c>
      <c r="C858" t="s">
        <v>20</v>
      </c>
      <c r="D858" s="6">
        <v>440</v>
      </c>
      <c r="E858" s="6">
        <v>286</v>
      </c>
      <c r="F858" s="6">
        <v>9</v>
      </c>
      <c r="G858" s="6">
        <v>3960</v>
      </c>
      <c r="H858" t="s">
        <v>71</v>
      </c>
      <c r="I858" t="s">
        <v>81</v>
      </c>
      <c r="J858" t="s">
        <v>85</v>
      </c>
    </row>
    <row r="859" spans="1:10" x14ac:dyDescent="0.3">
      <c r="A859" s="2">
        <v>44709</v>
      </c>
      <c r="B859" s="2">
        <v>44715</v>
      </c>
      <c r="C859" t="s">
        <v>17</v>
      </c>
      <c r="D859" s="6">
        <v>195</v>
      </c>
      <c r="E859" s="6">
        <v>138.44999999999999</v>
      </c>
      <c r="F859" s="6">
        <v>8</v>
      </c>
      <c r="G859" s="6">
        <v>1560</v>
      </c>
      <c r="H859" t="s">
        <v>58</v>
      </c>
      <c r="I859" t="s">
        <v>80</v>
      </c>
      <c r="J859" t="s">
        <v>85</v>
      </c>
    </row>
    <row r="860" spans="1:10" x14ac:dyDescent="0.3">
      <c r="A860" s="2">
        <v>44710</v>
      </c>
      <c r="B860" s="2">
        <v>44716</v>
      </c>
      <c r="C860" t="s">
        <v>6</v>
      </c>
      <c r="D860" s="6">
        <v>99</v>
      </c>
      <c r="E860" s="6">
        <v>62.37</v>
      </c>
      <c r="F860" s="6">
        <v>7</v>
      </c>
      <c r="G860" s="6">
        <v>693</v>
      </c>
      <c r="H860" t="s">
        <v>55</v>
      </c>
      <c r="I860" t="s">
        <v>83</v>
      </c>
      <c r="J860" t="s">
        <v>85</v>
      </c>
    </row>
    <row r="861" spans="1:10" x14ac:dyDescent="0.3">
      <c r="A861" s="2">
        <v>44710</v>
      </c>
      <c r="B861" s="2">
        <v>44716</v>
      </c>
      <c r="C861" t="s">
        <v>22</v>
      </c>
      <c r="D861" s="6">
        <v>460</v>
      </c>
      <c r="E861" s="6">
        <v>303.60000000000002</v>
      </c>
      <c r="F861" s="6">
        <v>8</v>
      </c>
      <c r="G861" s="6">
        <v>3680</v>
      </c>
      <c r="H861" t="s">
        <v>40</v>
      </c>
      <c r="I861" t="s">
        <v>82</v>
      </c>
      <c r="J861" t="s">
        <v>85</v>
      </c>
    </row>
    <row r="862" spans="1:10" x14ac:dyDescent="0.3">
      <c r="A862" s="2">
        <v>44711</v>
      </c>
      <c r="B862" s="2">
        <v>44717</v>
      </c>
      <c r="C862" t="s">
        <v>6</v>
      </c>
      <c r="D862" s="6">
        <v>99</v>
      </c>
      <c r="E862" s="6">
        <v>62.37</v>
      </c>
      <c r="F862" s="6">
        <v>8</v>
      </c>
      <c r="G862" s="6">
        <v>792</v>
      </c>
      <c r="H862" t="s">
        <v>74</v>
      </c>
      <c r="I862" t="s">
        <v>79</v>
      </c>
      <c r="J862" t="s">
        <v>85</v>
      </c>
    </row>
    <row r="863" spans="1:10" x14ac:dyDescent="0.3">
      <c r="A863" s="2">
        <v>44711</v>
      </c>
      <c r="B863" s="2">
        <v>44712</v>
      </c>
      <c r="C863" t="s">
        <v>23</v>
      </c>
      <c r="D863" s="6">
        <v>275</v>
      </c>
      <c r="E863" s="6">
        <v>200.75</v>
      </c>
      <c r="F863" s="6">
        <v>6</v>
      </c>
      <c r="G863" s="6">
        <v>1650</v>
      </c>
      <c r="H863" t="s">
        <v>63</v>
      </c>
      <c r="I863" t="s">
        <v>80</v>
      </c>
      <c r="J863" t="s">
        <v>86</v>
      </c>
    </row>
    <row r="864" spans="1:10" x14ac:dyDescent="0.3">
      <c r="A864" s="2">
        <v>44711</v>
      </c>
      <c r="B864" s="2">
        <v>44718</v>
      </c>
      <c r="C864" t="s">
        <v>3</v>
      </c>
      <c r="D864" s="6">
        <v>95</v>
      </c>
      <c r="E864" s="6">
        <v>60.800000000000004</v>
      </c>
      <c r="F864" s="6">
        <v>2</v>
      </c>
      <c r="G864" s="6">
        <v>190</v>
      </c>
      <c r="H864" t="s">
        <v>49</v>
      </c>
      <c r="I864" t="s">
        <v>83</v>
      </c>
      <c r="J864" t="s">
        <v>86</v>
      </c>
    </row>
    <row r="865" spans="1:10" x14ac:dyDescent="0.3">
      <c r="A865" s="2">
        <v>44713</v>
      </c>
      <c r="B865" s="2">
        <v>44715</v>
      </c>
      <c r="C865" t="s">
        <v>10</v>
      </c>
      <c r="D865" s="6">
        <v>390</v>
      </c>
      <c r="E865" s="6">
        <v>253.5</v>
      </c>
      <c r="F865" s="6">
        <v>8</v>
      </c>
      <c r="G865" s="6">
        <v>3120</v>
      </c>
      <c r="H865" t="s">
        <v>76</v>
      </c>
      <c r="I865" t="s">
        <v>79</v>
      </c>
      <c r="J865" t="s">
        <v>86</v>
      </c>
    </row>
    <row r="866" spans="1:10" x14ac:dyDescent="0.3">
      <c r="A866" s="2">
        <v>44714</v>
      </c>
      <c r="B866" s="2">
        <v>44720</v>
      </c>
      <c r="C866" t="s">
        <v>14</v>
      </c>
      <c r="D866" s="6">
        <v>375</v>
      </c>
      <c r="E866" s="6">
        <v>247.5</v>
      </c>
      <c r="F866" s="6">
        <v>2</v>
      </c>
      <c r="G866" s="6">
        <v>750</v>
      </c>
      <c r="H866" t="s">
        <v>32</v>
      </c>
      <c r="I866" t="s">
        <v>79</v>
      </c>
      <c r="J866" t="s">
        <v>85</v>
      </c>
    </row>
    <row r="867" spans="1:10" x14ac:dyDescent="0.3">
      <c r="A867" s="2">
        <v>44715</v>
      </c>
      <c r="B867" s="2">
        <v>44719</v>
      </c>
      <c r="C867" t="s">
        <v>16</v>
      </c>
      <c r="D867" s="6">
        <v>145</v>
      </c>
      <c r="E867" s="6">
        <v>105.85</v>
      </c>
      <c r="F867" s="6">
        <v>1</v>
      </c>
      <c r="G867" s="6">
        <v>145</v>
      </c>
      <c r="H867" t="s">
        <v>55</v>
      </c>
      <c r="I867" t="s">
        <v>81</v>
      </c>
      <c r="J867" t="s">
        <v>86</v>
      </c>
    </row>
    <row r="868" spans="1:10" x14ac:dyDescent="0.3">
      <c r="A868" s="2">
        <v>44717</v>
      </c>
      <c r="B868" s="2">
        <v>44723</v>
      </c>
      <c r="C868" t="s">
        <v>10</v>
      </c>
      <c r="D868" s="6">
        <v>390</v>
      </c>
      <c r="E868" s="6">
        <v>253.5</v>
      </c>
      <c r="F868" s="6">
        <v>8</v>
      </c>
      <c r="G868" s="6">
        <v>3120</v>
      </c>
      <c r="H868" t="s">
        <v>46</v>
      </c>
      <c r="I868" t="s">
        <v>79</v>
      </c>
      <c r="J868" t="s">
        <v>86</v>
      </c>
    </row>
    <row r="869" spans="1:10" x14ac:dyDescent="0.3">
      <c r="A869" s="2">
        <v>44718</v>
      </c>
      <c r="B869" s="2">
        <v>44721</v>
      </c>
      <c r="C869" t="s">
        <v>7</v>
      </c>
      <c r="D869" s="6">
        <v>250</v>
      </c>
      <c r="E869" s="6">
        <v>167.5</v>
      </c>
      <c r="F869" s="6">
        <v>9</v>
      </c>
      <c r="G869" s="6">
        <v>2250</v>
      </c>
      <c r="H869" t="s">
        <v>35</v>
      </c>
      <c r="I869" t="s">
        <v>82</v>
      </c>
      <c r="J869" t="s">
        <v>86</v>
      </c>
    </row>
    <row r="870" spans="1:10" x14ac:dyDescent="0.3">
      <c r="A870" s="2">
        <v>44718</v>
      </c>
      <c r="B870" s="2">
        <v>44719</v>
      </c>
      <c r="C870" t="s">
        <v>21</v>
      </c>
      <c r="D870" s="6">
        <v>355</v>
      </c>
      <c r="E870" s="6">
        <v>252.04999999999998</v>
      </c>
      <c r="F870" s="6">
        <v>8</v>
      </c>
      <c r="G870" s="6">
        <v>2840</v>
      </c>
      <c r="H870" t="s">
        <v>47</v>
      </c>
      <c r="I870" t="s">
        <v>79</v>
      </c>
      <c r="J870" t="s">
        <v>86</v>
      </c>
    </row>
    <row r="871" spans="1:10" x14ac:dyDescent="0.3">
      <c r="A871" s="2">
        <v>44719</v>
      </c>
      <c r="B871" s="2">
        <v>44724</v>
      </c>
      <c r="C871" t="s">
        <v>23</v>
      </c>
      <c r="D871" s="6">
        <v>275</v>
      </c>
      <c r="E871" s="6">
        <v>200.75</v>
      </c>
      <c r="F871" s="6">
        <v>4</v>
      </c>
      <c r="G871" s="6">
        <v>1100</v>
      </c>
      <c r="H871" t="s">
        <v>73</v>
      </c>
      <c r="I871" t="s">
        <v>82</v>
      </c>
      <c r="J871" t="s">
        <v>85</v>
      </c>
    </row>
    <row r="872" spans="1:10" x14ac:dyDescent="0.3">
      <c r="A872" s="2">
        <v>44720</v>
      </c>
      <c r="B872" s="2">
        <v>44722</v>
      </c>
      <c r="C872" t="s">
        <v>7</v>
      </c>
      <c r="D872" s="6">
        <v>250</v>
      </c>
      <c r="E872" s="6">
        <v>167.5</v>
      </c>
      <c r="F872" s="6">
        <v>2</v>
      </c>
      <c r="G872" s="6">
        <v>500</v>
      </c>
      <c r="H872" t="s">
        <v>39</v>
      </c>
      <c r="I872" t="s">
        <v>82</v>
      </c>
      <c r="J872" t="s">
        <v>85</v>
      </c>
    </row>
    <row r="873" spans="1:10" x14ac:dyDescent="0.3">
      <c r="A873" s="2">
        <v>44720</v>
      </c>
      <c r="B873" s="2">
        <v>44726</v>
      </c>
      <c r="C873" t="s">
        <v>23</v>
      </c>
      <c r="D873" s="6">
        <v>275</v>
      </c>
      <c r="E873" s="6">
        <v>200.75</v>
      </c>
      <c r="F873" s="6">
        <v>2</v>
      </c>
      <c r="G873" s="6">
        <v>550</v>
      </c>
      <c r="H873" t="s">
        <v>51</v>
      </c>
      <c r="I873" t="s">
        <v>81</v>
      </c>
      <c r="J873" t="s">
        <v>86</v>
      </c>
    </row>
    <row r="874" spans="1:10" x14ac:dyDescent="0.3">
      <c r="A874" s="2">
        <v>44721</v>
      </c>
      <c r="B874" s="2">
        <v>44723</v>
      </c>
      <c r="C874" t="s">
        <v>7</v>
      </c>
      <c r="D874" s="6">
        <v>250</v>
      </c>
      <c r="E874" s="6">
        <v>167.5</v>
      </c>
      <c r="F874" s="6">
        <v>9</v>
      </c>
      <c r="G874" s="6">
        <v>2250</v>
      </c>
      <c r="H874" t="s">
        <v>38</v>
      </c>
      <c r="I874" t="s">
        <v>80</v>
      </c>
      <c r="J874" t="s">
        <v>85</v>
      </c>
    </row>
    <row r="875" spans="1:10" x14ac:dyDescent="0.3">
      <c r="A875" s="2">
        <v>44722</v>
      </c>
      <c r="B875" s="2">
        <v>44726</v>
      </c>
      <c r="C875" t="s">
        <v>6</v>
      </c>
      <c r="D875" s="6">
        <v>99</v>
      </c>
      <c r="E875" s="6">
        <v>62.37</v>
      </c>
      <c r="F875" s="6">
        <v>8</v>
      </c>
      <c r="G875" s="6">
        <v>792</v>
      </c>
      <c r="H875" t="s">
        <v>64</v>
      </c>
      <c r="I875" t="s">
        <v>79</v>
      </c>
      <c r="J875" t="s">
        <v>86</v>
      </c>
    </row>
    <row r="876" spans="1:10" x14ac:dyDescent="0.3">
      <c r="A876" s="2">
        <v>44723</v>
      </c>
      <c r="B876" s="2">
        <v>44726</v>
      </c>
      <c r="C876" t="s">
        <v>18</v>
      </c>
      <c r="D876" s="6">
        <v>80</v>
      </c>
      <c r="E876" s="6">
        <v>48.8</v>
      </c>
      <c r="F876" s="6">
        <v>1</v>
      </c>
      <c r="G876" s="6">
        <v>80</v>
      </c>
      <c r="H876" t="s">
        <v>44</v>
      </c>
      <c r="I876" t="s">
        <v>82</v>
      </c>
      <c r="J876" t="s">
        <v>86</v>
      </c>
    </row>
    <row r="877" spans="1:10" x14ac:dyDescent="0.3">
      <c r="A877" s="2">
        <v>44725</v>
      </c>
      <c r="B877" s="2">
        <v>44731</v>
      </c>
      <c r="C877" t="s">
        <v>15</v>
      </c>
      <c r="D877" s="6">
        <v>110</v>
      </c>
      <c r="E877" s="6">
        <v>78.099999999999994</v>
      </c>
      <c r="F877" s="6">
        <v>8</v>
      </c>
      <c r="G877" s="6">
        <v>880</v>
      </c>
      <c r="H877" t="s">
        <v>57</v>
      </c>
      <c r="I877" t="s">
        <v>83</v>
      </c>
      <c r="J877" t="s">
        <v>85</v>
      </c>
    </row>
    <row r="878" spans="1:10" x14ac:dyDescent="0.3">
      <c r="A878" s="2">
        <v>44726</v>
      </c>
      <c r="B878" s="2">
        <v>44727</v>
      </c>
      <c r="C878" t="s">
        <v>15</v>
      </c>
      <c r="D878" s="6">
        <v>110</v>
      </c>
      <c r="E878" s="6">
        <v>78.099999999999994</v>
      </c>
      <c r="F878" s="6">
        <v>8</v>
      </c>
      <c r="G878" s="6">
        <v>880</v>
      </c>
      <c r="H878" t="s">
        <v>35</v>
      </c>
      <c r="I878" t="s">
        <v>79</v>
      </c>
      <c r="J878" t="s">
        <v>85</v>
      </c>
    </row>
    <row r="879" spans="1:10" x14ac:dyDescent="0.3">
      <c r="A879" s="2">
        <v>44727</v>
      </c>
      <c r="B879" s="2">
        <v>44729</v>
      </c>
      <c r="C879" t="s">
        <v>9</v>
      </c>
      <c r="D879" s="6">
        <v>215</v>
      </c>
      <c r="E879" s="6">
        <v>152.65</v>
      </c>
      <c r="F879" s="6">
        <v>3</v>
      </c>
      <c r="G879" s="6">
        <v>645</v>
      </c>
      <c r="H879" t="s">
        <v>54</v>
      </c>
      <c r="I879" t="s">
        <v>80</v>
      </c>
      <c r="J879" t="s">
        <v>86</v>
      </c>
    </row>
    <row r="880" spans="1:10" x14ac:dyDescent="0.3">
      <c r="A880" s="2">
        <v>44727</v>
      </c>
      <c r="B880" s="2">
        <v>44729</v>
      </c>
      <c r="C880" t="s">
        <v>18</v>
      </c>
      <c r="D880" s="6">
        <v>80</v>
      </c>
      <c r="E880" s="6">
        <v>48.8</v>
      </c>
      <c r="F880" s="6">
        <v>4</v>
      </c>
      <c r="G880" s="6">
        <v>320</v>
      </c>
      <c r="H880" t="s">
        <v>71</v>
      </c>
      <c r="I880" t="s">
        <v>80</v>
      </c>
      <c r="J880" t="s">
        <v>85</v>
      </c>
    </row>
    <row r="881" spans="1:10" x14ac:dyDescent="0.3">
      <c r="A881" s="2">
        <v>44730</v>
      </c>
      <c r="B881" s="2">
        <v>44731</v>
      </c>
      <c r="C881" t="s">
        <v>10</v>
      </c>
      <c r="D881" s="6">
        <v>390</v>
      </c>
      <c r="E881" s="6">
        <v>253.5</v>
      </c>
      <c r="F881" s="6">
        <v>3</v>
      </c>
      <c r="G881" s="6">
        <v>1170</v>
      </c>
      <c r="H881" t="s">
        <v>45</v>
      </c>
      <c r="I881" t="s">
        <v>79</v>
      </c>
      <c r="J881" t="s">
        <v>85</v>
      </c>
    </row>
    <row r="882" spans="1:10" x14ac:dyDescent="0.3">
      <c r="A882" s="2">
        <v>44734</v>
      </c>
      <c r="B882" s="2">
        <v>44738</v>
      </c>
      <c r="C882" t="s">
        <v>12</v>
      </c>
      <c r="D882" s="6">
        <v>320</v>
      </c>
      <c r="E882" s="6">
        <v>233.6</v>
      </c>
      <c r="F882" s="6">
        <v>9</v>
      </c>
      <c r="G882" s="6">
        <v>2880</v>
      </c>
      <c r="H882" t="s">
        <v>44</v>
      </c>
      <c r="I882" t="s">
        <v>80</v>
      </c>
      <c r="J882" t="s">
        <v>85</v>
      </c>
    </row>
    <row r="883" spans="1:10" x14ac:dyDescent="0.3">
      <c r="A883" s="2">
        <v>44737</v>
      </c>
      <c r="B883" s="2">
        <v>44741</v>
      </c>
      <c r="C883" t="s">
        <v>16</v>
      </c>
      <c r="D883" s="6">
        <v>145</v>
      </c>
      <c r="E883" s="6">
        <v>105.85</v>
      </c>
      <c r="F883" s="6">
        <v>7</v>
      </c>
      <c r="G883" s="6">
        <v>1015</v>
      </c>
      <c r="H883" t="s">
        <v>41</v>
      </c>
      <c r="I883" t="s">
        <v>83</v>
      </c>
      <c r="J883" t="s">
        <v>86</v>
      </c>
    </row>
    <row r="884" spans="1:10" x14ac:dyDescent="0.3">
      <c r="A884" s="2">
        <v>44737</v>
      </c>
      <c r="B884" s="2">
        <v>44740</v>
      </c>
      <c r="C884" t="s">
        <v>7</v>
      </c>
      <c r="D884" s="6">
        <v>250</v>
      </c>
      <c r="E884" s="6">
        <v>167.5</v>
      </c>
      <c r="F884" s="6">
        <v>2</v>
      </c>
      <c r="G884" s="6">
        <v>500</v>
      </c>
      <c r="H884" t="s">
        <v>57</v>
      </c>
      <c r="I884" t="s">
        <v>83</v>
      </c>
      <c r="J884" t="s">
        <v>86</v>
      </c>
    </row>
    <row r="885" spans="1:10" x14ac:dyDescent="0.3">
      <c r="A885" s="2">
        <v>44737</v>
      </c>
      <c r="B885" s="2">
        <v>44742</v>
      </c>
      <c r="C885" t="s">
        <v>11</v>
      </c>
      <c r="D885" s="6">
        <v>490</v>
      </c>
      <c r="E885" s="6">
        <v>298.89999999999998</v>
      </c>
      <c r="F885" s="6">
        <v>3</v>
      </c>
      <c r="G885" s="6">
        <v>1470</v>
      </c>
      <c r="H885" t="s">
        <v>51</v>
      </c>
      <c r="I885" t="s">
        <v>82</v>
      </c>
      <c r="J885" t="s">
        <v>85</v>
      </c>
    </row>
    <row r="886" spans="1:10" x14ac:dyDescent="0.3">
      <c r="A886" s="2">
        <v>44739</v>
      </c>
      <c r="B886" s="2">
        <v>44741</v>
      </c>
      <c r="C886" t="s">
        <v>12</v>
      </c>
      <c r="D886" s="6">
        <v>320</v>
      </c>
      <c r="E886" s="6">
        <v>233.6</v>
      </c>
      <c r="F886" s="6">
        <v>7</v>
      </c>
      <c r="G886" s="6">
        <v>2240</v>
      </c>
      <c r="H886" t="s">
        <v>72</v>
      </c>
      <c r="I886" t="s">
        <v>79</v>
      </c>
      <c r="J886" t="s">
        <v>85</v>
      </c>
    </row>
    <row r="887" spans="1:10" x14ac:dyDescent="0.3">
      <c r="A887" s="2">
        <v>44739</v>
      </c>
      <c r="B887" s="2">
        <v>44742</v>
      </c>
      <c r="C887" t="s">
        <v>13</v>
      </c>
      <c r="D887" s="6">
        <v>445</v>
      </c>
      <c r="E887" s="6">
        <v>280.35000000000002</v>
      </c>
      <c r="F887" s="6">
        <v>9</v>
      </c>
      <c r="G887" s="6">
        <v>4005</v>
      </c>
      <c r="H887" t="s">
        <v>55</v>
      </c>
      <c r="I887" t="s">
        <v>82</v>
      </c>
      <c r="J887" t="s">
        <v>85</v>
      </c>
    </row>
    <row r="888" spans="1:10" x14ac:dyDescent="0.3">
      <c r="A888" s="2">
        <v>44739</v>
      </c>
      <c r="B888" s="2">
        <v>44742</v>
      </c>
      <c r="C888" t="s">
        <v>14</v>
      </c>
      <c r="D888" s="6">
        <v>375</v>
      </c>
      <c r="E888" s="6">
        <v>247.5</v>
      </c>
      <c r="F888" s="6">
        <v>2</v>
      </c>
      <c r="G888" s="6">
        <v>750</v>
      </c>
      <c r="H888" t="s">
        <v>33</v>
      </c>
      <c r="I888" t="s">
        <v>80</v>
      </c>
      <c r="J888" t="s">
        <v>86</v>
      </c>
    </row>
    <row r="889" spans="1:10" x14ac:dyDescent="0.3">
      <c r="A889" s="2">
        <v>44740</v>
      </c>
      <c r="B889" s="2">
        <v>44746</v>
      </c>
      <c r="C889" t="s">
        <v>15</v>
      </c>
      <c r="D889" s="6">
        <v>110</v>
      </c>
      <c r="E889" s="6">
        <v>78.099999999999994</v>
      </c>
      <c r="F889" s="6">
        <v>8</v>
      </c>
      <c r="G889" s="6">
        <v>880</v>
      </c>
      <c r="H889" t="s">
        <v>39</v>
      </c>
      <c r="I889" t="s">
        <v>79</v>
      </c>
      <c r="J889" t="s">
        <v>85</v>
      </c>
    </row>
    <row r="890" spans="1:10" x14ac:dyDescent="0.3">
      <c r="A890" s="2">
        <v>44743</v>
      </c>
      <c r="B890" s="2">
        <v>44748</v>
      </c>
      <c r="C890" t="s">
        <v>23</v>
      </c>
      <c r="D890" s="6">
        <v>275</v>
      </c>
      <c r="E890" s="6">
        <v>200.75</v>
      </c>
      <c r="F890" s="6">
        <v>8</v>
      </c>
      <c r="G890" s="6">
        <v>2200</v>
      </c>
      <c r="H890" t="s">
        <v>42</v>
      </c>
      <c r="I890" t="s">
        <v>82</v>
      </c>
      <c r="J890" t="s">
        <v>85</v>
      </c>
    </row>
    <row r="891" spans="1:10" x14ac:dyDescent="0.3">
      <c r="A891" s="2">
        <v>44743</v>
      </c>
      <c r="B891" s="2">
        <v>44748</v>
      </c>
      <c r="C891" t="s">
        <v>15</v>
      </c>
      <c r="D891" s="6">
        <v>110</v>
      </c>
      <c r="E891" s="6">
        <v>78.099999999999994</v>
      </c>
      <c r="F891" s="6">
        <v>9</v>
      </c>
      <c r="G891" s="6">
        <v>990</v>
      </c>
      <c r="H891" t="s">
        <v>30</v>
      </c>
      <c r="I891" t="s">
        <v>80</v>
      </c>
      <c r="J891" t="s">
        <v>85</v>
      </c>
    </row>
    <row r="892" spans="1:10" x14ac:dyDescent="0.3">
      <c r="A892" s="2">
        <v>44745</v>
      </c>
      <c r="B892" s="2">
        <v>44746</v>
      </c>
      <c r="C892" t="s">
        <v>14</v>
      </c>
      <c r="D892" s="6">
        <v>375</v>
      </c>
      <c r="E892" s="6">
        <v>247.5</v>
      </c>
      <c r="F892" s="6">
        <v>9</v>
      </c>
      <c r="G892" s="6">
        <v>3375</v>
      </c>
      <c r="H892" t="s">
        <v>43</v>
      </c>
      <c r="I892" t="s">
        <v>82</v>
      </c>
      <c r="J892" t="s">
        <v>85</v>
      </c>
    </row>
    <row r="893" spans="1:10" x14ac:dyDescent="0.3">
      <c r="A893" s="2">
        <v>44746</v>
      </c>
      <c r="B893" s="2">
        <v>44749</v>
      </c>
      <c r="C893" t="s">
        <v>11</v>
      </c>
      <c r="D893" s="6">
        <v>490</v>
      </c>
      <c r="E893" s="6">
        <v>298.89999999999998</v>
      </c>
      <c r="F893" s="6">
        <v>4</v>
      </c>
      <c r="G893" s="6">
        <v>1960</v>
      </c>
      <c r="H893" t="s">
        <v>38</v>
      </c>
      <c r="I893" t="s">
        <v>81</v>
      </c>
      <c r="J893" t="s">
        <v>85</v>
      </c>
    </row>
    <row r="894" spans="1:10" x14ac:dyDescent="0.3">
      <c r="A894" s="2">
        <v>44746</v>
      </c>
      <c r="B894" s="2">
        <v>44747</v>
      </c>
      <c r="C894" t="s">
        <v>4</v>
      </c>
      <c r="D894" s="6">
        <v>390</v>
      </c>
      <c r="E894" s="6">
        <v>288.60000000000002</v>
      </c>
      <c r="F894" s="6">
        <v>9</v>
      </c>
      <c r="G894" s="6">
        <v>3510</v>
      </c>
      <c r="H894" t="s">
        <v>76</v>
      </c>
      <c r="I894" t="s">
        <v>80</v>
      </c>
      <c r="J894" t="s">
        <v>86</v>
      </c>
    </row>
    <row r="895" spans="1:10" x14ac:dyDescent="0.3">
      <c r="A895" s="2">
        <v>44747</v>
      </c>
      <c r="B895" s="2">
        <v>44750</v>
      </c>
      <c r="C895" t="s">
        <v>20</v>
      </c>
      <c r="D895" s="6">
        <v>440</v>
      </c>
      <c r="E895" s="6">
        <v>286</v>
      </c>
      <c r="F895" s="6">
        <v>9</v>
      </c>
      <c r="G895" s="6">
        <v>3960</v>
      </c>
      <c r="H895" t="s">
        <v>33</v>
      </c>
      <c r="I895" t="s">
        <v>80</v>
      </c>
      <c r="J895" t="s">
        <v>86</v>
      </c>
    </row>
    <row r="896" spans="1:10" x14ac:dyDescent="0.3">
      <c r="A896" s="2">
        <v>44747</v>
      </c>
      <c r="B896" s="2">
        <v>44750</v>
      </c>
      <c r="C896" t="s">
        <v>6</v>
      </c>
      <c r="D896" s="6">
        <v>99</v>
      </c>
      <c r="E896" s="6">
        <v>62.37</v>
      </c>
      <c r="F896" s="6">
        <v>3</v>
      </c>
      <c r="G896" s="6">
        <v>297</v>
      </c>
      <c r="H896" t="s">
        <v>52</v>
      </c>
      <c r="I896" t="s">
        <v>82</v>
      </c>
      <c r="J896" t="s">
        <v>85</v>
      </c>
    </row>
    <row r="897" spans="1:10" x14ac:dyDescent="0.3">
      <c r="A897" s="2">
        <v>44751</v>
      </c>
      <c r="B897" s="2">
        <v>44756</v>
      </c>
      <c r="C897" t="s">
        <v>20</v>
      </c>
      <c r="D897" s="6">
        <v>440</v>
      </c>
      <c r="E897" s="6">
        <v>286</v>
      </c>
      <c r="F897" s="6">
        <v>2</v>
      </c>
      <c r="G897" s="6">
        <v>880</v>
      </c>
      <c r="H897" t="s">
        <v>37</v>
      </c>
      <c r="I897" t="s">
        <v>80</v>
      </c>
      <c r="J897" t="s">
        <v>85</v>
      </c>
    </row>
    <row r="898" spans="1:10" x14ac:dyDescent="0.3">
      <c r="A898" s="2">
        <v>44753</v>
      </c>
      <c r="B898" s="2">
        <v>44760</v>
      </c>
      <c r="C898" t="s">
        <v>8</v>
      </c>
      <c r="D898" s="6">
        <v>59</v>
      </c>
      <c r="E898" s="6">
        <v>41.3</v>
      </c>
      <c r="F898" s="6">
        <v>9</v>
      </c>
      <c r="G898" s="6">
        <v>531</v>
      </c>
      <c r="H898" t="s">
        <v>73</v>
      </c>
      <c r="I898" t="s">
        <v>83</v>
      </c>
      <c r="J898" t="s">
        <v>85</v>
      </c>
    </row>
    <row r="899" spans="1:10" x14ac:dyDescent="0.3">
      <c r="A899" s="2">
        <v>44753</v>
      </c>
      <c r="B899" s="2">
        <v>44755</v>
      </c>
      <c r="C899" t="s">
        <v>17</v>
      </c>
      <c r="D899" s="6">
        <v>195</v>
      </c>
      <c r="E899" s="6">
        <v>138.44999999999999</v>
      </c>
      <c r="F899" s="6">
        <v>4</v>
      </c>
      <c r="G899" s="6">
        <v>780</v>
      </c>
      <c r="H899" t="s">
        <v>68</v>
      </c>
      <c r="I899" t="s">
        <v>80</v>
      </c>
      <c r="J899" t="s">
        <v>86</v>
      </c>
    </row>
    <row r="900" spans="1:10" x14ac:dyDescent="0.3">
      <c r="A900" s="2">
        <v>44754</v>
      </c>
      <c r="B900" s="2">
        <v>44756</v>
      </c>
      <c r="C900" t="s">
        <v>13</v>
      </c>
      <c r="D900" s="6">
        <v>445</v>
      </c>
      <c r="E900" s="6">
        <v>280.35000000000002</v>
      </c>
      <c r="F900" s="6">
        <v>9</v>
      </c>
      <c r="G900" s="6">
        <v>4005</v>
      </c>
      <c r="H900" t="s">
        <v>46</v>
      </c>
      <c r="I900" t="s">
        <v>79</v>
      </c>
      <c r="J900" t="s">
        <v>85</v>
      </c>
    </row>
    <row r="901" spans="1:10" x14ac:dyDescent="0.3">
      <c r="A901" s="2">
        <v>44755</v>
      </c>
      <c r="B901" s="2">
        <v>44757</v>
      </c>
      <c r="C901" t="s">
        <v>20</v>
      </c>
      <c r="D901" s="6">
        <v>440</v>
      </c>
      <c r="E901" s="6">
        <v>286</v>
      </c>
      <c r="F901" s="6">
        <v>9</v>
      </c>
      <c r="G901" s="6">
        <v>3960</v>
      </c>
      <c r="H901" t="s">
        <v>53</v>
      </c>
      <c r="I901" t="s">
        <v>82</v>
      </c>
      <c r="J901" t="s">
        <v>86</v>
      </c>
    </row>
    <row r="902" spans="1:10" x14ac:dyDescent="0.3">
      <c r="A902" s="2">
        <v>44755</v>
      </c>
      <c r="B902" s="2">
        <v>44760</v>
      </c>
      <c r="C902" t="s">
        <v>15</v>
      </c>
      <c r="D902" s="6">
        <v>110</v>
      </c>
      <c r="E902" s="6">
        <v>78.099999999999994</v>
      </c>
      <c r="F902" s="6">
        <v>9</v>
      </c>
      <c r="G902" s="6">
        <v>990</v>
      </c>
      <c r="H902" t="s">
        <v>54</v>
      </c>
      <c r="I902" t="s">
        <v>82</v>
      </c>
      <c r="J902" t="s">
        <v>85</v>
      </c>
    </row>
    <row r="903" spans="1:10" x14ac:dyDescent="0.3">
      <c r="A903" s="2">
        <v>44755</v>
      </c>
      <c r="B903" s="2">
        <v>44760</v>
      </c>
      <c r="C903" t="s">
        <v>18</v>
      </c>
      <c r="D903" s="6">
        <v>80</v>
      </c>
      <c r="E903" s="6">
        <v>48.8</v>
      </c>
      <c r="F903" s="6">
        <v>7</v>
      </c>
      <c r="G903" s="6">
        <v>560</v>
      </c>
      <c r="H903" t="s">
        <v>60</v>
      </c>
      <c r="I903" t="s">
        <v>82</v>
      </c>
      <c r="J903" t="s">
        <v>86</v>
      </c>
    </row>
    <row r="904" spans="1:10" x14ac:dyDescent="0.3">
      <c r="A904" s="2">
        <v>44756</v>
      </c>
      <c r="B904" s="2">
        <v>44757</v>
      </c>
      <c r="C904" t="s">
        <v>5</v>
      </c>
      <c r="D904" s="6">
        <v>290</v>
      </c>
      <c r="E904" s="6">
        <v>185.6</v>
      </c>
      <c r="F904" s="6">
        <v>2</v>
      </c>
      <c r="G904" s="6">
        <v>580</v>
      </c>
      <c r="H904" t="s">
        <v>33</v>
      </c>
      <c r="I904" t="s">
        <v>79</v>
      </c>
      <c r="J904" t="s">
        <v>86</v>
      </c>
    </row>
    <row r="905" spans="1:10" x14ac:dyDescent="0.3">
      <c r="A905" s="2">
        <v>44757</v>
      </c>
      <c r="B905" s="2">
        <v>44762</v>
      </c>
      <c r="C905" t="s">
        <v>4</v>
      </c>
      <c r="D905" s="6">
        <v>390</v>
      </c>
      <c r="E905" s="6">
        <v>288.60000000000002</v>
      </c>
      <c r="F905" s="6">
        <v>5</v>
      </c>
      <c r="G905" s="6">
        <v>1950</v>
      </c>
      <c r="H905" t="s">
        <v>58</v>
      </c>
      <c r="I905" t="s">
        <v>79</v>
      </c>
      <c r="J905" t="s">
        <v>86</v>
      </c>
    </row>
    <row r="906" spans="1:10" x14ac:dyDescent="0.3">
      <c r="A906" s="2">
        <v>44758</v>
      </c>
      <c r="B906" s="2">
        <v>44760</v>
      </c>
      <c r="C906" t="s">
        <v>15</v>
      </c>
      <c r="D906" s="6">
        <v>110</v>
      </c>
      <c r="E906" s="6">
        <v>78.099999999999994</v>
      </c>
      <c r="F906" s="6">
        <v>8</v>
      </c>
      <c r="G906" s="6">
        <v>880</v>
      </c>
      <c r="H906" t="s">
        <v>44</v>
      </c>
      <c r="I906" t="s">
        <v>79</v>
      </c>
      <c r="J906" t="s">
        <v>85</v>
      </c>
    </row>
    <row r="907" spans="1:10" x14ac:dyDescent="0.3">
      <c r="A907" s="2">
        <v>44759</v>
      </c>
      <c r="B907" s="2">
        <v>44763</v>
      </c>
      <c r="C907" t="s">
        <v>21</v>
      </c>
      <c r="D907" s="6">
        <v>355</v>
      </c>
      <c r="E907" s="6">
        <v>252.04999999999998</v>
      </c>
      <c r="F907" s="6">
        <v>8</v>
      </c>
      <c r="G907" s="6">
        <v>2840</v>
      </c>
      <c r="H907" t="s">
        <v>41</v>
      </c>
      <c r="I907" t="s">
        <v>83</v>
      </c>
      <c r="J907" t="s">
        <v>86</v>
      </c>
    </row>
    <row r="908" spans="1:10" x14ac:dyDescent="0.3">
      <c r="A908" s="2">
        <v>44759</v>
      </c>
      <c r="B908" s="2">
        <v>44765</v>
      </c>
      <c r="C908" t="s">
        <v>23</v>
      </c>
      <c r="D908" s="6">
        <v>275</v>
      </c>
      <c r="E908" s="6">
        <v>200.75</v>
      </c>
      <c r="F908" s="6">
        <v>2</v>
      </c>
      <c r="G908" s="6">
        <v>550</v>
      </c>
      <c r="H908" t="s">
        <v>70</v>
      </c>
      <c r="I908" t="s">
        <v>82</v>
      </c>
      <c r="J908" t="s">
        <v>86</v>
      </c>
    </row>
    <row r="909" spans="1:10" x14ac:dyDescent="0.3">
      <c r="A909" s="2">
        <v>44760</v>
      </c>
      <c r="B909" s="2">
        <v>44762</v>
      </c>
      <c r="C909" t="s">
        <v>20</v>
      </c>
      <c r="D909" s="6">
        <v>440</v>
      </c>
      <c r="E909" s="6">
        <v>286</v>
      </c>
      <c r="F909" s="6">
        <v>8</v>
      </c>
      <c r="G909" s="6">
        <v>3520</v>
      </c>
      <c r="H909" t="s">
        <v>32</v>
      </c>
      <c r="I909" t="s">
        <v>83</v>
      </c>
      <c r="J909" t="s">
        <v>86</v>
      </c>
    </row>
    <row r="910" spans="1:10" x14ac:dyDescent="0.3">
      <c r="A910" s="2">
        <v>44761</v>
      </c>
      <c r="B910" s="2">
        <v>44765</v>
      </c>
      <c r="C910" t="s">
        <v>15</v>
      </c>
      <c r="D910" s="6">
        <v>110</v>
      </c>
      <c r="E910" s="6">
        <v>78.099999999999994</v>
      </c>
      <c r="F910" s="6">
        <v>4</v>
      </c>
      <c r="G910" s="6">
        <v>440</v>
      </c>
      <c r="H910" t="s">
        <v>74</v>
      </c>
      <c r="I910" t="s">
        <v>83</v>
      </c>
      <c r="J910" t="s">
        <v>86</v>
      </c>
    </row>
    <row r="911" spans="1:10" x14ac:dyDescent="0.3">
      <c r="A911" s="2">
        <v>44761</v>
      </c>
      <c r="B911" s="2">
        <v>44764</v>
      </c>
      <c r="C911" t="s">
        <v>4</v>
      </c>
      <c r="D911" s="6">
        <v>390</v>
      </c>
      <c r="E911" s="6">
        <v>288.60000000000002</v>
      </c>
      <c r="F911" s="6">
        <v>8</v>
      </c>
      <c r="G911" s="6">
        <v>3120</v>
      </c>
      <c r="H911" t="s">
        <v>68</v>
      </c>
      <c r="I911" t="s">
        <v>81</v>
      </c>
      <c r="J911" t="s">
        <v>86</v>
      </c>
    </row>
    <row r="912" spans="1:10" x14ac:dyDescent="0.3">
      <c r="A912" s="2">
        <v>44762</v>
      </c>
      <c r="B912" s="2">
        <v>44766</v>
      </c>
      <c r="C912" t="s">
        <v>10</v>
      </c>
      <c r="D912" s="6">
        <v>390</v>
      </c>
      <c r="E912" s="6">
        <v>253.5</v>
      </c>
      <c r="F912" s="6">
        <v>8</v>
      </c>
      <c r="G912" s="6">
        <v>3120</v>
      </c>
      <c r="H912" t="s">
        <v>41</v>
      </c>
      <c r="I912" t="s">
        <v>81</v>
      </c>
      <c r="J912" t="s">
        <v>86</v>
      </c>
    </row>
    <row r="913" spans="1:10" x14ac:dyDescent="0.3">
      <c r="A913" s="2">
        <v>44762</v>
      </c>
      <c r="B913" s="2">
        <v>44764</v>
      </c>
      <c r="C913" t="s">
        <v>8</v>
      </c>
      <c r="D913" s="6">
        <v>59</v>
      </c>
      <c r="E913" s="6">
        <v>41.3</v>
      </c>
      <c r="F913" s="6">
        <v>1</v>
      </c>
      <c r="G913" s="6">
        <v>59</v>
      </c>
      <c r="H913" t="s">
        <v>42</v>
      </c>
      <c r="I913" t="s">
        <v>80</v>
      </c>
      <c r="J913" t="s">
        <v>86</v>
      </c>
    </row>
    <row r="914" spans="1:10" x14ac:dyDescent="0.3">
      <c r="A914" s="2">
        <v>44763</v>
      </c>
      <c r="B914" s="2">
        <v>44767</v>
      </c>
      <c r="C914" t="s">
        <v>17</v>
      </c>
      <c r="D914" s="6">
        <v>195</v>
      </c>
      <c r="E914" s="6">
        <v>138.44999999999999</v>
      </c>
      <c r="F914" s="6">
        <v>5</v>
      </c>
      <c r="G914" s="6">
        <v>975</v>
      </c>
      <c r="H914" t="s">
        <v>70</v>
      </c>
      <c r="I914" t="s">
        <v>82</v>
      </c>
      <c r="J914" t="s">
        <v>85</v>
      </c>
    </row>
    <row r="915" spans="1:10" x14ac:dyDescent="0.3">
      <c r="A915" s="2">
        <v>44765</v>
      </c>
      <c r="B915" s="2">
        <v>44768</v>
      </c>
      <c r="C915" t="s">
        <v>22</v>
      </c>
      <c r="D915" s="6">
        <v>460</v>
      </c>
      <c r="E915" s="6">
        <v>303.60000000000002</v>
      </c>
      <c r="F915" s="6">
        <v>4</v>
      </c>
      <c r="G915" s="6">
        <v>1840</v>
      </c>
      <c r="H915" t="s">
        <v>70</v>
      </c>
      <c r="I915" t="s">
        <v>79</v>
      </c>
      <c r="J915" t="s">
        <v>85</v>
      </c>
    </row>
    <row r="916" spans="1:10" x14ac:dyDescent="0.3">
      <c r="A916" s="2">
        <v>44765</v>
      </c>
      <c r="B916" s="2">
        <v>44768</v>
      </c>
      <c r="C916" t="s">
        <v>19</v>
      </c>
      <c r="D916" s="6">
        <v>220</v>
      </c>
      <c r="E916" s="6">
        <v>154</v>
      </c>
      <c r="F916" s="6">
        <v>9</v>
      </c>
      <c r="G916" s="6">
        <v>1980</v>
      </c>
      <c r="H916" t="s">
        <v>41</v>
      </c>
      <c r="I916" t="s">
        <v>79</v>
      </c>
      <c r="J916" t="s">
        <v>85</v>
      </c>
    </row>
    <row r="917" spans="1:10" x14ac:dyDescent="0.3">
      <c r="A917" s="2">
        <v>44766</v>
      </c>
      <c r="B917" s="2">
        <v>44773</v>
      </c>
      <c r="C917" t="s">
        <v>6</v>
      </c>
      <c r="D917" s="6">
        <v>99</v>
      </c>
      <c r="E917" s="6">
        <v>62.37</v>
      </c>
      <c r="F917" s="6">
        <v>5</v>
      </c>
      <c r="G917" s="6">
        <v>495</v>
      </c>
      <c r="H917" t="s">
        <v>47</v>
      </c>
      <c r="I917" t="s">
        <v>79</v>
      </c>
      <c r="J917" t="s">
        <v>86</v>
      </c>
    </row>
    <row r="918" spans="1:10" x14ac:dyDescent="0.3">
      <c r="A918" s="2">
        <v>44766</v>
      </c>
      <c r="B918" s="2">
        <v>44767</v>
      </c>
      <c r="C918" t="s">
        <v>15</v>
      </c>
      <c r="D918" s="6">
        <v>110</v>
      </c>
      <c r="E918" s="6">
        <v>78.099999999999994</v>
      </c>
      <c r="F918" s="6">
        <v>3</v>
      </c>
      <c r="G918" s="6">
        <v>330</v>
      </c>
      <c r="H918" t="s">
        <v>37</v>
      </c>
      <c r="I918" t="s">
        <v>82</v>
      </c>
      <c r="J918" t="s">
        <v>86</v>
      </c>
    </row>
    <row r="919" spans="1:10" x14ac:dyDescent="0.3">
      <c r="A919" s="2">
        <v>44768</v>
      </c>
      <c r="B919" s="2">
        <v>44772</v>
      </c>
      <c r="C919" t="s">
        <v>22</v>
      </c>
      <c r="D919" s="6">
        <v>460</v>
      </c>
      <c r="E919" s="6">
        <v>303.60000000000002</v>
      </c>
      <c r="F919" s="6">
        <v>3</v>
      </c>
      <c r="G919" s="6">
        <v>1380</v>
      </c>
      <c r="H919" t="s">
        <v>44</v>
      </c>
      <c r="I919" t="s">
        <v>83</v>
      </c>
      <c r="J919" t="s">
        <v>85</v>
      </c>
    </row>
    <row r="920" spans="1:10" x14ac:dyDescent="0.3">
      <c r="A920" s="2">
        <v>44768</v>
      </c>
      <c r="B920" s="2">
        <v>44770</v>
      </c>
      <c r="C920" t="s">
        <v>11</v>
      </c>
      <c r="D920" s="6">
        <v>490</v>
      </c>
      <c r="E920" s="6">
        <v>298.89999999999998</v>
      </c>
      <c r="F920" s="6">
        <v>4</v>
      </c>
      <c r="G920" s="6">
        <v>1960</v>
      </c>
      <c r="H920" t="s">
        <v>33</v>
      </c>
      <c r="I920" t="s">
        <v>79</v>
      </c>
      <c r="J920" t="s">
        <v>85</v>
      </c>
    </row>
    <row r="921" spans="1:10" x14ac:dyDescent="0.3">
      <c r="A921" s="2">
        <v>44770</v>
      </c>
      <c r="B921" s="2">
        <v>44773</v>
      </c>
      <c r="C921" t="s">
        <v>11</v>
      </c>
      <c r="D921" s="6">
        <v>490</v>
      </c>
      <c r="E921" s="6">
        <v>298.89999999999998</v>
      </c>
      <c r="F921" s="6">
        <v>9</v>
      </c>
      <c r="G921" s="6">
        <v>4410</v>
      </c>
      <c r="H921" t="s">
        <v>64</v>
      </c>
      <c r="I921" t="s">
        <v>79</v>
      </c>
      <c r="J921" t="s">
        <v>86</v>
      </c>
    </row>
    <row r="922" spans="1:10" x14ac:dyDescent="0.3">
      <c r="A922" s="2">
        <v>44770</v>
      </c>
      <c r="B922" s="2">
        <v>44776</v>
      </c>
      <c r="C922" t="s">
        <v>16</v>
      </c>
      <c r="D922" s="6">
        <v>145</v>
      </c>
      <c r="E922" s="6">
        <v>105.85</v>
      </c>
      <c r="F922" s="6">
        <v>2</v>
      </c>
      <c r="G922" s="6">
        <v>290</v>
      </c>
      <c r="H922" t="s">
        <v>31</v>
      </c>
      <c r="I922" t="s">
        <v>82</v>
      </c>
      <c r="J922" t="s">
        <v>85</v>
      </c>
    </row>
    <row r="923" spans="1:10" x14ac:dyDescent="0.3">
      <c r="A923" s="2">
        <v>44772</v>
      </c>
      <c r="B923" s="2">
        <v>44779</v>
      </c>
      <c r="C923" t="s">
        <v>2</v>
      </c>
      <c r="D923" s="6">
        <v>250</v>
      </c>
      <c r="E923" s="6">
        <v>187.5</v>
      </c>
      <c r="F923" s="6">
        <v>6</v>
      </c>
      <c r="G923" s="6">
        <v>1500</v>
      </c>
      <c r="H923" t="s">
        <v>73</v>
      </c>
      <c r="I923" t="s">
        <v>80</v>
      </c>
      <c r="J923" t="s">
        <v>85</v>
      </c>
    </row>
    <row r="924" spans="1:10" x14ac:dyDescent="0.3">
      <c r="A924" s="2">
        <v>44773</v>
      </c>
      <c r="B924" s="2">
        <v>44777</v>
      </c>
      <c r="C924" t="s">
        <v>13</v>
      </c>
      <c r="D924" s="6">
        <v>445</v>
      </c>
      <c r="E924" s="6">
        <v>280.35000000000002</v>
      </c>
      <c r="F924" s="6">
        <v>5</v>
      </c>
      <c r="G924" s="6">
        <v>2225</v>
      </c>
      <c r="H924" t="s">
        <v>60</v>
      </c>
      <c r="I924" t="s">
        <v>83</v>
      </c>
      <c r="J924" t="s">
        <v>86</v>
      </c>
    </row>
    <row r="925" spans="1:10" x14ac:dyDescent="0.3">
      <c r="A925" s="2">
        <v>44774</v>
      </c>
      <c r="B925" s="2">
        <v>44777</v>
      </c>
      <c r="C925" t="s">
        <v>5</v>
      </c>
      <c r="D925" s="6">
        <v>290</v>
      </c>
      <c r="E925" s="6">
        <v>185.6</v>
      </c>
      <c r="F925" s="6">
        <v>2</v>
      </c>
      <c r="G925" s="6">
        <v>580</v>
      </c>
      <c r="H925" t="s">
        <v>58</v>
      </c>
      <c r="I925" t="s">
        <v>79</v>
      </c>
      <c r="J925" t="s">
        <v>85</v>
      </c>
    </row>
    <row r="926" spans="1:10" x14ac:dyDescent="0.3">
      <c r="A926" s="2">
        <v>44774</v>
      </c>
      <c r="B926" s="2">
        <v>44779</v>
      </c>
      <c r="C926" t="s">
        <v>2</v>
      </c>
      <c r="D926" s="6">
        <v>250</v>
      </c>
      <c r="E926" s="6">
        <v>187.5</v>
      </c>
      <c r="F926" s="6">
        <v>2</v>
      </c>
      <c r="G926" s="6">
        <v>500</v>
      </c>
      <c r="H926" t="s">
        <v>59</v>
      </c>
      <c r="I926" t="s">
        <v>82</v>
      </c>
      <c r="J926" t="s">
        <v>86</v>
      </c>
    </row>
    <row r="927" spans="1:10" x14ac:dyDescent="0.3">
      <c r="A927" s="2">
        <v>44775</v>
      </c>
      <c r="B927" s="2">
        <v>44779</v>
      </c>
      <c r="C927" t="s">
        <v>6</v>
      </c>
      <c r="D927" s="6">
        <v>99</v>
      </c>
      <c r="E927" s="6">
        <v>62.37</v>
      </c>
      <c r="F927" s="6">
        <v>7</v>
      </c>
      <c r="G927" s="6">
        <v>693</v>
      </c>
      <c r="H927" t="s">
        <v>41</v>
      </c>
      <c r="I927" t="s">
        <v>83</v>
      </c>
      <c r="J927" t="s">
        <v>85</v>
      </c>
    </row>
    <row r="928" spans="1:10" x14ac:dyDescent="0.3">
      <c r="A928" s="2">
        <v>44777</v>
      </c>
      <c r="B928" s="2">
        <v>44778</v>
      </c>
      <c r="C928" t="s">
        <v>7</v>
      </c>
      <c r="D928" s="6">
        <v>250</v>
      </c>
      <c r="E928" s="6">
        <v>167.5</v>
      </c>
      <c r="F928" s="6">
        <v>8</v>
      </c>
      <c r="G928" s="6">
        <v>2000</v>
      </c>
      <c r="H928" t="s">
        <v>70</v>
      </c>
      <c r="I928" t="s">
        <v>81</v>
      </c>
      <c r="J928" t="s">
        <v>85</v>
      </c>
    </row>
    <row r="929" spans="1:10" x14ac:dyDescent="0.3">
      <c r="A929" s="2">
        <v>44779</v>
      </c>
      <c r="B929" s="2">
        <v>44784</v>
      </c>
      <c r="C929" t="s">
        <v>22</v>
      </c>
      <c r="D929" s="6">
        <v>460</v>
      </c>
      <c r="E929" s="6">
        <v>303.60000000000002</v>
      </c>
      <c r="F929" s="6">
        <v>4</v>
      </c>
      <c r="G929" s="6">
        <v>1840</v>
      </c>
      <c r="H929" t="s">
        <v>64</v>
      </c>
      <c r="I929" t="s">
        <v>79</v>
      </c>
      <c r="J929" t="s">
        <v>85</v>
      </c>
    </row>
    <row r="930" spans="1:10" x14ac:dyDescent="0.3">
      <c r="A930" s="2">
        <v>44780</v>
      </c>
      <c r="B930" s="2">
        <v>44784</v>
      </c>
      <c r="C930" t="s">
        <v>8</v>
      </c>
      <c r="D930" s="6">
        <v>59</v>
      </c>
      <c r="E930" s="6">
        <v>41.3</v>
      </c>
      <c r="F930" s="6">
        <v>3</v>
      </c>
      <c r="G930" s="6">
        <v>177</v>
      </c>
      <c r="H930" t="s">
        <v>71</v>
      </c>
      <c r="I930" t="s">
        <v>81</v>
      </c>
      <c r="J930" t="s">
        <v>86</v>
      </c>
    </row>
    <row r="931" spans="1:10" x14ac:dyDescent="0.3">
      <c r="A931" s="2">
        <v>44781</v>
      </c>
      <c r="B931" s="2">
        <v>44785</v>
      </c>
      <c r="C931" t="s">
        <v>12</v>
      </c>
      <c r="D931" s="6">
        <v>320</v>
      </c>
      <c r="E931" s="6">
        <v>233.6</v>
      </c>
      <c r="F931" s="6">
        <v>7</v>
      </c>
      <c r="G931" s="6">
        <v>2240</v>
      </c>
      <c r="H931" t="s">
        <v>53</v>
      </c>
      <c r="I931" t="s">
        <v>80</v>
      </c>
      <c r="J931" t="s">
        <v>86</v>
      </c>
    </row>
    <row r="932" spans="1:10" x14ac:dyDescent="0.3">
      <c r="A932" s="2">
        <v>44781</v>
      </c>
      <c r="B932" s="2">
        <v>44783</v>
      </c>
      <c r="C932" t="s">
        <v>17</v>
      </c>
      <c r="D932" s="6">
        <v>195</v>
      </c>
      <c r="E932" s="6">
        <v>138.44999999999999</v>
      </c>
      <c r="F932" s="6">
        <v>8</v>
      </c>
      <c r="G932" s="6">
        <v>1560</v>
      </c>
      <c r="H932" t="s">
        <v>70</v>
      </c>
      <c r="I932" t="s">
        <v>83</v>
      </c>
      <c r="J932" t="s">
        <v>85</v>
      </c>
    </row>
    <row r="933" spans="1:10" x14ac:dyDescent="0.3">
      <c r="A933" s="2">
        <v>44781</v>
      </c>
      <c r="B933" s="2">
        <v>44783</v>
      </c>
      <c r="C933" t="s">
        <v>8</v>
      </c>
      <c r="D933" s="6">
        <v>59</v>
      </c>
      <c r="E933" s="6">
        <v>41.3</v>
      </c>
      <c r="F933" s="6">
        <v>7</v>
      </c>
      <c r="G933" s="6">
        <v>413</v>
      </c>
      <c r="H933" t="s">
        <v>72</v>
      </c>
      <c r="I933" t="s">
        <v>82</v>
      </c>
      <c r="J933" t="s">
        <v>86</v>
      </c>
    </row>
    <row r="934" spans="1:10" x14ac:dyDescent="0.3">
      <c r="A934" s="2">
        <v>44784</v>
      </c>
      <c r="B934" s="2">
        <v>44785</v>
      </c>
      <c r="C934" t="s">
        <v>17</v>
      </c>
      <c r="D934" s="6">
        <v>195</v>
      </c>
      <c r="E934" s="6">
        <v>138.44999999999999</v>
      </c>
      <c r="F934" s="6">
        <v>6</v>
      </c>
      <c r="G934" s="6">
        <v>1170</v>
      </c>
      <c r="H934" t="s">
        <v>50</v>
      </c>
      <c r="I934" t="s">
        <v>81</v>
      </c>
      <c r="J934" t="s">
        <v>85</v>
      </c>
    </row>
    <row r="935" spans="1:10" x14ac:dyDescent="0.3">
      <c r="A935" s="2">
        <v>44784</v>
      </c>
      <c r="B935" s="2">
        <v>44788</v>
      </c>
      <c r="C935" t="s">
        <v>14</v>
      </c>
      <c r="D935" s="6">
        <v>375</v>
      </c>
      <c r="E935" s="6">
        <v>247.5</v>
      </c>
      <c r="F935" s="6">
        <v>8</v>
      </c>
      <c r="G935" s="6">
        <v>3000</v>
      </c>
      <c r="H935" t="s">
        <v>53</v>
      </c>
      <c r="I935" t="s">
        <v>81</v>
      </c>
      <c r="J935" t="s">
        <v>85</v>
      </c>
    </row>
    <row r="936" spans="1:10" x14ac:dyDescent="0.3">
      <c r="A936" s="2">
        <v>44784</v>
      </c>
      <c r="B936" s="2">
        <v>44788</v>
      </c>
      <c r="C936" t="s">
        <v>15</v>
      </c>
      <c r="D936" s="6">
        <v>110</v>
      </c>
      <c r="E936" s="6">
        <v>78.099999999999994</v>
      </c>
      <c r="F936" s="6">
        <v>9</v>
      </c>
      <c r="G936" s="6">
        <v>990</v>
      </c>
      <c r="H936" t="s">
        <v>41</v>
      </c>
      <c r="I936" t="s">
        <v>83</v>
      </c>
      <c r="J936" t="s">
        <v>85</v>
      </c>
    </row>
    <row r="937" spans="1:10" x14ac:dyDescent="0.3">
      <c r="A937" s="2">
        <v>44786</v>
      </c>
      <c r="B937" s="2">
        <v>44791</v>
      </c>
      <c r="C937" t="s">
        <v>10</v>
      </c>
      <c r="D937" s="6">
        <v>390</v>
      </c>
      <c r="E937" s="6">
        <v>253.5</v>
      </c>
      <c r="F937" s="6">
        <v>7</v>
      </c>
      <c r="G937" s="6">
        <v>2730</v>
      </c>
      <c r="H937" t="s">
        <v>74</v>
      </c>
      <c r="I937" t="s">
        <v>83</v>
      </c>
      <c r="J937" t="s">
        <v>85</v>
      </c>
    </row>
    <row r="938" spans="1:10" x14ac:dyDescent="0.3">
      <c r="A938" s="2">
        <v>44787</v>
      </c>
      <c r="B938" s="2">
        <v>44790</v>
      </c>
      <c r="C938" t="s">
        <v>4</v>
      </c>
      <c r="D938" s="6">
        <v>390</v>
      </c>
      <c r="E938" s="6">
        <v>288.60000000000002</v>
      </c>
      <c r="F938" s="6">
        <v>9</v>
      </c>
      <c r="G938" s="6">
        <v>3510</v>
      </c>
      <c r="H938" t="s">
        <v>54</v>
      </c>
      <c r="I938" t="s">
        <v>82</v>
      </c>
      <c r="J938" t="s">
        <v>85</v>
      </c>
    </row>
    <row r="939" spans="1:10" x14ac:dyDescent="0.3">
      <c r="A939" s="2">
        <v>44787</v>
      </c>
      <c r="B939" s="2">
        <v>44788</v>
      </c>
      <c r="C939" t="s">
        <v>2</v>
      </c>
      <c r="D939" s="6">
        <v>250</v>
      </c>
      <c r="E939" s="6">
        <v>187.5</v>
      </c>
      <c r="F939" s="6">
        <v>4</v>
      </c>
      <c r="G939" s="6">
        <v>1000</v>
      </c>
      <c r="H939" t="s">
        <v>43</v>
      </c>
      <c r="I939" t="s">
        <v>81</v>
      </c>
      <c r="J939" t="s">
        <v>86</v>
      </c>
    </row>
    <row r="940" spans="1:10" x14ac:dyDescent="0.3">
      <c r="A940" s="2">
        <v>44787</v>
      </c>
      <c r="B940" s="2">
        <v>44791</v>
      </c>
      <c r="C940" t="s">
        <v>19</v>
      </c>
      <c r="D940" s="6">
        <v>220</v>
      </c>
      <c r="E940" s="6">
        <v>154</v>
      </c>
      <c r="F940" s="6">
        <v>6</v>
      </c>
      <c r="G940" s="6">
        <v>1320</v>
      </c>
      <c r="H940" t="s">
        <v>68</v>
      </c>
      <c r="I940" t="s">
        <v>82</v>
      </c>
      <c r="J940" t="s">
        <v>86</v>
      </c>
    </row>
    <row r="941" spans="1:10" x14ac:dyDescent="0.3">
      <c r="A941" s="2">
        <v>44789</v>
      </c>
      <c r="B941" s="2">
        <v>44791</v>
      </c>
      <c r="C941" t="s">
        <v>5</v>
      </c>
      <c r="D941" s="6">
        <v>290</v>
      </c>
      <c r="E941" s="6">
        <v>185.6</v>
      </c>
      <c r="F941" s="6">
        <v>4</v>
      </c>
      <c r="G941" s="6">
        <v>1160</v>
      </c>
      <c r="H941" t="s">
        <v>44</v>
      </c>
      <c r="I941" t="s">
        <v>82</v>
      </c>
      <c r="J941" t="s">
        <v>86</v>
      </c>
    </row>
    <row r="942" spans="1:10" x14ac:dyDescent="0.3">
      <c r="A942" s="2">
        <v>44789</v>
      </c>
      <c r="B942" s="2">
        <v>44794</v>
      </c>
      <c r="C942" t="s">
        <v>17</v>
      </c>
      <c r="D942" s="6">
        <v>195</v>
      </c>
      <c r="E942" s="6">
        <v>138.44999999999999</v>
      </c>
      <c r="F942" s="6">
        <v>6</v>
      </c>
      <c r="G942" s="6">
        <v>1170</v>
      </c>
      <c r="H942" t="s">
        <v>61</v>
      </c>
      <c r="I942" t="s">
        <v>83</v>
      </c>
      <c r="J942" t="s">
        <v>86</v>
      </c>
    </row>
    <row r="943" spans="1:10" x14ac:dyDescent="0.3">
      <c r="A943" s="2">
        <v>44791</v>
      </c>
      <c r="B943" s="2">
        <v>44797</v>
      </c>
      <c r="C943" t="s">
        <v>12</v>
      </c>
      <c r="D943" s="6">
        <v>320</v>
      </c>
      <c r="E943" s="6">
        <v>233.6</v>
      </c>
      <c r="F943" s="6">
        <v>2</v>
      </c>
      <c r="G943" s="6">
        <v>640</v>
      </c>
      <c r="H943" t="s">
        <v>33</v>
      </c>
      <c r="I943" t="s">
        <v>79</v>
      </c>
      <c r="J943" t="s">
        <v>86</v>
      </c>
    </row>
    <row r="944" spans="1:10" x14ac:dyDescent="0.3">
      <c r="A944" s="2">
        <v>44791</v>
      </c>
      <c r="B944" s="2">
        <v>44798</v>
      </c>
      <c r="C944" t="s">
        <v>12</v>
      </c>
      <c r="D944" s="6">
        <v>320</v>
      </c>
      <c r="E944" s="6">
        <v>233.6</v>
      </c>
      <c r="F944" s="6">
        <v>6</v>
      </c>
      <c r="G944" s="6">
        <v>1920</v>
      </c>
      <c r="H944" t="s">
        <v>75</v>
      </c>
      <c r="I944" t="s">
        <v>80</v>
      </c>
      <c r="J944" t="s">
        <v>86</v>
      </c>
    </row>
    <row r="945" spans="1:10" x14ac:dyDescent="0.3">
      <c r="A945" s="2">
        <v>44792</v>
      </c>
      <c r="B945" s="2">
        <v>44793</v>
      </c>
      <c r="C945" t="s">
        <v>11</v>
      </c>
      <c r="D945" s="6">
        <v>490</v>
      </c>
      <c r="E945" s="6">
        <v>298.89999999999998</v>
      </c>
      <c r="F945" s="6">
        <v>4</v>
      </c>
      <c r="G945" s="6">
        <v>1960</v>
      </c>
      <c r="H945" t="s">
        <v>43</v>
      </c>
      <c r="I945" t="s">
        <v>83</v>
      </c>
      <c r="J945" t="s">
        <v>86</v>
      </c>
    </row>
    <row r="946" spans="1:10" x14ac:dyDescent="0.3">
      <c r="A946" s="2">
        <v>44792</v>
      </c>
      <c r="B946" s="2">
        <v>44798</v>
      </c>
      <c r="C946" t="s">
        <v>4</v>
      </c>
      <c r="D946" s="6">
        <v>390</v>
      </c>
      <c r="E946" s="6">
        <v>288.60000000000002</v>
      </c>
      <c r="F946" s="6">
        <v>1</v>
      </c>
      <c r="G946" s="6">
        <v>390</v>
      </c>
      <c r="H946" t="s">
        <v>37</v>
      </c>
      <c r="I946" t="s">
        <v>83</v>
      </c>
      <c r="J946" t="s">
        <v>86</v>
      </c>
    </row>
    <row r="947" spans="1:10" x14ac:dyDescent="0.3">
      <c r="A947" s="2">
        <v>44793</v>
      </c>
      <c r="B947" s="2">
        <v>44796</v>
      </c>
      <c r="C947" t="s">
        <v>22</v>
      </c>
      <c r="D947" s="6">
        <v>460</v>
      </c>
      <c r="E947" s="6">
        <v>303.60000000000002</v>
      </c>
      <c r="F947" s="6">
        <v>8</v>
      </c>
      <c r="G947" s="6">
        <v>3680</v>
      </c>
      <c r="H947" t="s">
        <v>54</v>
      </c>
      <c r="I947" t="s">
        <v>81</v>
      </c>
      <c r="J947" t="s">
        <v>85</v>
      </c>
    </row>
    <row r="948" spans="1:10" x14ac:dyDescent="0.3">
      <c r="A948" s="2">
        <v>44794</v>
      </c>
      <c r="B948" s="2">
        <v>44796</v>
      </c>
      <c r="C948" t="s">
        <v>14</v>
      </c>
      <c r="D948" s="6">
        <v>375</v>
      </c>
      <c r="E948" s="6">
        <v>247.5</v>
      </c>
      <c r="F948" s="6">
        <v>3</v>
      </c>
      <c r="G948" s="6">
        <v>1125</v>
      </c>
      <c r="H948" t="s">
        <v>62</v>
      </c>
      <c r="I948" t="s">
        <v>82</v>
      </c>
      <c r="J948" t="s">
        <v>85</v>
      </c>
    </row>
    <row r="949" spans="1:10" x14ac:dyDescent="0.3">
      <c r="A949" s="2">
        <v>44794</v>
      </c>
      <c r="B949" s="2">
        <v>44799</v>
      </c>
      <c r="C949" t="s">
        <v>3</v>
      </c>
      <c r="D949" s="6">
        <v>95</v>
      </c>
      <c r="E949" s="6">
        <v>60.800000000000004</v>
      </c>
      <c r="F949" s="6">
        <v>5</v>
      </c>
      <c r="G949" s="6">
        <v>475</v>
      </c>
      <c r="H949" t="s">
        <v>53</v>
      </c>
      <c r="I949" t="s">
        <v>80</v>
      </c>
      <c r="J949" t="s">
        <v>86</v>
      </c>
    </row>
    <row r="950" spans="1:10" x14ac:dyDescent="0.3">
      <c r="A950" s="2">
        <v>44794</v>
      </c>
      <c r="B950" s="2">
        <v>44801</v>
      </c>
      <c r="C950" t="s">
        <v>13</v>
      </c>
      <c r="D950" s="6">
        <v>445</v>
      </c>
      <c r="E950" s="6">
        <v>280.35000000000002</v>
      </c>
      <c r="F950" s="6">
        <v>6</v>
      </c>
      <c r="G950" s="6">
        <v>2670</v>
      </c>
      <c r="H950" t="s">
        <v>46</v>
      </c>
      <c r="I950" t="s">
        <v>80</v>
      </c>
      <c r="J950" t="s">
        <v>85</v>
      </c>
    </row>
    <row r="951" spans="1:10" x14ac:dyDescent="0.3">
      <c r="A951" s="2">
        <v>44795</v>
      </c>
      <c r="B951" s="2">
        <v>44802</v>
      </c>
      <c r="C951" t="s">
        <v>22</v>
      </c>
      <c r="D951" s="6">
        <v>460</v>
      </c>
      <c r="E951" s="6">
        <v>303.60000000000002</v>
      </c>
      <c r="F951" s="6">
        <v>7</v>
      </c>
      <c r="G951" s="6">
        <v>3220</v>
      </c>
      <c r="H951" t="s">
        <v>76</v>
      </c>
      <c r="I951" t="s">
        <v>80</v>
      </c>
      <c r="J951" t="s">
        <v>86</v>
      </c>
    </row>
    <row r="952" spans="1:10" x14ac:dyDescent="0.3">
      <c r="A952" s="2">
        <v>44795</v>
      </c>
      <c r="B952" s="2">
        <v>44802</v>
      </c>
      <c r="C952" t="s">
        <v>6</v>
      </c>
      <c r="D952" s="6">
        <v>99</v>
      </c>
      <c r="E952" s="6">
        <v>62.37</v>
      </c>
      <c r="F952" s="6">
        <v>8</v>
      </c>
      <c r="G952" s="6">
        <v>792</v>
      </c>
      <c r="H952" t="s">
        <v>38</v>
      </c>
      <c r="I952" t="s">
        <v>80</v>
      </c>
      <c r="J952" t="s">
        <v>85</v>
      </c>
    </row>
    <row r="953" spans="1:10" x14ac:dyDescent="0.3">
      <c r="A953" s="2">
        <v>44795</v>
      </c>
      <c r="B953" s="2">
        <v>44797</v>
      </c>
      <c r="C953" t="s">
        <v>20</v>
      </c>
      <c r="D953" s="6">
        <v>440</v>
      </c>
      <c r="E953" s="6">
        <v>286</v>
      </c>
      <c r="F953" s="6">
        <v>7</v>
      </c>
      <c r="G953" s="6">
        <v>3080</v>
      </c>
      <c r="H953" t="s">
        <v>56</v>
      </c>
      <c r="I953" t="s">
        <v>83</v>
      </c>
      <c r="J953" t="s">
        <v>86</v>
      </c>
    </row>
    <row r="954" spans="1:10" x14ac:dyDescent="0.3">
      <c r="A954" s="2">
        <v>44795</v>
      </c>
      <c r="B954" s="2">
        <v>44801</v>
      </c>
      <c r="C954" t="s">
        <v>12</v>
      </c>
      <c r="D954" s="6">
        <v>320</v>
      </c>
      <c r="E954" s="6">
        <v>233.6</v>
      </c>
      <c r="F954" s="6">
        <v>2</v>
      </c>
      <c r="G954" s="6">
        <v>640</v>
      </c>
      <c r="H954" t="s">
        <v>39</v>
      </c>
      <c r="I954" t="s">
        <v>82</v>
      </c>
      <c r="J954" t="s">
        <v>86</v>
      </c>
    </row>
    <row r="955" spans="1:10" x14ac:dyDescent="0.3">
      <c r="A955" s="2">
        <v>44796</v>
      </c>
      <c r="B955" s="2">
        <v>44802</v>
      </c>
      <c r="C955" t="s">
        <v>7</v>
      </c>
      <c r="D955" s="6">
        <v>250</v>
      </c>
      <c r="E955" s="6">
        <v>167.5</v>
      </c>
      <c r="F955" s="6">
        <v>9</v>
      </c>
      <c r="G955" s="6">
        <v>2250</v>
      </c>
      <c r="H955" t="s">
        <v>54</v>
      </c>
      <c r="I955" t="s">
        <v>83</v>
      </c>
      <c r="J955" t="s">
        <v>85</v>
      </c>
    </row>
    <row r="956" spans="1:10" x14ac:dyDescent="0.3">
      <c r="A956" s="2">
        <v>44796</v>
      </c>
      <c r="B956" s="2">
        <v>44800</v>
      </c>
      <c r="C956" t="s">
        <v>20</v>
      </c>
      <c r="D956" s="6">
        <v>440</v>
      </c>
      <c r="E956" s="6">
        <v>286</v>
      </c>
      <c r="F956" s="6">
        <v>9</v>
      </c>
      <c r="G956" s="6">
        <v>3960</v>
      </c>
      <c r="H956" t="s">
        <v>60</v>
      </c>
      <c r="I956" t="s">
        <v>81</v>
      </c>
      <c r="J956" t="s">
        <v>85</v>
      </c>
    </row>
    <row r="957" spans="1:10" x14ac:dyDescent="0.3">
      <c r="A957" s="2">
        <v>44796</v>
      </c>
      <c r="B957" s="2">
        <v>44799</v>
      </c>
      <c r="C957" t="s">
        <v>18</v>
      </c>
      <c r="D957" s="6">
        <v>80</v>
      </c>
      <c r="E957" s="6">
        <v>48.8</v>
      </c>
      <c r="F957" s="6">
        <v>8</v>
      </c>
      <c r="G957" s="6">
        <v>640</v>
      </c>
      <c r="H957" t="s">
        <v>46</v>
      </c>
      <c r="I957" t="s">
        <v>80</v>
      </c>
      <c r="J957" t="s">
        <v>86</v>
      </c>
    </row>
    <row r="958" spans="1:10" x14ac:dyDescent="0.3">
      <c r="A958" s="2">
        <v>44797</v>
      </c>
      <c r="B958" s="2">
        <v>44803</v>
      </c>
      <c r="C958" t="s">
        <v>19</v>
      </c>
      <c r="D958" s="6">
        <v>220</v>
      </c>
      <c r="E958" s="6">
        <v>154</v>
      </c>
      <c r="F958" s="6">
        <v>7</v>
      </c>
      <c r="G958" s="6">
        <v>1540</v>
      </c>
      <c r="H958" t="s">
        <v>61</v>
      </c>
      <c r="I958" t="s">
        <v>81</v>
      </c>
      <c r="J958" t="s">
        <v>85</v>
      </c>
    </row>
    <row r="959" spans="1:10" x14ac:dyDescent="0.3">
      <c r="A959" s="2">
        <v>44798</v>
      </c>
      <c r="B959" s="2">
        <v>44800</v>
      </c>
      <c r="C959" t="s">
        <v>10</v>
      </c>
      <c r="D959" s="6">
        <v>390</v>
      </c>
      <c r="E959" s="6">
        <v>253.5</v>
      </c>
      <c r="F959" s="6">
        <v>7</v>
      </c>
      <c r="G959" s="6">
        <v>2730</v>
      </c>
      <c r="H959" t="s">
        <v>65</v>
      </c>
      <c r="I959" t="s">
        <v>79</v>
      </c>
      <c r="J959" t="s">
        <v>86</v>
      </c>
    </row>
    <row r="960" spans="1:10" x14ac:dyDescent="0.3">
      <c r="A960" s="2">
        <v>44798</v>
      </c>
      <c r="B960" s="2">
        <v>44804</v>
      </c>
      <c r="C960" t="s">
        <v>4</v>
      </c>
      <c r="D960" s="6">
        <v>390</v>
      </c>
      <c r="E960" s="6">
        <v>288.60000000000002</v>
      </c>
      <c r="F960" s="6">
        <v>1</v>
      </c>
      <c r="G960" s="6">
        <v>390</v>
      </c>
      <c r="H960" t="s">
        <v>42</v>
      </c>
      <c r="I960" t="s">
        <v>79</v>
      </c>
      <c r="J960" t="s">
        <v>86</v>
      </c>
    </row>
    <row r="961" spans="1:10" x14ac:dyDescent="0.3">
      <c r="A961" s="2">
        <v>44799</v>
      </c>
      <c r="B961" s="2">
        <v>44803</v>
      </c>
      <c r="C961" t="s">
        <v>16</v>
      </c>
      <c r="D961" s="6">
        <v>145</v>
      </c>
      <c r="E961" s="6">
        <v>105.85</v>
      </c>
      <c r="F961" s="6">
        <v>1</v>
      </c>
      <c r="G961" s="6">
        <v>145</v>
      </c>
      <c r="H961" t="s">
        <v>32</v>
      </c>
      <c r="I961" t="s">
        <v>82</v>
      </c>
      <c r="J961" t="s">
        <v>86</v>
      </c>
    </row>
    <row r="962" spans="1:10" x14ac:dyDescent="0.3">
      <c r="A962" s="2">
        <v>44799</v>
      </c>
      <c r="B962" s="2">
        <v>44801</v>
      </c>
      <c r="C962" t="s">
        <v>22</v>
      </c>
      <c r="D962" s="6">
        <v>460</v>
      </c>
      <c r="E962" s="6">
        <v>303.60000000000002</v>
      </c>
      <c r="F962" s="6">
        <v>9</v>
      </c>
      <c r="G962" s="6">
        <v>4140</v>
      </c>
      <c r="H962" t="s">
        <v>64</v>
      </c>
      <c r="I962" t="s">
        <v>83</v>
      </c>
      <c r="J962" t="s">
        <v>85</v>
      </c>
    </row>
    <row r="963" spans="1:10" x14ac:dyDescent="0.3">
      <c r="A963" s="2">
        <v>44800</v>
      </c>
      <c r="B963" s="2">
        <v>44801</v>
      </c>
      <c r="C963" t="s">
        <v>6</v>
      </c>
      <c r="D963" s="6">
        <v>99</v>
      </c>
      <c r="E963" s="6">
        <v>62.37</v>
      </c>
      <c r="F963" s="6">
        <v>7</v>
      </c>
      <c r="G963" s="6">
        <v>693</v>
      </c>
      <c r="H963" t="s">
        <v>38</v>
      </c>
      <c r="I963" t="s">
        <v>82</v>
      </c>
      <c r="J963" t="s">
        <v>86</v>
      </c>
    </row>
    <row r="964" spans="1:10" x14ac:dyDescent="0.3">
      <c r="A964" s="2">
        <v>44800</v>
      </c>
      <c r="B964" s="2">
        <v>44802</v>
      </c>
      <c r="C964" t="s">
        <v>12</v>
      </c>
      <c r="D964" s="6">
        <v>320</v>
      </c>
      <c r="E964" s="6">
        <v>233.6</v>
      </c>
      <c r="F964" s="6">
        <v>1</v>
      </c>
      <c r="G964" s="6">
        <v>320</v>
      </c>
      <c r="H964" t="s">
        <v>70</v>
      </c>
      <c r="I964" t="s">
        <v>80</v>
      </c>
      <c r="J964" t="s">
        <v>85</v>
      </c>
    </row>
    <row r="965" spans="1:10" x14ac:dyDescent="0.3">
      <c r="A965" s="2">
        <v>44801</v>
      </c>
      <c r="B965" s="2">
        <v>44807</v>
      </c>
      <c r="C965" t="s">
        <v>8</v>
      </c>
      <c r="D965" s="6">
        <v>59</v>
      </c>
      <c r="E965" s="6">
        <v>41.3</v>
      </c>
      <c r="F965" s="6">
        <v>4</v>
      </c>
      <c r="G965" s="6">
        <v>236</v>
      </c>
      <c r="H965" t="s">
        <v>42</v>
      </c>
      <c r="I965" t="s">
        <v>83</v>
      </c>
      <c r="J965" t="s">
        <v>85</v>
      </c>
    </row>
    <row r="966" spans="1:10" x14ac:dyDescent="0.3">
      <c r="A966" s="2">
        <v>44801</v>
      </c>
      <c r="B966" s="2">
        <v>44803</v>
      </c>
      <c r="C966" t="s">
        <v>16</v>
      </c>
      <c r="D966" s="6">
        <v>145</v>
      </c>
      <c r="E966" s="6">
        <v>105.85</v>
      </c>
      <c r="F966" s="6">
        <v>7</v>
      </c>
      <c r="G966" s="6">
        <v>1015</v>
      </c>
      <c r="H966" t="s">
        <v>48</v>
      </c>
      <c r="I966" t="s">
        <v>81</v>
      </c>
      <c r="J966" t="s">
        <v>86</v>
      </c>
    </row>
    <row r="967" spans="1:10" x14ac:dyDescent="0.3">
      <c r="A967" s="2">
        <v>44802</v>
      </c>
      <c r="B967" s="2">
        <v>44803</v>
      </c>
      <c r="C967" t="s">
        <v>21</v>
      </c>
      <c r="D967" s="6">
        <v>355</v>
      </c>
      <c r="E967" s="6">
        <v>252.04999999999998</v>
      </c>
      <c r="F967" s="6">
        <v>9</v>
      </c>
      <c r="G967" s="6">
        <v>3195</v>
      </c>
      <c r="H967" t="s">
        <v>70</v>
      </c>
      <c r="I967" t="s">
        <v>79</v>
      </c>
      <c r="J967" t="s">
        <v>85</v>
      </c>
    </row>
    <row r="968" spans="1:10" x14ac:dyDescent="0.3">
      <c r="A968" s="2">
        <v>44802</v>
      </c>
      <c r="B968" s="2">
        <v>44804</v>
      </c>
      <c r="C968" t="s">
        <v>13</v>
      </c>
      <c r="D968" s="6">
        <v>445</v>
      </c>
      <c r="E968" s="6">
        <v>280.35000000000002</v>
      </c>
      <c r="F968" s="6">
        <v>1</v>
      </c>
      <c r="G968" s="6">
        <v>445</v>
      </c>
      <c r="H968" t="s">
        <v>37</v>
      </c>
      <c r="I968" t="s">
        <v>80</v>
      </c>
      <c r="J968" t="s">
        <v>85</v>
      </c>
    </row>
    <row r="969" spans="1:10" x14ac:dyDescent="0.3">
      <c r="A969" s="2">
        <v>44802</v>
      </c>
      <c r="B969" s="2">
        <v>44803</v>
      </c>
      <c r="C969" t="s">
        <v>21</v>
      </c>
      <c r="D969" s="6">
        <v>355</v>
      </c>
      <c r="E969" s="6">
        <v>252.04999999999998</v>
      </c>
      <c r="F969" s="6">
        <v>7</v>
      </c>
      <c r="G969" s="6">
        <v>2485</v>
      </c>
      <c r="H969" t="s">
        <v>60</v>
      </c>
      <c r="I969" t="s">
        <v>80</v>
      </c>
      <c r="J969" t="s">
        <v>86</v>
      </c>
    </row>
    <row r="970" spans="1:10" x14ac:dyDescent="0.3">
      <c r="A970" s="2">
        <v>44802</v>
      </c>
      <c r="B970" s="2">
        <v>44803</v>
      </c>
      <c r="C970" t="s">
        <v>4</v>
      </c>
      <c r="D970" s="6">
        <v>390</v>
      </c>
      <c r="E970" s="6">
        <v>288.60000000000002</v>
      </c>
      <c r="F970" s="6">
        <v>7</v>
      </c>
      <c r="G970" s="6">
        <v>2730</v>
      </c>
      <c r="H970" t="s">
        <v>60</v>
      </c>
      <c r="I970" t="s">
        <v>81</v>
      </c>
      <c r="J970" t="s">
        <v>86</v>
      </c>
    </row>
    <row r="971" spans="1:10" x14ac:dyDescent="0.3">
      <c r="A971" s="2">
        <v>44804</v>
      </c>
      <c r="B971" s="2">
        <v>44809</v>
      </c>
      <c r="C971" t="s">
        <v>12</v>
      </c>
      <c r="D971" s="6">
        <v>320</v>
      </c>
      <c r="E971" s="6">
        <v>233.6</v>
      </c>
      <c r="F971" s="6">
        <v>8</v>
      </c>
      <c r="G971" s="6">
        <v>2560</v>
      </c>
      <c r="H971" t="s">
        <v>38</v>
      </c>
      <c r="I971" t="s">
        <v>82</v>
      </c>
      <c r="J971" t="s">
        <v>85</v>
      </c>
    </row>
    <row r="972" spans="1:10" x14ac:dyDescent="0.3">
      <c r="A972" s="2">
        <v>44805</v>
      </c>
      <c r="B972" s="2">
        <v>44812</v>
      </c>
      <c r="C972" t="s">
        <v>19</v>
      </c>
      <c r="D972" s="6">
        <v>220</v>
      </c>
      <c r="E972" s="6">
        <v>154</v>
      </c>
      <c r="F972" s="6">
        <v>1</v>
      </c>
      <c r="G972" s="6">
        <v>220</v>
      </c>
      <c r="H972" t="s">
        <v>47</v>
      </c>
      <c r="I972" t="s">
        <v>82</v>
      </c>
      <c r="J972" t="s">
        <v>85</v>
      </c>
    </row>
    <row r="973" spans="1:10" x14ac:dyDescent="0.3">
      <c r="A973" s="2">
        <v>44805</v>
      </c>
      <c r="B973" s="2">
        <v>44811</v>
      </c>
      <c r="C973" t="s">
        <v>12</v>
      </c>
      <c r="D973" s="6">
        <v>320</v>
      </c>
      <c r="E973" s="6">
        <v>233.6</v>
      </c>
      <c r="F973" s="6">
        <v>8</v>
      </c>
      <c r="G973" s="6">
        <v>2560</v>
      </c>
      <c r="H973" t="s">
        <v>65</v>
      </c>
      <c r="I973" t="s">
        <v>81</v>
      </c>
      <c r="J973" t="s">
        <v>86</v>
      </c>
    </row>
    <row r="974" spans="1:10" x14ac:dyDescent="0.3">
      <c r="A974" s="2">
        <v>44806</v>
      </c>
      <c r="B974" s="2">
        <v>44811</v>
      </c>
      <c r="C974" t="s">
        <v>7</v>
      </c>
      <c r="D974" s="6">
        <v>250</v>
      </c>
      <c r="E974" s="6">
        <v>167.5</v>
      </c>
      <c r="F974" s="6">
        <v>3</v>
      </c>
      <c r="G974" s="6">
        <v>750</v>
      </c>
      <c r="H974" t="s">
        <v>33</v>
      </c>
      <c r="I974" t="s">
        <v>83</v>
      </c>
      <c r="J974" t="s">
        <v>85</v>
      </c>
    </row>
    <row r="975" spans="1:10" x14ac:dyDescent="0.3">
      <c r="A975" s="2">
        <v>44808</v>
      </c>
      <c r="B975" s="2">
        <v>44813</v>
      </c>
      <c r="C975" t="s">
        <v>17</v>
      </c>
      <c r="D975" s="6">
        <v>195</v>
      </c>
      <c r="E975" s="6">
        <v>138.44999999999999</v>
      </c>
      <c r="F975" s="6">
        <v>8</v>
      </c>
      <c r="G975" s="6">
        <v>1560</v>
      </c>
      <c r="H975" t="s">
        <v>36</v>
      </c>
      <c r="I975" t="s">
        <v>83</v>
      </c>
      <c r="J975" t="s">
        <v>85</v>
      </c>
    </row>
    <row r="976" spans="1:10" x14ac:dyDescent="0.3">
      <c r="A976" s="2">
        <v>44810</v>
      </c>
      <c r="B976" s="2">
        <v>44816</v>
      </c>
      <c r="C976" t="s">
        <v>2</v>
      </c>
      <c r="D976" s="6">
        <v>250</v>
      </c>
      <c r="E976" s="6">
        <v>187.5</v>
      </c>
      <c r="F976" s="6">
        <v>8</v>
      </c>
      <c r="G976" s="6">
        <v>2000</v>
      </c>
      <c r="H976" t="s">
        <v>71</v>
      </c>
      <c r="I976" t="s">
        <v>79</v>
      </c>
      <c r="J976" t="s">
        <v>85</v>
      </c>
    </row>
    <row r="977" spans="1:10" x14ac:dyDescent="0.3">
      <c r="A977" s="2">
        <v>44810</v>
      </c>
      <c r="B977" s="2">
        <v>44813</v>
      </c>
      <c r="C977" t="s">
        <v>14</v>
      </c>
      <c r="D977" s="6">
        <v>375</v>
      </c>
      <c r="E977" s="6">
        <v>247.5</v>
      </c>
      <c r="F977" s="6">
        <v>6</v>
      </c>
      <c r="G977" s="6">
        <v>2250</v>
      </c>
      <c r="H977" t="s">
        <v>33</v>
      </c>
      <c r="I977" t="s">
        <v>83</v>
      </c>
      <c r="J977" t="s">
        <v>85</v>
      </c>
    </row>
    <row r="978" spans="1:10" x14ac:dyDescent="0.3">
      <c r="A978" s="2">
        <v>44810</v>
      </c>
      <c r="B978" s="2">
        <v>44814</v>
      </c>
      <c r="C978" t="s">
        <v>19</v>
      </c>
      <c r="D978" s="6">
        <v>220</v>
      </c>
      <c r="E978" s="6">
        <v>154</v>
      </c>
      <c r="F978" s="6">
        <v>9</v>
      </c>
      <c r="G978" s="6">
        <v>1980</v>
      </c>
      <c r="H978" t="s">
        <v>56</v>
      </c>
      <c r="I978" t="s">
        <v>81</v>
      </c>
      <c r="J978" t="s">
        <v>86</v>
      </c>
    </row>
    <row r="979" spans="1:10" x14ac:dyDescent="0.3">
      <c r="A979" s="2">
        <v>44810</v>
      </c>
      <c r="B979" s="2">
        <v>44814</v>
      </c>
      <c r="C979" t="s">
        <v>23</v>
      </c>
      <c r="D979" s="6">
        <v>275</v>
      </c>
      <c r="E979" s="6">
        <v>200.75</v>
      </c>
      <c r="F979" s="6">
        <v>8</v>
      </c>
      <c r="G979" s="6">
        <v>2200</v>
      </c>
      <c r="H979" t="s">
        <v>62</v>
      </c>
      <c r="I979" t="s">
        <v>80</v>
      </c>
      <c r="J979" t="s">
        <v>85</v>
      </c>
    </row>
    <row r="980" spans="1:10" x14ac:dyDescent="0.3">
      <c r="A980" s="2">
        <v>44810</v>
      </c>
      <c r="B980" s="2">
        <v>44816</v>
      </c>
      <c r="C980" t="s">
        <v>15</v>
      </c>
      <c r="D980" s="6">
        <v>110</v>
      </c>
      <c r="E980" s="6">
        <v>78.099999999999994</v>
      </c>
      <c r="F980" s="6">
        <v>9</v>
      </c>
      <c r="G980" s="6">
        <v>990</v>
      </c>
      <c r="H980" t="s">
        <v>60</v>
      </c>
      <c r="I980" t="s">
        <v>81</v>
      </c>
      <c r="J980" t="s">
        <v>85</v>
      </c>
    </row>
    <row r="981" spans="1:10" x14ac:dyDescent="0.3">
      <c r="A981" s="2">
        <v>44811</v>
      </c>
      <c r="B981" s="2">
        <v>44814</v>
      </c>
      <c r="C981" t="s">
        <v>9</v>
      </c>
      <c r="D981" s="6">
        <v>215</v>
      </c>
      <c r="E981" s="6">
        <v>152.65</v>
      </c>
      <c r="F981" s="6">
        <v>4</v>
      </c>
      <c r="G981" s="6">
        <v>860</v>
      </c>
      <c r="H981" t="s">
        <v>37</v>
      </c>
      <c r="I981" t="s">
        <v>80</v>
      </c>
      <c r="J981" t="s">
        <v>86</v>
      </c>
    </row>
    <row r="982" spans="1:10" x14ac:dyDescent="0.3">
      <c r="A982" s="2">
        <v>44811</v>
      </c>
      <c r="B982" s="2">
        <v>44818</v>
      </c>
      <c r="C982" t="s">
        <v>22</v>
      </c>
      <c r="D982" s="6">
        <v>460</v>
      </c>
      <c r="E982" s="6">
        <v>303.60000000000002</v>
      </c>
      <c r="F982" s="6">
        <v>7</v>
      </c>
      <c r="G982" s="6">
        <v>3220</v>
      </c>
      <c r="H982" t="s">
        <v>44</v>
      </c>
      <c r="I982" t="s">
        <v>79</v>
      </c>
      <c r="J982" t="s">
        <v>86</v>
      </c>
    </row>
    <row r="983" spans="1:10" x14ac:dyDescent="0.3">
      <c r="A983" s="2">
        <v>44814</v>
      </c>
      <c r="B983" s="2">
        <v>44820</v>
      </c>
      <c r="C983" t="s">
        <v>7</v>
      </c>
      <c r="D983" s="6">
        <v>250</v>
      </c>
      <c r="E983" s="6">
        <v>167.5</v>
      </c>
      <c r="F983" s="6">
        <v>3</v>
      </c>
      <c r="G983" s="6">
        <v>750</v>
      </c>
      <c r="H983" t="s">
        <v>44</v>
      </c>
      <c r="I983" t="s">
        <v>79</v>
      </c>
      <c r="J983" t="s">
        <v>85</v>
      </c>
    </row>
    <row r="984" spans="1:10" x14ac:dyDescent="0.3">
      <c r="A984" s="2">
        <v>44815</v>
      </c>
      <c r="B984" s="2">
        <v>44820</v>
      </c>
      <c r="C984" t="s">
        <v>19</v>
      </c>
      <c r="D984" s="6">
        <v>220</v>
      </c>
      <c r="E984" s="6">
        <v>154</v>
      </c>
      <c r="F984" s="6">
        <v>3</v>
      </c>
      <c r="G984" s="6">
        <v>660</v>
      </c>
      <c r="H984" t="s">
        <v>53</v>
      </c>
      <c r="I984" t="s">
        <v>81</v>
      </c>
      <c r="J984" t="s">
        <v>85</v>
      </c>
    </row>
    <row r="985" spans="1:10" x14ac:dyDescent="0.3">
      <c r="A985" s="2">
        <v>44815</v>
      </c>
      <c r="B985" s="2">
        <v>44818</v>
      </c>
      <c r="C985" t="s">
        <v>20</v>
      </c>
      <c r="D985" s="6">
        <v>440</v>
      </c>
      <c r="E985" s="6">
        <v>286</v>
      </c>
      <c r="F985" s="6">
        <v>8</v>
      </c>
      <c r="G985" s="6">
        <v>3520</v>
      </c>
      <c r="H985" t="s">
        <v>71</v>
      </c>
      <c r="I985" t="s">
        <v>81</v>
      </c>
      <c r="J985" t="s">
        <v>85</v>
      </c>
    </row>
    <row r="986" spans="1:10" x14ac:dyDescent="0.3">
      <c r="A986" s="2">
        <v>44816</v>
      </c>
      <c r="B986" s="2">
        <v>44819</v>
      </c>
      <c r="C986" t="s">
        <v>21</v>
      </c>
      <c r="D986" s="6">
        <v>355</v>
      </c>
      <c r="E986" s="6">
        <v>252.04999999999998</v>
      </c>
      <c r="F986" s="6">
        <v>2</v>
      </c>
      <c r="G986" s="6">
        <v>710</v>
      </c>
      <c r="H986" t="s">
        <v>66</v>
      </c>
      <c r="I986" t="s">
        <v>83</v>
      </c>
      <c r="J986" t="s">
        <v>86</v>
      </c>
    </row>
    <row r="987" spans="1:10" x14ac:dyDescent="0.3">
      <c r="A987" s="2">
        <v>44817</v>
      </c>
      <c r="B987" s="2">
        <v>44820</v>
      </c>
      <c r="C987" t="s">
        <v>15</v>
      </c>
      <c r="D987" s="6">
        <v>110</v>
      </c>
      <c r="E987" s="6">
        <v>78.099999999999994</v>
      </c>
      <c r="F987" s="6">
        <v>1</v>
      </c>
      <c r="G987" s="6">
        <v>110</v>
      </c>
      <c r="H987" t="s">
        <v>56</v>
      </c>
      <c r="I987" t="s">
        <v>79</v>
      </c>
      <c r="J987" t="s">
        <v>86</v>
      </c>
    </row>
    <row r="988" spans="1:10" x14ac:dyDescent="0.3">
      <c r="A988" s="2">
        <v>44818</v>
      </c>
      <c r="B988" s="2">
        <v>44825</v>
      </c>
      <c r="C988" t="s">
        <v>19</v>
      </c>
      <c r="D988" s="6">
        <v>220</v>
      </c>
      <c r="E988" s="6">
        <v>154</v>
      </c>
      <c r="F988" s="6">
        <v>3</v>
      </c>
      <c r="G988" s="6">
        <v>660</v>
      </c>
      <c r="H988" t="s">
        <v>33</v>
      </c>
      <c r="I988" t="s">
        <v>83</v>
      </c>
      <c r="J988" t="s">
        <v>85</v>
      </c>
    </row>
    <row r="989" spans="1:10" x14ac:dyDescent="0.3">
      <c r="A989" s="2">
        <v>44818</v>
      </c>
      <c r="B989" s="2">
        <v>44825</v>
      </c>
      <c r="C989" t="s">
        <v>14</v>
      </c>
      <c r="D989" s="6">
        <v>375</v>
      </c>
      <c r="E989" s="6">
        <v>247.5</v>
      </c>
      <c r="F989" s="6">
        <v>1</v>
      </c>
      <c r="G989" s="6">
        <v>375</v>
      </c>
      <c r="H989" t="s">
        <v>39</v>
      </c>
      <c r="I989" t="s">
        <v>83</v>
      </c>
      <c r="J989" t="s">
        <v>86</v>
      </c>
    </row>
    <row r="990" spans="1:10" x14ac:dyDescent="0.3">
      <c r="A990" s="2">
        <v>44818</v>
      </c>
      <c r="B990" s="2">
        <v>44822</v>
      </c>
      <c r="C990" t="s">
        <v>6</v>
      </c>
      <c r="D990" s="6">
        <v>99</v>
      </c>
      <c r="E990" s="6">
        <v>62.37</v>
      </c>
      <c r="F990" s="6">
        <v>8</v>
      </c>
      <c r="G990" s="6">
        <v>792</v>
      </c>
      <c r="H990" t="s">
        <v>69</v>
      </c>
      <c r="I990" t="s">
        <v>82</v>
      </c>
      <c r="J990" t="s">
        <v>86</v>
      </c>
    </row>
    <row r="991" spans="1:10" x14ac:dyDescent="0.3">
      <c r="A991" s="2">
        <v>44818</v>
      </c>
      <c r="B991" s="2">
        <v>44824</v>
      </c>
      <c r="C991" t="s">
        <v>7</v>
      </c>
      <c r="D991" s="6">
        <v>250</v>
      </c>
      <c r="E991" s="6">
        <v>167.5</v>
      </c>
      <c r="F991" s="6">
        <v>7</v>
      </c>
      <c r="G991" s="6">
        <v>1750</v>
      </c>
      <c r="H991" t="s">
        <v>74</v>
      </c>
      <c r="I991" t="s">
        <v>81</v>
      </c>
      <c r="J991" t="s">
        <v>85</v>
      </c>
    </row>
    <row r="992" spans="1:10" x14ac:dyDescent="0.3">
      <c r="A992" s="2">
        <v>44819</v>
      </c>
      <c r="B992" s="2">
        <v>44823</v>
      </c>
      <c r="C992" t="s">
        <v>12</v>
      </c>
      <c r="D992" s="6">
        <v>320</v>
      </c>
      <c r="E992" s="6">
        <v>233.6</v>
      </c>
      <c r="F992" s="6">
        <v>8</v>
      </c>
      <c r="G992" s="6">
        <v>2560</v>
      </c>
      <c r="H992" t="s">
        <v>31</v>
      </c>
      <c r="I992" t="s">
        <v>80</v>
      </c>
      <c r="J992" t="s">
        <v>85</v>
      </c>
    </row>
    <row r="993" spans="1:10" x14ac:dyDescent="0.3">
      <c r="A993" s="2">
        <v>44820</v>
      </c>
      <c r="B993" s="2">
        <v>44827</v>
      </c>
      <c r="C993" t="s">
        <v>8</v>
      </c>
      <c r="D993" s="6">
        <v>59</v>
      </c>
      <c r="E993" s="6">
        <v>41.3</v>
      </c>
      <c r="F993" s="6">
        <v>1</v>
      </c>
      <c r="G993" s="6">
        <v>59</v>
      </c>
      <c r="H993" t="s">
        <v>50</v>
      </c>
      <c r="I993" t="s">
        <v>82</v>
      </c>
      <c r="J993" t="s">
        <v>86</v>
      </c>
    </row>
    <row r="994" spans="1:10" x14ac:dyDescent="0.3">
      <c r="A994" s="2">
        <v>44823</v>
      </c>
      <c r="B994" s="2">
        <v>44826</v>
      </c>
      <c r="C994" t="s">
        <v>10</v>
      </c>
      <c r="D994" s="6">
        <v>390</v>
      </c>
      <c r="E994" s="6">
        <v>253.5</v>
      </c>
      <c r="F994" s="6">
        <v>8</v>
      </c>
      <c r="G994" s="6">
        <v>3120</v>
      </c>
      <c r="H994" t="s">
        <v>57</v>
      </c>
      <c r="I994" t="s">
        <v>82</v>
      </c>
      <c r="J994" t="s">
        <v>86</v>
      </c>
    </row>
    <row r="995" spans="1:10" x14ac:dyDescent="0.3">
      <c r="A995" s="2">
        <v>44823</v>
      </c>
      <c r="B995" s="2">
        <v>44829</v>
      </c>
      <c r="C995" t="s">
        <v>20</v>
      </c>
      <c r="D995" s="6">
        <v>440</v>
      </c>
      <c r="E995" s="6">
        <v>286</v>
      </c>
      <c r="F995" s="6">
        <v>7</v>
      </c>
      <c r="G995" s="6">
        <v>3080</v>
      </c>
      <c r="H995" t="s">
        <v>63</v>
      </c>
      <c r="I995" t="s">
        <v>81</v>
      </c>
      <c r="J995" t="s">
        <v>85</v>
      </c>
    </row>
    <row r="996" spans="1:10" x14ac:dyDescent="0.3">
      <c r="A996" s="2">
        <v>44824</v>
      </c>
      <c r="B996" s="2">
        <v>44830</v>
      </c>
      <c r="C996" t="s">
        <v>15</v>
      </c>
      <c r="D996" s="6">
        <v>110</v>
      </c>
      <c r="E996" s="6">
        <v>78.099999999999994</v>
      </c>
      <c r="F996" s="6">
        <v>3</v>
      </c>
      <c r="G996" s="6">
        <v>330</v>
      </c>
      <c r="H996" t="s">
        <v>43</v>
      </c>
      <c r="I996" t="s">
        <v>79</v>
      </c>
      <c r="J996" t="s">
        <v>85</v>
      </c>
    </row>
    <row r="997" spans="1:10" x14ac:dyDescent="0.3">
      <c r="A997" s="2">
        <v>44825</v>
      </c>
      <c r="B997" s="2">
        <v>44827</v>
      </c>
      <c r="C997" t="s">
        <v>12</v>
      </c>
      <c r="D997" s="6">
        <v>320</v>
      </c>
      <c r="E997" s="6">
        <v>233.6</v>
      </c>
      <c r="F997" s="6">
        <v>7</v>
      </c>
      <c r="G997" s="6">
        <v>2240</v>
      </c>
      <c r="H997" t="s">
        <v>53</v>
      </c>
      <c r="I997" t="s">
        <v>79</v>
      </c>
      <c r="J997" t="s">
        <v>85</v>
      </c>
    </row>
    <row r="998" spans="1:10" x14ac:dyDescent="0.3">
      <c r="A998" s="2">
        <v>44825</v>
      </c>
      <c r="B998" s="2">
        <v>44831</v>
      </c>
      <c r="C998" t="s">
        <v>5</v>
      </c>
      <c r="D998" s="6">
        <v>290</v>
      </c>
      <c r="E998" s="6">
        <v>185.6</v>
      </c>
      <c r="F998" s="6">
        <v>2</v>
      </c>
      <c r="G998" s="6">
        <v>580</v>
      </c>
      <c r="H998" t="s">
        <v>41</v>
      </c>
      <c r="I998" t="s">
        <v>81</v>
      </c>
      <c r="J998" t="s">
        <v>86</v>
      </c>
    </row>
    <row r="999" spans="1:10" x14ac:dyDescent="0.3">
      <c r="A999" s="2">
        <v>44826</v>
      </c>
      <c r="B999" s="2">
        <v>44828</v>
      </c>
      <c r="C999" t="s">
        <v>16</v>
      </c>
      <c r="D999" s="6">
        <v>145</v>
      </c>
      <c r="E999" s="6">
        <v>105.85</v>
      </c>
      <c r="F999" s="6">
        <v>5</v>
      </c>
      <c r="G999" s="6">
        <v>725</v>
      </c>
      <c r="H999" t="s">
        <v>48</v>
      </c>
      <c r="I999" t="s">
        <v>80</v>
      </c>
      <c r="J999" t="s">
        <v>85</v>
      </c>
    </row>
    <row r="1000" spans="1:10" x14ac:dyDescent="0.3">
      <c r="A1000" s="2">
        <v>44827</v>
      </c>
      <c r="B1000" s="2">
        <v>44833</v>
      </c>
      <c r="C1000" t="s">
        <v>6</v>
      </c>
      <c r="D1000" s="6">
        <v>99</v>
      </c>
      <c r="E1000" s="6">
        <v>62.37</v>
      </c>
      <c r="F1000" s="6">
        <v>2</v>
      </c>
      <c r="G1000" s="6">
        <v>198</v>
      </c>
      <c r="H1000" t="s">
        <v>35</v>
      </c>
      <c r="I1000" t="s">
        <v>79</v>
      </c>
      <c r="J1000" t="s">
        <v>86</v>
      </c>
    </row>
    <row r="1001" spans="1:10" x14ac:dyDescent="0.3">
      <c r="A1001" s="2">
        <v>44827</v>
      </c>
      <c r="B1001" s="2">
        <v>44831</v>
      </c>
      <c r="C1001" t="s">
        <v>23</v>
      </c>
      <c r="D1001" s="6">
        <v>275</v>
      </c>
      <c r="E1001" s="6">
        <v>200.75</v>
      </c>
      <c r="F1001" s="6">
        <v>7</v>
      </c>
      <c r="G1001" s="6">
        <v>1925</v>
      </c>
      <c r="H1001" t="s">
        <v>29</v>
      </c>
      <c r="I1001" t="s">
        <v>81</v>
      </c>
      <c r="J1001" t="s">
        <v>86</v>
      </c>
    </row>
    <row r="1002" spans="1:10" x14ac:dyDescent="0.3">
      <c r="A1002" s="2">
        <v>44827</v>
      </c>
      <c r="B1002" s="2">
        <v>44831</v>
      </c>
      <c r="C1002" t="s">
        <v>15</v>
      </c>
      <c r="D1002" s="6">
        <v>110</v>
      </c>
      <c r="E1002" s="6">
        <v>78.099999999999994</v>
      </c>
      <c r="F1002" s="6">
        <v>5</v>
      </c>
      <c r="G1002" s="6">
        <v>550</v>
      </c>
      <c r="H1002" t="s">
        <v>49</v>
      </c>
      <c r="I1002" t="s">
        <v>81</v>
      </c>
      <c r="J1002" t="s">
        <v>85</v>
      </c>
    </row>
    <row r="1003" spans="1:10" x14ac:dyDescent="0.3">
      <c r="A1003" s="2">
        <v>44828</v>
      </c>
      <c r="B1003" s="2">
        <v>44831</v>
      </c>
      <c r="C1003" t="s">
        <v>15</v>
      </c>
      <c r="D1003" s="6">
        <v>110</v>
      </c>
      <c r="E1003" s="6">
        <v>78.099999999999994</v>
      </c>
      <c r="F1003" s="6">
        <v>9</v>
      </c>
      <c r="G1003" s="6">
        <v>990</v>
      </c>
      <c r="H1003" t="s">
        <v>49</v>
      </c>
      <c r="I1003" t="s">
        <v>81</v>
      </c>
      <c r="J1003" t="s">
        <v>85</v>
      </c>
    </row>
    <row r="1004" spans="1:10" x14ac:dyDescent="0.3">
      <c r="A1004" s="2">
        <v>44829</v>
      </c>
      <c r="B1004" s="2">
        <v>44836</v>
      </c>
      <c r="C1004" t="s">
        <v>13</v>
      </c>
      <c r="D1004" s="6">
        <v>445</v>
      </c>
      <c r="E1004" s="6">
        <v>280.35000000000002</v>
      </c>
      <c r="F1004" s="6">
        <v>1</v>
      </c>
      <c r="G1004" s="6">
        <v>445</v>
      </c>
      <c r="H1004" t="s">
        <v>61</v>
      </c>
      <c r="I1004" t="s">
        <v>82</v>
      </c>
      <c r="J1004" t="s">
        <v>85</v>
      </c>
    </row>
    <row r="1005" spans="1:10" x14ac:dyDescent="0.3">
      <c r="A1005" s="2">
        <v>44831</v>
      </c>
      <c r="B1005" s="2">
        <v>44838</v>
      </c>
      <c r="C1005" t="s">
        <v>11</v>
      </c>
      <c r="D1005" s="6">
        <v>490</v>
      </c>
      <c r="E1005" s="6">
        <v>298.89999999999998</v>
      </c>
      <c r="F1005" s="6">
        <v>8</v>
      </c>
      <c r="G1005" s="6">
        <v>3920</v>
      </c>
      <c r="H1005" t="s">
        <v>68</v>
      </c>
      <c r="I1005" t="s">
        <v>82</v>
      </c>
      <c r="J1005" t="s">
        <v>85</v>
      </c>
    </row>
    <row r="1006" spans="1:10" x14ac:dyDescent="0.3">
      <c r="A1006" s="2">
        <v>44832</v>
      </c>
      <c r="B1006" s="2">
        <v>44834</v>
      </c>
      <c r="C1006" t="s">
        <v>15</v>
      </c>
      <c r="D1006" s="6">
        <v>110</v>
      </c>
      <c r="E1006" s="6">
        <v>78.099999999999994</v>
      </c>
      <c r="F1006" s="6">
        <v>3</v>
      </c>
      <c r="G1006" s="6">
        <v>330</v>
      </c>
      <c r="H1006" t="s">
        <v>68</v>
      </c>
      <c r="I1006" t="s">
        <v>82</v>
      </c>
      <c r="J1006" t="s">
        <v>85</v>
      </c>
    </row>
    <row r="1007" spans="1:10" x14ac:dyDescent="0.3">
      <c r="A1007" s="2">
        <v>44834</v>
      </c>
      <c r="B1007" s="2">
        <v>44835</v>
      </c>
      <c r="C1007" t="s">
        <v>16</v>
      </c>
      <c r="D1007" s="6">
        <v>145</v>
      </c>
      <c r="E1007" s="6">
        <v>105.85</v>
      </c>
      <c r="F1007" s="6">
        <v>3</v>
      </c>
      <c r="G1007" s="6">
        <v>435</v>
      </c>
      <c r="H1007" t="s">
        <v>50</v>
      </c>
      <c r="I1007" t="s">
        <v>80</v>
      </c>
      <c r="J1007" t="s">
        <v>85</v>
      </c>
    </row>
    <row r="1008" spans="1:10" x14ac:dyDescent="0.3">
      <c r="A1008" s="4"/>
    </row>
  </sheetData>
  <sortState xmlns:xlrd2="http://schemas.microsoft.com/office/spreadsheetml/2017/richdata2" ref="A2:A1008">
    <sortCondition ref="A2:A1008"/>
  </sortState>
  <phoneticPr fontId="2" type="noConversion"/>
  <pageMargins left="0.7" right="0.7" top="0.75" bottom="0.75" header="0.3" footer="0.3"/>
  <pageSetup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71B01F-DA14-4707-875C-C26D459E225D}">
  <sheetPr codeName="Sheet4"/>
  <dimension ref="A1:N1007"/>
  <sheetViews>
    <sheetView topLeftCell="A987" workbookViewId="0">
      <selection activeCell="E1011" sqref="E1011"/>
    </sheetView>
  </sheetViews>
  <sheetFormatPr defaultRowHeight="14.4" x14ac:dyDescent="0.3"/>
  <cols>
    <col min="1" max="1" width="12.33203125" style="2" bestFit="1" customWidth="1"/>
    <col min="2" max="2" width="14.33203125" style="2" bestFit="1" customWidth="1"/>
    <col min="3" max="3" width="23.88671875" bestFit="1" customWidth="1"/>
    <col min="4" max="4" width="9.88671875" bestFit="1" customWidth="1"/>
    <col min="5" max="5" width="12.44140625" style="6" bestFit="1" customWidth="1"/>
    <col min="6" max="6" width="10.88671875" bestFit="1" customWidth="1"/>
    <col min="7" max="7" width="11.6640625" bestFit="1" customWidth="1"/>
    <col min="8" max="8" width="10.109375" style="6" bestFit="1" customWidth="1"/>
    <col min="9" max="9" width="10.109375" style="6" customWidth="1"/>
    <col min="10" max="10" width="11.6640625" style="6" bestFit="1" customWidth="1"/>
    <col min="11" max="11" width="15.33203125" style="21" bestFit="1" customWidth="1"/>
    <col min="12" max="12" width="14" bestFit="1" customWidth="1"/>
    <col min="13" max="13" width="21.33203125" bestFit="1" customWidth="1"/>
    <col min="14" max="14" width="16.33203125" bestFit="1" customWidth="1"/>
  </cols>
  <sheetData>
    <row r="1" spans="1:14" x14ac:dyDescent="0.3">
      <c r="A1" s="2" t="s">
        <v>0</v>
      </c>
      <c r="B1" s="2" t="s">
        <v>1</v>
      </c>
      <c r="C1" t="s">
        <v>104</v>
      </c>
      <c r="D1" t="s">
        <v>24</v>
      </c>
      <c r="E1" s="6" t="s">
        <v>25</v>
      </c>
      <c r="F1" t="s">
        <v>26</v>
      </c>
      <c r="G1" t="s">
        <v>27</v>
      </c>
      <c r="H1" s="6" t="s">
        <v>28</v>
      </c>
      <c r="I1" s="6" t="s">
        <v>125</v>
      </c>
      <c r="J1" s="6" t="s">
        <v>105</v>
      </c>
      <c r="K1" s="21" t="s">
        <v>133</v>
      </c>
      <c r="L1" t="s">
        <v>77</v>
      </c>
      <c r="M1" t="s">
        <v>78</v>
      </c>
      <c r="N1" t="s">
        <v>84</v>
      </c>
    </row>
    <row r="2" spans="1:14" x14ac:dyDescent="0.3">
      <c r="A2" s="2">
        <v>43831</v>
      </c>
      <c r="B2" s="2">
        <v>43834</v>
      </c>
      <c r="C2">
        <v>3</v>
      </c>
      <c r="D2" s="3" t="s">
        <v>6</v>
      </c>
      <c r="E2" s="6">
        <v>99</v>
      </c>
      <c r="F2" s="6">
        <v>62.37</v>
      </c>
      <c r="G2">
        <v>7</v>
      </c>
      <c r="H2" s="6">
        <f>SalesData_2[[#This Row],[Unit Price]]*SalesData_2[[#This Row],[Units Sold]]</f>
        <v>693</v>
      </c>
      <c r="I2" s="6">
        <f>SalesData_2[[#This Row],[Unit Cost]]*SalesData_2[[#This Row],[Units Sold]]</f>
        <v>436.59</v>
      </c>
      <c r="J2" s="6">
        <f>SalesData_2[[#This Row],[Sales]]-SalesData_2[[#This Row],[COGS]]</f>
        <v>256.41000000000003</v>
      </c>
      <c r="K2" s="21">
        <f>SalesData_2[[#This Row],[Revenue]]/SalesData_2[[#This Row],[Sales]]</f>
        <v>0.37000000000000005</v>
      </c>
      <c r="L2" s="3" t="s">
        <v>50</v>
      </c>
      <c r="M2" s="3" t="s">
        <v>82</v>
      </c>
      <c r="N2" s="3" t="s">
        <v>86</v>
      </c>
    </row>
    <row r="3" spans="1:14" x14ac:dyDescent="0.3">
      <c r="A3" s="2">
        <v>43831</v>
      </c>
      <c r="B3" s="2">
        <v>43833</v>
      </c>
      <c r="C3">
        <v>2</v>
      </c>
      <c r="D3" s="3" t="s">
        <v>4</v>
      </c>
      <c r="E3" s="6">
        <v>390</v>
      </c>
      <c r="F3" s="6">
        <v>288.60000000000002</v>
      </c>
      <c r="G3">
        <v>9</v>
      </c>
      <c r="H3" s="6">
        <f>SalesData_2[[#This Row],[Unit Price]]*SalesData_2[[#This Row],[Units Sold]]</f>
        <v>3510</v>
      </c>
      <c r="I3" s="6">
        <f>SalesData_2[[#This Row],[Unit Cost]]*SalesData_2[[#This Row],[Units Sold]]</f>
        <v>2597.4</v>
      </c>
      <c r="J3" s="6">
        <f>SalesData_2[[#This Row],[Sales]]-SalesData_2[[#This Row],[COGS]]</f>
        <v>912.59999999999991</v>
      </c>
      <c r="K3" s="21">
        <f>SalesData_2[[#This Row],[Revenue]]/SalesData_2[[#This Row],[Sales]]</f>
        <v>0.25999999999999995</v>
      </c>
      <c r="L3" s="3" t="s">
        <v>45</v>
      </c>
      <c r="M3" s="3" t="s">
        <v>81</v>
      </c>
      <c r="N3" s="3" t="s">
        <v>86</v>
      </c>
    </row>
    <row r="4" spans="1:14" x14ac:dyDescent="0.3">
      <c r="A4" s="2">
        <v>43834</v>
      </c>
      <c r="B4" s="2">
        <v>43840</v>
      </c>
      <c r="C4">
        <v>6</v>
      </c>
      <c r="D4" s="3" t="s">
        <v>13</v>
      </c>
      <c r="E4" s="6">
        <v>445</v>
      </c>
      <c r="F4" s="6">
        <v>280.35000000000002</v>
      </c>
      <c r="G4">
        <v>7</v>
      </c>
      <c r="H4" s="6">
        <f>SalesData_2[[#This Row],[Unit Price]]*SalesData_2[[#This Row],[Units Sold]]</f>
        <v>3115</v>
      </c>
      <c r="I4" s="6">
        <f>SalesData_2[[#This Row],[Unit Cost]]*SalesData_2[[#This Row],[Units Sold]]</f>
        <v>1962.4500000000003</v>
      </c>
      <c r="J4" s="6">
        <f>SalesData_2[[#This Row],[Sales]]-SalesData_2[[#This Row],[COGS]]</f>
        <v>1152.5499999999997</v>
      </c>
      <c r="K4" s="21">
        <f>SalesData_2[[#This Row],[Revenue]]/SalesData_2[[#This Row],[Sales]]</f>
        <v>0.36999999999999994</v>
      </c>
      <c r="L4" s="3" t="s">
        <v>58</v>
      </c>
      <c r="M4" s="3" t="s">
        <v>81</v>
      </c>
      <c r="N4" s="3" t="s">
        <v>85</v>
      </c>
    </row>
    <row r="5" spans="1:14" x14ac:dyDescent="0.3">
      <c r="A5" s="2">
        <v>43834</v>
      </c>
      <c r="B5" s="2">
        <v>43840</v>
      </c>
      <c r="C5">
        <v>6</v>
      </c>
      <c r="D5" s="3" t="s">
        <v>18</v>
      </c>
      <c r="E5" s="6">
        <v>80</v>
      </c>
      <c r="F5" s="6">
        <v>48.8</v>
      </c>
      <c r="G5">
        <v>6</v>
      </c>
      <c r="H5" s="6">
        <f>SalesData_2[[#This Row],[Unit Price]]*SalesData_2[[#This Row],[Units Sold]]</f>
        <v>480</v>
      </c>
      <c r="I5" s="6">
        <f>SalesData_2[[#This Row],[Unit Cost]]*SalesData_2[[#This Row],[Units Sold]]</f>
        <v>292.79999999999995</v>
      </c>
      <c r="J5" s="6">
        <f>SalesData_2[[#This Row],[Sales]]-SalesData_2[[#This Row],[COGS]]</f>
        <v>187.20000000000005</v>
      </c>
      <c r="K5" s="21">
        <f>SalesData_2[[#This Row],[Revenue]]/SalesData_2[[#This Row],[Sales]]</f>
        <v>0.39000000000000007</v>
      </c>
      <c r="L5" s="3" t="s">
        <v>64</v>
      </c>
      <c r="M5" s="3" t="s">
        <v>82</v>
      </c>
      <c r="N5" s="3" t="s">
        <v>86</v>
      </c>
    </row>
    <row r="6" spans="1:14" x14ac:dyDescent="0.3">
      <c r="A6" s="2">
        <v>43835</v>
      </c>
      <c r="B6" s="2">
        <v>43841</v>
      </c>
      <c r="C6">
        <v>6</v>
      </c>
      <c r="D6" s="3" t="s">
        <v>17</v>
      </c>
      <c r="E6" s="6">
        <v>195</v>
      </c>
      <c r="F6" s="6">
        <v>138.44999999999999</v>
      </c>
      <c r="G6">
        <v>5</v>
      </c>
      <c r="H6" s="6">
        <f>SalesData_2[[#This Row],[Unit Price]]*SalesData_2[[#This Row],[Units Sold]]</f>
        <v>975</v>
      </c>
      <c r="I6" s="6">
        <f>SalesData_2[[#This Row],[Unit Cost]]*SalesData_2[[#This Row],[Units Sold]]</f>
        <v>692.25</v>
      </c>
      <c r="J6" s="6">
        <f>SalesData_2[[#This Row],[Sales]]-SalesData_2[[#This Row],[COGS]]</f>
        <v>282.75</v>
      </c>
      <c r="K6" s="21">
        <f>SalesData_2[[#This Row],[Revenue]]/SalesData_2[[#This Row],[Sales]]</f>
        <v>0.28999999999999998</v>
      </c>
      <c r="L6" s="3" t="s">
        <v>35</v>
      </c>
      <c r="M6" s="3" t="s">
        <v>82</v>
      </c>
      <c r="N6" s="3" t="s">
        <v>85</v>
      </c>
    </row>
    <row r="7" spans="1:14" x14ac:dyDescent="0.3">
      <c r="A7" s="2">
        <v>43835</v>
      </c>
      <c r="B7" s="2">
        <v>43838</v>
      </c>
      <c r="C7">
        <v>3</v>
      </c>
      <c r="D7" s="3" t="s">
        <v>6</v>
      </c>
      <c r="E7" s="6">
        <v>99</v>
      </c>
      <c r="F7" s="6">
        <v>62.37</v>
      </c>
      <c r="G7">
        <v>4</v>
      </c>
      <c r="H7" s="6">
        <f>SalesData_2[[#This Row],[Unit Price]]*SalesData_2[[#This Row],[Units Sold]]</f>
        <v>396</v>
      </c>
      <c r="I7" s="6">
        <f>SalesData_2[[#This Row],[Unit Cost]]*SalesData_2[[#This Row],[Units Sold]]</f>
        <v>249.48</v>
      </c>
      <c r="J7" s="6">
        <f>SalesData_2[[#This Row],[Sales]]-SalesData_2[[#This Row],[COGS]]</f>
        <v>146.52000000000001</v>
      </c>
      <c r="K7" s="21">
        <f>SalesData_2[[#This Row],[Revenue]]/SalesData_2[[#This Row],[Sales]]</f>
        <v>0.37000000000000005</v>
      </c>
      <c r="L7" s="3" t="s">
        <v>29</v>
      </c>
      <c r="M7" s="3" t="s">
        <v>81</v>
      </c>
      <c r="N7" s="3" t="s">
        <v>86</v>
      </c>
    </row>
    <row r="8" spans="1:14" x14ac:dyDescent="0.3">
      <c r="A8" s="2">
        <v>43835</v>
      </c>
      <c r="B8" s="2">
        <v>43840</v>
      </c>
      <c r="C8">
        <v>5</v>
      </c>
      <c r="D8" s="3" t="s">
        <v>7</v>
      </c>
      <c r="E8" s="6">
        <v>250</v>
      </c>
      <c r="F8" s="6">
        <v>167.5</v>
      </c>
      <c r="G8">
        <v>4</v>
      </c>
      <c r="H8" s="6">
        <f>SalesData_2[[#This Row],[Unit Price]]*SalesData_2[[#This Row],[Units Sold]]</f>
        <v>1000</v>
      </c>
      <c r="I8" s="6">
        <f>SalesData_2[[#This Row],[Unit Cost]]*SalesData_2[[#This Row],[Units Sold]]</f>
        <v>670</v>
      </c>
      <c r="J8" s="6">
        <f>SalesData_2[[#This Row],[Sales]]-SalesData_2[[#This Row],[COGS]]</f>
        <v>330</v>
      </c>
      <c r="K8" s="21">
        <f>SalesData_2[[#This Row],[Revenue]]/SalesData_2[[#This Row],[Sales]]</f>
        <v>0.33</v>
      </c>
      <c r="L8" s="3" t="s">
        <v>58</v>
      </c>
      <c r="M8" s="3" t="s">
        <v>80</v>
      </c>
      <c r="N8" s="3" t="s">
        <v>86</v>
      </c>
    </row>
    <row r="9" spans="1:14" x14ac:dyDescent="0.3">
      <c r="A9" s="2">
        <v>43836</v>
      </c>
      <c r="B9" s="2">
        <v>43837</v>
      </c>
      <c r="C9">
        <v>1</v>
      </c>
      <c r="D9" s="3" t="s">
        <v>5</v>
      </c>
      <c r="E9" s="6">
        <v>290</v>
      </c>
      <c r="F9" s="6">
        <v>185.6</v>
      </c>
      <c r="G9">
        <v>5</v>
      </c>
      <c r="H9" s="6">
        <f>SalesData_2[[#This Row],[Unit Price]]*SalesData_2[[#This Row],[Units Sold]]</f>
        <v>1450</v>
      </c>
      <c r="I9" s="6">
        <f>SalesData_2[[#This Row],[Unit Cost]]*SalesData_2[[#This Row],[Units Sold]]</f>
        <v>928</v>
      </c>
      <c r="J9" s="6">
        <f>SalesData_2[[#This Row],[Sales]]-SalesData_2[[#This Row],[COGS]]</f>
        <v>522</v>
      </c>
      <c r="K9" s="21">
        <f>SalesData_2[[#This Row],[Revenue]]/SalesData_2[[#This Row],[Sales]]</f>
        <v>0.36</v>
      </c>
      <c r="L9" s="3" t="s">
        <v>72</v>
      </c>
      <c r="M9" s="3" t="s">
        <v>82</v>
      </c>
      <c r="N9" s="3" t="s">
        <v>86</v>
      </c>
    </row>
    <row r="10" spans="1:14" x14ac:dyDescent="0.3">
      <c r="A10" s="2">
        <v>43837</v>
      </c>
      <c r="B10" s="2">
        <v>43842</v>
      </c>
      <c r="C10">
        <v>5</v>
      </c>
      <c r="D10" s="3" t="s">
        <v>5</v>
      </c>
      <c r="E10" s="6">
        <v>290</v>
      </c>
      <c r="F10" s="6">
        <v>185.6</v>
      </c>
      <c r="G10">
        <v>9</v>
      </c>
      <c r="H10" s="6">
        <f>SalesData_2[[#This Row],[Unit Price]]*SalesData_2[[#This Row],[Units Sold]]</f>
        <v>2610</v>
      </c>
      <c r="I10" s="6">
        <f>SalesData_2[[#This Row],[Unit Cost]]*SalesData_2[[#This Row],[Units Sold]]</f>
        <v>1670.3999999999999</v>
      </c>
      <c r="J10" s="6">
        <f>SalesData_2[[#This Row],[Sales]]-SalesData_2[[#This Row],[COGS]]</f>
        <v>939.60000000000014</v>
      </c>
      <c r="K10" s="21">
        <f>SalesData_2[[#This Row],[Revenue]]/SalesData_2[[#This Row],[Sales]]</f>
        <v>0.36000000000000004</v>
      </c>
      <c r="L10" s="3" t="s">
        <v>58</v>
      </c>
      <c r="M10" s="3" t="s">
        <v>80</v>
      </c>
      <c r="N10" s="3" t="s">
        <v>86</v>
      </c>
    </row>
    <row r="11" spans="1:14" x14ac:dyDescent="0.3">
      <c r="A11" s="2">
        <v>43839</v>
      </c>
      <c r="B11" s="2">
        <v>43840</v>
      </c>
      <c r="C11">
        <v>1</v>
      </c>
      <c r="D11" s="3" t="s">
        <v>23</v>
      </c>
      <c r="E11" s="6">
        <v>275</v>
      </c>
      <c r="F11" s="6">
        <v>200.75</v>
      </c>
      <c r="G11">
        <v>7</v>
      </c>
      <c r="H11" s="6">
        <f>SalesData_2[[#This Row],[Unit Price]]*SalesData_2[[#This Row],[Units Sold]]</f>
        <v>1925</v>
      </c>
      <c r="I11" s="6">
        <f>SalesData_2[[#This Row],[Unit Cost]]*SalesData_2[[#This Row],[Units Sold]]</f>
        <v>1405.25</v>
      </c>
      <c r="J11" s="6">
        <f>SalesData_2[[#This Row],[Sales]]-SalesData_2[[#This Row],[COGS]]</f>
        <v>519.75</v>
      </c>
      <c r="K11" s="21">
        <f>SalesData_2[[#This Row],[Revenue]]/SalesData_2[[#This Row],[Sales]]</f>
        <v>0.27</v>
      </c>
      <c r="L11" s="3" t="s">
        <v>57</v>
      </c>
      <c r="M11" s="3" t="s">
        <v>80</v>
      </c>
      <c r="N11" s="3" t="s">
        <v>85</v>
      </c>
    </row>
    <row r="12" spans="1:14" x14ac:dyDescent="0.3">
      <c r="A12" s="2">
        <v>43840</v>
      </c>
      <c r="B12" s="2">
        <v>43843</v>
      </c>
      <c r="C12">
        <v>3</v>
      </c>
      <c r="D12" s="3" t="s">
        <v>13</v>
      </c>
      <c r="E12" s="6">
        <v>445</v>
      </c>
      <c r="F12" s="6">
        <v>280.35000000000002</v>
      </c>
      <c r="G12">
        <v>5</v>
      </c>
      <c r="H12" s="6">
        <f>SalesData_2[[#This Row],[Unit Price]]*SalesData_2[[#This Row],[Units Sold]]</f>
        <v>2225</v>
      </c>
      <c r="I12" s="6">
        <f>SalesData_2[[#This Row],[Unit Cost]]*SalesData_2[[#This Row],[Units Sold]]</f>
        <v>1401.75</v>
      </c>
      <c r="J12" s="6">
        <f>SalesData_2[[#This Row],[Sales]]-SalesData_2[[#This Row],[COGS]]</f>
        <v>823.25</v>
      </c>
      <c r="K12" s="21">
        <f>SalesData_2[[#This Row],[Revenue]]/SalesData_2[[#This Row],[Sales]]</f>
        <v>0.37</v>
      </c>
      <c r="L12" s="3" t="s">
        <v>66</v>
      </c>
      <c r="M12" s="3" t="s">
        <v>83</v>
      </c>
      <c r="N12" s="3" t="s">
        <v>85</v>
      </c>
    </row>
    <row r="13" spans="1:14" x14ac:dyDescent="0.3">
      <c r="A13" s="2">
        <v>43841</v>
      </c>
      <c r="B13" s="2">
        <v>43848</v>
      </c>
      <c r="C13">
        <v>7</v>
      </c>
      <c r="D13" s="3" t="s">
        <v>13</v>
      </c>
      <c r="E13" s="6">
        <v>445</v>
      </c>
      <c r="F13" s="6">
        <v>280.35000000000002</v>
      </c>
      <c r="G13">
        <v>1</v>
      </c>
      <c r="H13" s="6">
        <f>SalesData_2[[#This Row],[Unit Price]]*SalesData_2[[#This Row],[Units Sold]]</f>
        <v>445</v>
      </c>
      <c r="I13" s="6">
        <f>SalesData_2[[#This Row],[Unit Cost]]*SalesData_2[[#This Row],[Units Sold]]</f>
        <v>280.35000000000002</v>
      </c>
      <c r="J13" s="6">
        <f>SalesData_2[[#This Row],[Sales]]-SalesData_2[[#This Row],[COGS]]</f>
        <v>164.64999999999998</v>
      </c>
      <c r="K13" s="21">
        <f>SalesData_2[[#This Row],[Revenue]]/SalesData_2[[#This Row],[Sales]]</f>
        <v>0.36999999999999994</v>
      </c>
      <c r="L13" s="3" t="s">
        <v>70</v>
      </c>
      <c r="M13" s="3" t="s">
        <v>83</v>
      </c>
      <c r="N13" s="3" t="s">
        <v>85</v>
      </c>
    </row>
    <row r="14" spans="1:14" x14ac:dyDescent="0.3">
      <c r="A14" s="2">
        <v>43844</v>
      </c>
      <c r="B14" s="2">
        <v>43848</v>
      </c>
      <c r="C14">
        <v>4</v>
      </c>
      <c r="D14" s="3" t="s">
        <v>19</v>
      </c>
      <c r="E14" s="6">
        <v>220</v>
      </c>
      <c r="F14" s="6">
        <v>154</v>
      </c>
      <c r="G14">
        <v>6</v>
      </c>
      <c r="H14" s="6">
        <f>SalesData_2[[#This Row],[Unit Price]]*SalesData_2[[#This Row],[Units Sold]]</f>
        <v>1320</v>
      </c>
      <c r="I14" s="6">
        <f>SalesData_2[[#This Row],[Unit Cost]]*SalesData_2[[#This Row],[Units Sold]]</f>
        <v>924</v>
      </c>
      <c r="J14" s="6">
        <f>SalesData_2[[#This Row],[Sales]]-SalesData_2[[#This Row],[COGS]]</f>
        <v>396</v>
      </c>
      <c r="K14" s="21">
        <f>SalesData_2[[#This Row],[Revenue]]/SalesData_2[[#This Row],[Sales]]</f>
        <v>0.3</v>
      </c>
      <c r="L14" s="3" t="s">
        <v>36</v>
      </c>
      <c r="M14" s="3" t="s">
        <v>82</v>
      </c>
      <c r="N14" s="3" t="s">
        <v>85</v>
      </c>
    </row>
    <row r="15" spans="1:14" x14ac:dyDescent="0.3">
      <c r="A15" s="2">
        <v>43845</v>
      </c>
      <c r="B15" s="2">
        <v>43850</v>
      </c>
      <c r="C15">
        <v>5</v>
      </c>
      <c r="D15" s="3" t="s">
        <v>20</v>
      </c>
      <c r="E15" s="6">
        <v>440</v>
      </c>
      <c r="F15" s="6">
        <v>286</v>
      </c>
      <c r="G15">
        <v>6</v>
      </c>
      <c r="H15" s="6">
        <f>SalesData_2[[#This Row],[Unit Price]]*SalesData_2[[#This Row],[Units Sold]]</f>
        <v>2640</v>
      </c>
      <c r="I15" s="6">
        <f>SalesData_2[[#This Row],[Unit Cost]]*SalesData_2[[#This Row],[Units Sold]]</f>
        <v>1716</v>
      </c>
      <c r="J15" s="6">
        <f>SalesData_2[[#This Row],[Sales]]-SalesData_2[[#This Row],[COGS]]</f>
        <v>924</v>
      </c>
      <c r="K15" s="21">
        <f>SalesData_2[[#This Row],[Revenue]]/SalesData_2[[#This Row],[Sales]]</f>
        <v>0.35</v>
      </c>
      <c r="L15" s="3" t="s">
        <v>34</v>
      </c>
      <c r="M15" s="3" t="s">
        <v>80</v>
      </c>
      <c r="N15" s="3" t="s">
        <v>85</v>
      </c>
    </row>
    <row r="16" spans="1:14" x14ac:dyDescent="0.3">
      <c r="A16" s="2">
        <v>43847</v>
      </c>
      <c r="B16" s="2">
        <v>43854</v>
      </c>
      <c r="C16">
        <v>7</v>
      </c>
      <c r="D16" s="3" t="s">
        <v>8</v>
      </c>
      <c r="E16" s="6">
        <v>59</v>
      </c>
      <c r="F16" s="6">
        <v>41.3</v>
      </c>
      <c r="G16">
        <v>4</v>
      </c>
      <c r="H16" s="6">
        <f>SalesData_2[[#This Row],[Unit Price]]*SalesData_2[[#This Row],[Units Sold]]</f>
        <v>236</v>
      </c>
      <c r="I16" s="6">
        <f>SalesData_2[[#This Row],[Unit Cost]]*SalesData_2[[#This Row],[Units Sold]]</f>
        <v>165.2</v>
      </c>
      <c r="J16" s="6">
        <f>SalesData_2[[#This Row],[Sales]]-SalesData_2[[#This Row],[COGS]]</f>
        <v>70.800000000000011</v>
      </c>
      <c r="K16" s="21">
        <f>SalesData_2[[#This Row],[Revenue]]/SalesData_2[[#This Row],[Sales]]</f>
        <v>0.30000000000000004</v>
      </c>
      <c r="L16" s="3" t="s">
        <v>39</v>
      </c>
      <c r="M16" s="3" t="s">
        <v>79</v>
      </c>
      <c r="N16" s="3" t="s">
        <v>85</v>
      </c>
    </row>
    <row r="17" spans="1:14" x14ac:dyDescent="0.3">
      <c r="A17" s="2">
        <v>43850</v>
      </c>
      <c r="B17" s="2">
        <v>43856</v>
      </c>
      <c r="C17">
        <v>6</v>
      </c>
      <c r="D17" s="3" t="s">
        <v>12</v>
      </c>
      <c r="E17" s="6">
        <v>320</v>
      </c>
      <c r="F17" s="6">
        <v>233.6</v>
      </c>
      <c r="G17">
        <v>1</v>
      </c>
      <c r="H17" s="6">
        <f>SalesData_2[[#This Row],[Unit Price]]*SalesData_2[[#This Row],[Units Sold]]</f>
        <v>320</v>
      </c>
      <c r="I17" s="6">
        <f>SalesData_2[[#This Row],[Unit Cost]]*SalesData_2[[#This Row],[Units Sold]]</f>
        <v>233.6</v>
      </c>
      <c r="J17" s="6">
        <f>SalesData_2[[#This Row],[Sales]]-SalesData_2[[#This Row],[COGS]]</f>
        <v>86.4</v>
      </c>
      <c r="K17" s="21">
        <f>SalesData_2[[#This Row],[Revenue]]/SalesData_2[[#This Row],[Sales]]</f>
        <v>0.27</v>
      </c>
      <c r="L17" s="3" t="s">
        <v>35</v>
      </c>
      <c r="M17" s="3" t="s">
        <v>83</v>
      </c>
      <c r="N17" s="3" t="s">
        <v>85</v>
      </c>
    </row>
    <row r="18" spans="1:14" x14ac:dyDescent="0.3">
      <c r="A18" s="2">
        <v>43853</v>
      </c>
      <c r="B18" s="2">
        <v>43855</v>
      </c>
      <c r="C18">
        <v>2</v>
      </c>
      <c r="D18" s="3" t="s">
        <v>2</v>
      </c>
      <c r="E18" s="6">
        <v>250</v>
      </c>
      <c r="F18" s="6">
        <v>187.5</v>
      </c>
      <c r="G18">
        <v>8</v>
      </c>
      <c r="H18" s="6">
        <f>SalesData_2[[#This Row],[Unit Price]]*SalesData_2[[#This Row],[Units Sold]]</f>
        <v>2000</v>
      </c>
      <c r="I18" s="6">
        <f>SalesData_2[[#This Row],[Unit Cost]]*SalesData_2[[#This Row],[Units Sold]]</f>
        <v>1500</v>
      </c>
      <c r="J18" s="6">
        <f>SalesData_2[[#This Row],[Sales]]-SalesData_2[[#This Row],[COGS]]</f>
        <v>500</v>
      </c>
      <c r="K18" s="21">
        <f>SalesData_2[[#This Row],[Revenue]]/SalesData_2[[#This Row],[Sales]]</f>
        <v>0.25</v>
      </c>
      <c r="L18" s="3" t="s">
        <v>64</v>
      </c>
      <c r="M18" s="3" t="s">
        <v>79</v>
      </c>
      <c r="N18" s="3" t="s">
        <v>85</v>
      </c>
    </row>
    <row r="19" spans="1:14" x14ac:dyDescent="0.3">
      <c r="A19" s="2">
        <v>43853</v>
      </c>
      <c r="B19" s="2">
        <v>43855</v>
      </c>
      <c r="C19">
        <v>2</v>
      </c>
      <c r="D19" s="3" t="s">
        <v>5</v>
      </c>
      <c r="E19" s="6">
        <v>290</v>
      </c>
      <c r="F19" s="6">
        <v>185.6</v>
      </c>
      <c r="G19">
        <v>7</v>
      </c>
      <c r="H19" s="6">
        <f>SalesData_2[[#This Row],[Unit Price]]*SalesData_2[[#This Row],[Units Sold]]</f>
        <v>2030</v>
      </c>
      <c r="I19" s="6">
        <f>SalesData_2[[#This Row],[Unit Cost]]*SalesData_2[[#This Row],[Units Sold]]</f>
        <v>1299.2</v>
      </c>
      <c r="J19" s="6">
        <f>SalesData_2[[#This Row],[Sales]]-SalesData_2[[#This Row],[COGS]]</f>
        <v>730.8</v>
      </c>
      <c r="K19" s="21">
        <f>SalesData_2[[#This Row],[Revenue]]/SalesData_2[[#This Row],[Sales]]</f>
        <v>0.36</v>
      </c>
      <c r="L19" s="3" t="s">
        <v>56</v>
      </c>
      <c r="M19" s="3" t="s">
        <v>81</v>
      </c>
      <c r="N19" s="3" t="s">
        <v>85</v>
      </c>
    </row>
    <row r="20" spans="1:14" x14ac:dyDescent="0.3">
      <c r="A20" s="2">
        <v>43856</v>
      </c>
      <c r="B20" s="2">
        <v>43858</v>
      </c>
      <c r="C20">
        <v>2</v>
      </c>
      <c r="D20" s="3" t="s">
        <v>2</v>
      </c>
      <c r="E20" s="6">
        <v>250</v>
      </c>
      <c r="F20" s="6">
        <v>187.5</v>
      </c>
      <c r="G20">
        <v>6</v>
      </c>
      <c r="H20" s="6">
        <f>SalesData_2[[#This Row],[Unit Price]]*SalesData_2[[#This Row],[Units Sold]]</f>
        <v>1500</v>
      </c>
      <c r="I20" s="6">
        <f>SalesData_2[[#This Row],[Unit Cost]]*SalesData_2[[#This Row],[Units Sold]]</f>
        <v>1125</v>
      </c>
      <c r="J20" s="6">
        <f>SalesData_2[[#This Row],[Sales]]-SalesData_2[[#This Row],[COGS]]</f>
        <v>375</v>
      </c>
      <c r="K20" s="21">
        <f>SalesData_2[[#This Row],[Revenue]]/SalesData_2[[#This Row],[Sales]]</f>
        <v>0.25</v>
      </c>
      <c r="L20" s="3" t="s">
        <v>49</v>
      </c>
      <c r="M20" s="3" t="s">
        <v>83</v>
      </c>
      <c r="N20" s="3" t="s">
        <v>86</v>
      </c>
    </row>
    <row r="21" spans="1:14" x14ac:dyDescent="0.3">
      <c r="A21" s="2">
        <v>43857</v>
      </c>
      <c r="B21" s="2">
        <v>43863</v>
      </c>
      <c r="C21">
        <v>6</v>
      </c>
      <c r="D21" s="3" t="s">
        <v>5</v>
      </c>
      <c r="E21" s="6">
        <v>290</v>
      </c>
      <c r="F21" s="6">
        <v>185.6</v>
      </c>
      <c r="G21">
        <v>8</v>
      </c>
      <c r="H21" s="6">
        <f>SalesData_2[[#This Row],[Unit Price]]*SalesData_2[[#This Row],[Units Sold]]</f>
        <v>2320</v>
      </c>
      <c r="I21" s="6">
        <f>SalesData_2[[#This Row],[Unit Cost]]*SalesData_2[[#This Row],[Units Sold]]</f>
        <v>1484.8</v>
      </c>
      <c r="J21" s="6">
        <f>SalesData_2[[#This Row],[Sales]]-SalesData_2[[#This Row],[COGS]]</f>
        <v>835.2</v>
      </c>
      <c r="K21" s="21">
        <f>SalesData_2[[#This Row],[Revenue]]/SalesData_2[[#This Row],[Sales]]</f>
        <v>0.36000000000000004</v>
      </c>
      <c r="L21" s="3" t="s">
        <v>34</v>
      </c>
      <c r="M21" s="3" t="s">
        <v>82</v>
      </c>
      <c r="N21" s="3" t="s">
        <v>86</v>
      </c>
    </row>
    <row r="22" spans="1:14" x14ac:dyDescent="0.3">
      <c r="A22" s="2">
        <v>43857</v>
      </c>
      <c r="B22" s="2">
        <v>43858</v>
      </c>
      <c r="C22">
        <v>1</v>
      </c>
      <c r="D22" s="3" t="s">
        <v>3</v>
      </c>
      <c r="E22" s="6">
        <v>95</v>
      </c>
      <c r="F22" s="6">
        <v>60.8</v>
      </c>
      <c r="G22">
        <v>1</v>
      </c>
      <c r="H22" s="6">
        <f>SalesData_2[[#This Row],[Unit Price]]*SalesData_2[[#This Row],[Units Sold]]</f>
        <v>95</v>
      </c>
      <c r="I22" s="6">
        <f>SalesData_2[[#This Row],[Unit Cost]]*SalesData_2[[#This Row],[Units Sold]]</f>
        <v>60.8</v>
      </c>
      <c r="J22" s="6">
        <f>SalesData_2[[#This Row],[Sales]]-SalesData_2[[#This Row],[COGS]]</f>
        <v>34.200000000000003</v>
      </c>
      <c r="K22" s="21">
        <f>SalesData_2[[#This Row],[Revenue]]/SalesData_2[[#This Row],[Sales]]</f>
        <v>0.36000000000000004</v>
      </c>
      <c r="L22" s="3" t="s">
        <v>48</v>
      </c>
      <c r="M22" s="3" t="s">
        <v>82</v>
      </c>
      <c r="N22" s="3" t="s">
        <v>85</v>
      </c>
    </row>
    <row r="23" spans="1:14" x14ac:dyDescent="0.3">
      <c r="A23" s="2">
        <v>43857</v>
      </c>
      <c r="B23" s="2">
        <v>43861</v>
      </c>
      <c r="C23">
        <v>4</v>
      </c>
      <c r="D23" s="3" t="s">
        <v>4</v>
      </c>
      <c r="E23" s="6">
        <v>390</v>
      </c>
      <c r="F23" s="6">
        <v>288.60000000000002</v>
      </c>
      <c r="G23">
        <v>3</v>
      </c>
      <c r="H23" s="6">
        <f>SalesData_2[[#This Row],[Unit Price]]*SalesData_2[[#This Row],[Units Sold]]</f>
        <v>1170</v>
      </c>
      <c r="I23" s="6">
        <f>SalesData_2[[#This Row],[Unit Cost]]*SalesData_2[[#This Row],[Units Sold]]</f>
        <v>865.80000000000007</v>
      </c>
      <c r="J23" s="6">
        <f>SalesData_2[[#This Row],[Sales]]-SalesData_2[[#This Row],[COGS]]</f>
        <v>304.19999999999993</v>
      </c>
      <c r="K23" s="21">
        <f>SalesData_2[[#This Row],[Revenue]]/SalesData_2[[#This Row],[Sales]]</f>
        <v>0.25999999999999995</v>
      </c>
      <c r="L23" s="3" t="s">
        <v>70</v>
      </c>
      <c r="M23" s="3" t="s">
        <v>81</v>
      </c>
      <c r="N23" s="3" t="s">
        <v>86</v>
      </c>
    </row>
    <row r="24" spans="1:14" x14ac:dyDescent="0.3">
      <c r="A24" s="2">
        <v>43858</v>
      </c>
      <c r="B24" s="2">
        <v>43860</v>
      </c>
      <c r="C24">
        <v>2</v>
      </c>
      <c r="D24" s="3" t="s">
        <v>4</v>
      </c>
      <c r="E24" s="6">
        <v>390</v>
      </c>
      <c r="F24" s="6">
        <v>288.60000000000002</v>
      </c>
      <c r="G24">
        <v>5</v>
      </c>
      <c r="H24" s="6">
        <f>SalesData_2[[#This Row],[Unit Price]]*SalesData_2[[#This Row],[Units Sold]]</f>
        <v>1950</v>
      </c>
      <c r="I24" s="6">
        <f>SalesData_2[[#This Row],[Unit Cost]]*SalesData_2[[#This Row],[Units Sold]]</f>
        <v>1443</v>
      </c>
      <c r="J24" s="6">
        <f>SalesData_2[[#This Row],[Sales]]-SalesData_2[[#This Row],[COGS]]</f>
        <v>507</v>
      </c>
      <c r="K24" s="21">
        <f>SalesData_2[[#This Row],[Revenue]]/SalesData_2[[#This Row],[Sales]]</f>
        <v>0.26</v>
      </c>
      <c r="L24" s="3" t="s">
        <v>58</v>
      </c>
      <c r="M24" s="3" t="s">
        <v>82</v>
      </c>
      <c r="N24" s="3" t="s">
        <v>86</v>
      </c>
    </row>
    <row r="25" spans="1:14" x14ac:dyDescent="0.3">
      <c r="A25" s="2">
        <v>43858</v>
      </c>
      <c r="B25" s="2">
        <v>43864</v>
      </c>
      <c r="C25">
        <v>6</v>
      </c>
      <c r="D25" s="3" t="s">
        <v>17</v>
      </c>
      <c r="E25" s="6">
        <v>195</v>
      </c>
      <c r="F25" s="6">
        <v>138.44999999999999</v>
      </c>
      <c r="G25">
        <v>6</v>
      </c>
      <c r="H25" s="6">
        <f>SalesData_2[[#This Row],[Unit Price]]*SalesData_2[[#This Row],[Units Sold]]</f>
        <v>1170</v>
      </c>
      <c r="I25" s="6">
        <f>SalesData_2[[#This Row],[Unit Cost]]*SalesData_2[[#This Row],[Units Sold]]</f>
        <v>830.69999999999993</v>
      </c>
      <c r="J25" s="6">
        <f>SalesData_2[[#This Row],[Sales]]-SalesData_2[[#This Row],[COGS]]</f>
        <v>339.30000000000007</v>
      </c>
      <c r="K25" s="21">
        <f>SalesData_2[[#This Row],[Revenue]]/SalesData_2[[#This Row],[Sales]]</f>
        <v>0.29000000000000004</v>
      </c>
      <c r="L25" s="3" t="s">
        <v>39</v>
      </c>
      <c r="M25" s="3" t="s">
        <v>80</v>
      </c>
      <c r="N25" s="3" t="s">
        <v>86</v>
      </c>
    </row>
    <row r="26" spans="1:14" x14ac:dyDescent="0.3">
      <c r="A26" s="2">
        <v>43859</v>
      </c>
      <c r="B26" s="2">
        <v>43866</v>
      </c>
      <c r="C26">
        <v>7</v>
      </c>
      <c r="D26" s="3" t="s">
        <v>19</v>
      </c>
      <c r="E26" s="6">
        <v>220</v>
      </c>
      <c r="F26" s="6">
        <v>154</v>
      </c>
      <c r="G26">
        <v>2</v>
      </c>
      <c r="H26" s="6">
        <f>SalesData_2[[#This Row],[Unit Price]]*SalesData_2[[#This Row],[Units Sold]]</f>
        <v>440</v>
      </c>
      <c r="I26" s="6">
        <f>SalesData_2[[#This Row],[Unit Cost]]*SalesData_2[[#This Row],[Units Sold]]</f>
        <v>308</v>
      </c>
      <c r="J26" s="6">
        <f>SalesData_2[[#This Row],[Sales]]-SalesData_2[[#This Row],[COGS]]</f>
        <v>132</v>
      </c>
      <c r="K26" s="21">
        <f>SalesData_2[[#This Row],[Revenue]]/SalesData_2[[#This Row],[Sales]]</f>
        <v>0.3</v>
      </c>
      <c r="L26" s="3" t="s">
        <v>62</v>
      </c>
      <c r="M26" s="3" t="s">
        <v>79</v>
      </c>
      <c r="N26" s="3" t="s">
        <v>85</v>
      </c>
    </row>
    <row r="27" spans="1:14" x14ac:dyDescent="0.3">
      <c r="A27" s="2">
        <v>43859</v>
      </c>
      <c r="B27" s="2">
        <v>43862</v>
      </c>
      <c r="C27">
        <v>3</v>
      </c>
      <c r="D27" s="3" t="s">
        <v>3</v>
      </c>
      <c r="E27" s="6">
        <v>95</v>
      </c>
      <c r="F27" s="6">
        <v>60.8</v>
      </c>
      <c r="G27">
        <v>6</v>
      </c>
      <c r="H27" s="6">
        <f>SalesData_2[[#This Row],[Unit Price]]*SalesData_2[[#This Row],[Units Sold]]</f>
        <v>570</v>
      </c>
      <c r="I27" s="6">
        <f>SalesData_2[[#This Row],[Unit Cost]]*SalesData_2[[#This Row],[Units Sold]]</f>
        <v>364.79999999999995</v>
      </c>
      <c r="J27" s="6">
        <f>SalesData_2[[#This Row],[Sales]]-SalesData_2[[#This Row],[COGS]]</f>
        <v>205.20000000000005</v>
      </c>
      <c r="K27" s="21">
        <f>SalesData_2[[#This Row],[Revenue]]/SalesData_2[[#This Row],[Sales]]</f>
        <v>0.3600000000000001</v>
      </c>
      <c r="L27" s="3" t="s">
        <v>35</v>
      </c>
      <c r="M27" s="3" t="s">
        <v>79</v>
      </c>
      <c r="N27" s="3" t="s">
        <v>86</v>
      </c>
    </row>
    <row r="28" spans="1:14" x14ac:dyDescent="0.3">
      <c r="A28" s="2">
        <v>43862</v>
      </c>
      <c r="B28" s="2">
        <v>43864</v>
      </c>
      <c r="C28">
        <v>2</v>
      </c>
      <c r="D28" s="3" t="s">
        <v>6</v>
      </c>
      <c r="E28" s="6">
        <v>99</v>
      </c>
      <c r="F28" s="6">
        <v>62.37</v>
      </c>
      <c r="G28">
        <v>7</v>
      </c>
      <c r="H28" s="6">
        <f>SalesData_2[[#This Row],[Unit Price]]*SalesData_2[[#This Row],[Units Sold]]</f>
        <v>693</v>
      </c>
      <c r="I28" s="6">
        <f>SalesData_2[[#This Row],[Unit Cost]]*SalesData_2[[#This Row],[Units Sold]]</f>
        <v>436.59</v>
      </c>
      <c r="J28" s="6">
        <f>SalesData_2[[#This Row],[Sales]]-SalesData_2[[#This Row],[COGS]]</f>
        <v>256.41000000000003</v>
      </c>
      <c r="K28" s="21">
        <f>SalesData_2[[#This Row],[Revenue]]/SalesData_2[[#This Row],[Sales]]</f>
        <v>0.37000000000000005</v>
      </c>
      <c r="L28" s="3" t="s">
        <v>64</v>
      </c>
      <c r="M28" s="3" t="s">
        <v>82</v>
      </c>
      <c r="N28" s="3" t="s">
        <v>85</v>
      </c>
    </row>
    <row r="29" spans="1:14" x14ac:dyDescent="0.3">
      <c r="A29" s="2">
        <v>43863</v>
      </c>
      <c r="B29" s="2">
        <v>43868</v>
      </c>
      <c r="C29">
        <v>5</v>
      </c>
      <c r="D29" s="3" t="s">
        <v>6</v>
      </c>
      <c r="E29" s="6">
        <v>99</v>
      </c>
      <c r="F29" s="6">
        <v>62.37</v>
      </c>
      <c r="G29">
        <v>1</v>
      </c>
      <c r="H29" s="6">
        <f>SalesData_2[[#This Row],[Unit Price]]*SalesData_2[[#This Row],[Units Sold]]</f>
        <v>99</v>
      </c>
      <c r="I29" s="6">
        <f>SalesData_2[[#This Row],[Unit Cost]]*SalesData_2[[#This Row],[Units Sold]]</f>
        <v>62.37</v>
      </c>
      <c r="J29" s="6">
        <f>SalesData_2[[#This Row],[Sales]]-SalesData_2[[#This Row],[COGS]]</f>
        <v>36.630000000000003</v>
      </c>
      <c r="K29" s="21">
        <f>SalesData_2[[#This Row],[Revenue]]/SalesData_2[[#This Row],[Sales]]</f>
        <v>0.37000000000000005</v>
      </c>
      <c r="L29" s="3" t="s">
        <v>71</v>
      </c>
      <c r="M29" s="3" t="s">
        <v>79</v>
      </c>
      <c r="N29" s="3" t="s">
        <v>86</v>
      </c>
    </row>
    <row r="30" spans="1:14" x14ac:dyDescent="0.3">
      <c r="A30" s="2">
        <v>43864</v>
      </c>
      <c r="B30" s="2">
        <v>43865</v>
      </c>
      <c r="C30">
        <v>1</v>
      </c>
      <c r="D30" s="3" t="s">
        <v>11</v>
      </c>
      <c r="E30" s="6">
        <v>490</v>
      </c>
      <c r="F30" s="6">
        <v>298.89999999999998</v>
      </c>
      <c r="G30">
        <v>5</v>
      </c>
      <c r="H30" s="6">
        <f>SalesData_2[[#This Row],[Unit Price]]*SalesData_2[[#This Row],[Units Sold]]</f>
        <v>2450</v>
      </c>
      <c r="I30" s="6">
        <f>SalesData_2[[#This Row],[Unit Cost]]*SalesData_2[[#This Row],[Units Sold]]</f>
        <v>1494.5</v>
      </c>
      <c r="J30" s="6">
        <f>SalesData_2[[#This Row],[Sales]]-SalesData_2[[#This Row],[COGS]]</f>
        <v>955.5</v>
      </c>
      <c r="K30" s="21">
        <f>SalesData_2[[#This Row],[Revenue]]/SalesData_2[[#This Row],[Sales]]</f>
        <v>0.39</v>
      </c>
      <c r="L30" s="3" t="s">
        <v>42</v>
      </c>
      <c r="M30" s="3" t="s">
        <v>83</v>
      </c>
      <c r="N30" s="3" t="s">
        <v>85</v>
      </c>
    </row>
    <row r="31" spans="1:14" x14ac:dyDescent="0.3">
      <c r="A31" s="2">
        <v>43864</v>
      </c>
      <c r="B31" s="2">
        <v>43868</v>
      </c>
      <c r="C31">
        <v>4</v>
      </c>
      <c r="D31" s="3" t="s">
        <v>23</v>
      </c>
      <c r="E31" s="6">
        <v>275</v>
      </c>
      <c r="F31" s="6">
        <v>200.75</v>
      </c>
      <c r="G31">
        <v>6</v>
      </c>
      <c r="H31" s="6">
        <f>SalesData_2[[#This Row],[Unit Price]]*SalesData_2[[#This Row],[Units Sold]]</f>
        <v>1650</v>
      </c>
      <c r="I31" s="6">
        <f>SalesData_2[[#This Row],[Unit Cost]]*SalesData_2[[#This Row],[Units Sold]]</f>
        <v>1204.5</v>
      </c>
      <c r="J31" s="6">
        <f>SalesData_2[[#This Row],[Sales]]-SalesData_2[[#This Row],[COGS]]</f>
        <v>445.5</v>
      </c>
      <c r="K31" s="21">
        <f>SalesData_2[[#This Row],[Revenue]]/SalesData_2[[#This Row],[Sales]]</f>
        <v>0.27</v>
      </c>
      <c r="L31" s="3" t="s">
        <v>68</v>
      </c>
      <c r="M31" s="3" t="s">
        <v>82</v>
      </c>
      <c r="N31" s="3" t="s">
        <v>86</v>
      </c>
    </row>
    <row r="32" spans="1:14" x14ac:dyDescent="0.3">
      <c r="A32" s="2">
        <v>43866</v>
      </c>
      <c r="B32" s="2">
        <v>43868</v>
      </c>
      <c r="C32">
        <v>2</v>
      </c>
      <c r="D32" s="3" t="s">
        <v>23</v>
      </c>
      <c r="E32" s="6">
        <v>275</v>
      </c>
      <c r="F32" s="6">
        <v>200.75</v>
      </c>
      <c r="G32">
        <v>3</v>
      </c>
      <c r="H32" s="6">
        <f>SalesData_2[[#This Row],[Unit Price]]*SalesData_2[[#This Row],[Units Sold]]</f>
        <v>825</v>
      </c>
      <c r="I32" s="6">
        <f>SalesData_2[[#This Row],[Unit Cost]]*SalesData_2[[#This Row],[Units Sold]]</f>
        <v>602.25</v>
      </c>
      <c r="J32" s="6">
        <f>SalesData_2[[#This Row],[Sales]]-SalesData_2[[#This Row],[COGS]]</f>
        <v>222.75</v>
      </c>
      <c r="K32" s="21">
        <f>SalesData_2[[#This Row],[Revenue]]/SalesData_2[[#This Row],[Sales]]</f>
        <v>0.27</v>
      </c>
      <c r="L32" s="3" t="s">
        <v>64</v>
      </c>
      <c r="M32" s="3" t="s">
        <v>81</v>
      </c>
      <c r="N32" s="3" t="s">
        <v>85</v>
      </c>
    </row>
    <row r="33" spans="1:14" x14ac:dyDescent="0.3">
      <c r="A33" s="2">
        <v>43866</v>
      </c>
      <c r="B33" s="2">
        <v>43868</v>
      </c>
      <c r="C33">
        <v>2</v>
      </c>
      <c r="D33" s="3" t="s">
        <v>14</v>
      </c>
      <c r="E33" s="6">
        <v>375</v>
      </c>
      <c r="F33" s="6">
        <v>247.5</v>
      </c>
      <c r="G33">
        <v>8</v>
      </c>
      <c r="H33" s="6">
        <f>SalesData_2[[#This Row],[Unit Price]]*SalesData_2[[#This Row],[Units Sold]]</f>
        <v>3000</v>
      </c>
      <c r="I33" s="6">
        <f>SalesData_2[[#This Row],[Unit Cost]]*SalesData_2[[#This Row],[Units Sold]]</f>
        <v>1980</v>
      </c>
      <c r="J33" s="6">
        <f>SalesData_2[[#This Row],[Sales]]-SalesData_2[[#This Row],[COGS]]</f>
        <v>1020</v>
      </c>
      <c r="K33" s="21">
        <f>SalesData_2[[#This Row],[Revenue]]/SalesData_2[[#This Row],[Sales]]</f>
        <v>0.34</v>
      </c>
      <c r="L33" s="3" t="s">
        <v>43</v>
      </c>
      <c r="M33" s="3" t="s">
        <v>82</v>
      </c>
      <c r="N33" s="3" t="s">
        <v>85</v>
      </c>
    </row>
    <row r="34" spans="1:14" x14ac:dyDescent="0.3">
      <c r="A34" s="2">
        <v>43866</v>
      </c>
      <c r="B34" s="2">
        <v>43870</v>
      </c>
      <c r="C34">
        <v>4</v>
      </c>
      <c r="D34" s="3" t="s">
        <v>5</v>
      </c>
      <c r="E34" s="6">
        <v>290</v>
      </c>
      <c r="F34" s="6">
        <v>185.6</v>
      </c>
      <c r="G34">
        <v>6</v>
      </c>
      <c r="H34" s="6">
        <f>SalesData_2[[#This Row],[Unit Price]]*SalesData_2[[#This Row],[Units Sold]]</f>
        <v>1740</v>
      </c>
      <c r="I34" s="6">
        <f>SalesData_2[[#This Row],[Unit Cost]]*SalesData_2[[#This Row],[Units Sold]]</f>
        <v>1113.5999999999999</v>
      </c>
      <c r="J34" s="6">
        <f>SalesData_2[[#This Row],[Sales]]-SalesData_2[[#This Row],[COGS]]</f>
        <v>626.40000000000009</v>
      </c>
      <c r="K34" s="21">
        <f>SalesData_2[[#This Row],[Revenue]]/SalesData_2[[#This Row],[Sales]]</f>
        <v>0.36000000000000004</v>
      </c>
      <c r="L34" s="3" t="s">
        <v>36</v>
      </c>
      <c r="M34" s="3" t="s">
        <v>80</v>
      </c>
      <c r="N34" s="3" t="s">
        <v>85</v>
      </c>
    </row>
    <row r="35" spans="1:14" x14ac:dyDescent="0.3">
      <c r="A35" s="2">
        <v>43868</v>
      </c>
      <c r="B35" s="2">
        <v>43871</v>
      </c>
      <c r="C35">
        <v>3</v>
      </c>
      <c r="D35" s="3" t="s">
        <v>20</v>
      </c>
      <c r="E35" s="6">
        <v>440</v>
      </c>
      <c r="F35" s="6">
        <v>286</v>
      </c>
      <c r="G35">
        <v>6</v>
      </c>
      <c r="H35" s="6">
        <f>SalesData_2[[#This Row],[Unit Price]]*SalesData_2[[#This Row],[Units Sold]]</f>
        <v>2640</v>
      </c>
      <c r="I35" s="6">
        <f>SalesData_2[[#This Row],[Unit Cost]]*SalesData_2[[#This Row],[Units Sold]]</f>
        <v>1716</v>
      </c>
      <c r="J35" s="6">
        <f>SalesData_2[[#This Row],[Sales]]-SalesData_2[[#This Row],[COGS]]</f>
        <v>924</v>
      </c>
      <c r="K35" s="21">
        <f>SalesData_2[[#This Row],[Revenue]]/SalesData_2[[#This Row],[Sales]]</f>
        <v>0.35</v>
      </c>
      <c r="L35" s="3" t="s">
        <v>65</v>
      </c>
      <c r="M35" s="3" t="s">
        <v>81</v>
      </c>
      <c r="N35" s="3" t="s">
        <v>85</v>
      </c>
    </row>
    <row r="36" spans="1:14" x14ac:dyDescent="0.3">
      <c r="A36" s="2">
        <v>43868</v>
      </c>
      <c r="B36" s="2">
        <v>43871</v>
      </c>
      <c r="C36">
        <v>3</v>
      </c>
      <c r="D36" s="3" t="s">
        <v>7</v>
      </c>
      <c r="E36" s="6">
        <v>250</v>
      </c>
      <c r="F36" s="6">
        <v>167.5</v>
      </c>
      <c r="G36">
        <v>8</v>
      </c>
      <c r="H36" s="6">
        <f>SalesData_2[[#This Row],[Unit Price]]*SalesData_2[[#This Row],[Units Sold]]</f>
        <v>2000</v>
      </c>
      <c r="I36" s="6">
        <f>SalesData_2[[#This Row],[Unit Cost]]*SalesData_2[[#This Row],[Units Sold]]</f>
        <v>1340</v>
      </c>
      <c r="J36" s="6">
        <f>SalesData_2[[#This Row],[Sales]]-SalesData_2[[#This Row],[COGS]]</f>
        <v>660</v>
      </c>
      <c r="K36" s="21">
        <f>SalesData_2[[#This Row],[Revenue]]/SalesData_2[[#This Row],[Sales]]</f>
        <v>0.33</v>
      </c>
      <c r="L36" s="3" t="s">
        <v>32</v>
      </c>
      <c r="M36" s="3" t="s">
        <v>82</v>
      </c>
      <c r="N36" s="3" t="s">
        <v>85</v>
      </c>
    </row>
    <row r="37" spans="1:14" x14ac:dyDescent="0.3">
      <c r="A37" s="2">
        <v>43870</v>
      </c>
      <c r="B37" s="2">
        <v>43877</v>
      </c>
      <c r="C37">
        <v>7</v>
      </c>
      <c r="D37" s="3" t="s">
        <v>23</v>
      </c>
      <c r="E37" s="6">
        <v>275</v>
      </c>
      <c r="F37" s="6">
        <v>200.75</v>
      </c>
      <c r="G37">
        <v>2</v>
      </c>
      <c r="H37" s="6">
        <f>SalesData_2[[#This Row],[Unit Price]]*SalesData_2[[#This Row],[Units Sold]]</f>
        <v>550</v>
      </c>
      <c r="I37" s="6">
        <f>SalesData_2[[#This Row],[Unit Cost]]*SalesData_2[[#This Row],[Units Sold]]</f>
        <v>401.5</v>
      </c>
      <c r="J37" s="6">
        <f>SalesData_2[[#This Row],[Sales]]-SalesData_2[[#This Row],[COGS]]</f>
        <v>148.5</v>
      </c>
      <c r="K37" s="21">
        <f>SalesData_2[[#This Row],[Revenue]]/SalesData_2[[#This Row],[Sales]]</f>
        <v>0.27</v>
      </c>
      <c r="L37" s="3" t="s">
        <v>73</v>
      </c>
      <c r="M37" s="3" t="s">
        <v>82</v>
      </c>
      <c r="N37" s="3" t="s">
        <v>86</v>
      </c>
    </row>
    <row r="38" spans="1:14" x14ac:dyDescent="0.3">
      <c r="A38" s="2">
        <v>43873</v>
      </c>
      <c r="B38" s="2">
        <v>43876</v>
      </c>
      <c r="C38">
        <v>3</v>
      </c>
      <c r="D38" s="3" t="s">
        <v>17</v>
      </c>
      <c r="E38" s="6">
        <v>195</v>
      </c>
      <c r="F38" s="6">
        <v>138.44999999999999</v>
      </c>
      <c r="G38">
        <v>9</v>
      </c>
      <c r="H38" s="6">
        <f>SalesData_2[[#This Row],[Unit Price]]*SalesData_2[[#This Row],[Units Sold]]</f>
        <v>1755</v>
      </c>
      <c r="I38" s="6">
        <f>SalesData_2[[#This Row],[Unit Cost]]*SalesData_2[[#This Row],[Units Sold]]</f>
        <v>1246.05</v>
      </c>
      <c r="J38" s="6">
        <f>SalesData_2[[#This Row],[Sales]]-SalesData_2[[#This Row],[COGS]]</f>
        <v>508.95000000000005</v>
      </c>
      <c r="K38" s="21">
        <f>SalesData_2[[#This Row],[Revenue]]/SalesData_2[[#This Row],[Sales]]</f>
        <v>0.29000000000000004</v>
      </c>
      <c r="L38" s="3" t="s">
        <v>51</v>
      </c>
      <c r="M38" s="3" t="s">
        <v>79</v>
      </c>
      <c r="N38" s="3" t="s">
        <v>85</v>
      </c>
    </row>
    <row r="39" spans="1:14" x14ac:dyDescent="0.3">
      <c r="A39" s="2">
        <v>43874</v>
      </c>
      <c r="B39" s="2">
        <v>43879</v>
      </c>
      <c r="C39">
        <v>5</v>
      </c>
      <c r="D39" s="3" t="s">
        <v>15</v>
      </c>
      <c r="E39" s="6">
        <v>110</v>
      </c>
      <c r="F39" s="6">
        <v>78.099999999999994</v>
      </c>
      <c r="G39">
        <v>5</v>
      </c>
      <c r="H39" s="6">
        <f>SalesData_2[[#This Row],[Unit Price]]*SalesData_2[[#This Row],[Units Sold]]</f>
        <v>550</v>
      </c>
      <c r="I39" s="6">
        <f>SalesData_2[[#This Row],[Unit Cost]]*SalesData_2[[#This Row],[Units Sold]]</f>
        <v>390.5</v>
      </c>
      <c r="J39" s="6">
        <f>SalesData_2[[#This Row],[Sales]]-SalesData_2[[#This Row],[COGS]]</f>
        <v>159.5</v>
      </c>
      <c r="K39" s="21">
        <f>SalesData_2[[#This Row],[Revenue]]/SalesData_2[[#This Row],[Sales]]</f>
        <v>0.28999999999999998</v>
      </c>
      <c r="L39" s="3" t="s">
        <v>54</v>
      </c>
      <c r="M39" s="3" t="s">
        <v>79</v>
      </c>
      <c r="N39" s="3" t="s">
        <v>86</v>
      </c>
    </row>
    <row r="40" spans="1:14" x14ac:dyDescent="0.3">
      <c r="A40" s="2">
        <v>43875</v>
      </c>
      <c r="B40" s="2">
        <v>43882</v>
      </c>
      <c r="C40">
        <v>7</v>
      </c>
      <c r="D40" s="3" t="s">
        <v>14</v>
      </c>
      <c r="E40" s="6">
        <v>375</v>
      </c>
      <c r="F40" s="6">
        <v>247.5</v>
      </c>
      <c r="G40">
        <v>1</v>
      </c>
      <c r="H40" s="6">
        <f>SalesData_2[[#This Row],[Unit Price]]*SalesData_2[[#This Row],[Units Sold]]</f>
        <v>375</v>
      </c>
      <c r="I40" s="6">
        <f>SalesData_2[[#This Row],[Unit Cost]]*SalesData_2[[#This Row],[Units Sold]]</f>
        <v>247.5</v>
      </c>
      <c r="J40" s="6">
        <f>SalesData_2[[#This Row],[Sales]]-SalesData_2[[#This Row],[COGS]]</f>
        <v>127.5</v>
      </c>
      <c r="K40" s="21">
        <f>SalesData_2[[#This Row],[Revenue]]/SalesData_2[[#This Row],[Sales]]</f>
        <v>0.34</v>
      </c>
      <c r="L40" s="3" t="s">
        <v>32</v>
      </c>
      <c r="M40" s="3" t="s">
        <v>81</v>
      </c>
      <c r="N40" s="3" t="s">
        <v>85</v>
      </c>
    </row>
    <row r="41" spans="1:14" x14ac:dyDescent="0.3">
      <c r="A41" s="2">
        <v>43875</v>
      </c>
      <c r="B41" s="2">
        <v>43880</v>
      </c>
      <c r="C41">
        <v>5</v>
      </c>
      <c r="D41" s="3" t="s">
        <v>22</v>
      </c>
      <c r="E41" s="6">
        <v>460</v>
      </c>
      <c r="F41" s="6">
        <v>303.60000000000002</v>
      </c>
      <c r="G41">
        <v>6</v>
      </c>
      <c r="H41" s="6">
        <f>SalesData_2[[#This Row],[Unit Price]]*SalesData_2[[#This Row],[Units Sold]]</f>
        <v>2760</v>
      </c>
      <c r="I41" s="6">
        <f>SalesData_2[[#This Row],[Unit Cost]]*SalesData_2[[#This Row],[Units Sold]]</f>
        <v>1821.6000000000001</v>
      </c>
      <c r="J41" s="6">
        <f>SalesData_2[[#This Row],[Sales]]-SalesData_2[[#This Row],[COGS]]</f>
        <v>938.39999999999986</v>
      </c>
      <c r="K41" s="21">
        <f>SalesData_2[[#This Row],[Revenue]]/SalesData_2[[#This Row],[Sales]]</f>
        <v>0.33999999999999997</v>
      </c>
      <c r="L41" s="3" t="s">
        <v>34</v>
      </c>
      <c r="M41" s="3" t="s">
        <v>82</v>
      </c>
      <c r="N41" s="3" t="s">
        <v>86</v>
      </c>
    </row>
    <row r="42" spans="1:14" x14ac:dyDescent="0.3">
      <c r="A42" s="2">
        <v>43875</v>
      </c>
      <c r="B42" s="2">
        <v>43879</v>
      </c>
      <c r="C42">
        <v>4</v>
      </c>
      <c r="D42" s="3" t="s">
        <v>4</v>
      </c>
      <c r="E42" s="6">
        <v>390</v>
      </c>
      <c r="F42" s="6">
        <v>288.60000000000002</v>
      </c>
      <c r="G42">
        <v>7</v>
      </c>
      <c r="H42" s="6">
        <f>SalesData_2[[#This Row],[Unit Price]]*SalesData_2[[#This Row],[Units Sold]]</f>
        <v>2730</v>
      </c>
      <c r="I42" s="6">
        <f>SalesData_2[[#This Row],[Unit Cost]]*SalesData_2[[#This Row],[Units Sold]]</f>
        <v>2020.2000000000003</v>
      </c>
      <c r="J42" s="6">
        <f>SalesData_2[[#This Row],[Sales]]-SalesData_2[[#This Row],[COGS]]</f>
        <v>709.79999999999973</v>
      </c>
      <c r="K42" s="21">
        <f>SalesData_2[[#This Row],[Revenue]]/SalesData_2[[#This Row],[Sales]]</f>
        <v>0.2599999999999999</v>
      </c>
      <c r="L42" s="3" t="s">
        <v>49</v>
      </c>
      <c r="M42" s="3" t="s">
        <v>79</v>
      </c>
      <c r="N42" s="3" t="s">
        <v>85</v>
      </c>
    </row>
    <row r="43" spans="1:14" x14ac:dyDescent="0.3">
      <c r="A43" s="2">
        <v>43875</v>
      </c>
      <c r="B43" s="2">
        <v>43876</v>
      </c>
      <c r="C43">
        <v>1</v>
      </c>
      <c r="D43" s="3" t="s">
        <v>19</v>
      </c>
      <c r="E43" s="6">
        <v>220</v>
      </c>
      <c r="F43" s="6">
        <v>154</v>
      </c>
      <c r="G43">
        <v>8</v>
      </c>
      <c r="H43" s="6">
        <f>SalesData_2[[#This Row],[Unit Price]]*SalesData_2[[#This Row],[Units Sold]]</f>
        <v>1760</v>
      </c>
      <c r="I43" s="6">
        <f>SalesData_2[[#This Row],[Unit Cost]]*SalesData_2[[#This Row],[Units Sold]]</f>
        <v>1232</v>
      </c>
      <c r="J43" s="6">
        <f>SalesData_2[[#This Row],[Sales]]-SalesData_2[[#This Row],[COGS]]</f>
        <v>528</v>
      </c>
      <c r="K43" s="21">
        <f>SalesData_2[[#This Row],[Revenue]]/SalesData_2[[#This Row],[Sales]]</f>
        <v>0.3</v>
      </c>
      <c r="L43" s="3" t="s">
        <v>74</v>
      </c>
      <c r="M43" s="3" t="s">
        <v>83</v>
      </c>
      <c r="N43" s="3" t="s">
        <v>86</v>
      </c>
    </row>
    <row r="44" spans="1:14" x14ac:dyDescent="0.3">
      <c r="A44" s="2">
        <v>43879</v>
      </c>
      <c r="B44" s="2">
        <v>43884</v>
      </c>
      <c r="C44">
        <v>5</v>
      </c>
      <c r="D44" s="3" t="s">
        <v>18</v>
      </c>
      <c r="E44" s="6">
        <v>80</v>
      </c>
      <c r="F44" s="6">
        <v>48.8</v>
      </c>
      <c r="G44">
        <v>2</v>
      </c>
      <c r="H44" s="6">
        <f>SalesData_2[[#This Row],[Unit Price]]*SalesData_2[[#This Row],[Units Sold]]</f>
        <v>160</v>
      </c>
      <c r="I44" s="6">
        <f>SalesData_2[[#This Row],[Unit Cost]]*SalesData_2[[#This Row],[Units Sold]]</f>
        <v>97.6</v>
      </c>
      <c r="J44" s="6">
        <f>SalesData_2[[#This Row],[Sales]]-SalesData_2[[#This Row],[COGS]]</f>
        <v>62.400000000000006</v>
      </c>
      <c r="K44" s="21">
        <f>SalesData_2[[#This Row],[Revenue]]/SalesData_2[[#This Row],[Sales]]</f>
        <v>0.39</v>
      </c>
      <c r="L44" s="3" t="s">
        <v>61</v>
      </c>
      <c r="M44" s="3" t="s">
        <v>79</v>
      </c>
      <c r="N44" s="3" t="s">
        <v>86</v>
      </c>
    </row>
    <row r="45" spans="1:14" x14ac:dyDescent="0.3">
      <c r="A45" s="2">
        <v>43880</v>
      </c>
      <c r="B45" s="2">
        <v>43881</v>
      </c>
      <c r="C45">
        <v>1</v>
      </c>
      <c r="D45" s="3" t="s">
        <v>10</v>
      </c>
      <c r="E45" s="6">
        <v>390</v>
      </c>
      <c r="F45" s="6">
        <v>253.5</v>
      </c>
      <c r="G45">
        <v>9</v>
      </c>
      <c r="H45" s="6">
        <f>SalesData_2[[#This Row],[Unit Price]]*SalesData_2[[#This Row],[Units Sold]]</f>
        <v>3510</v>
      </c>
      <c r="I45" s="6">
        <f>SalesData_2[[#This Row],[Unit Cost]]*SalesData_2[[#This Row],[Units Sold]]</f>
        <v>2281.5</v>
      </c>
      <c r="J45" s="6">
        <f>SalesData_2[[#This Row],[Sales]]-SalesData_2[[#This Row],[COGS]]</f>
        <v>1228.5</v>
      </c>
      <c r="K45" s="21">
        <f>SalesData_2[[#This Row],[Revenue]]/SalesData_2[[#This Row],[Sales]]</f>
        <v>0.35</v>
      </c>
      <c r="L45" s="3" t="s">
        <v>49</v>
      </c>
      <c r="M45" s="3" t="s">
        <v>82</v>
      </c>
      <c r="N45" s="3" t="s">
        <v>86</v>
      </c>
    </row>
    <row r="46" spans="1:14" x14ac:dyDescent="0.3">
      <c r="A46" s="2">
        <v>43881</v>
      </c>
      <c r="B46" s="2">
        <v>43884</v>
      </c>
      <c r="C46">
        <v>3</v>
      </c>
      <c r="D46" s="3" t="s">
        <v>8</v>
      </c>
      <c r="E46" s="6">
        <v>59</v>
      </c>
      <c r="F46" s="6">
        <v>41.3</v>
      </c>
      <c r="G46">
        <v>3</v>
      </c>
      <c r="H46" s="6">
        <f>SalesData_2[[#This Row],[Unit Price]]*SalesData_2[[#This Row],[Units Sold]]</f>
        <v>177</v>
      </c>
      <c r="I46" s="6">
        <f>SalesData_2[[#This Row],[Unit Cost]]*SalesData_2[[#This Row],[Units Sold]]</f>
        <v>123.89999999999999</v>
      </c>
      <c r="J46" s="6">
        <f>SalesData_2[[#This Row],[Sales]]-SalesData_2[[#This Row],[COGS]]</f>
        <v>53.100000000000009</v>
      </c>
      <c r="K46" s="21">
        <f>SalesData_2[[#This Row],[Revenue]]/SalesData_2[[#This Row],[Sales]]</f>
        <v>0.30000000000000004</v>
      </c>
      <c r="L46" s="3" t="s">
        <v>63</v>
      </c>
      <c r="M46" s="3" t="s">
        <v>79</v>
      </c>
      <c r="N46" s="3" t="s">
        <v>85</v>
      </c>
    </row>
    <row r="47" spans="1:14" x14ac:dyDescent="0.3">
      <c r="A47" s="2">
        <v>43882</v>
      </c>
      <c r="B47" s="2">
        <v>43884</v>
      </c>
      <c r="C47">
        <v>2</v>
      </c>
      <c r="D47" s="3" t="s">
        <v>11</v>
      </c>
      <c r="E47" s="6">
        <v>490</v>
      </c>
      <c r="F47" s="6">
        <v>298.89999999999998</v>
      </c>
      <c r="G47">
        <v>3</v>
      </c>
      <c r="H47" s="6">
        <f>SalesData_2[[#This Row],[Unit Price]]*SalesData_2[[#This Row],[Units Sold]]</f>
        <v>1470</v>
      </c>
      <c r="I47" s="6">
        <f>SalesData_2[[#This Row],[Unit Cost]]*SalesData_2[[#This Row],[Units Sold]]</f>
        <v>896.69999999999993</v>
      </c>
      <c r="J47" s="6">
        <f>SalesData_2[[#This Row],[Sales]]-SalesData_2[[#This Row],[COGS]]</f>
        <v>573.30000000000007</v>
      </c>
      <c r="K47" s="21">
        <f>SalesData_2[[#This Row],[Revenue]]/SalesData_2[[#This Row],[Sales]]</f>
        <v>0.39000000000000007</v>
      </c>
      <c r="L47" s="3" t="s">
        <v>47</v>
      </c>
      <c r="M47" s="3" t="s">
        <v>79</v>
      </c>
      <c r="N47" s="3" t="s">
        <v>85</v>
      </c>
    </row>
    <row r="48" spans="1:14" x14ac:dyDescent="0.3">
      <c r="A48" s="2">
        <v>43883</v>
      </c>
      <c r="B48" s="2">
        <v>43886</v>
      </c>
      <c r="C48">
        <v>3</v>
      </c>
      <c r="D48" s="3" t="s">
        <v>8</v>
      </c>
      <c r="E48" s="6">
        <v>59</v>
      </c>
      <c r="F48" s="6">
        <v>41.3</v>
      </c>
      <c r="G48">
        <v>9</v>
      </c>
      <c r="H48" s="6">
        <f>SalesData_2[[#This Row],[Unit Price]]*SalesData_2[[#This Row],[Units Sold]]</f>
        <v>531</v>
      </c>
      <c r="I48" s="6">
        <f>SalesData_2[[#This Row],[Unit Cost]]*SalesData_2[[#This Row],[Units Sold]]</f>
        <v>371.7</v>
      </c>
      <c r="J48" s="6">
        <f>SalesData_2[[#This Row],[Sales]]-SalesData_2[[#This Row],[COGS]]</f>
        <v>159.30000000000001</v>
      </c>
      <c r="K48" s="21">
        <f>SalesData_2[[#This Row],[Revenue]]/SalesData_2[[#This Row],[Sales]]</f>
        <v>0.30000000000000004</v>
      </c>
      <c r="L48" s="3" t="s">
        <v>30</v>
      </c>
      <c r="M48" s="3" t="s">
        <v>81</v>
      </c>
      <c r="N48" s="3" t="s">
        <v>85</v>
      </c>
    </row>
    <row r="49" spans="1:14" x14ac:dyDescent="0.3">
      <c r="A49" s="2">
        <v>43883</v>
      </c>
      <c r="B49" s="2">
        <v>43889</v>
      </c>
      <c r="C49">
        <v>6</v>
      </c>
      <c r="D49" s="3" t="s">
        <v>20</v>
      </c>
      <c r="E49" s="6">
        <v>440</v>
      </c>
      <c r="F49" s="6">
        <v>286</v>
      </c>
      <c r="G49">
        <v>4</v>
      </c>
      <c r="H49" s="6">
        <f>SalesData_2[[#This Row],[Unit Price]]*SalesData_2[[#This Row],[Units Sold]]</f>
        <v>1760</v>
      </c>
      <c r="I49" s="6">
        <f>SalesData_2[[#This Row],[Unit Cost]]*SalesData_2[[#This Row],[Units Sold]]</f>
        <v>1144</v>
      </c>
      <c r="J49" s="6">
        <f>SalesData_2[[#This Row],[Sales]]-SalesData_2[[#This Row],[COGS]]</f>
        <v>616</v>
      </c>
      <c r="K49" s="21">
        <f>SalesData_2[[#This Row],[Revenue]]/SalesData_2[[#This Row],[Sales]]</f>
        <v>0.35</v>
      </c>
      <c r="L49" s="3" t="s">
        <v>66</v>
      </c>
      <c r="M49" s="3" t="s">
        <v>81</v>
      </c>
      <c r="N49" s="3" t="s">
        <v>86</v>
      </c>
    </row>
    <row r="50" spans="1:14" x14ac:dyDescent="0.3">
      <c r="A50" s="2">
        <v>43884</v>
      </c>
      <c r="B50" s="2">
        <v>43889</v>
      </c>
      <c r="C50">
        <v>5</v>
      </c>
      <c r="D50" s="3" t="s">
        <v>20</v>
      </c>
      <c r="E50" s="6">
        <v>440</v>
      </c>
      <c r="F50" s="6">
        <v>286</v>
      </c>
      <c r="G50">
        <v>6</v>
      </c>
      <c r="H50" s="6">
        <f>SalesData_2[[#This Row],[Unit Price]]*SalesData_2[[#This Row],[Units Sold]]</f>
        <v>2640</v>
      </c>
      <c r="I50" s="6">
        <f>SalesData_2[[#This Row],[Unit Cost]]*SalesData_2[[#This Row],[Units Sold]]</f>
        <v>1716</v>
      </c>
      <c r="J50" s="6">
        <f>SalesData_2[[#This Row],[Sales]]-SalesData_2[[#This Row],[COGS]]</f>
        <v>924</v>
      </c>
      <c r="K50" s="21">
        <f>SalesData_2[[#This Row],[Revenue]]/SalesData_2[[#This Row],[Sales]]</f>
        <v>0.35</v>
      </c>
      <c r="L50" s="3" t="s">
        <v>55</v>
      </c>
      <c r="M50" s="3" t="s">
        <v>83</v>
      </c>
      <c r="N50" s="3" t="s">
        <v>85</v>
      </c>
    </row>
    <row r="51" spans="1:14" x14ac:dyDescent="0.3">
      <c r="A51" s="2">
        <v>43884</v>
      </c>
      <c r="B51" s="2">
        <v>43886</v>
      </c>
      <c r="C51">
        <v>2</v>
      </c>
      <c r="D51" s="3" t="s">
        <v>10</v>
      </c>
      <c r="E51" s="6">
        <v>390</v>
      </c>
      <c r="F51" s="6">
        <v>253.5</v>
      </c>
      <c r="G51">
        <v>9</v>
      </c>
      <c r="H51" s="6">
        <f>SalesData_2[[#This Row],[Unit Price]]*SalesData_2[[#This Row],[Units Sold]]</f>
        <v>3510</v>
      </c>
      <c r="I51" s="6">
        <f>SalesData_2[[#This Row],[Unit Cost]]*SalesData_2[[#This Row],[Units Sold]]</f>
        <v>2281.5</v>
      </c>
      <c r="J51" s="6">
        <f>SalesData_2[[#This Row],[Sales]]-SalesData_2[[#This Row],[COGS]]</f>
        <v>1228.5</v>
      </c>
      <c r="K51" s="21">
        <f>SalesData_2[[#This Row],[Revenue]]/SalesData_2[[#This Row],[Sales]]</f>
        <v>0.35</v>
      </c>
      <c r="L51" s="3" t="s">
        <v>40</v>
      </c>
      <c r="M51" s="3" t="s">
        <v>80</v>
      </c>
      <c r="N51" s="3" t="s">
        <v>86</v>
      </c>
    </row>
    <row r="52" spans="1:14" x14ac:dyDescent="0.3">
      <c r="A52" s="2">
        <v>43885</v>
      </c>
      <c r="B52" s="2">
        <v>43886</v>
      </c>
      <c r="C52">
        <v>1</v>
      </c>
      <c r="D52" s="3" t="s">
        <v>22</v>
      </c>
      <c r="E52" s="6">
        <v>460</v>
      </c>
      <c r="F52" s="6">
        <v>303.60000000000002</v>
      </c>
      <c r="G52">
        <v>5</v>
      </c>
      <c r="H52" s="6">
        <f>SalesData_2[[#This Row],[Unit Price]]*SalesData_2[[#This Row],[Units Sold]]</f>
        <v>2300</v>
      </c>
      <c r="I52" s="6">
        <f>SalesData_2[[#This Row],[Unit Cost]]*SalesData_2[[#This Row],[Units Sold]]</f>
        <v>1518</v>
      </c>
      <c r="J52" s="6">
        <f>SalesData_2[[#This Row],[Sales]]-SalesData_2[[#This Row],[COGS]]</f>
        <v>782</v>
      </c>
      <c r="K52" s="21">
        <f>SalesData_2[[#This Row],[Revenue]]/SalesData_2[[#This Row],[Sales]]</f>
        <v>0.34</v>
      </c>
      <c r="L52" s="3" t="s">
        <v>53</v>
      </c>
      <c r="M52" s="3" t="s">
        <v>80</v>
      </c>
      <c r="N52" s="3" t="s">
        <v>86</v>
      </c>
    </row>
    <row r="53" spans="1:14" x14ac:dyDescent="0.3">
      <c r="A53" s="2">
        <v>43885</v>
      </c>
      <c r="B53" s="2">
        <v>43892</v>
      </c>
      <c r="C53">
        <v>7</v>
      </c>
      <c r="D53" s="3" t="s">
        <v>2</v>
      </c>
      <c r="E53" s="6">
        <v>250</v>
      </c>
      <c r="F53" s="6">
        <v>187.5</v>
      </c>
      <c r="G53">
        <v>4</v>
      </c>
      <c r="H53" s="6">
        <f>SalesData_2[[#This Row],[Unit Price]]*SalesData_2[[#This Row],[Units Sold]]</f>
        <v>1000</v>
      </c>
      <c r="I53" s="6">
        <f>SalesData_2[[#This Row],[Unit Cost]]*SalesData_2[[#This Row],[Units Sold]]</f>
        <v>750</v>
      </c>
      <c r="J53" s="6">
        <f>SalesData_2[[#This Row],[Sales]]-SalesData_2[[#This Row],[COGS]]</f>
        <v>250</v>
      </c>
      <c r="K53" s="21">
        <f>SalesData_2[[#This Row],[Revenue]]/SalesData_2[[#This Row],[Sales]]</f>
        <v>0.25</v>
      </c>
      <c r="L53" s="3" t="s">
        <v>33</v>
      </c>
      <c r="M53" s="3" t="s">
        <v>83</v>
      </c>
      <c r="N53" s="3" t="s">
        <v>85</v>
      </c>
    </row>
    <row r="54" spans="1:14" x14ac:dyDescent="0.3">
      <c r="A54" s="2">
        <v>43886</v>
      </c>
      <c r="B54" s="2">
        <v>43888</v>
      </c>
      <c r="C54">
        <v>2</v>
      </c>
      <c r="D54" s="3" t="s">
        <v>4</v>
      </c>
      <c r="E54" s="6">
        <v>390</v>
      </c>
      <c r="F54" s="6">
        <v>288.60000000000002</v>
      </c>
      <c r="G54">
        <v>2</v>
      </c>
      <c r="H54" s="6">
        <f>SalesData_2[[#This Row],[Unit Price]]*SalesData_2[[#This Row],[Units Sold]]</f>
        <v>780</v>
      </c>
      <c r="I54" s="6">
        <f>SalesData_2[[#This Row],[Unit Cost]]*SalesData_2[[#This Row],[Units Sold]]</f>
        <v>577.20000000000005</v>
      </c>
      <c r="J54" s="6">
        <f>SalesData_2[[#This Row],[Sales]]-SalesData_2[[#This Row],[COGS]]</f>
        <v>202.79999999999995</v>
      </c>
      <c r="K54" s="21">
        <f>SalesData_2[[#This Row],[Revenue]]/SalesData_2[[#This Row],[Sales]]</f>
        <v>0.25999999999999995</v>
      </c>
      <c r="L54" s="3" t="s">
        <v>65</v>
      </c>
      <c r="M54" s="3" t="s">
        <v>79</v>
      </c>
      <c r="N54" s="3" t="s">
        <v>85</v>
      </c>
    </row>
    <row r="55" spans="1:14" x14ac:dyDescent="0.3">
      <c r="A55" s="2">
        <v>43887</v>
      </c>
      <c r="B55" s="2">
        <v>43890</v>
      </c>
      <c r="C55">
        <v>3</v>
      </c>
      <c r="D55" s="3" t="s">
        <v>23</v>
      </c>
      <c r="E55" s="6">
        <v>275</v>
      </c>
      <c r="F55" s="6">
        <v>200.75</v>
      </c>
      <c r="G55">
        <v>8</v>
      </c>
      <c r="H55" s="6">
        <f>SalesData_2[[#This Row],[Unit Price]]*SalesData_2[[#This Row],[Units Sold]]</f>
        <v>2200</v>
      </c>
      <c r="I55" s="6">
        <f>SalesData_2[[#This Row],[Unit Cost]]*SalesData_2[[#This Row],[Units Sold]]</f>
        <v>1606</v>
      </c>
      <c r="J55" s="6">
        <f>SalesData_2[[#This Row],[Sales]]-SalesData_2[[#This Row],[COGS]]</f>
        <v>594</v>
      </c>
      <c r="K55" s="21">
        <f>SalesData_2[[#This Row],[Revenue]]/SalesData_2[[#This Row],[Sales]]</f>
        <v>0.27</v>
      </c>
      <c r="L55" s="3" t="s">
        <v>71</v>
      </c>
      <c r="M55" s="3" t="s">
        <v>83</v>
      </c>
      <c r="N55" s="3" t="s">
        <v>86</v>
      </c>
    </row>
    <row r="56" spans="1:14" x14ac:dyDescent="0.3">
      <c r="A56" s="2">
        <v>43889</v>
      </c>
      <c r="B56" s="2">
        <v>43894</v>
      </c>
      <c r="C56">
        <v>5</v>
      </c>
      <c r="D56" s="3" t="s">
        <v>4</v>
      </c>
      <c r="E56" s="6">
        <v>390</v>
      </c>
      <c r="F56" s="6">
        <v>288.60000000000002</v>
      </c>
      <c r="G56">
        <v>5</v>
      </c>
      <c r="H56" s="6">
        <f>SalesData_2[[#This Row],[Unit Price]]*SalesData_2[[#This Row],[Units Sold]]</f>
        <v>1950</v>
      </c>
      <c r="I56" s="6">
        <f>SalesData_2[[#This Row],[Unit Cost]]*SalesData_2[[#This Row],[Units Sold]]</f>
        <v>1443</v>
      </c>
      <c r="J56" s="6">
        <f>SalesData_2[[#This Row],[Sales]]-SalesData_2[[#This Row],[COGS]]</f>
        <v>507</v>
      </c>
      <c r="K56" s="21">
        <f>SalesData_2[[#This Row],[Revenue]]/SalesData_2[[#This Row],[Sales]]</f>
        <v>0.26</v>
      </c>
      <c r="L56" s="3" t="s">
        <v>48</v>
      </c>
      <c r="M56" s="3" t="s">
        <v>80</v>
      </c>
      <c r="N56" s="3" t="s">
        <v>85</v>
      </c>
    </row>
    <row r="57" spans="1:14" x14ac:dyDescent="0.3">
      <c r="A57" s="2">
        <v>43889</v>
      </c>
      <c r="B57" s="2">
        <v>43894</v>
      </c>
      <c r="C57">
        <v>5</v>
      </c>
      <c r="D57" s="3" t="s">
        <v>20</v>
      </c>
      <c r="E57" s="6">
        <v>440</v>
      </c>
      <c r="F57" s="6">
        <v>286</v>
      </c>
      <c r="G57">
        <v>3</v>
      </c>
      <c r="H57" s="6">
        <f>SalesData_2[[#This Row],[Unit Price]]*SalesData_2[[#This Row],[Units Sold]]</f>
        <v>1320</v>
      </c>
      <c r="I57" s="6">
        <f>SalesData_2[[#This Row],[Unit Cost]]*SalesData_2[[#This Row],[Units Sold]]</f>
        <v>858</v>
      </c>
      <c r="J57" s="6">
        <f>SalesData_2[[#This Row],[Sales]]-SalesData_2[[#This Row],[COGS]]</f>
        <v>462</v>
      </c>
      <c r="K57" s="21">
        <f>SalesData_2[[#This Row],[Revenue]]/SalesData_2[[#This Row],[Sales]]</f>
        <v>0.35</v>
      </c>
      <c r="L57" s="3" t="s">
        <v>73</v>
      </c>
      <c r="M57" s="3" t="s">
        <v>79</v>
      </c>
      <c r="N57" s="3" t="s">
        <v>85</v>
      </c>
    </row>
    <row r="58" spans="1:14" x14ac:dyDescent="0.3">
      <c r="A58" s="2">
        <v>43889</v>
      </c>
      <c r="B58" s="2">
        <v>43896</v>
      </c>
      <c r="C58">
        <v>7</v>
      </c>
      <c r="D58" s="3" t="s">
        <v>22</v>
      </c>
      <c r="E58" s="6">
        <v>460</v>
      </c>
      <c r="F58" s="6">
        <v>303.60000000000002</v>
      </c>
      <c r="G58">
        <v>2</v>
      </c>
      <c r="H58" s="6">
        <f>SalesData_2[[#This Row],[Unit Price]]*SalesData_2[[#This Row],[Units Sold]]</f>
        <v>920</v>
      </c>
      <c r="I58" s="6">
        <f>SalesData_2[[#This Row],[Unit Cost]]*SalesData_2[[#This Row],[Units Sold]]</f>
        <v>607.20000000000005</v>
      </c>
      <c r="J58" s="6">
        <f>SalesData_2[[#This Row],[Sales]]-SalesData_2[[#This Row],[COGS]]</f>
        <v>312.79999999999995</v>
      </c>
      <c r="K58" s="21">
        <f>SalesData_2[[#This Row],[Revenue]]/SalesData_2[[#This Row],[Sales]]</f>
        <v>0.33999999999999997</v>
      </c>
      <c r="L58" s="3" t="s">
        <v>32</v>
      </c>
      <c r="M58" s="3" t="s">
        <v>80</v>
      </c>
      <c r="N58" s="3" t="s">
        <v>85</v>
      </c>
    </row>
    <row r="59" spans="1:14" x14ac:dyDescent="0.3">
      <c r="A59" s="2">
        <v>43890</v>
      </c>
      <c r="B59" s="2">
        <v>43892</v>
      </c>
      <c r="C59">
        <v>2</v>
      </c>
      <c r="D59" s="3" t="s">
        <v>11</v>
      </c>
      <c r="E59" s="6">
        <v>490</v>
      </c>
      <c r="F59" s="6">
        <v>298.89999999999998</v>
      </c>
      <c r="G59">
        <v>4</v>
      </c>
      <c r="H59" s="6">
        <f>SalesData_2[[#This Row],[Unit Price]]*SalesData_2[[#This Row],[Units Sold]]</f>
        <v>1960</v>
      </c>
      <c r="I59" s="6">
        <f>SalesData_2[[#This Row],[Unit Cost]]*SalesData_2[[#This Row],[Units Sold]]</f>
        <v>1195.5999999999999</v>
      </c>
      <c r="J59" s="6">
        <f>SalesData_2[[#This Row],[Sales]]-SalesData_2[[#This Row],[COGS]]</f>
        <v>764.40000000000009</v>
      </c>
      <c r="K59" s="21">
        <f>SalesData_2[[#This Row],[Revenue]]/SalesData_2[[#This Row],[Sales]]</f>
        <v>0.39000000000000007</v>
      </c>
      <c r="L59" s="3" t="s">
        <v>53</v>
      </c>
      <c r="M59" s="3" t="s">
        <v>83</v>
      </c>
      <c r="N59" s="3" t="s">
        <v>86</v>
      </c>
    </row>
    <row r="60" spans="1:14" x14ac:dyDescent="0.3">
      <c r="A60" s="2">
        <v>43891</v>
      </c>
      <c r="B60" s="2">
        <v>43895</v>
      </c>
      <c r="C60">
        <v>4</v>
      </c>
      <c r="D60" s="3" t="s">
        <v>12</v>
      </c>
      <c r="E60" s="6">
        <v>320</v>
      </c>
      <c r="F60" s="6">
        <v>233.6</v>
      </c>
      <c r="G60">
        <v>6</v>
      </c>
      <c r="H60" s="6">
        <f>SalesData_2[[#This Row],[Unit Price]]*SalesData_2[[#This Row],[Units Sold]]</f>
        <v>1920</v>
      </c>
      <c r="I60" s="6">
        <f>SalesData_2[[#This Row],[Unit Cost]]*SalesData_2[[#This Row],[Units Sold]]</f>
        <v>1401.6</v>
      </c>
      <c r="J60" s="6">
        <f>SalesData_2[[#This Row],[Sales]]-SalesData_2[[#This Row],[COGS]]</f>
        <v>518.40000000000009</v>
      </c>
      <c r="K60" s="21">
        <f>SalesData_2[[#This Row],[Revenue]]/SalesData_2[[#This Row],[Sales]]</f>
        <v>0.27000000000000007</v>
      </c>
      <c r="L60" s="3" t="s">
        <v>33</v>
      </c>
      <c r="M60" s="3" t="s">
        <v>79</v>
      </c>
      <c r="N60" s="3" t="s">
        <v>86</v>
      </c>
    </row>
    <row r="61" spans="1:14" x14ac:dyDescent="0.3">
      <c r="A61" s="2">
        <v>43893</v>
      </c>
      <c r="B61" s="2">
        <v>43897</v>
      </c>
      <c r="C61">
        <v>4</v>
      </c>
      <c r="D61" s="3" t="s">
        <v>22</v>
      </c>
      <c r="E61" s="6">
        <v>460</v>
      </c>
      <c r="F61" s="6">
        <v>303.60000000000002</v>
      </c>
      <c r="G61">
        <v>5</v>
      </c>
      <c r="H61" s="6">
        <f>SalesData_2[[#This Row],[Unit Price]]*SalesData_2[[#This Row],[Units Sold]]</f>
        <v>2300</v>
      </c>
      <c r="I61" s="6">
        <f>SalesData_2[[#This Row],[Unit Cost]]*SalesData_2[[#This Row],[Units Sold]]</f>
        <v>1518</v>
      </c>
      <c r="J61" s="6">
        <f>SalesData_2[[#This Row],[Sales]]-SalesData_2[[#This Row],[COGS]]</f>
        <v>782</v>
      </c>
      <c r="K61" s="21">
        <f>SalesData_2[[#This Row],[Revenue]]/SalesData_2[[#This Row],[Sales]]</f>
        <v>0.34</v>
      </c>
      <c r="L61" s="3" t="s">
        <v>70</v>
      </c>
      <c r="M61" s="3" t="s">
        <v>79</v>
      </c>
      <c r="N61" s="3" t="s">
        <v>86</v>
      </c>
    </row>
    <row r="62" spans="1:14" x14ac:dyDescent="0.3">
      <c r="A62" s="2">
        <v>43894</v>
      </c>
      <c r="B62" s="2">
        <v>43897</v>
      </c>
      <c r="C62">
        <v>3</v>
      </c>
      <c r="D62" s="3" t="s">
        <v>18</v>
      </c>
      <c r="E62" s="6">
        <v>80</v>
      </c>
      <c r="F62" s="6">
        <v>48.8</v>
      </c>
      <c r="G62">
        <v>1</v>
      </c>
      <c r="H62" s="6">
        <f>SalesData_2[[#This Row],[Unit Price]]*SalesData_2[[#This Row],[Units Sold]]</f>
        <v>80</v>
      </c>
      <c r="I62" s="6">
        <f>SalesData_2[[#This Row],[Unit Cost]]*SalesData_2[[#This Row],[Units Sold]]</f>
        <v>48.8</v>
      </c>
      <c r="J62" s="6">
        <f>SalesData_2[[#This Row],[Sales]]-SalesData_2[[#This Row],[COGS]]</f>
        <v>31.200000000000003</v>
      </c>
      <c r="K62" s="21">
        <f>SalesData_2[[#This Row],[Revenue]]/SalesData_2[[#This Row],[Sales]]</f>
        <v>0.39</v>
      </c>
      <c r="L62" s="3" t="s">
        <v>65</v>
      </c>
      <c r="M62" s="3" t="s">
        <v>79</v>
      </c>
      <c r="N62" s="3" t="s">
        <v>86</v>
      </c>
    </row>
    <row r="63" spans="1:14" x14ac:dyDescent="0.3">
      <c r="A63" s="2">
        <v>43894</v>
      </c>
      <c r="B63" s="2">
        <v>43895</v>
      </c>
      <c r="C63">
        <v>1</v>
      </c>
      <c r="D63" s="3" t="s">
        <v>16</v>
      </c>
      <c r="E63" s="6">
        <v>145</v>
      </c>
      <c r="F63" s="6">
        <v>105.85</v>
      </c>
      <c r="G63">
        <v>6</v>
      </c>
      <c r="H63" s="6">
        <f>SalesData_2[[#This Row],[Unit Price]]*SalesData_2[[#This Row],[Units Sold]]</f>
        <v>870</v>
      </c>
      <c r="I63" s="6">
        <f>SalesData_2[[#This Row],[Unit Cost]]*SalesData_2[[#This Row],[Units Sold]]</f>
        <v>635.09999999999991</v>
      </c>
      <c r="J63" s="6">
        <f>SalesData_2[[#This Row],[Sales]]-SalesData_2[[#This Row],[COGS]]</f>
        <v>234.90000000000009</v>
      </c>
      <c r="K63" s="21">
        <f>SalesData_2[[#This Row],[Revenue]]/SalesData_2[[#This Row],[Sales]]</f>
        <v>0.27000000000000013</v>
      </c>
      <c r="L63" s="3" t="s">
        <v>63</v>
      </c>
      <c r="M63" s="3" t="s">
        <v>83</v>
      </c>
      <c r="N63" s="3" t="s">
        <v>86</v>
      </c>
    </row>
    <row r="64" spans="1:14" x14ac:dyDescent="0.3">
      <c r="A64" s="2">
        <v>43895</v>
      </c>
      <c r="B64" s="2">
        <v>43901</v>
      </c>
      <c r="C64">
        <v>6</v>
      </c>
      <c r="D64" s="3" t="s">
        <v>15</v>
      </c>
      <c r="E64" s="6">
        <v>110</v>
      </c>
      <c r="F64" s="6">
        <v>78.099999999999994</v>
      </c>
      <c r="G64">
        <v>8</v>
      </c>
      <c r="H64" s="6">
        <f>SalesData_2[[#This Row],[Unit Price]]*SalesData_2[[#This Row],[Units Sold]]</f>
        <v>880</v>
      </c>
      <c r="I64" s="6">
        <f>SalesData_2[[#This Row],[Unit Cost]]*SalesData_2[[#This Row],[Units Sold]]</f>
        <v>624.79999999999995</v>
      </c>
      <c r="J64" s="6">
        <f>SalesData_2[[#This Row],[Sales]]-SalesData_2[[#This Row],[COGS]]</f>
        <v>255.20000000000005</v>
      </c>
      <c r="K64" s="21">
        <f>SalesData_2[[#This Row],[Revenue]]/SalesData_2[[#This Row],[Sales]]</f>
        <v>0.29000000000000004</v>
      </c>
      <c r="L64" s="3" t="s">
        <v>57</v>
      </c>
      <c r="M64" s="3" t="s">
        <v>82</v>
      </c>
      <c r="N64" s="3" t="s">
        <v>86</v>
      </c>
    </row>
    <row r="65" spans="1:14" x14ac:dyDescent="0.3">
      <c r="A65" s="2">
        <v>43896</v>
      </c>
      <c r="B65" s="2">
        <v>43901</v>
      </c>
      <c r="C65">
        <v>5</v>
      </c>
      <c r="D65" s="3" t="s">
        <v>11</v>
      </c>
      <c r="E65" s="6">
        <v>490</v>
      </c>
      <c r="F65" s="6">
        <v>298.89999999999998</v>
      </c>
      <c r="G65">
        <v>4</v>
      </c>
      <c r="H65" s="6">
        <f>SalesData_2[[#This Row],[Unit Price]]*SalesData_2[[#This Row],[Units Sold]]</f>
        <v>1960</v>
      </c>
      <c r="I65" s="6">
        <f>SalesData_2[[#This Row],[Unit Cost]]*SalesData_2[[#This Row],[Units Sold]]</f>
        <v>1195.5999999999999</v>
      </c>
      <c r="J65" s="6">
        <f>SalesData_2[[#This Row],[Sales]]-SalesData_2[[#This Row],[COGS]]</f>
        <v>764.40000000000009</v>
      </c>
      <c r="K65" s="21">
        <f>SalesData_2[[#This Row],[Revenue]]/SalesData_2[[#This Row],[Sales]]</f>
        <v>0.39000000000000007</v>
      </c>
      <c r="L65" s="3" t="s">
        <v>48</v>
      </c>
      <c r="M65" s="3" t="s">
        <v>82</v>
      </c>
      <c r="N65" s="3" t="s">
        <v>86</v>
      </c>
    </row>
    <row r="66" spans="1:14" x14ac:dyDescent="0.3">
      <c r="A66" s="2">
        <v>43896</v>
      </c>
      <c r="B66" s="2">
        <v>43903</v>
      </c>
      <c r="C66">
        <v>7</v>
      </c>
      <c r="D66" s="3" t="s">
        <v>5</v>
      </c>
      <c r="E66" s="6">
        <v>290</v>
      </c>
      <c r="F66" s="6">
        <v>185.6</v>
      </c>
      <c r="G66">
        <v>7</v>
      </c>
      <c r="H66" s="6">
        <f>SalesData_2[[#This Row],[Unit Price]]*SalesData_2[[#This Row],[Units Sold]]</f>
        <v>2030</v>
      </c>
      <c r="I66" s="6">
        <f>SalesData_2[[#This Row],[Unit Cost]]*SalesData_2[[#This Row],[Units Sold]]</f>
        <v>1299.2</v>
      </c>
      <c r="J66" s="6">
        <f>SalesData_2[[#This Row],[Sales]]-SalesData_2[[#This Row],[COGS]]</f>
        <v>730.8</v>
      </c>
      <c r="K66" s="21">
        <f>SalesData_2[[#This Row],[Revenue]]/SalesData_2[[#This Row],[Sales]]</f>
        <v>0.36</v>
      </c>
      <c r="L66" s="3" t="s">
        <v>31</v>
      </c>
      <c r="M66" s="3" t="s">
        <v>83</v>
      </c>
      <c r="N66" s="3" t="s">
        <v>85</v>
      </c>
    </row>
    <row r="67" spans="1:14" x14ac:dyDescent="0.3">
      <c r="A67" s="2">
        <v>43897</v>
      </c>
      <c r="B67" s="2">
        <v>43904</v>
      </c>
      <c r="C67">
        <v>7</v>
      </c>
      <c r="D67" s="3" t="s">
        <v>12</v>
      </c>
      <c r="E67" s="6">
        <v>320</v>
      </c>
      <c r="F67" s="6">
        <v>233.6</v>
      </c>
      <c r="G67">
        <v>7</v>
      </c>
      <c r="H67" s="6">
        <f>SalesData_2[[#This Row],[Unit Price]]*SalesData_2[[#This Row],[Units Sold]]</f>
        <v>2240</v>
      </c>
      <c r="I67" s="6">
        <f>SalesData_2[[#This Row],[Unit Cost]]*SalesData_2[[#This Row],[Units Sold]]</f>
        <v>1635.2</v>
      </c>
      <c r="J67" s="6">
        <f>SalesData_2[[#This Row],[Sales]]-SalesData_2[[#This Row],[COGS]]</f>
        <v>604.79999999999995</v>
      </c>
      <c r="K67" s="21">
        <f>SalesData_2[[#This Row],[Revenue]]/SalesData_2[[#This Row],[Sales]]</f>
        <v>0.26999999999999996</v>
      </c>
      <c r="L67" s="3" t="s">
        <v>67</v>
      </c>
      <c r="M67" s="3" t="s">
        <v>83</v>
      </c>
      <c r="N67" s="3" t="s">
        <v>86</v>
      </c>
    </row>
    <row r="68" spans="1:14" x14ac:dyDescent="0.3">
      <c r="A68" s="2">
        <v>43897</v>
      </c>
      <c r="B68" s="2">
        <v>43902</v>
      </c>
      <c r="C68">
        <v>5</v>
      </c>
      <c r="D68" s="3" t="s">
        <v>10</v>
      </c>
      <c r="E68" s="6">
        <v>390</v>
      </c>
      <c r="F68" s="6">
        <v>253.5</v>
      </c>
      <c r="G68">
        <v>1</v>
      </c>
      <c r="H68" s="6">
        <f>SalesData_2[[#This Row],[Unit Price]]*SalesData_2[[#This Row],[Units Sold]]</f>
        <v>390</v>
      </c>
      <c r="I68" s="6">
        <f>SalesData_2[[#This Row],[Unit Cost]]*SalesData_2[[#This Row],[Units Sold]]</f>
        <v>253.5</v>
      </c>
      <c r="J68" s="6">
        <f>SalesData_2[[#This Row],[Sales]]-SalesData_2[[#This Row],[COGS]]</f>
        <v>136.5</v>
      </c>
      <c r="K68" s="21">
        <f>SalesData_2[[#This Row],[Revenue]]/SalesData_2[[#This Row],[Sales]]</f>
        <v>0.35</v>
      </c>
      <c r="L68" s="3" t="s">
        <v>51</v>
      </c>
      <c r="M68" s="3" t="s">
        <v>81</v>
      </c>
      <c r="N68" s="3" t="s">
        <v>85</v>
      </c>
    </row>
    <row r="69" spans="1:14" x14ac:dyDescent="0.3">
      <c r="A69" s="2">
        <v>43900</v>
      </c>
      <c r="B69" s="2">
        <v>43904</v>
      </c>
      <c r="C69">
        <v>4</v>
      </c>
      <c r="D69" s="3" t="s">
        <v>7</v>
      </c>
      <c r="E69" s="6">
        <v>250</v>
      </c>
      <c r="F69" s="6">
        <v>167.5</v>
      </c>
      <c r="G69">
        <v>9</v>
      </c>
      <c r="H69" s="6">
        <f>SalesData_2[[#This Row],[Unit Price]]*SalesData_2[[#This Row],[Units Sold]]</f>
        <v>2250</v>
      </c>
      <c r="I69" s="6">
        <f>SalesData_2[[#This Row],[Unit Cost]]*SalesData_2[[#This Row],[Units Sold]]</f>
        <v>1507.5</v>
      </c>
      <c r="J69" s="6">
        <f>SalesData_2[[#This Row],[Sales]]-SalesData_2[[#This Row],[COGS]]</f>
        <v>742.5</v>
      </c>
      <c r="K69" s="21">
        <f>SalesData_2[[#This Row],[Revenue]]/SalesData_2[[#This Row],[Sales]]</f>
        <v>0.33</v>
      </c>
      <c r="L69" s="3" t="s">
        <v>64</v>
      </c>
      <c r="M69" s="3" t="s">
        <v>79</v>
      </c>
      <c r="N69" s="3" t="s">
        <v>86</v>
      </c>
    </row>
    <row r="70" spans="1:14" x14ac:dyDescent="0.3">
      <c r="A70" s="2">
        <v>43900</v>
      </c>
      <c r="B70" s="2">
        <v>43906</v>
      </c>
      <c r="C70">
        <v>6</v>
      </c>
      <c r="D70" s="3" t="s">
        <v>20</v>
      </c>
      <c r="E70" s="6">
        <v>440</v>
      </c>
      <c r="F70" s="6">
        <v>286</v>
      </c>
      <c r="G70">
        <v>7</v>
      </c>
      <c r="H70" s="6">
        <f>SalesData_2[[#This Row],[Unit Price]]*SalesData_2[[#This Row],[Units Sold]]</f>
        <v>3080</v>
      </c>
      <c r="I70" s="6">
        <f>SalesData_2[[#This Row],[Unit Cost]]*SalesData_2[[#This Row],[Units Sold]]</f>
        <v>2002</v>
      </c>
      <c r="J70" s="6">
        <f>SalesData_2[[#This Row],[Sales]]-SalesData_2[[#This Row],[COGS]]</f>
        <v>1078</v>
      </c>
      <c r="K70" s="21">
        <f>SalesData_2[[#This Row],[Revenue]]/SalesData_2[[#This Row],[Sales]]</f>
        <v>0.35</v>
      </c>
      <c r="L70" s="3" t="s">
        <v>29</v>
      </c>
      <c r="M70" s="3" t="s">
        <v>82</v>
      </c>
      <c r="N70" s="3" t="s">
        <v>85</v>
      </c>
    </row>
    <row r="71" spans="1:14" x14ac:dyDescent="0.3">
      <c r="A71" s="2">
        <v>43901</v>
      </c>
      <c r="B71" s="2">
        <v>43905</v>
      </c>
      <c r="C71">
        <v>4</v>
      </c>
      <c r="D71" s="3" t="s">
        <v>11</v>
      </c>
      <c r="E71" s="6">
        <v>490</v>
      </c>
      <c r="F71" s="6">
        <v>298.89999999999998</v>
      </c>
      <c r="G71">
        <v>5</v>
      </c>
      <c r="H71" s="6">
        <f>SalesData_2[[#This Row],[Unit Price]]*SalesData_2[[#This Row],[Units Sold]]</f>
        <v>2450</v>
      </c>
      <c r="I71" s="6">
        <f>SalesData_2[[#This Row],[Unit Cost]]*SalesData_2[[#This Row],[Units Sold]]</f>
        <v>1494.5</v>
      </c>
      <c r="J71" s="6">
        <f>SalesData_2[[#This Row],[Sales]]-SalesData_2[[#This Row],[COGS]]</f>
        <v>955.5</v>
      </c>
      <c r="K71" s="21">
        <f>SalesData_2[[#This Row],[Revenue]]/SalesData_2[[#This Row],[Sales]]</f>
        <v>0.39</v>
      </c>
      <c r="L71" s="3" t="s">
        <v>33</v>
      </c>
      <c r="M71" s="3" t="s">
        <v>83</v>
      </c>
      <c r="N71" s="3" t="s">
        <v>86</v>
      </c>
    </row>
    <row r="72" spans="1:14" x14ac:dyDescent="0.3">
      <c r="A72" s="2">
        <v>43902</v>
      </c>
      <c r="B72" s="2">
        <v>43907</v>
      </c>
      <c r="C72">
        <v>5</v>
      </c>
      <c r="D72" s="3" t="s">
        <v>16</v>
      </c>
      <c r="E72" s="6">
        <v>145</v>
      </c>
      <c r="F72" s="6">
        <v>105.85</v>
      </c>
      <c r="G72">
        <v>9</v>
      </c>
      <c r="H72" s="6">
        <f>SalesData_2[[#This Row],[Unit Price]]*SalesData_2[[#This Row],[Units Sold]]</f>
        <v>1305</v>
      </c>
      <c r="I72" s="6">
        <f>SalesData_2[[#This Row],[Unit Cost]]*SalesData_2[[#This Row],[Units Sold]]</f>
        <v>952.65</v>
      </c>
      <c r="J72" s="6">
        <f>SalesData_2[[#This Row],[Sales]]-SalesData_2[[#This Row],[COGS]]</f>
        <v>352.35</v>
      </c>
      <c r="K72" s="21">
        <f>SalesData_2[[#This Row],[Revenue]]/SalesData_2[[#This Row],[Sales]]</f>
        <v>0.27</v>
      </c>
      <c r="L72" s="3" t="s">
        <v>54</v>
      </c>
      <c r="M72" s="3" t="s">
        <v>83</v>
      </c>
      <c r="N72" s="3" t="s">
        <v>85</v>
      </c>
    </row>
    <row r="73" spans="1:14" x14ac:dyDescent="0.3">
      <c r="A73" s="2">
        <v>43905</v>
      </c>
      <c r="B73" s="2">
        <v>43906</v>
      </c>
      <c r="C73">
        <v>1</v>
      </c>
      <c r="D73" s="3" t="s">
        <v>19</v>
      </c>
      <c r="E73" s="6">
        <v>220</v>
      </c>
      <c r="F73" s="6">
        <v>154</v>
      </c>
      <c r="G73">
        <v>5</v>
      </c>
      <c r="H73" s="6">
        <f>SalesData_2[[#This Row],[Unit Price]]*SalesData_2[[#This Row],[Units Sold]]</f>
        <v>1100</v>
      </c>
      <c r="I73" s="6">
        <f>SalesData_2[[#This Row],[Unit Cost]]*SalesData_2[[#This Row],[Units Sold]]</f>
        <v>770</v>
      </c>
      <c r="J73" s="6">
        <f>SalesData_2[[#This Row],[Sales]]-SalesData_2[[#This Row],[COGS]]</f>
        <v>330</v>
      </c>
      <c r="K73" s="21">
        <f>SalesData_2[[#This Row],[Revenue]]/SalesData_2[[#This Row],[Sales]]</f>
        <v>0.3</v>
      </c>
      <c r="L73" s="3" t="s">
        <v>45</v>
      </c>
      <c r="M73" s="3" t="s">
        <v>81</v>
      </c>
      <c r="N73" s="3" t="s">
        <v>86</v>
      </c>
    </row>
    <row r="74" spans="1:14" x14ac:dyDescent="0.3">
      <c r="A74" s="2">
        <v>43905</v>
      </c>
      <c r="B74" s="2">
        <v>43908</v>
      </c>
      <c r="C74">
        <v>3</v>
      </c>
      <c r="D74" s="3" t="s">
        <v>21</v>
      </c>
      <c r="E74" s="6">
        <v>355</v>
      </c>
      <c r="F74" s="6">
        <v>252.05</v>
      </c>
      <c r="G74">
        <v>7</v>
      </c>
      <c r="H74" s="6">
        <f>SalesData_2[[#This Row],[Unit Price]]*SalesData_2[[#This Row],[Units Sold]]</f>
        <v>2485</v>
      </c>
      <c r="I74" s="6">
        <f>SalesData_2[[#This Row],[Unit Cost]]*SalesData_2[[#This Row],[Units Sold]]</f>
        <v>1764.3500000000001</v>
      </c>
      <c r="J74" s="6">
        <f>SalesData_2[[#This Row],[Sales]]-SalesData_2[[#This Row],[COGS]]</f>
        <v>720.64999999999986</v>
      </c>
      <c r="K74" s="21">
        <f>SalesData_2[[#This Row],[Revenue]]/SalesData_2[[#This Row],[Sales]]</f>
        <v>0.28999999999999992</v>
      </c>
      <c r="L74" s="3" t="s">
        <v>44</v>
      </c>
      <c r="M74" s="3" t="s">
        <v>79</v>
      </c>
      <c r="N74" s="3" t="s">
        <v>86</v>
      </c>
    </row>
    <row r="75" spans="1:14" x14ac:dyDescent="0.3">
      <c r="A75" s="2">
        <v>43906</v>
      </c>
      <c r="B75" s="2">
        <v>43909</v>
      </c>
      <c r="C75">
        <v>3</v>
      </c>
      <c r="D75" s="3" t="s">
        <v>10</v>
      </c>
      <c r="E75" s="6">
        <v>390</v>
      </c>
      <c r="F75" s="6">
        <v>253.5</v>
      </c>
      <c r="G75">
        <v>6</v>
      </c>
      <c r="H75" s="6">
        <f>SalesData_2[[#This Row],[Unit Price]]*SalesData_2[[#This Row],[Units Sold]]</f>
        <v>2340</v>
      </c>
      <c r="I75" s="6">
        <f>SalesData_2[[#This Row],[Unit Cost]]*SalesData_2[[#This Row],[Units Sold]]</f>
        <v>1521</v>
      </c>
      <c r="J75" s="6">
        <f>SalesData_2[[#This Row],[Sales]]-SalesData_2[[#This Row],[COGS]]</f>
        <v>819</v>
      </c>
      <c r="K75" s="21">
        <f>SalesData_2[[#This Row],[Revenue]]/SalesData_2[[#This Row],[Sales]]</f>
        <v>0.35</v>
      </c>
      <c r="L75" s="3" t="s">
        <v>37</v>
      </c>
      <c r="M75" s="3" t="s">
        <v>82</v>
      </c>
      <c r="N75" s="3" t="s">
        <v>86</v>
      </c>
    </row>
    <row r="76" spans="1:14" x14ac:dyDescent="0.3">
      <c r="A76" s="2">
        <v>43906</v>
      </c>
      <c r="B76" s="2">
        <v>43907</v>
      </c>
      <c r="C76">
        <v>1</v>
      </c>
      <c r="D76" s="3" t="s">
        <v>23</v>
      </c>
      <c r="E76" s="6">
        <v>275</v>
      </c>
      <c r="F76" s="6">
        <v>200.75</v>
      </c>
      <c r="G76">
        <v>6</v>
      </c>
      <c r="H76" s="6">
        <f>SalesData_2[[#This Row],[Unit Price]]*SalesData_2[[#This Row],[Units Sold]]</f>
        <v>1650</v>
      </c>
      <c r="I76" s="6">
        <f>SalesData_2[[#This Row],[Unit Cost]]*SalesData_2[[#This Row],[Units Sold]]</f>
        <v>1204.5</v>
      </c>
      <c r="J76" s="6">
        <f>SalesData_2[[#This Row],[Sales]]-SalesData_2[[#This Row],[COGS]]</f>
        <v>445.5</v>
      </c>
      <c r="K76" s="21">
        <f>SalesData_2[[#This Row],[Revenue]]/SalesData_2[[#This Row],[Sales]]</f>
        <v>0.27</v>
      </c>
      <c r="L76" s="3" t="s">
        <v>66</v>
      </c>
      <c r="M76" s="3" t="s">
        <v>80</v>
      </c>
      <c r="N76" s="3" t="s">
        <v>85</v>
      </c>
    </row>
    <row r="77" spans="1:14" x14ac:dyDescent="0.3">
      <c r="A77" s="2">
        <v>43907</v>
      </c>
      <c r="B77" s="2">
        <v>43908</v>
      </c>
      <c r="C77">
        <v>1</v>
      </c>
      <c r="D77" s="3" t="s">
        <v>12</v>
      </c>
      <c r="E77" s="6">
        <v>320</v>
      </c>
      <c r="F77" s="6">
        <v>233.6</v>
      </c>
      <c r="G77">
        <v>7</v>
      </c>
      <c r="H77" s="6">
        <f>SalesData_2[[#This Row],[Unit Price]]*SalesData_2[[#This Row],[Units Sold]]</f>
        <v>2240</v>
      </c>
      <c r="I77" s="6">
        <f>SalesData_2[[#This Row],[Unit Cost]]*SalesData_2[[#This Row],[Units Sold]]</f>
        <v>1635.2</v>
      </c>
      <c r="J77" s="6">
        <f>SalesData_2[[#This Row],[Sales]]-SalesData_2[[#This Row],[COGS]]</f>
        <v>604.79999999999995</v>
      </c>
      <c r="K77" s="21">
        <f>SalesData_2[[#This Row],[Revenue]]/SalesData_2[[#This Row],[Sales]]</f>
        <v>0.26999999999999996</v>
      </c>
      <c r="L77" s="3" t="s">
        <v>55</v>
      </c>
      <c r="M77" s="3" t="s">
        <v>79</v>
      </c>
      <c r="N77" s="3" t="s">
        <v>86</v>
      </c>
    </row>
    <row r="78" spans="1:14" x14ac:dyDescent="0.3">
      <c r="A78" s="2">
        <v>43908</v>
      </c>
      <c r="B78" s="2">
        <v>43915</v>
      </c>
      <c r="C78">
        <v>7</v>
      </c>
      <c r="D78" s="3" t="s">
        <v>17</v>
      </c>
      <c r="E78" s="6">
        <v>195</v>
      </c>
      <c r="F78" s="6">
        <v>138.44999999999999</v>
      </c>
      <c r="G78">
        <v>6</v>
      </c>
      <c r="H78" s="6">
        <f>SalesData_2[[#This Row],[Unit Price]]*SalesData_2[[#This Row],[Units Sold]]</f>
        <v>1170</v>
      </c>
      <c r="I78" s="6">
        <f>SalesData_2[[#This Row],[Unit Cost]]*SalesData_2[[#This Row],[Units Sold]]</f>
        <v>830.69999999999993</v>
      </c>
      <c r="J78" s="6">
        <f>SalesData_2[[#This Row],[Sales]]-SalesData_2[[#This Row],[COGS]]</f>
        <v>339.30000000000007</v>
      </c>
      <c r="K78" s="21">
        <f>SalesData_2[[#This Row],[Revenue]]/SalesData_2[[#This Row],[Sales]]</f>
        <v>0.29000000000000004</v>
      </c>
      <c r="L78" s="3" t="s">
        <v>34</v>
      </c>
      <c r="M78" s="3" t="s">
        <v>83</v>
      </c>
      <c r="N78" s="3" t="s">
        <v>85</v>
      </c>
    </row>
    <row r="79" spans="1:14" x14ac:dyDescent="0.3">
      <c r="A79" s="2">
        <v>43908</v>
      </c>
      <c r="B79" s="2">
        <v>43913</v>
      </c>
      <c r="C79">
        <v>5</v>
      </c>
      <c r="D79" s="3" t="s">
        <v>7</v>
      </c>
      <c r="E79" s="6">
        <v>250</v>
      </c>
      <c r="F79" s="6">
        <v>167.5</v>
      </c>
      <c r="G79">
        <v>4</v>
      </c>
      <c r="H79" s="6">
        <f>SalesData_2[[#This Row],[Unit Price]]*SalesData_2[[#This Row],[Units Sold]]</f>
        <v>1000</v>
      </c>
      <c r="I79" s="6">
        <f>SalesData_2[[#This Row],[Unit Cost]]*SalesData_2[[#This Row],[Units Sold]]</f>
        <v>670</v>
      </c>
      <c r="J79" s="6">
        <f>SalesData_2[[#This Row],[Sales]]-SalesData_2[[#This Row],[COGS]]</f>
        <v>330</v>
      </c>
      <c r="K79" s="21">
        <f>SalesData_2[[#This Row],[Revenue]]/SalesData_2[[#This Row],[Sales]]</f>
        <v>0.33</v>
      </c>
      <c r="L79" s="3" t="s">
        <v>51</v>
      </c>
      <c r="M79" s="3" t="s">
        <v>81</v>
      </c>
      <c r="N79" s="3" t="s">
        <v>86</v>
      </c>
    </row>
    <row r="80" spans="1:14" x14ac:dyDescent="0.3">
      <c r="A80" s="2">
        <v>43909</v>
      </c>
      <c r="B80" s="2">
        <v>43910</v>
      </c>
      <c r="C80">
        <v>1</v>
      </c>
      <c r="D80" s="3" t="s">
        <v>12</v>
      </c>
      <c r="E80" s="6">
        <v>320</v>
      </c>
      <c r="F80" s="6">
        <v>233.6</v>
      </c>
      <c r="G80">
        <v>5</v>
      </c>
      <c r="H80" s="6">
        <f>SalesData_2[[#This Row],[Unit Price]]*SalesData_2[[#This Row],[Units Sold]]</f>
        <v>1600</v>
      </c>
      <c r="I80" s="6">
        <f>SalesData_2[[#This Row],[Unit Cost]]*SalesData_2[[#This Row],[Units Sold]]</f>
        <v>1168</v>
      </c>
      <c r="J80" s="6">
        <f>SalesData_2[[#This Row],[Sales]]-SalesData_2[[#This Row],[COGS]]</f>
        <v>432</v>
      </c>
      <c r="K80" s="21">
        <f>SalesData_2[[#This Row],[Revenue]]/SalesData_2[[#This Row],[Sales]]</f>
        <v>0.27</v>
      </c>
      <c r="L80" s="3" t="s">
        <v>40</v>
      </c>
      <c r="M80" s="3" t="s">
        <v>79</v>
      </c>
      <c r="N80" s="3" t="s">
        <v>86</v>
      </c>
    </row>
    <row r="81" spans="1:14" x14ac:dyDescent="0.3">
      <c r="A81" s="2">
        <v>43910</v>
      </c>
      <c r="B81" s="2">
        <v>43917</v>
      </c>
      <c r="C81">
        <v>7</v>
      </c>
      <c r="D81" s="3" t="s">
        <v>7</v>
      </c>
      <c r="E81" s="6">
        <v>250</v>
      </c>
      <c r="F81" s="6">
        <v>167.5</v>
      </c>
      <c r="G81">
        <v>9</v>
      </c>
      <c r="H81" s="6">
        <f>SalesData_2[[#This Row],[Unit Price]]*SalesData_2[[#This Row],[Units Sold]]</f>
        <v>2250</v>
      </c>
      <c r="I81" s="6">
        <f>SalesData_2[[#This Row],[Unit Cost]]*SalesData_2[[#This Row],[Units Sold]]</f>
        <v>1507.5</v>
      </c>
      <c r="J81" s="6">
        <f>SalesData_2[[#This Row],[Sales]]-SalesData_2[[#This Row],[COGS]]</f>
        <v>742.5</v>
      </c>
      <c r="K81" s="21">
        <f>SalesData_2[[#This Row],[Revenue]]/SalesData_2[[#This Row],[Sales]]</f>
        <v>0.33</v>
      </c>
      <c r="L81" s="3" t="s">
        <v>47</v>
      </c>
      <c r="M81" s="3" t="s">
        <v>79</v>
      </c>
      <c r="N81" s="3" t="s">
        <v>86</v>
      </c>
    </row>
    <row r="82" spans="1:14" x14ac:dyDescent="0.3">
      <c r="A82" s="2">
        <v>43913</v>
      </c>
      <c r="B82" s="2">
        <v>43914</v>
      </c>
      <c r="C82">
        <v>1</v>
      </c>
      <c r="D82" s="3" t="s">
        <v>15</v>
      </c>
      <c r="E82" s="6">
        <v>110</v>
      </c>
      <c r="F82" s="6">
        <v>78.099999999999994</v>
      </c>
      <c r="G82">
        <v>5</v>
      </c>
      <c r="H82" s="6">
        <f>SalesData_2[[#This Row],[Unit Price]]*SalesData_2[[#This Row],[Units Sold]]</f>
        <v>550</v>
      </c>
      <c r="I82" s="6">
        <f>SalesData_2[[#This Row],[Unit Cost]]*SalesData_2[[#This Row],[Units Sold]]</f>
        <v>390.5</v>
      </c>
      <c r="J82" s="6">
        <f>SalesData_2[[#This Row],[Sales]]-SalesData_2[[#This Row],[COGS]]</f>
        <v>159.5</v>
      </c>
      <c r="K82" s="21">
        <f>SalesData_2[[#This Row],[Revenue]]/SalesData_2[[#This Row],[Sales]]</f>
        <v>0.28999999999999998</v>
      </c>
      <c r="L82" s="3" t="s">
        <v>40</v>
      </c>
      <c r="M82" s="3" t="s">
        <v>81</v>
      </c>
      <c r="N82" s="3" t="s">
        <v>86</v>
      </c>
    </row>
    <row r="83" spans="1:14" x14ac:dyDescent="0.3">
      <c r="A83" s="2">
        <v>43915</v>
      </c>
      <c r="B83" s="2">
        <v>43920</v>
      </c>
      <c r="C83">
        <v>5</v>
      </c>
      <c r="D83" s="3" t="s">
        <v>5</v>
      </c>
      <c r="E83" s="6">
        <v>290</v>
      </c>
      <c r="F83" s="6">
        <v>185.6</v>
      </c>
      <c r="G83">
        <v>9</v>
      </c>
      <c r="H83" s="6">
        <f>SalesData_2[[#This Row],[Unit Price]]*SalesData_2[[#This Row],[Units Sold]]</f>
        <v>2610</v>
      </c>
      <c r="I83" s="6">
        <f>SalesData_2[[#This Row],[Unit Cost]]*SalesData_2[[#This Row],[Units Sold]]</f>
        <v>1670.3999999999999</v>
      </c>
      <c r="J83" s="6">
        <f>SalesData_2[[#This Row],[Sales]]-SalesData_2[[#This Row],[COGS]]</f>
        <v>939.60000000000014</v>
      </c>
      <c r="K83" s="21">
        <f>SalesData_2[[#This Row],[Revenue]]/SalesData_2[[#This Row],[Sales]]</f>
        <v>0.36000000000000004</v>
      </c>
      <c r="L83" s="3" t="s">
        <v>38</v>
      </c>
      <c r="M83" s="3" t="s">
        <v>82</v>
      </c>
      <c r="N83" s="3" t="s">
        <v>86</v>
      </c>
    </row>
    <row r="84" spans="1:14" x14ac:dyDescent="0.3">
      <c r="A84" s="2">
        <v>43916</v>
      </c>
      <c r="B84" s="2">
        <v>43923</v>
      </c>
      <c r="C84">
        <v>7</v>
      </c>
      <c r="D84" s="3" t="s">
        <v>20</v>
      </c>
      <c r="E84" s="6">
        <v>440</v>
      </c>
      <c r="F84" s="6">
        <v>286</v>
      </c>
      <c r="G84">
        <v>6</v>
      </c>
      <c r="H84" s="6">
        <f>SalesData_2[[#This Row],[Unit Price]]*SalesData_2[[#This Row],[Units Sold]]</f>
        <v>2640</v>
      </c>
      <c r="I84" s="6">
        <f>SalesData_2[[#This Row],[Unit Cost]]*SalesData_2[[#This Row],[Units Sold]]</f>
        <v>1716</v>
      </c>
      <c r="J84" s="6">
        <f>SalesData_2[[#This Row],[Sales]]-SalesData_2[[#This Row],[COGS]]</f>
        <v>924</v>
      </c>
      <c r="K84" s="21">
        <f>SalesData_2[[#This Row],[Revenue]]/SalesData_2[[#This Row],[Sales]]</f>
        <v>0.35</v>
      </c>
      <c r="L84" s="3" t="s">
        <v>66</v>
      </c>
      <c r="M84" s="3" t="s">
        <v>83</v>
      </c>
      <c r="N84" s="3" t="s">
        <v>85</v>
      </c>
    </row>
    <row r="85" spans="1:14" x14ac:dyDescent="0.3">
      <c r="A85" s="2">
        <v>43918</v>
      </c>
      <c r="B85" s="2">
        <v>43921</v>
      </c>
      <c r="C85">
        <v>3</v>
      </c>
      <c r="D85" s="3" t="s">
        <v>13</v>
      </c>
      <c r="E85" s="6">
        <v>445</v>
      </c>
      <c r="F85" s="6">
        <v>280.35000000000002</v>
      </c>
      <c r="G85">
        <v>1</v>
      </c>
      <c r="H85" s="6">
        <f>SalesData_2[[#This Row],[Unit Price]]*SalesData_2[[#This Row],[Units Sold]]</f>
        <v>445</v>
      </c>
      <c r="I85" s="6">
        <f>SalesData_2[[#This Row],[Unit Cost]]*SalesData_2[[#This Row],[Units Sold]]</f>
        <v>280.35000000000002</v>
      </c>
      <c r="J85" s="6">
        <f>SalesData_2[[#This Row],[Sales]]-SalesData_2[[#This Row],[COGS]]</f>
        <v>164.64999999999998</v>
      </c>
      <c r="K85" s="21">
        <f>SalesData_2[[#This Row],[Revenue]]/SalesData_2[[#This Row],[Sales]]</f>
        <v>0.36999999999999994</v>
      </c>
      <c r="L85" s="3" t="s">
        <v>66</v>
      </c>
      <c r="M85" s="3" t="s">
        <v>82</v>
      </c>
      <c r="N85" s="3" t="s">
        <v>86</v>
      </c>
    </row>
    <row r="86" spans="1:14" x14ac:dyDescent="0.3">
      <c r="A86" s="2">
        <v>43919</v>
      </c>
      <c r="B86" s="2">
        <v>43925</v>
      </c>
      <c r="C86">
        <v>6</v>
      </c>
      <c r="D86" s="3" t="s">
        <v>18</v>
      </c>
      <c r="E86" s="6">
        <v>80</v>
      </c>
      <c r="F86" s="6">
        <v>48.8</v>
      </c>
      <c r="G86">
        <v>6</v>
      </c>
      <c r="H86" s="6">
        <f>SalesData_2[[#This Row],[Unit Price]]*SalesData_2[[#This Row],[Units Sold]]</f>
        <v>480</v>
      </c>
      <c r="I86" s="6">
        <f>SalesData_2[[#This Row],[Unit Cost]]*SalesData_2[[#This Row],[Units Sold]]</f>
        <v>292.79999999999995</v>
      </c>
      <c r="J86" s="6">
        <f>SalesData_2[[#This Row],[Sales]]-SalesData_2[[#This Row],[COGS]]</f>
        <v>187.20000000000005</v>
      </c>
      <c r="K86" s="21">
        <f>SalesData_2[[#This Row],[Revenue]]/SalesData_2[[#This Row],[Sales]]</f>
        <v>0.39000000000000007</v>
      </c>
      <c r="L86" s="3" t="s">
        <v>45</v>
      </c>
      <c r="M86" s="3" t="s">
        <v>79</v>
      </c>
      <c r="N86" s="3" t="s">
        <v>86</v>
      </c>
    </row>
    <row r="87" spans="1:14" x14ac:dyDescent="0.3">
      <c r="A87" s="2">
        <v>43920</v>
      </c>
      <c r="B87" s="2">
        <v>43927</v>
      </c>
      <c r="C87">
        <v>7</v>
      </c>
      <c r="D87" s="3" t="s">
        <v>15</v>
      </c>
      <c r="E87" s="6">
        <v>110</v>
      </c>
      <c r="F87" s="6">
        <v>78.099999999999994</v>
      </c>
      <c r="G87">
        <v>9</v>
      </c>
      <c r="H87" s="6">
        <f>SalesData_2[[#This Row],[Unit Price]]*SalesData_2[[#This Row],[Units Sold]]</f>
        <v>990</v>
      </c>
      <c r="I87" s="6">
        <f>SalesData_2[[#This Row],[Unit Cost]]*SalesData_2[[#This Row],[Units Sold]]</f>
        <v>702.9</v>
      </c>
      <c r="J87" s="6">
        <f>SalesData_2[[#This Row],[Sales]]-SalesData_2[[#This Row],[COGS]]</f>
        <v>287.10000000000002</v>
      </c>
      <c r="K87" s="21">
        <f>SalesData_2[[#This Row],[Revenue]]/SalesData_2[[#This Row],[Sales]]</f>
        <v>0.29000000000000004</v>
      </c>
      <c r="L87" s="3" t="s">
        <v>56</v>
      </c>
      <c r="M87" s="3" t="s">
        <v>82</v>
      </c>
      <c r="N87" s="3" t="s">
        <v>86</v>
      </c>
    </row>
    <row r="88" spans="1:14" x14ac:dyDescent="0.3">
      <c r="A88" s="2">
        <v>43921</v>
      </c>
      <c r="B88" s="2">
        <v>43928</v>
      </c>
      <c r="C88">
        <v>7</v>
      </c>
      <c r="D88" s="3" t="s">
        <v>23</v>
      </c>
      <c r="E88" s="6">
        <v>275</v>
      </c>
      <c r="F88" s="6">
        <v>200.75</v>
      </c>
      <c r="G88">
        <v>1</v>
      </c>
      <c r="H88" s="6">
        <f>SalesData_2[[#This Row],[Unit Price]]*SalesData_2[[#This Row],[Units Sold]]</f>
        <v>275</v>
      </c>
      <c r="I88" s="6">
        <f>SalesData_2[[#This Row],[Unit Cost]]*SalesData_2[[#This Row],[Units Sold]]</f>
        <v>200.75</v>
      </c>
      <c r="J88" s="6">
        <f>SalesData_2[[#This Row],[Sales]]-SalesData_2[[#This Row],[COGS]]</f>
        <v>74.25</v>
      </c>
      <c r="K88" s="21">
        <f>SalesData_2[[#This Row],[Revenue]]/SalesData_2[[#This Row],[Sales]]</f>
        <v>0.27</v>
      </c>
      <c r="L88" s="3" t="s">
        <v>36</v>
      </c>
      <c r="M88" s="3" t="s">
        <v>80</v>
      </c>
      <c r="N88" s="3" t="s">
        <v>86</v>
      </c>
    </row>
    <row r="89" spans="1:14" x14ac:dyDescent="0.3">
      <c r="A89" s="2">
        <v>43921</v>
      </c>
      <c r="B89" s="2">
        <v>43922</v>
      </c>
      <c r="C89">
        <v>1</v>
      </c>
      <c r="D89" s="3" t="s">
        <v>23</v>
      </c>
      <c r="E89" s="6">
        <v>275</v>
      </c>
      <c r="F89" s="6">
        <v>200.75</v>
      </c>
      <c r="G89">
        <v>8</v>
      </c>
      <c r="H89" s="6">
        <f>SalesData_2[[#This Row],[Unit Price]]*SalesData_2[[#This Row],[Units Sold]]</f>
        <v>2200</v>
      </c>
      <c r="I89" s="6">
        <f>SalesData_2[[#This Row],[Unit Cost]]*SalesData_2[[#This Row],[Units Sold]]</f>
        <v>1606</v>
      </c>
      <c r="J89" s="6">
        <f>SalesData_2[[#This Row],[Sales]]-SalesData_2[[#This Row],[COGS]]</f>
        <v>594</v>
      </c>
      <c r="K89" s="21">
        <f>SalesData_2[[#This Row],[Revenue]]/SalesData_2[[#This Row],[Sales]]</f>
        <v>0.27</v>
      </c>
      <c r="L89" s="3" t="s">
        <v>29</v>
      </c>
      <c r="M89" s="3" t="s">
        <v>79</v>
      </c>
      <c r="N89" s="3" t="s">
        <v>85</v>
      </c>
    </row>
    <row r="90" spans="1:14" x14ac:dyDescent="0.3">
      <c r="A90" s="2">
        <v>43922</v>
      </c>
      <c r="B90" s="2">
        <v>43928</v>
      </c>
      <c r="C90">
        <v>6</v>
      </c>
      <c r="D90" s="3" t="s">
        <v>21</v>
      </c>
      <c r="E90" s="6">
        <v>355</v>
      </c>
      <c r="F90" s="6">
        <v>252.05</v>
      </c>
      <c r="G90">
        <v>3</v>
      </c>
      <c r="H90" s="6">
        <f>SalesData_2[[#This Row],[Unit Price]]*SalesData_2[[#This Row],[Units Sold]]</f>
        <v>1065</v>
      </c>
      <c r="I90" s="6">
        <f>SalesData_2[[#This Row],[Unit Cost]]*SalesData_2[[#This Row],[Units Sold]]</f>
        <v>756.15000000000009</v>
      </c>
      <c r="J90" s="6">
        <f>SalesData_2[[#This Row],[Sales]]-SalesData_2[[#This Row],[COGS]]</f>
        <v>308.84999999999991</v>
      </c>
      <c r="K90" s="21">
        <f>SalesData_2[[#This Row],[Revenue]]/SalesData_2[[#This Row],[Sales]]</f>
        <v>0.28999999999999992</v>
      </c>
      <c r="L90" s="3" t="s">
        <v>61</v>
      </c>
      <c r="M90" s="3" t="s">
        <v>82</v>
      </c>
      <c r="N90" s="3" t="s">
        <v>86</v>
      </c>
    </row>
    <row r="91" spans="1:14" x14ac:dyDescent="0.3">
      <c r="A91" s="2">
        <v>43925</v>
      </c>
      <c r="B91" s="2">
        <v>43930</v>
      </c>
      <c r="C91">
        <v>5</v>
      </c>
      <c r="D91" s="3" t="s">
        <v>17</v>
      </c>
      <c r="E91" s="6">
        <v>195</v>
      </c>
      <c r="F91" s="6">
        <v>138.44999999999999</v>
      </c>
      <c r="G91">
        <v>7</v>
      </c>
      <c r="H91" s="6">
        <f>SalesData_2[[#This Row],[Unit Price]]*SalesData_2[[#This Row],[Units Sold]]</f>
        <v>1365</v>
      </c>
      <c r="I91" s="6">
        <f>SalesData_2[[#This Row],[Unit Cost]]*SalesData_2[[#This Row],[Units Sold]]</f>
        <v>969.14999999999986</v>
      </c>
      <c r="J91" s="6">
        <f>SalesData_2[[#This Row],[Sales]]-SalesData_2[[#This Row],[COGS]]</f>
        <v>395.85000000000014</v>
      </c>
      <c r="K91" s="21">
        <f>SalesData_2[[#This Row],[Revenue]]/SalesData_2[[#This Row],[Sales]]</f>
        <v>0.29000000000000009</v>
      </c>
      <c r="L91" s="3" t="s">
        <v>56</v>
      </c>
      <c r="M91" s="3" t="s">
        <v>83</v>
      </c>
      <c r="N91" s="3" t="s">
        <v>86</v>
      </c>
    </row>
    <row r="92" spans="1:14" x14ac:dyDescent="0.3">
      <c r="A92" s="2">
        <v>43926</v>
      </c>
      <c r="B92" s="2">
        <v>43931</v>
      </c>
      <c r="C92">
        <v>5</v>
      </c>
      <c r="D92" s="3" t="s">
        <v>21</v>
      </c>
      <c r="E92" s="6">
        <v>355</v>
      </c>
      <c r="F92" s="6">
        <v>252.05</v>
      </c>
      <c r="G92">
        <v>7</v>
      </c>
      <c r="H92" s="6">
        <f>SalesData_2[[#This Row],[Unit Price]]*SalesData_2[[#This Row],[Units Sold]]</f>
        <v>2485</v>
      </c>
      <c r="I92" s="6">
        <f>SalesData_2[[#This Row],[Unit Cost]]*SalesData_2[[#This Row],[Units Sold]]</f>
        <v>1764.3500000000001</v>
      </c>
      <c r="J92" s="6">
        <f>SalesData_2[[#This Row],[Sales]]-SalesData_2[[#This Row],[COGS]]</f>
        <v>720.64999999999986</v>
      </c>
      <c r="K92" s="21">
        <f>SalesData_2[[#This Row],[Revenue]]/SalesData_2[[#This Row],[Sales]]</f>
        <v>0.28999999999999992</v>
      </c>
      <c r="L92" s="3" t="s">
        <v>45</v>
      </c>
      <c r="M92" s="3" t="s">
        <v>79</v>
      </c>
      <c r="N92" s="3" t="s">
        <v>85</v>
      </c>
    </row>
    <row r="93" spans="1:14" x14ac:dyDescent="0.3">
      <c r="A93" s="2">
        <v>43926</v>
      </c>
      <c r="B93" s="2">
        <v>43928</v>
      </c>
      <c r="C93">
        <v>2</v>
      </c>
      <c r="D93" s="3" t="s">
        <v>19</v>
      </c>
      <c r="E93" s="6">
        <v>220</v>
      </c>
      <c r="F93" s="6">
        <v>154</v>
      </c>
      <c r="G93">
        <v>1</v>
      </c>
      <c r="H93" s="6">
        <f>SalesData_2[[#This Row],[Unit Price]]*SalesData_2[[#This Row],[Units Sold]]</f>
        <v>220</v>
      </c>
      <c r="I93" s="6">
        <f>SalesData_2[[#This Row],[Unit Cost]]*SalesData_2[[#This Row],[Units Sold]]</f>
        <v>154</v>
      </c>
      <c r="J93" s="6">
        <f>SalesData_2[[#This Row],[Sales]]-SalesData_2[[#This Row],[COGS]]</f>
        <v>66</v>
      </c>
      <c r="K93" s="21">
        <f>SalesData_2[[#This Row],[Revenue]]/SalesData_2[[#This Row],[Sales]]</f>
        <v>0.3</v>
      </c>
      <c r="L93" s="3" t="s">
        <v>45</v>
      </c>
      <c r="M93" s="3" t="s">
        <v>82</v>
      </c>
      <c r="N93" s="3" t="s">
        <v>86</v>
      </c>
    </row>
    <row r="94" spans="1:14" x14ac:dyDescent="0.3">
      <c r="A94" s="2">
        <v>43927</v>
      </c>
      <c r="B94" s="2">
        <v>43931</v>
      </c>
      <c r="C94">
        <v>4</v>
      </c>
      <c r="D94" s="3" t="s">
        <v>6</v>
      </c>
      <c r="E94" s="6">
        <v>99</v>
      </c>
      <c r="F94" s="6">
        <v>62.37</v>
      </c>
      <c r="G94">
        <v>1</v>
      </c>
      <c r="H94" s="6">
        <f>SalesData_2[[#This Row],[Unit Price]]*SalesData_2[[#This Row],[Units Sold]]</f>
        <v>99</v>
      </c>
      <c r="I94" s="6">
        <f>SalesData_2[[#This Row],[Unit Cost]]*SalesData_2[[#This Row],[Units Sold]]</f>
        <v>62.37</v>
      </c>
      <c r="J94" s="6">
        <f>SalesData_2[[#This Row],[Sales]]-SalesData_2[[#This Row],[COGS]]</f>
        <v>36.630000000000003</v>
      </c>
      <c r="K94" s="21">
        <f>SalesData_2[[#This Row],[Revenue]]/SalesData_2[[#This Row],[Sales]]</f>
        <v>0.37000000000000005</v>
      </c>
      <c r="L94" s="3" t="s">
        <v>38</v>
      </c>
      <c r="M94" s="3" t="s">
        <v>79</v>
      </c>
      <c r="N94" s="3" t="s">
        <v>85</v>
      </c>
    </row>
    <row r="95" spans="1:14" x14ac:dyDescent="0.3">
      <c r="A95" s="2">
        <v>43928</v>
      </c>
      <c r="B95" s="2">
        <v>43934</v>
      </c>
      <c r="C95">
        <v>6</v>
      </c>
      <c r="D95" s="3" t="s">
        <v>12</v>
      </c>
      <c r="E95" s="6">
        <v>320</v>
      </c>
      <c r="F95" s="6">
        <v>233.6</v>
      </c>
      <c r="G95">
        <v>1</v>
      </c>
      <c r="H95" s="6">
        <f>SalesData_2[[#This Row],[Unit Price]]*SalesData_2[[#This Row],[Units Sold]]</f>
        <v>320</v>
      </c>
      <c r="I95" s="6">
        <f>SalesData_2[[#This Row],[Unit Cost]]*SalesData_2[[#This Row],[Units Sold]]</f>
        <v>233.6</v>
      </c>
      <c r="J95" s="6">
        <f>SalesData_2[[#This Row],[Sales]]-SalesData_2[[#This Row],[COGS]]</f>
        <v>86.4</v>
      </c>
      <c r="K95" s="21">
        <f>SalesData_2[[#This Row],[Revenue]]/SalesData_2[[#This Row],[Sales]]</f>
        <v>0.27</v>
      </c>
      <c r="L95" s="3" t="s">
        <v>68</v>
      </c>
      <c r="M95" s="3" t="s">
        <v>81</v>
      </c>
      <c r="N95" s="3" t="s">
        <v>85</v>
      </c>
    </row>
    <row r="96" spans="1:14" x14ac:dyDescent="0.3">
      <c r="A96" s="2">
        <v>43929</v>
      </c>
      <c r="B96" s="2">
        <v>43934</v>
      </c>
      <c r="C96">
        <v>5</v>
      </c>
      <c r="D96" s="3" t="s">
        <v>19</v>
      </c>
      <c r="E96" s="6">
        <v>220</v>
      </c>
      <c r="F96" s="6">
        <v>154</v>
      </c>
      <c r="G96">
        <v>4</v>
      </c>
      <c r="H96" s="6">
        <f>SalesData_2[[#This Row],[Unit Price]]*SalesData_2[[#This Row],[Units Sold]]</f>
        <v>880</v>
      </c>
      <c r="I96" s="6">
        <f>SalesData_2[[#This Row],[Unit Cost]]*SalesData_2[[#This Row],[Units Sold]]</f>
        <v>616</v>
      </c>
      <c r="J96" s="6">
        <f>SalesData_2[[#This Row],[Sales]]-SalesData_2[[#This Row],[COGS]]</f>
        <v>264</v>
      </c>
      <c r="K96" s="21">
        <f>SalesData_2[[#This Row],[Revenue]]/SalesData_2[[#This Row],[Sales]]</f>
        <v>0.3</v>
      </c>
      <c r="L96" s="3" t="s">
        <v>46</v>
      </c>
      <c r="M96" s="3" t="s">
        <v>82</v>
      </c>
      <c r="N96" s="3" t="s">
        <v>86</v>
      </c>
    </row>
    <row r="97" spans="1:14" x14ac:dyDescent="0.3">
      <c r="A97" s="2">
        <v>43929</v>
      </c>
      <c r="B97" s="2">
        <v>43935</v>
      </c>
      <c r="C97">
        <v>6</v>
      </c>
      <c r="D97" s="3" t="s">
        <v>2</v>
      </c>
      <c r="E97" s="6">
        <v>250</v>
      </c>
      <c r="F97" s="6">
        <v>187.5</v>
      </c>
      <c r="G97">
        <v>9</v>
      </c>
      <c r="H97" s="6">
        <f>SalesData_2[[#This Row],[Unit Price]]*SalesData_2[[#This Row],[Units Sold]]</f>
        <v>2250</v>
      </c>
      <c r="I97" s="6">
        <f>SalesData_2[[#This Row],[Unit Cost]]*SalesData_2[[#This Row],[Units Sold]]</f>
        <v>1687.5</v>
      </c>
      <c r="J97" s="6">
        <f>SalesData_2[[#This Row],[Sales]]-SalesData_2[[#This Row],[COGS]]</f>
        <v>562.5</v>
      </c>
      <c r="K97" s="21">
        <f>SalesData_2[[#This Row],[Revenue]]/SalesData_2[[#This Row],[Sales]]</f>
        <v>0.25</v>
      </c>
      <c r="L97" s="3" t="s">
        <v>56</v>
      </c>
      <c r="M97" s="3" t="s">
        <v>82</v>
      </c>
      <c r="N97" s="3" t="s">
        <v>85</v>
      </c>
    </row>
    <row r="98" spans="1:14" x14ac:dyDescent="0.3">
      <c r="A98" s="2">
        <v>43930</v>
      </c>
      <c r="B98" s="2">
        <v>43934</v>
      </c>
      <c r="C98">
        <v>4</v>
      </c>
      <c r="D98" s="3" t="s">
        <v>17</v>
      </c>
      <c r="E98" s="6">
        <v>195</v>
      </c>
      <c r="F98" s="6">
        <v>138.44999999999999</v>
      </c>
      <c r="G98">
        <v>7</v>
      </c>
      <c r="H98" s="6">
        <f>SalesData_2[[#This Row],[Unit Price]]*SalesData_2[[#This Row],[Units Sold]]</f>
        <v>1365</v>
      </c>
      <c r="I98" s="6">
        <f>SalesData_2[[#This Row],[Unit Cost]]*SalesData_2[[#This Row],[Units Sold]]</f>
        <v>969.14999999999986</v>
      </c>
      <c r="J98" s="6">
        <f>SalesData_2[[#This Row],[Sales]]-SalesData_2[[#This Row],[COGS]]</f>
        <v>395.85000000000014</v>
      </c>
      <c r="K98" s="21">
        <f>SalesData_2[[#This Row],[Revenue]]/SalesData_2[[#This Row],[Sales]]</f>
        <v>0.29000000000000009</v>
      </c>
      <c r="L98" s="3" t="s">
        <v>30</v>
      </c>
      <c r="M98" s="3" t="s">
        <v>83</v>
      </c>
      <c r="N98" s="3" t="s">
        <v>85</v>
      </c>
    </row>
    <row r="99" spans="1:14" x14ac:dyDescent="0.3">
      <c r="A99" s="2">
        <v>43932</v>
      </c>
      <c r="B99" s="2">
        <v>43933</v>
      </c>
      <c r="C99">
        <v>1</v>
      </c>
      <c r="D99" s="3" t="s">
        <v>2</v>
      </c>
      <c r="E99" s="6">
        <v>250</v>
      </c>
      <c r="F99" s="6">
        <v>187.5</v>
      </c>
      <c r="G99">
        <v>5</v>
      </c>
      <c r="H99" s="6">
        <f>SalesData_2[[#This Row],[Unit Price]]*SalesData_2[[#This Row],[Units Sold]]</f>
        <v>1250</v>
      </c>
      <c r="I99" s="6">
        <f>SalesData_2[[#This Row],[Unit Cost]]*SalesData_2[[#This Row],[Units Sold]]</f>
        <v>937.5</v>
      </c>
      <c r="J99" s="6">
        <f>SalesData_2[[#This Row],[Sales]]-SalesData_2[[#This Row],[COGS]]</f>
        <v>312.5</v>
      </c>
      <c r="K99" s="21">
        <f>SalesData_2[[#This Row],[Revenue]]/SalesData_2[[#This Row],[Sales]]</f>
        <v>0.25</v>
      </c>
      <c r="L99" s="3" t="s">
        <v>76</v>
      </c>
      <c r="M99" s="3" t="s">
        <v>81</v>
      </c>
      <c r="N99" s="3" t="s">
        <v>86</v>
      </c>
    </row>
    <row r="100" spans="1:14" x14ac:dyDescent="0.3">
      <c r="A100" s="2">
        <v>43934</v>
      </c>
      <c r="B100" s="2">
        <v>43941</v>
      </c>
      <c r="C100">
        <v>7</v>
      </c>
      <c r="D100" s="3" t="s">
        <v>5</v>
      </c>
      <c r="E100" s="6">
        <v>290</v>
      </c>
      <c r="F100" s="6">
        <v>185.6</v>
      </c>
      <c r="G100">
        <v>5</v>
      </c>
      <c r="H100" s="6">
        <f>SalesData_2[[#This Row],[Unit Price]]*SalesData_2[[#This Row],[Units Sold]]</f>
        <v>1450</v>
      </c>
      <c r="I100" s="6">
        <f>SalesData_2[[#This Row],[Unit Cost]]*SalesData_2[[#This Row],[Units Sold]]</f>
        <v>928</v>
      </c>
      <c r="J100" s="6">
        <f>SalesData_2[[#This Row],[Sales]]-SalesData_2[[#This Row],[COGS]]</f>
        <v>522</v>
      </c>
      <c r="K100" s="21">
        <f>SalesData_2[[#This Row],[Revenue]]/SalesData_2[[#This Row],[Sales]]</f>
        <v>0.36</v>
      </c>
      <c r="L100" s="3" t="s">
        <v>56</v>
      </c>
      <c r="M100" s="3" t="s">
        <v>79</v>
      </c>
      <c r="N100" s="3" t="s">
        <v>85</v>
      </c>
    </row>
    <row r="101" spans="1:14" x14ac:dyDescent="0.3">
      <c r="A101" s="2">
        <v>43934</v>
      </c>
      <c r="B101" s="2">
        <v>43940</v>
      </c>
      <c r="C101">
        <v>6</v>
      </c>
      <c r="D101" s="3" t="s">
        <v>5</v>
      </c>
      <c r="E101" s="6">
        <v>290</v>
      </c>
      <c r="F101" s="6">
        <v>185.6</v>
      </c>
      <c r="G101">
        <v>2</v>
      </c>
      <c r="H101" s="6">
        <f>SalesData_2[[#This Row],[Unit Price]]*SalesData_2[[#This Row],[Units Sold]]</f>
        <v>580</v>
      </c>
      <c r="I101" s="6">
        <f>SalesData_2[[#This Row],[Unit Cost]]*SalesData_2[[#This Row],[Units Sold]]</f>
        <v>371.2</v>
      </c>
      <c r="J101" s="6">
        <f>SalesData_2[[#This Row],[Sales]]-SalesData_2[[#This Row],[COGS]]</f>
        <v>208.8</v>
      </c>
      <c r="K101" s="21">
        <f>SalesData_2[[#This Row],[Revenue]]/SalesData_2[[#This Row],[Sales]]</f>
        <v>0.36000000000000004</v>
      </c>
      <c r="L101" s="3" t="s">
        <v>31</v>
      </c>
      <c r="M101" s="3" t="s">
        <v>82</v>
      </c>
      <c r="N101" s="3" t="s">
        <v>86</v>
      </c>
    </row>
    <row r="102" spans="1:14" x14ac:dyDescent="0.3">
      <c r="A102" s="2">
        <v>43934</v>
      </c>
      <c r="B102" s="2">
        <v>43935</v>
      </c>
      <c r="C102">
        <v>1</v>
      </c>
      <c r="D102" s="3" t="s">
        <v>22</v>
      </c>
      <c r="E102" s="6">
        <v>460</v>
      </c>
      <c r="F102" s="6">
        <v>303.60000000000002</v>
      </c>
      <c r="G102">
        <v>9</v>
      </c>
      <c r="H102" s="6">
        <f>SalesData_2[[#This Row],[Unit Price]]*SalesData_2[[#This Row],[Units Sold]]</f>
        <v>4140</v>
      </c>
      <c r="I102" s="6">
        <f>SalesData_2[[#This Row],[Unit Cost]]*SalesData_2[[#This Row],[Units Sold]]</f>
        <v>2732.4</v>
      </c>
      <c r="J102" s="6">
        <f>SalesData_2[[#This Row],[Sales]]-SalesData_2[[#This Row],[COGS]]</f>
        <v>1407.6</v>
      </c>
      <c r="K102" s="21">
        <f>SalesData_2[[#This Row],[Revenue]]/SalesData_2[[#This Row],[Sales]]</f>
        <v>0.33999999999999997</v>
      </c>
      <c r="L102" s="3" t="s">
        <v>32</v>
      </c>
      <c r="M102" s="3" t="s">
        <v>82</v>
      </c>
      <c r="N102" s="3" t="s">
        <v>85</v>
      </c>
    </row>
    <row r="103" spans="1:14" x14ac:dyDescent="0.3">
      <c r="A103" s="2">
        <v>43935</v>
      </c>
      <c r="B103" s="2">
        <v>43942</v>
      </c>
      <c r="C103">
        <v>7</v>
      </c>
      <c r="D103" s="3" t="s">
        <v>12</v>
      </c>
      <c r="E103" s="6">
        <v>320</v>
      </c>
      <c r="F103" s="6">
        <v>233.6</v>
      </c>
      <c r="G103">
        <v>7</v>
      </c>
      <c r="H103" s="6">
        <f>SalesData_2[[#This Row],[Unit Price]]*SalesData_2[[#This Row],[Units Sold]]</f>
        <v>2240</v>
      </c>
      <c r="I103" s="6">
        <f>SalesData_2[[#This Row],[Unit Cost]]*SalesData_2[[#This Row],[Units Sold]]</f>
        <v>1635.2</v>
      </c>
      <c r="J103" s="6">
        <f>SalesData_2[[#This Row],[Sales]]-SalesData_2[[#This Row],[COGS]]</f>
        <v>604.79999999999995</v>
      </c>
      <c r="K103" s="21">
        <f>SalesData_2[[#This Row],[Revenue]]/SalesData_2[[#This Row],[Sales]]</f>
        <v>0.26999999999999996</v>
      </c>
      <c r="L103" s="3" t="s">
        <v>40</v>
      </c>
      <c r="M103" s="3" t="s">
        <v>81</v>
      </c>
      <c r="N103" s="3" t="s">
        <v>85</v>
      </c>
    </row>
    <row r="104" spans="1:14" x14ac:dyDescent="0.3">
      <c r="A104" s="2">
        <v>43936</v>
      </c>
      <c r="B104" s="2">
        <v>43943</v>
      </c>
      <c r="C104">
        <v>7</v>
      </c>
      <c r="D104" s="3" t="s">
        <v>2</v>
      </c>
      <c r="E104" s="6">
        <v>250</v>
      </c>
      <c r="F104" s="6">
        <v>187.5</v>
      </c>
      <c r="G104">
        <v>5</v>
      </c>
      <c r="H104" s="6">
        <f>SalesData_2[[#This Row],[Unit Price]]*SalesData_2[[#This Row],[Units Sold]]</f>
        <v>1250</v>
      </c>
      <c r="I104" s="6">
        <f>SalesData_2[[#This Row],[Unit Cost]]*SalesData_2[[#This Row],[Units Sold]]</f>
        <v>937.5</v>
      </c>
      <c r="J104" s="6">
        <f>SalesData_2[[#This Row],[Sales]]-SalesData_2[[#This Row],[COGS]]</f>
        <v>312.5</v>
      </c>
      <c r="K104" s="21">
        <f>SalesData_2[[#This Row],[Revenue]]/SalesData_2[[#This Row],[Sales]]</f>
        <v>0.25</v>
      </c>
      <c r="L104" s="3" t="s">
        <v>53</v>
      </c>
      <c r="M104" s="3" t="s">
        <v>79</v>
      </c>
      <c r="N104" s="3" t="s">
        <v>86</v>
      </c>
    </row>
    <row r="105" spans="1:14" x14ac:dyDescent="0.3">
      <c r="A105" s="2">
        <v>43937</v>
      </c>
      <c r="B105" s="2">
        <v>43939</v>
      </c>
      <c r="C105">
        <v>2</v>
      </c>
      <c r="D105" s="3" t="s">
        <v>12</v>
      </c>
      <c r="E105" s="6">
        <v>320</v>
      </c>
      <c r="F105" s="6">
        <v>233.6</v>
      </c>
      <c r="G105">
        <v>4</v>
      </c>
      <c r="H105" s="6">
        <f>SalesData_2[[#This Row],[Unit Price]]*SalesData_2[[#This Row],[Units Sold]]</f>
        <v>1280</v>
      </c>
      <c r="I105" s="6">
        <f>SalesData_2[[#This Row],[Unit Cost]]*SalesData_2[[#This Row],[Units Sold]]</f>
        <v>934.4</v>
      </c>
      <c r="J105" s="6">
        <f>SalesData_2[[#This Row],[Sales]]-SalesData_2[[#This Row],[COGS]]</f>
        <v>345.6</v>
      </c>
      <c r="K105" s="21">
        <f>SalesData_2[[#This Row],[Revenue]]/SalesData_2[[#This Row],[Sales]]</f>
        <v>0.27</v>
      </c>
      <c r="L105" s="3" t="s">
        <v>41</v>
      </c>
      <c r="M105" s="3" t="s">
        <v>80</v>
      </c>
      <c r="N105" s="3" t="s">
        <v>86</v>
      </c>
    </row>
    <row r="106" spans="1:14" x14ac:dyDescent="0.3">
      <c r="A106" s="2">
        <v>43937</v>
      </c>
      <c r="B106" s="2">
        <v>43944</v>
      </c>
      <c r="C106">
        <v>7</v>
      </c>
      <c r="D106" s="3" t="s">
        <v>8</v>
      </c>
      <c r="E106" s="6">
        <v>59</v>
      </c>
      <c r="F106" s="6">
        <v>41.3</v>
      </c>
      <c r="G106">
        <v>3</v>
      </c>
      <c r="H106" s="6">
        <f>SalesData_2[[#This Row],[Unit Price]]*SalesData_2[[#This Row],[Units Sold]]</f>
        <v>177</v>
      </c>
      <c r="I106" s="6">
        <f>SalesData_2[[#This Row],[Unit Cost]]*SalesData_2[[#This Row],[Units Sold]]</f>
        <v>123.89999999999999</v>
      </c>
      <c r="J106" s="6">
        <f>SalesData_2[[#This Row],[Sales]]-SalesData_2[[#This Row],[COGS]]</f>
        <v>53.100000000000009</v>
      </c>
      <c r="K106" s="21">
        <f>SalesData_2[[#This Row],[Revenue]]/SalesData_2[[#This Row],[Sales]]</f>
        <v>0.30000000000000004</v>
      </c>
      <c r="L106" s="3" t="s">
        <v>29</v>
      </c>
      <c r="M106" s="3" t="s">
        <v>82</v>
      </c>
      <c r="N106" s="3" t="s">
        <v>86</v>
      </c>
    </row>
    <row r="107" spans="1:14" x14ac:dyDescent="0.3">
      <c r="A107" s="2">
        <v>43938</v>
      </c>
      <c r="B107" s="2">
        <v>43939</v>
      </c>
      <c r="C107">
        <v>1</v>
      </c>
      <c r="D107" s="3" t="s">
        <v>9</v>
      </c>
      <c r="E107" s="6">
        <v>215</v>
      </c>
      <c r="F107" s="6">
        <v>152.65</v>
      </c>
      <c r="G107">
        <v>3</v>
      </c>
      <c r="H107" s="6">
        <f>SalesData_2[[#This Row],[Unit Price]]*SalesData_2[[#This Row],[Units Sold]]</f>
        <v>645</v>
      </c>
      <c r="I107" s="6">
        <f>SalesData_2[[#This Row],[Unit Cost]]*SalesData_2[[#This Row],[Units Sold]]</f>
        <v>457.95000000000005</v>
      </c>
      <c r="J107" s="6">
        <f>SalesData_2[[#This Row],[Sales]]-SalesData_2[[#This Row],[COGS]]</f>
        <v>187.04999999999995</v>
      </c>
      <c r="K107" s="21">
        <f>SalesData_2[[#This Row],[Revenue]]/SalesData_2[[#This Row],[Sales]]</f>
        <v>0.28999999999999992</v>
      </c>
      <c r="L107" s="3" t="s">
        <v>29</v>
      </c>
      <c r="M107" s="3" t="s">
        <v>83</v>
      </c>
      <c r="N107" s="3" t="s">
        <v>85</v>
      </c>
    </row>
    <row r="108" spans="1:14" x14ac:dyDescent="0.3">
      <c r="A108" s="2">
        <v>43939</v>
      </c>
      <c r="B108" s="2">
        <v>43941</v>
      </c>
      <c r="C108">
        <v>2</v>
      </c>
      <c r="D108" s="3" t="s">
        <v>8</v>
      </c>
      <c r="E108" s="6">
        <v>59</v>
      </c>
      <c r="F108" s="6">
        <v>41.3</v>
      </c>
      <c r="G108">
        <v>6</v>
      </c>
      <c r="H108" s="6">
        <f>SalesData_2[[#This Row],[Unit Price]]*SalesData_2[[#This Row],[Units Sold]]</f>
        <v>354</v>
      </c>
      <c r="I108" s="6">
        <f>SalesData_2[[#This Row],[Unit Cost]]*SalesData_2[[#This Row],[Units Sold]]</f>
        <v>247.79999999999998</v>
      </c>
      <c r="J108" s="6">
        <f>SalesData_2[[#This Row],[Sales]]-SalesData_2[[#This Row],[COGS]]</f>
        <v>106.20000000000002</v>
      </c>
      <c r="K108" s="21">
        <f>SalesData_2[[#This Row],[Revenue]]/SalesData_2[[#This Row],[Sales]]</f>
        <v>0.30000000000000004</v>
      </c>
      <c r="L108" s="3" t="s">
        <v>34</v>
      </c>
      <c r="M108" s="3" t="s">
        <v>83</v>
      </c>
      <c r="N108" s="3" t="s">
        <v>85</v>
      </c>
    </row>
    <row r="109" spans="1:14" x14ac:dyDescent="0.3">
      <c r="A109" s="2">
        <v>43939</v>
      </c>
      <c r="B109" s="2">
        <v>43943</v>
      </c>
      <c r="C109">
        <v>4</v>
      </c>
      <c r="D109" s="3" t="s">
        <v>12</v>
      </c>
      <c r="E109" s="6">
        <v>320</v>
      </c>
      <c r="F109" s="6">
        <v>233.6</v>
      </c>
      <c r="G109">
        <v>6</v>
      </c>
      <c r="H109" s="6">
        <f>SalesData_2[[#This Row],[Unit Price]]*SalesData_2[[#This Row],[Units Sold]]</f>
        <v>1920</v>
      </c>
      <c r="I109" s="6">
        <f>SalesData_2[[#This Row],[Unit Cost]]*SalesData_2[[#This Row],[Units Sold]]</f>
        <v>1401.6</v>
      </c>
      <c r="J109" s="6">
        <f>SalesData_2[[#This Row],[Sales]]-SalesData_2[[#This Row],[COGS]]</f>
        <v>518.40000000000009</v>
      </c>
      <c r="K109" s="21">
        <f>SalesData_2[[#This Row],[Revenue]]/SalesData_2[[#This Row],[Sales]]</f>
        <v>0.27000000000000007</v>
      </c>
      <c r="L109" s="3" t="s">
        <v>45</v>
      </c>
      <c r="M109" s="3" t="s">
        <v>81</v>
      </c>
      <c r="N109" s="3" t="s">
        <v>86</v>
      </c>
    </row>
    <row r="110" spans="1:14" x14ac:dyDescent="0.3">
      <c r="A110" s="2">
        <v>43941</v>
      </c>
      <c r="B110" s="2">
        <v>43944</v>
      </c>
      <c r="C110">
        <v>3</v>
      </c>
      <c r="D110" s="3" t="s">
        <v>7</v>
      </c>
      <c r="E110" s="6">
        <v>250</v>
      </c>
      <c r="F110" s="6">
        <v>167.5</v>
      </c>
      <c r="G110">
        <v>2</v>
      </c>
      <c r="H110" s="6">
        <f>SalesData_2[[#This Row],[Unit Price]]*SalesData_2[[#This Row],[Units Sold]]</f>
        <v>500</v>
      </c>
      <c r="I110" s="6">
        <f>SalesData_2[[#This Row],[Unit Cost]]*SalesData_2[[#This Row],[Units Sold]]</f>
        <v>335</v>
      </c>
      <c r="J110" s="6">
        <f>SalesData_2[[#This Row],[Sales]]-SalesData_2[[#This Row],[COGS]]</f>
        <v>165</v>
      </c>
      <c r="K110" s="21">
        <f>SalesData_2[[#This Row],[Revenue]]/SalesData_2[[#This Row],[Sales]]</f>
        <v>0.33</v>
      </c>
      <c r="L110" s="3" t="s">
        <v>43</v>
      </c>
      <c r="M110" s="3" t="s">
        <v>81</v>
      </c>
      <c r="N110" s="3" t="s">
        <v>86</v>
      </c>
    </row>
    <row r="111" spans="1:14" x14ac:dyDescent="0.3">
      <c r="A111" s="2">
        <v>43941</v>
      </c>
      <c r="B111" s="2">
        <v>43948</v>
      </c>
      <c r="C111">
        <v>7</v>
      </c>
      <c r="D111" s="3" t="s">
        <v>8</v>
      </c>
      <c r="E111" s="6">
        <v>59</v>
      </c>
      <c r="F111" s="6">
        <v>41.3</v>
      </c>
      <c r="G111">
        <v>7</v>
      </c>
      <c r="H111" s="6">
        <f>SalesData_2[[#This Row],[Unit Price]]*SalesData_2[[#This Row],[Units Sold]]</f>
        <v>413</v>
      </c>
      <c r="I111" s="6">
        <f>SalesData_2[[#This Row],[Unit Cost]]*SalesData_2[[#This Row],[Units Sold]]</f>
        <v>289.09999999999997</v>
      </c>
      <c r="J111" s="6">
        <f>SalesData_2[[#This Row],[Sales]]-SalesData_2[[#This Row],[COGS]]</f>
        <v>123.90000000000003</v>
      </c>
      <c r="K111" s="21">
        <f>SalesData_2[[#This Row],[Revenue]]/SalesData_2[[#This Row],[Sales]]</f>
        <v>0.3000000000000001</v>
      </c>
      <c r="L111" s="3" t="s">
        <v>65</v>
      </c>
      <c r="M111" s="3" t="s">
        <v>82</v>
      </c>
      <c r="N111" s="3" t="s">
        <v>86</v>
      </c>
    </row>
    <row r="112" spans="1:14" x14ac:dyDescent="0.3">
      <c r="A112" s="2">
        <v>43943</v>
      </c>
      <c r="B112" s="2">
        <v>43944</v>
      </c>
      <c r="C112">
        <v>1</v>
      </c>
      <c r="D112" s="3" t="s">
        <v>7</v>
      </c>
      <c r="E112" s="6">
        <v>250</v>
      </c>
      <c r="F112" s="6">
        <v>167.5</v>
      </c>
      <c r="G112">
        <v>6</v>
      </c>
      <c r="H112" s="6">
        <f>SalesData_2[[#This Row],[Unit Price]]*SalesData_2[[#This Row],[Units Sold]]</f>
        <v>1500</v>
      </c>
      <c r="I112" s="6">
        <f>SalesData_2[[#This Row],[Unit Cost]]*SalesData_2[[#This Row],[Units Sold]]</f>
        <v>1005</v>
      </c>
      <c r="J112" s="6">
        <f>SalesData_2[[#This Row],[Sales]]-SalesData_2[[#This Row],[COGS]]</f>
        <v>495</v>
      </c>
      <c r="K112" s="21">
        <f>SalesData_2[[#This Row],[Revenue]]/SalesData_2[[#This Row],[Sales]]</f>
        <v>0.33</v>
      </c>
      <c r="L112" s="3" t="s">
        <v>46</v>
      </c>
      <c r="M112" s="3" t="s">
        <v>80</v>
      </c>
      <c r="N112" s="3" t="s">
        <v>86</v>
      </c>
    </row>
    <row r="113" spans="1:14" x14ac:dyDescent="0.3">
      <c r="A113" s="2">
        <v>43944</v>
      </c>
      <c r="B113" s="2">
        <v>43949</v>
      </c>
      <c r="C113">
        <v>5</v>
      </c>
      <c r="D113" s="3" t="s">
        <v>17</v>
      </c>
      <c r="E113" s="6">
        <v>195</v>
      </c>
      <c r="F113" s="6">
        <v>138.44999999999999</v>
      </c>
      <c r="G113">
        <v>4</v>
      </c>
      <c r="H113" s="6">
        <f>SalesData_2[[#This Row],[Unit Price]]*SalesData_2[[#This Row],[Units Sold]]</f>
        <v>780</v>
      </c>
      <c r="I113" s="6">
        <f>SalesData_2[[#This Row],[Unit Cost]]*SalesData_2[[#This Row],[Units Sold]]</f>
        <v>553.79999999999995</v>
      </c>
      <c r="J113" s="6">
        <f>SalesData_2[[#This Row],[Sales]]-SalesData_2[[#This Row],[COGS]]</f>
        <v>226.20000000000005</v>
      </c>
      <c r="K113" s="21">
        <f>SalesData_2[[#This Row],[Revenue]]/SalesData_2[[#This Row],[Sales]]</f>
        <v>0.29000000000000004</v>
      </c>
      <c r="L113" s="3" t="s">
        <v>31</v>
      </c>
      <c r="M113" s="3" t="s">
        <v>81</v>
      </c>
      <c r="N113" s="3" t="s">
        <v>85</v>
      </c>
    </row>
    <row r="114" spans="1:14" x14ac:dyDescent="0.3">
      <c r="A114" s="2">
        <v>43945</v>
      </c>
      <c r="B114" s="2">
        <v>43951</v>
      </c>
      <c r="C114">
        <v>6</v>
      </c>
      <c r="D114" s="3" t="s">
        <v>12</v>
      </c>
      <c r="E114" s="6">
        <v>320</v>
      </c>
      <c r="F114" s="6">
        <v>233.6</v>
      </c>
      <c r="G114">
        <v>2</v>
      </c>
      <c r="H114" s="6">
        <f>SalesData_2[[#This Row],[Unit Price]]*SalesData_2[[#This Row],[Units Sold]]</f>
        <v>640</v>
      </c>
      <c r="I114" s="6">
        <f>SalesData_2[[#This Row],[Unit Cost]]*SalesData_2[[#This Row],[Units Sold]]</f>
        <v>467.2</v>
      </c>
      <c r="J114" s="6">
        <f>SalesData_2[[#This Row],[Sales]]-SalesData_2[[#This Row],[COGS]]</f>
        <v>172.8</v>
      </c>
      <c r="K114" s="21">
        <f>SalesData_2[[#This Row],[Revenue]]/SalesData_2[[#This Row],[Sales]]</f>
        <v>0.27</v>
      </c>
      <c r="L114" s="3" t="s">
        <v>41</v>
      </c>
      <c r="M114" s="3" t="s">
        <v>79</v>
      </c>
      <c r="N114" s="3" t="s">
        <v>85</v>
      </c>
    </row>
    <row r="115" spans="1:14" x14ac:dyDescent="0.3">
      <c r="A115" s="2">
        <v>43945</v>
      </c>
      <c r="B115" s="2">
        <v>43946</v>
      </c>
      <c r="C115">
        <v>1</v>
      </c>
      <c r="D115" s="3" t="s">
        <v>2</v>
      </c>
      <c r="E115" s="6">
        <v>250</v>
      </c>
      <c r="F115" s="6">
        <v>187.5</v>
      </c>
      <c r="G115">
        <v>1</v>
      </c>
      <c r="H115" s="6">
        <f>SalesData_2[[#This Row],[Unit Price]]*SalesData_2[[#This Row],[Units Sold]]</f>
        <v>250</v>
      </c>
      <c r="I115" s="6">
        <f>SalesData_2[[#This Row],[Unit Cost]]*SalesData_2[[#This Row],[Units Sold]]</f>
        <v>187.5</v>
      </c>
      <c r="J115" s="6">
        <f>SalesData_2[[#This Row],[Sales]]-SalesData_2[[#This Row],[COGS]]</f>
        <v>62.5</v>
      </c>
      <c r="K115" s="21">
        <f>SalesData_2[[#This Row],[Revenue]]/SalesData_2[[#This Row],[Sales]]</f>
        <v>0.25</v>
      </c>
      <c r="L115" s="3" t="s">
        <v>33</v>
      </c>
      <c r="M115" s="3" t="s">
        <v>82</v>
      </c>
      <c r="N115" s="3" t="s">
        <v>86</v>
      </c>
    </row>
    <row r="116" spans="1:14" x14ac:dyDescent="0.3">
      <c r="A116" s="2">
        <v>43946</v>
      </c>
      <c r="B116" s="2">
        <v>43953</v>
      </c>
      <c r="C116">
        <v>7</v>
      </c>
      <c r="D116" s="3" t="s">
        <v>5</v>
      </c>
      <c r="E116" s="6">
        <v>290</v>
      </c>
      <c r="F116" s="6">
        <v>185.6</v>
      </c>
      <c r="G116">
        <v>8</v>
      </c>
      <c r="H116" s="6">
        <f>SalesData_2[[#This Row],[Unit Price]]*SalesData_2[[#This Row],[Units Sold]]</f>
        <v>2320</v>
      </c>
      <c r="I116" s="6">
        <f>SalesData_2[[#This Row],[Unit Cost]]*SalesData_2[[#This Row],[Units Sold]]</f>
        <v>1484.8</v>
      </c>
      <c r="J116" s="6">
        <f>SalesData_2[[#This Row],[Sales]]-SalesData_2[[#This Row],[COGS]]</f>
        <v>835.2</v>
      </c>
      <c r="K116" s="21">
        <f>SalesData_2[[#This Row],[Revenue]]/SalesData_2[[#This Row],[Sales]]</f>
        <v>0.36000000000000004</v>
      </c>
      <c r="L116" s="3" t="s">
        <v>66</v>
      </c>
      <c r="M116" s="3" t="s">
        <v>80</v>
      </c>
      <c r="N116" s="3" t="s">
        <v>86</v>
      </c>
    </row>
    <row r="117" spans="1:14" x14ac:dyDescent="0.3">
      <c r="A117" s="2">
        <v>43946</v>
      </c>
      <c r="B117" s="2">
        <v>43947</v>
      </c>
      <c r="C117">
        <v>1</v>
      </c>
      <c r="D117" s="3" t="s">
        <v>15</v>
      </c>
      <c r="E117" s="6">
        <v>110</v>
      </c>
      <c r="F117" s="6">
        <v>78.099999999999994</v>
      </c>
      <c r="G117">
        <v>8</v>
      </c>
      <c r="H117" s="6">
        <f>SalesData_2[[#This Row],[Unit Price]]*SalesData_2[[#This Row],[Units Sold]]</f>
        <v>880</v>
      </c>
      <c r="I117" s="6">
        <f>SalesData_2[[#This Row],[Unit Cost]]*SalesData_2[[#This Row],[Units Sold]]</f>
        <v>624.79999999999995</v>
      </c>
      <c r="J117" s="6">
        <f>SalesData_2[[#This Row],[Sales]]-SalesData_2[[#This Row],[COGS]]</f>
        <v>255.20000000000005</v>
      </c>
      <c r="K117" s="21">
        <f>SalesData_2[[#This Row],[Revenue]]/SalesData_2[[#This Row],[Sales]]</f>
        <v>0.29000000000000004</v>
      </c>
      <c r="L117" s="3" t="s">
        <v>46</v>
      </c>
      <c r="M117" s="3" t="s">
        <v>82</v>
      </c>
      <c r="N117" s="3" t="s">
        <v>86</v>
      </c>
    </row>
    <row r="118" spans="1:14" x14ac:dyDescent="0.3">
      <c r="A118" s="2">
        <v>43948</v>
      </c>
      <c r="B118" s="2">
        <v>43953</v>
      </c>
      <c r="C118">
        <v>5</v>
      </c>
      <c r="D118" s="3" t="s">
        <v>17</v>
      </c>
      <c r="E118" s="6">
        <v>195</v>
      </c>
      <c r="F118" s="6">
        <v>138.44999999999999</v>
      </c>
      <c r="G118">
        <v>9</v>
      </c>
      <c r="H118" s="6">
        <f>SalesData_2[[#This Row],[Unit Price]]*SalesData_2[[#This Row],[Units Sold]]</f>
        <v>1755</v>
      </c>
      <c r="I118" s="6">
        <f>SalesData_2[[#This Row],[Unit Cost]]*SalesData_2[[#This Row],[Units Sold]]</f>
        <v>1246.05</v>
      </c>
      <c r="J118" s="6">
        <f>SalesData_2[[#This Row],[Sales]]-SalesData_2[[#This Row],[COGS]]</f>
        <v>508.95000000000005</v>
      </c>
      <c r="K118" s="21">
        <f>SalesData_2[[#This Row],[Revenue]]/SalesData_2[[#This Row],[Sales]]</f>
        <v>0.29000000000000004</v>
      </c>
      <c r="L118" s="3" t="s">
        <v>75</v>
      </c>
      <c r="M118" s="3" t="s">
        <v>83</v>
      </c>
      <c r="N118" s="3" t="s">
        <v>86</v>
      </c>
    </row>
    <row r="119" spans="1:14" x14ac:dyDescent="0.3">
      <c r="A119" s="2">
        <v>43948</v>
      </c>
      <c r="B119" s="2">
        <v>43951</v>
      </c>
      <c r="C119">
        <v>3</v>
      </c>
      <c r="D119" s="3" t="s">
        <v>12</v>
      </c>
      <c r="E119" s="6">
        <v>320</v>
      </c>
      <c r="F119" s="6">
        <v>233.6</v>
      </c>
      <c r="G119">
        <v>3</v>
      </c>
      <c r="H119" s="6">
        <f>SalesData_2[[#This Row],[Unit Price]]*SalesData_2[[#This Row],[Units Sold]]</f>
        <v>960</v>
      </c>
      <c r="I119" s="6">
        <f>SalesData_2[[#This Row],[Unit Cost]]*SalesData_2[[#This Row],[Units Sold]]</f>
        <v>700.8</v>
      </c>
      <c r="J119" s="6">
        <f>SalesData_2[[#This Row],[Sales]]-SalesData_2[[#This Row],[COGS]]</f>
        <v>259.20000000000005</v>
      </c>
      <c r="K119" s="21">
        <f>SalesData_2[[#This Row],[Revenue]]/SalesData_2[[#This Row],[Sales]]</f>
        <v>0.27000000000000007</v>
      </c>
      <c r="L119" s="3" t="s">
        <v>56</v>
      </c>
      <c r="M119" s="3" t="s">
        <v>81</v>
      </c>
      <c r="N119" s="3" t="s">
        <v>86</v>
      </c>
    </row>
    <row r="120" spans="1:14" x14ac:dyDescent="0.3">
      <c r="A120" s="2">
        <v>43950</v>
      </c>
      <c r="B120" s="2">
        <v>43954</v>
      </c>
      <c r="C120">
        <v>4</v>
      </c>
      <c r="D120" s="3" t="s">
        <v>18</v>
      </c>
      <c r="E120" s="6">
        <v>80</v>
      </c>
      <c r="F120" s="6">
        <v>48.8</v>
      </c>
      <c r="G120">
        <v>7</v>
      </c>
      <c r="H120" s="6">
        <f>SalesData_2[[#This Row],[Unit Price]]*SalesData_2[[#This Row],[Units Sold]]</f>
        <v>560</v>
      </c>
      <c r="I120" s="6">
        <f>SalesData_2[[#This Row],[Unit Cost]]*SalesData_2[[#This Row],[Units Sold]]</f>
        <v>341.59999999999997</v>
      </c>
      <c r="J120" s="6">
        <f>SalesData_2[[#This Row],[Sales]]-SalesData_2[[#This Row],[COGS]]</f>
        <v>218.40000000000003</v>
      </c>
      <c r="K120" s="21">
        <f>SalesData_2[[#This Row],[Revenue]]/SalesData_2[[#This Row],[Sales]]</f>
        <v>0.39000000000000007</v>
      </c>
      <c r="L120" s="3" t="s">
        <v>36</v>
      </c>
      <c r="M120" s="3" t="s">
        <v>83</v>
      </c>
      <c r="N120" s="3" t="s">
        <v>86</v>
      </c>
    </row>
    <row r="121" spans="1:14" x14ac:dyDescent="0.3">
      <c r="A121" s="2">
        <v>43950</v>
      </c>
      <c r="B121" s="2">
        <v>43956</v>
      </c>
      <c r="C121">
        <v>6</v>
      </c>
      <c r="D121" s="3" t="s">
        <v>17</v>
      </c>
      <c r="E121" s="6">
        <v>195</v>
      </c>
      <c r="F121" s="6">
        <v>138.44999999999999</v>
      </c>
      <c r="G121">
        <v>6</v>
      </c>
      <c r="H121" s="6">
        <f>SalesData_2[[#This Row],[Unit Price]]*SalesData_2[[#This Row],[Units Sold]]</f>
        <v>1170</v>
      </c>
      <c r="I121" s="6">
        <f>SalesData_2[[#This Row],[Unit Cost]]*SalesData_2[[#This Row],[Units Sold]]</f>
        <v>830.69999999999993</v>
      </c>
      <c r="J121" s="6">
        <f>SalesData_2[[#This Row],[Sales]]-SalesData_2[[#This Row],[COGS]]</f>
        <v>339.30000000000007</v>
      </c>
      <c r="K121" s="21">
        <f>SalesData_2[[#This Row],[Revenue]]/SalesData_2[[#This Row],[Sales]]</f>
        <v>0.29000000000000004</v>
      </c>
      <c r="L121" s="3" t="s">
        <v>67</v>
      </c>
      <c r="M121" s="3" t="s">
        <v>83</v>
      </c>
      <c r="N121" s="3" t="s">
        <v>85</v>
      </c>
    </row>
    <row r="122" spans="1:14" x14ac:dyDescent="0.3">
      <c r="A122" s="2">
        <v>43951</v>
      </c>
      <c r="B122" s="2">
        <v>43952</v>
      </c>
      <c r="C122">
        <v>1</v>
      </c>
      <c r="D122" s="3" t="s">
        <v>5</v>
      </c>
      <c r="E122" s="6">
        <v>290</v>
      </c>
      <c r="F122" s="6">
        <v>185.6</v>
      </c>
      <c r="G122">
        <v>6</v>
      </c>
      <c r="H122" s="6">
        <f>SalesData_2[[#This Row],[Unit Price]]*SalesData_2[[#This Row],[Units Sold]]</f>
        <v>1740</v>
      </c>
      <c r="I122" s="6">
        <f>SalesData_2[[#This Row],[Unit Cost]]*SalesData_2[[#This Row],[Units Sold]]</f>
        <v>1113.5999999999999</v>
      </c>
      <c r="J122" s="6">
        <f>SalesData_2[[#This Row],[Sales]]-SalesData_2[[#This Row],[COGS]]</f>
        <v>626.40000000000009</v>
      </c>
      <c r="K122" s="21">
        <f>SalesData_2[[#This Row],[Revenue]]/SalesData_2[[#This Row],[Sales]]</f>
        <v>0.36000000000000004</v>
      </c>
      <c r="L122" s="3" t="s">
        <v>66</v>
      </c>
      <c r="M122" s="3" t="s">
        <v>83</v>
      </c>
      <c r="N122" s="3" t="s">
        <v>86</v>
      </c>
    </row>
    <row r="123" spans="1:14" x14ac:dyDescent="0.3">
      <c r="A123" s="2">
        <v>43955</v>
      </c>
      <c r="B123" s="2">
        <v>43961</v>
      </c>
      <c r="C123">
        <v>6</v>
      </c>
      <c r="D123" s="3" t="s">
        <v>8</v>
      </c>
      <c r="E123" s="6">
        <v>59</v>
      </c>
      <c r="F123" s="6">
        <v>41.3</v>
      </c>
      <c r="G123">
        <v>3</v>
      </c>
      <c r="H123" s="6">
        <f>SalesData_2[[#This Row],[Unit Price]]*SalesData_2[[#This Row],[Units Sold]]</f>
        <v>177</v>
      </c>
      <c r="I123" s="6">
        <f>SalesData_2[[#This Row],[Unit Cost]]*SalesData_2[[#This Row],[Units Sold]]</f>
        <v>123.89999999999999</v>
      </c>
      <c r="J123" s="6">
        <f>SalesData_2[[#This Row],[Sales]]-SalesData_2[[#This Row],[COGS]]</f>
        <v>53.100000000000009</v>
      </c>
      <c r="K123" s="21">
        <f>SalesData_2[[#This Row],[Revenue]]/SalesData_2[[#This Row],[Sales]]</f>
        <v>0.30000000000000004</v>
      </c>
      <c r="L123" s="3" t="s">
        <v>41</v>
      </c>
      <c r="M123" s="3" t="s">
        <v>80</v>
      </c>
      <c r="N123" s="3" t="s">
        <v>86</v>
      </c>
    </row>
    <row r="124" spans="1:14" x14ac:dyDescent="0.3">
      <c r="A124" s="2">
        <v>43956</v>
      </c>
      <c r="B124" s="2">
        <v>43963</v>
      </c>
      <c r="C124">
        <v>7</v>
      </c>
      <c r="D124" s="3" t="s">
        <v>12</v>
      </c>
      <c r="E124" s="6">
        <v>320</v>
      </c>
      <c r="F124" s="6">
        <v>233.6</v>
      </c>
      <c r="G124">
        <v>5</v>
      </c>
      <c r="H124" s="6">
        <f>SalesData_2[[#This Row],[Unit Price]]*SalesData_2[[#This Row],[Units Sold]]</f>
        <v>1600</v>
      </c>
      <c r="I124" s="6">
        <f>SalesData_2[[#This Row],[Unit Cost]]*SalesData_2[[#This Row],[Units Sold]]</f>
        <v>1168</v>
      </c>
      <c r="J124" s="6">
        <f>SalesData_2[[#This Row],[Sales]]-SalesData_2[[#This Row],[COGS]]</f>
        <v>432</v>
      </c>
      <c r="K124" s="21">
        <f>SalesData_2[[#This Row],[Revenue]]/SalesData_2[[#This Row],[Sales]]</f>
        <v>0.27</v>
      </c>
      <c r="L124" s="3" t="s">
        <v>43</v>
      </c>
      <c r="M124" s="3" t="s">
        <v>80</v>
      </c>
      <c r="N124" s="3" t="s">
        <v>86</v>
      </c>
    </row>
    <row r="125" spans="1:14" x14ac:dyDescent="0.3">
      <c r="A125" s="2">
        <v>43957</v>
      </c>
      <c r="B125" s="2">
        <v>43958</v>
      </c>
      <c r="C125">
        <v>1</v>
      </c>
      <c r="D125" s="3" t="s">
        <v>10</v>
      </c>
      <c r="E125" s="6">
        <v>390</v>
      </c>
      <c r="F125" s="6">
        <v>253.5</v>
      </c>
      <c r="G125">
        <v>7</v>
      </c>
      <c r="H125" s="6">
        <f>SalesData_2[[#This Row],[Unit Price]]*SalesData_2[[#This Row],[Units Sold]]</f>
        <v>2730</v>
      </c>
      <c r="I125" s="6">
        <f>SalesData_2[[#This Row],[Unit Cost]]*SalesData_2[[#This Row],[Units Sold]]</f>
        <v>1774.5</v>
      </c>
      <c r="J125" s="6">
        <f>SalesData_2[[#This Row],[Sales]]-SalesData_2[[#This Row],[COGS]]</f>
        <v>955.5</v>
      </c>
      <c r="K125" s="21">
        <f>SalesData_2[[#This Row],[Revenue]]/SalesData_2[[#This Row],[Sales]]</f>
        <v>0.35</v>
      </c>
      <c r="L125" s="3" t="s">
        <v>55</v>
      </c>
      <c r="M125" s="3" t="s">
        <v>82</v>
      </c>
      <c r="N125" s="3" t="s">
        <v>86</v>
      </c>
    </row>
    <row r="126" spans="1:14" x14ac:dyDescent="0.3">
      <c r="A126" s="2">
        <v>43958</v>
      </c>
      <c r="B126" s="2">
        <v>43959</v>
      </c>
      <c r="C126">
        <v>1</v>
      </c>
      <c r="D126" s="3" t="s">
        <v>14</v>
      </c>
      <c r="E126" s="6">
        <v>375</v>
      </c>
      <c r="F126" s="6">
        <v>247.5</v>
      </c>
      <c r="G126">
        <v>2</v>
      </c>
      <c r="H126" s="6">
        <f>SalesData_2[[#This Row],[Unit Price]]*SalesData_2[[#This Row],[Units Sold]]</f>
        <v>750</v>
      </c>
      <c r="I126" s="6">
        <f>SalesData_2[[#This Row],[Unit Cost]]*SalesData_2[[#This Row],[Units Sold]]</f>
        <v>495</v>
      </c>
      <c r="J126" s="6">
        <f>SalesData_2[[#This Row],[Sales]]-SalesData_2[[#This Row],[COGS]]</f>
        <v>255</v>
      </c>
      <c r="K126" s="21">
        <f>SalesData_2[[#This Row],[Revenue]]/SalesData_2[[#This Row],[Sales]]</f>
        <v>0.34</v>
      </c>
      <c r="L126" s="3" t="s">
        <v>31</v>
      </c>
      <c r="M126" s="3" t="s">
        <v>83</v>
      </c>
      <c r="N126" s="3" t="s">
        <v>85</v>
      </c>
    </row>
    <row r="127" spans="1:14" x14ac:dyDescent="0.3">
      <c r="A127" s="2">
        <v>43959</v>
      </c>
      <c r="B127" s="2">
        <v>43962</v>
      </c>
      <c r="C127">
        <v>3</v>
      </c>
      <c r="D127" s="3" t="s">
        <v>23</v>
      </c>
      <c r="E127" s="6">
        <v>275</v>
      </c>
      <c r="F127" s="6">
        <v>200.75</v>
      </c>
      <c r="G127">
        <v>8</v>
      </c>
      <c r="H127" s="6">
        <f>SalesData_2[[#This Row],[Unit Price]]*SalesData_2[[#This Row],[Units Sold]]</f>
        <v>2200</v>
      </c>
      <c r="I127" s="6">
        <f>SalesData_2[[#This Row],[Unit Cost]]*SalesData_2[[#This Row],[Units Sold]]</f>
        <v>1606</v>
      </c>
      <c r="J127" s="6">
        <f>SalesData_2[[#This Row],[Sales]]-SalesData_2[[#This Row],[COGS]]</f>
        <v>594</v>
      </c>
      <c r="K127" s="21">
        <f>SalesData_2[[#This Row],[Revenue]]/SalesData_2[[#This Row],[Sales]]</f>
        <v>0.27</v>
      </c>
      <c r="L127" s="3" t="s">
        <v>68</v>
      </c>
      <c r="M127" s="3" t="s">
        <v>82</v>
      </c>
      <c r="N127" s="3" t="s">
        <v>85</v>
      </c>
    </row>
    <row r="128" spans="1:14" x14ac:dyDescent="0.3">
      <c r="A128" s="2">
        <v>43960</v>
      </c>
      <c r="B128" s="2">
        <v>43962</v>
      </c>
      <c r="C128">
        <v>2</v>
      </c>
      <c r="D128" s="3" t="s">
        <v>18</v>
      </c>
      <c r="E128" s="6">
        <v>80</v>
      </c>
      <c r="F128" s="6">
        <v>48.8</v>
      </c>
      <c r="G128">
        <v>3</v>
      </c>
      <c r="H128" s="6">
        <f>SalesData_2[[#This Row],[Unit Price]]*SalesData_2[[#This Row],[Units Sold]]</f>
        <v>240</v>
      </c>
      <c r="I128" s="6">
        <f>SalesData_2[[#This Row],[Unit Cost]]*SalesData_2[[#This Row],[Units Sold]]</f>
        <v>146.39999999999998</v>
      </c>
      <c r="J128" s="6">
        <f>SalesData_2[[#This Row],[Sales]]-SalesData_2[[#This Row],[COGS]]</f>
        <v>93.600000000000023</v>
      </c>
      <c r="K128" s="21">
        <f>SalesData_2[[#This Row],[Revenue]]/SalesData_2[[#This Row],[Sales]]</f>
        <v>0.39000000000000007</v>
      </c>
      <c r="L128" s="3" t="s">
        <v>49</v>
      </c>
      <c r="M128" s="3" t="s">
        <v>81</v>
      </c>
      <c r="N128" s="3" t="s">
        <v>85</v>
      </c>
    </row>
    <row r="129" spans="1:14" x14ac:dyDescent="0.3">
      <c r="A129" s="2">
        <v>43960</v>
      </c>
      <c r="B129" s="2">
        <v>43963</v>
      </c>
      <c r="C129">
        <v>3</v>
      </c>
      <c r="D129" s="3" t="s">
        <v>23</v>
      </c>
      <c r="E129" s="6">
        <v>275</v>
      </c>
      <c r="F129" s="6">
        <v>200.75</v>
      </c>
      <c r="G129">
        <v>5</v>
      </c>
      <c r="H129" s="6">
        <f>SalesData_2[[#This Row],[Unit Price]]*SalesData_2[[#This Row],[Units Sold]]</f>
        <v>1375</v>
      </c>
      <c r="I129" s="6">
        <f>SalesData_2[[#This Row],[Unit Cost]]*SalesData_2[[#This Row],[Units Sold]]</f>
        <v>1003.75</v>
      </c>
      <c r="J129" s="6">
        <f>SalesData_2[[#This Row],[Sales]]-SalesData_2[[#This Row],[COGS]]</f>
        <v>371.25</v>
      </c>
      <c r="K129" s="21">
        <f>SalesData_2[[#This Row],[Revenue]]/SalesData_2[[#This Row],[Sales]]</f>
        <v>0.27</v>
      </c>
      <c r="L129" s="3" t="s">
        <v>67</v>
      </c>
      <c r="M129" s="3" t="s">
        <v>82</v>
      </c>
      <c r="N129" s="3" t="s">
        <v>85</v>
      </c>
    </row>
    <row r="130" spans="1:14" x14ac:dyDescent="0.3">
      <c r="A130" s="2">
        <v>43962</v>
      </c>
      <c r="B130" s="2">
        <v>43965</v>
      </c>
      <c r="C130">
        <v>3</v>
      </c>
      <c r="D130" s="3" t="s">
        <v>21</v>
      </c>
      <c r="E130" s="6">
        <v>355</v>
      </c>
      <c r="F130" s="6">
        <v>252.05</v>
      </c>
      <c r="G130">
        <v>5</v>
      </c>
      <c r="H130" s="6">
        <f>SalesData_2[[#This Row],[Unit Price]]*SalesData_2[[#This Row],[Units Sold]]</f>
        <v>1775</v>
      </c>
      <c r="I130" s="6">
        <f>SalesData_2[[#This Row],[Unit Cost]]*SalesData_2[[#This Row],[Units Sold]]</f>
        <v>1260.25</v>
      </c>
      <c r="J130" s="6">
        <f>SalesData_2[[#This Row],[Sales]]-SalesData_2[[#This Row],[COGS]]</f>
        <v>514.75</v>
      </c>
      <c r="K130" s="21">
        <f>SalesData_2[[#This Row],[Revenue]]/SalesData_2[[#This Row],[Sales]]</f>
        <v>0.28999999999999998</v>
      </c>
      <c r="L130" s="3" t="s">
        <v>65</v>
      </c>
      <c r="M130" s="3" t="s">
        <v>80</v>
      </c>
      <c r="N130" s="3" t="s">
        <v>85</v>
      </c>
    </row>
    <row r="131" spans="1:14" x14ac:dyDescent="0.3">
      <c r="A131" s="2">
        <v>43963</v>
      </c>
      <c r="B131" s="2">
        <v>43966</v>
      </c>
      <c r="C131">
        <v>3</v>
      </c>
      <c r="D131" s="3" t="s">
        <v>9</v>
      </c>
      <c r="E131" s="6">
        <v>215</v>
      </c>
      <c r="F131" s="6">
        <v>152.65</v>
      </c>
      <c r="G131">
        <v>1</v>
      </c>
      <c r="H131" s="6">
        <f>SalesData_2[[#This Row],[Unit Price]]*SalesData_2[[#This Row],[Units Sold]]</f>
        <v>215</v>
      </c>
      <c r="I131" s="6">
        <f>SalesData_2[[#This Row],[Unit Cost]]*SalesData_2[[#This Row],[Units Sold]]</f>
        <v>152.65</v>
      </c>
      <c r="J131" s="6">
        <f>SalesData_2[[#This Row],[Sales]]-SalesData_2[[#This Row],[COGS]]</f>
        <v>62.349999999999994</v>
      </c>
      <c r="K131" s="21">
        <f>SalesData_2[[#This Row],[Revenue]]/SalesData_2[[#This Row],[Sales]]</f>
        <v>0.28999999999999998</v>
      </c>
      <c r="L131" s="3" t="s">
        <v>50</v>
      </c>
      <c r="M131" s="3" t="s">
        <v>83</v>
      </c>
      <c r="N131" s="3" t="s">
        <v>86</v>
      </c>
    </row>
    <row r="132" spans="1:14" x14ac:dyDescent="0.3">
      <c r="A132" s="2">
        <v>43965</v>
      </c>
      <c r="B132" s="2">
        <v>43971</v>
      </c>
      <c r="C132">
        <v>6</v>
      </c>
      <c r="D132" s="3" t="s">
        <v>14</v>
      </c>
      <c r="E132" s="6">
        <v>375</v>
      </c>
      <c r="F132" s="6">
        <v>247.5</v>
      </c>
      <c r="G132">
        <v>9</v>
      </c>
      <c r="H132" s="6">
        <f>SalesData_2[[#This Row],[Unit Price]]*SalesData_2[[#This Row],[Units Sold]]</f>
        <v>3375</v>
      </c>
      <c r="I132" s="6">
        <f>SalesData_2[[#This Row],[Unit Cost]]*SalesData_2[[#This Row],[Units Sold]]</f>
        <v>2227.5</v>
      </c>
      <c r="J132" s="6">
        <f>SalesData_2[[#This Row],[Sales]]-SalesData_2[[#This Row],[COGS]]</f>
        <v>1147.5</v>
      </c>
      <c r="K132" s="21">
        <f>SalesData_2[[#This Row],[Revenue]]/SalesData_2[[#This Row],[Sales]]</f>
        <v>0.34</v>
      </c>
      <c r="L132" s="3" t="s">
        <v>62</v>
      </c>
      <c r="M132" s="3" t="s">
        <v>81</v>
      </c>
      <c r="N132" s="3" t="s">
        <v>85</v>
      </c>
    </row>
    <row r="133" spans="1:14" x14ac:dyDescent="0.3">
      <c r="A133" s="2">
        <v>43967</v>
      </c>
      <c r="B133" s="2">
        <v>43971</v>
      </c>
      <c r="C133">
        <v>4</v>
      </c>
      <c r="D133" s="3" t="s">
        <v>23</v>
      </c>
      <c r="E133" s="6">
        <v>275</v>
      </c>
      <c r="F133" s="6">
        <v>200.75</v>
      </c>
      <c r="G133">
        <v>9</v>
      </c>
      <c r="H133" s="6">
        <f>SalesData_2[[#This Row],[Unit Price]]*SalesData_2[[#This Row],[Units Sold]]</f>
        <v>2475</v>
      </c>
      <c r="I133" s="6">
        <f>SalesData_2[[#This Row],[Unit Cost]]*SalesData_2[[#This Row],[Units Sold]]</f>
        <v>1806.75</v>
      </c>
      <c r="J133" s="6">
        <f>SalesData_2[[#This Row],[Sales]]-SalesData_2[[#This Row],[COGS]]</f>
        <v>668.25</v>
      </c>
      <c r="K133" s="21">
        <f>SalesData_2[[#This Row],[Revenue]]/SalesData_2[[#This Row],[Sales]]</f>
        <v>0.27</v>
      </c>
      <c r="L133" s="3" t="s">
        <v>49</v>
      </c>
      <c r="M133" s="3" t="s">
        <v>82</v>
      </c>
      <c r="N133" s="3" t="s">
        <v>85</v>
      </c>
    </row>
    <row r="134" spans="1:14" x14ac:dyDescent="0.3">
      <c r="A134" s="2">
        <v>43968</v>
      </c>
      <c r="B134" s="2">
        <v>43974</v>
      </c>
      <c r="C134">
        <v>6</v>
      </c>
      <c r="D134" s="3" t="s">
        <v>17</v>
      </c>
      <c r="E134" s="6">
        <v>195</v>
      </c>
      <c r="F134" s="6">
        <v>138.44999999999999</v>
      </c>
      <c r="G134">
        <v>2</v>
      </c>
      <c r="H134" s="6">
        <f>SalesData_2[[#This Row],[Unit Price]]*SalesData_2[[#This Row],[Units Sold]]</f>
        <v>390</v>
      </c>
      <c r="I134" s="6">
        <f>SalesData_2[[#This Row],[Unit Cost]]*SalesData_2[[#This Row],[Units Sold]]</f>
        <v>276.89999999999998</v>
      </c>
      <c r="J134" s="6">
        <f>SalesData_2[[#This Row],[Sales]]-SalesData_2[[#This Row],[COGS]]</f>
        <v>113.10000000000002</v>
      </c>
      <c r="K134" s="21">
        <f>SalesData_2[[#This Row],[Revenue]]/SalesData_2[[#This Row],[Sales]]</f>
        <v>0.29000000000000004</v>
      </c>
      <c r="L134" s="3" t="s">
        <v>41</v>
      </c>
      <c r="M134" s="3" t="s">
        <v>80</v>
      </c>
      <c r="N134" s="3" t="s">
        <v>85</v>
      </c>
    </row>
    <row r="135" spans="1:14" x14ac:dyDescent="0.3">
      <c r="A135" s="2">
        <v>43968</v>
      </c>
      <c r="B135" s="2">
        <v>43974</v>
      </c>
      <c r="C135">
        <v>6</v>
      </c>
      <c r="D135" s="3" t="s">
        <v>13</v>
      </c>
      <c r="E135" s="6">
        <v>445</v>
      </c>
      <c r="F135" s="6">
        <v>280.35000000000002</v>
      </c>
      <c r="G135">
        <v>5</v>
      </c>
      <c r="H135" s="6">
        <f>SalesData_2[[#This Row],[Unit Price]]*SalesData_2[[#This Row],[Units Sold]]</f>
        <v>2225</v>
      </c>
      <c r="I135" s="6">
        <f>SalesData_2[[#This Row],[Unit Cost]]*SalesData_2[[#This Row],[Units Sold]]</f>
        <v>1401.75</v>
      </c>
      <c r="J135" s="6">
        <f>SalesData_2[[#This Row],[Sales]]-SalesData_2[[#This Row],[COGS]]</f>
        <v>823.25</v>
      </c>
      <c r="K135" s="21">
        <f>SalesData_2[[#This Row],[Revenue]]/SalesData_2[[#This Row],[Sales]]</f>
        <v>0.37</v>
      </c>
      <c r="L135" s="3" t="s">
        <v>69</v>
      </c>
      <c r="M135" s="3" t="s">
        <v>83</v>
      </c>
      <c r="N135" s="3" t="s">
        <v>86</v>
      </c>
    </row>
    <row r="136" spans="1:14" x14ac:dyDescent="0.3">
      <c r="A136" s="2">
        <v>43969</v>
      </c>
      <c r="B136" s="2">
        <v>43972</v>
      </c>
      <c r="C136">
        <v>3</v>
      </c>
      <c r="D136" s="3" t="s">
        <v>12</v>
      </c>
      <c r="E136" s="6">
        <v>320</v>
      </c>
      <c r="F136" s="6">
        <v>233.6</v>
      </c>
      <c r="G136">
        <v>6</v>
      </c>
      <c r="H136" s="6">
        <f>SalesData_2[[#This Row],[Unit Price]]*SalesData_2[[#This Row],[Units Sold]]</f>
        <v>1920</v>
      </c>
      <c r="I136" s="6">
        <f>SalesData_2[[#This Row],[Unit Cost]]*SalesData_2[[#This Row],[Units Sold]]</f>
        <v>1401.6</v>
      </c>
      <c r="J136" s="6">
        <f>SalesData_2[[#This Row],[Sales]]-SalesData_2[[#This Row],[COGS]]</f>
        <v>518.40000000000009</v>
      </c>
      <c r="K136" s="21">
        <f>SalesData_2[[#This Row],[Revenue]]/SalesData_2[[#This Row],[Sales]]</f>
        <v>0.27000000000000007</v>
      </c>
      <c r="L136" s="3" t="s">
        <v>75</v>
      </c>
      <c r="M136" s="3" t="s">
        <v>81</v>
      </c>
      <c r="N136" s="3" t="s">
        <v>86</v>
      </c>
    </row>
    <row r="137" spans="1:14" x14ac:dyDescent="0.3">
      <c r="A137" s="2">
        <v>43969</v>
      </c>
      <c r="B137" s="2">
        <v>43971</v>
      </c>
      <c r="C137">
        <v>2</v>
      </c>
      <c r="D137" s="3" t="s">
        <v>13</v>
      </c>
      <c r="E137" s="6">
        <v>445</v>
      </c>
      <c r="F137" s="6">
        <v>280.35000000000002</v>
      </c>
      <c r="G137">
        <v>2</v>
      </c>
      <c r="H137" s="6">
        <f>SalesData_2[[#This Row],[Unit Price]]*SalesData_2[[#This Row],[Units Sold]]</f>
        <v>890</v>
      </c>
      <c r="I137" s="6">
        <f>SalesData_2[[#This Row],[Unit Cost]]*SalesData_2[[#This Row],[Units Sold]]</f>
        <v>560.70000000000005</v>
      </c>
      <c r="J137" s="6">
        <f>SalesData_2[[#This Row],[Sales]]-SalesData_2[[#This Row],[COGS]]</f>
        <v>329.29999999999995</v>
      </c>
      <c r="K137" s="21">
        <f>SalesData_2[[#This Row],[Revenue]]/SalesData_2[[#This Row],[Sales]]</f>
        <v>0.36999999999999994</v>
      </c>
      <c r="L137" s="3" t="s">
        <v>39</v>
      </c>
      <c r="M137" s="3" t="s">
        <v>81</v>
      </c>
      <c r="N137" s="3" t="s">
        <v>85</v>
      </c>
    </row>
    <row r="138" spans="1:14" x14ac:dyDescent="0.3">
      <c r="A138" s="2">
        <v>43970</v>
      </c>
      <c r="B138" s="2">
        <v>43975</v>
      </c>
      <c r="C138">
        <v>5</v>
      </c>
      <c r="D138" s="3" t="s">
        <v>4</v>
      </c>
      <c r="E138" s="6">
        <v>390</v>
      </c>
      <c r="F138" s="6">
        <v>288.60000000000002</v>
      </c>
      <c r="G138">
        <v>3</v>
      </c>
      <c r="H138" s="6">
        <f>SalesData_2[[#This Row],[Unit Price]]*SalesData_2[[#This Row],[Units Sold]]</f>
        <v>1170</v>
      </c>
      <c r="I138" s="6">
        <f>SalesData_2[[#This Row],[Unit Cost]]*SalesData_2[[#This Row],[Units Sold]]</f>
        <v>865.80000000000007</v>
      </c>
      <c r="J138" s="6">
        <f>SalesData_2[[#This Row],[Sales]]-SalesData_2[[#This Row],[COGS]]</f>
        <v>304.19999999999993</v>
      </c>
      <c r="K138" s="21">
        <f>SalesData_2[[#This Row],[Revenue]]/SalesData_2[[#This Row],[Sales]]</f>
        <v>0.25999999999999995</v>
      </c>
      <c r="L138" s="3" t="s">
        <v>63</v>
      </c>
      <c r="M138" s="3" t="s">
        <v>80</v>
      </c>
      <c r="N138" s="3" t="s">
        <v>86</v>
      </c>
    </row>
    <row r="139" spans="1:14" x14ac:dyDescent="0.3">
      <c r="A139" s="2">
        <v>43971</v>
      </c>
      <c r="B139" s="2">
        <v>43973</v>
      </c>
      <c r="C139">
        <v>2</v>
      </c>
      <c r="D139" s="3" t="s">
        <v>15</v>
      </c>
      <c r="E139" s="6">
        <v>110</v>
      </c>
      <c r="F139" s="6">
        <v>78.099999999999994</v>
      </c>
      <c r="G139">
        <v>8</v>
      </c>
      <c r="H139" s="6">
        <f>SalesData_2[[#This Row],[Unit Price]]*SalesData_2[[#This Row],[Units Sold]]</f>
        <v>880</v>
      </c>
      <c r="I139" s="6">
        <f>SalesData_2[[#This Row],[Unit Cost]]*SalesData_2[[#This Row],[Units Sold]]</f>
        <v>624.79999999999995</v>
      </c>
      <c r="J139" s="6">
        <f>SalesData_2[[#This Row],[Sales]]-SalesData_2[[#This Row],[COGS]]</f>
        <v>255.20000000000005</v>
      </c>
      <c r="K139" s="21">
        <f>SalesData_2[[#This Row],[Revenue]]/SalesData_2[[#This Row],[Sales]]</f>
        <v>0.29000000000000004</v>
      </c>
      <c r="L139" s="3" t="s">
        <v>67</v>
      </c>
      <c r="M139" s="3" t="s">
        <v>82</v>
      </c>
      <c r="N139" s="3" t="s">
        <v>85</v>
      </c>
    </row>
    <row r="140" spans="1:14" x14ac:dyDescent="0.3">
      <c r="A140" s="2">
        <v>43971</v>
      </c>
      <c r="B140" s="2">
        <v>43975</v>
      </c>
      <c r="C140">
        <v>4</v>
      </c>
      <c r="D140" s="3" t="s">
        <v>6</v>
      </c>
      <c r="E140" s="6">
        <v>99</v>
      </c>
      <c r="F140" s="6">
        <v>62.37</v>
      </c>
      <c r="G140">
        <v>4</v>
      </c>
      <c r="H140" s="6">
        <f>SalesData_2[[#This Row],[Unit Price]]*SalesData_2[[#This Row],[Units Sold]]</f>
        <v>396</v>
      </c>
      <c r="I140" s="6">
        <f>SalesData_2[[#This Row],[Unit Cost]]*SalesData_2[[#This Row],[Units Sold]]</f>
        <v>249.48</v>
      </c>
      <c r="J140" s="6">
        <f>SalesData_2[[#This Row],[Sales]]-SalesData_2[[#This Row],[COGS]]</f>
        <v>146.52000000000001</v>
      </c>
      <c r="K140" s="21">
        <f>SalesData_2[[#This Row],[Revenue]]/SalesData_2[[#This Row],[Sales]]</f>
        <v>0.37000000000000005</v>
      </c>
      <c r="L140" s="3" t="s">
        <v>44</v>
      </c>
      <c r="M140" s="3" t="s">
        <v>82</v>
      </c>
      <c r="N140" s="3" t="s">
        <v>86</v>
      </c>
    </row>
    <row r="141" spans="1:14" x14ac:dyDescent="0.3">
      <c r="A141" s="2">
        <v>43971</v>
      </c>
      <c r="B141" s="2">
        <v>43972</v>
      </c>
      <c r="C141">
        <v>1</v>
      </c>
      <c r="D141" s="3" t="s">
        <v>9</v>
      </c>
      <c r="E141" s="6">
        <v>215</v>
      </c>
      <c r="F141" s="6">
        <v>152.65</v>
      </c>
      <c r="G141">
        <v>9</v>
      </c>
      <c r="H141" s="6">
        <f>SalesData_2[[#This Row],[Unit Price]]*SalesData_2[[#This Row],[Units Sold]]</f>
        <v>1935</v>
      </c>
      <c r="I141" s="6">
        <f>SalesData_2[[#This Row],[Unit Cost]]*SalesData_2[[#This Row],[Units Sold]]</f>
        <v>1373.8500000000001</v>
      </c>
      <c r="J141" s="6">
        <f>SalesData_2[[#This Row],[Sales]]-SalesData_2[[#This Row],[COGS]]</f>
        <v>561.14999999999986</v>
      </c>
      <c r="K141" s="21">
        <f>SalesData_2[[#This Row],[Revenue]]/SalesData_2[[#This Row],[Sales]]</f>
        <v>0.28999999999999992</v>
      </c>
      <c r="L141" s="3" t="s">
        <v>42</v>
      </c>
      <c r="M141" s="3" t="s">
        <v>83</v>
      </c>
      <c r="N141" s="3" t="s">
        <v>86</v>
      </c>
    </row>
    <row r="142" spans="1:14" x14ac:dyDescent="0.3">
      <c r="A142" s="2">
        <v>43972</v>
      </c>
      <c r="B142" s="2">
        <v>43976</v>
      </c>
      <c r="C142">
        <v>4</v>
      </c>
      <c r="D142" s="3" t="s">
        <v>18</v>
      </c>
      <c r="E142" s="6">
        <v>80</v>
      </c>
      <c r="F142" s="6">
        <v>48.8</v>
      </c>
      <c r="G142">
        <v>3</v>
      </c>
      <c r="H142" s="6">
        <f>SalesData_2[[#This Row],[Unit Price]]*SalesData_2[[#This Row],[Units Sold]]</f>
        <v>240</v>
      </c>
      <c r="I142" s="6">
        <f>SalesData_2[[#This Row],[Unit Cost]]*SalesData_2[[#This Row],[Units Sold]]</f>
        <v>146.39999999999998</v>
      </c>
      <c r="J142" s="6">
        <f>SalesData_2[[#This Row],[Sales]]-SalesData_2[[#This Row],[COGS]]</f>
        <v>93.600000000000023</v>
      </c>
      <c r="K142" s="21">
        <f>SalesData_2[[#This Row],[Revenue]]/SalesData_2[[#This Row],[Sales]]</f>
        <v>0.39000000000000007</v>
      </c>
      <c r="L142" s="3" t="s">
        <v>63</v>
      </c>
      <c r="M142" s="3" t="s">
        <v>81</v>
      </c>
      <c r="N142" s="3" t="s">
        <v>86</v>
      </c>
    </row>
    <row r="143" spans="1:14" x14ac:dyDescent="0.3">
      <c r="A143" s="2">
        <v>43972</v>
      </c>
      <c r="B143" s="2">
        <v>43975</v>
      </c>
      <c r="C143">
        <v>3</v>
      </c>
      <c r="D143" s="3" t="s">
        <v>17</v>
      </c>
      <c r="E143" s="6">
        <v>195</v>
      </c>
      <c r="F143" s="6">
        <v>138.44999999999999</v>
      </c>
      <c r="G143">
        <v>4</v>
      </c>
      <c r="H143" s="6">
        <f>SalesData_2[[#This Row],[Unit Price]]*SalesData_2[[#This Row],[Units Sold]]</f>
        <v>780</v>
      </c>
      <c r="I143" s="6">
        <f>SalesData_2[[#This Row],[Unit Cost]]*SalesData_2[[#This Row],[Units Sold]]</f>
        <v>553.79999999999995</v>
      </c>
      <c r="J143" s="6">
        <f>SalesData_2[[#This Row],[Sales]]-SalesData_2[[#This Row],[COGS]]</f>
        <v>226.20000000000005</v>
      </c>
      <c r="K143" s="21">
        <f>SalesData_2[[#This Row],[Revenue]]/SalesData_2[[#This Row],[Sales]]</f>
        <v>0.29000000000000004</v>
      </c>
      <c r="L143" s="3" t="s">
        <v>47</v>
      </c>
      <c r="M143" s="3" t="s">
        <v>79</v>
      </c>
      <c r="N143" s="3" t="s">
        <v>85</v>
      </c>
    </row>
    <row r="144" spans="1:14" x14ac:dyDescent="0.3">
      <c r="A144" s="2">
        <v>43974</v>
      </c>
      <c r="B144" s="2">
        <v>43977</v>
      </c>
      <c r="C144">
        <v>3</v>
      </c>
      <c r="D144" s="3" t="s">
        <v>15</v>
      </c>
      <c r="E144" s="6">
        <v>110</v>
      </c>
      <c r="F144" s="6">
        <v>78.099999999999994</v>
      </c>
      <c r="G144">
        <v>6</v>
      </c>
      <c r="H144" s="6">
        <f>SalesData_2[[#This Row],[Unit Price]]*SalesData_2[[#This Row],[Units Sold]]</f>
        <v>660</v>
      </c>
      <c r="I144" s="6">
        <f>SalesData_2[[#This Row],[Unit Cost]]*SalesData_2[[#This Row],[Units Sold]]</f>
        <v>468.59999999999997</v>
      </c>
      <c r="J144" s="6">
        <f>SalesData_2[[#This Row],[Sales]]-SalesData_2[[#This Row],[COGS]]</f>
        <v>191.40000000000003</v>
      </c>
      <c r="K144" s="21">
        <f>SalesData_2[[#This Row],[Revenue]]/SalesData_2[[#This Row],[Sales]]</f>
        <v>0.29000000000000004</v>
      </c>
      <c r="L144" s="3" t="s">
        <v>37</v>
      </c>
      <c r="M144" s="3" t="s">
        <v>82</v>
      </c>
      <c r="N144" s="3" t="s">
        <v>86</v>
      </c>
    </row>
    <row r="145" spans="1:14" x14ac:dyDescent="0.3">
      <c r="A145" s="2">
        <v>43976</v>
      </c>
      <c r="B145" s="2">
        <v>43983</v>
      </c>
      <c r="C145">
        <v>7</v>
      </c>
      <c r="D145" s="3" t="s">
        <v>5</v>
      </c>
      <c r="E145" s="6">
        <v>290</v>
      </c>
      <c r="F145" s="6">
        <v>185.6</v>
      </c>
      <c r="G145">
        <v>5</v>
      </c>
      <c r="H145" s="6">
        <f>SalesData_2[[#This Row],[Unit Price]]*SalesData_2[[#This Row],[Units Sold]]</f>
        <v>1450</v>
      </c>
      <c r="I145" s="6">
        <f>SalesData_2[[#This Row],[Unit Cost]]*SalesData_2[[#This Row],[Units Sold]]</f>
        <v>928</v>
      </c>
      <c r="J145" s="6">
        <f>SalesData_2[[#This Row],[Sales]]-SalesData_2[[#This Row],[COGS]]</f>
        <v>522</v>
      </c>
      <c r="K145" s="21">
        <f>SalesData_2[[#This Row],[Revenue]]/SalesData_2[[#This Row],[Sales]]</f>
        <v>0.36</v>
      </c>
      <c r="L145" s="3" t="s">
        <v>37</v>
      </c>
      <c r="M145" s="3" t="s">
        <v>83</v>
      </c>
      <c r="N145" s="3" t="s">
        <v>86</v>
      </c>
    </row>
    <row r="146" spans="1:14" x14ac:dyDescent="0.3">
      <c r="A146" s="2">
        <v>43976</v>
      </c>
      <c r="B146" s="2">
        <v>43979</v>
      </c>
      <c r="C146">
        <v>3</v>
      </c>
      <c r="D146" s="3" t="s">
        <v>11</v>
      </c>
      <c r="E146" s="6">
        <v>490</v>
      </c>
      <c r="F146" s="6">
        <v>298.89999999999998</v>
      </c>
      <c r="G146">
        <v>7</v>
      </c>
      <c r="H146" s="6">
        <f>SalesData_2[[#This Row],[Unit Price]]*SalesData_2[[#This Row],[Units Sold]]</f>
        <v>3430</v>
      </c>
      <c r="I146" s="6">
        <f>SalesData_2[[#This Row],[Unit Cost]]*SalesData_2[[#This Row],[Units Sold]]</f>
        <v>2092.2999999999997</v>
      </c>
      <c r="J146" s="6">
        <f>SalesData_2[[#This Row],[Sales]]-SalesData_2[[#This Row],[COGS]]</f>
        <v>1337.7000000000003</v>
      </c>
      <c r="K146" s="21">
        <f>SalesData_2[[#This Row],[Revenue]]/SalesData_2[[#This Row],[Sales]]</f>
        <v>0.39000000000000007</v>
      </c>
      <c r="L146" s="3" t="s">
        <v>62</v>
      </c>
      <c r="M146" s="3" t="s">
        <v>81</v>
      </c>
      <c r="N146" s="3" t="s">
        <v>85</v>
      </c>
    </row>
    <row r="147" spans="1:14" x14ac:dyDescent="0.3">
      <c r="A147" s="2">
        <v>43978</v>
      </c>
      <c r="B147" s="2">
        <v>43985</v>
      </c>
      <c r="C147">
        <v>7</v>
      </c>
      <c r="D147" s="3" t="s">
        <v>23</v>
      </c>
      <c r="E147" s="6">
        <v>275</v>
      </c>
      <c r="F147" s="6">
        <v>200.75</v>
      </c>
      <c r="G147">
        <v>7</v>
      </c>
      <c r="H147" s="6">
        <f>SalesData_2[[#This Row],[Unit Price]]*SalesData_2[[#This Row],[Units Sold]]</f>
        <v>1925</v>
      </c>
      <c r="I147" s="6">
        <f>SalesData_2[[#This Row],[Unit Cost]]*SalesData_2[[#This Row],[Units Sold]]</f>
        <v>1405.25</v>
      </c>
      <c r="J147" s="6">
        <f>SalesData_2[[#This Row],[Sales]]-SalesData_2[[#This Row],[COGS]]</f>
        <v>519.75</v>
      </c>
      <c r="K147" s="21">
        <f>SalesData_2[[#This Row],[Revenue]]/SalesData_2[[#This Row],[Sales]]</f>
        <v>0.27</v>
      </c>
      <c r="L147" s="3" t="s">
        <v>39</v>
      </c>
      <c r="M147" s="3" t="s">
        <v>79</v>
      </c>
      <c r="N147" s="3" t="s">
        <v>86</v>
      </c>
    </row>
    <row r="148" spans="1:14" x14ac:dyDescent="0.3">
      <c r="A148" s="2">
        <v>43979</v>
      </c>
      <c r="B148" s="2">
        <v>43983</v>
      </c>
      <c r="C148">
        <v>4</v>
      </c>
      <c r="D148" s="3" t="s">
        <v>3</v>
      </c>
      <c r="E148" s="6">
        <v>95</v>
      </c>
      <c r="F148" s="6">
        <v>60.8</v>
      </c>
      <c r="G148">
        <v>9</v>
      </c>
      <c r="H148" s="6">
        <f>SalesData_2[[#This Row],[Unit Price]]*SalesData_2[[#This Row],[Units Sold]]</f>
        <v>855</v>
      </c>
      <c r="I148" s="6">
        <f>SalesData_2[[#This Row],[Unit Cost]]*SalesData_2[[#This Row],[Units Sold]]</f>
        <v>547.19999999999993</v>
      </c>
      <c r="J148" s="6">
        <f>SalesData_2[[#This Row],[Sales]]-SalesData_2[[#This Row],[COGS]]</f>
        <v>307.80000000000007</v>
      </c>
      <c r="K148" s="21">
        <f>SalesData_2[[#This Row],[Revenue]]/SalesData_2[[#This Row],[Sales]]</f>
        <v>0.3600000000000001</v>
      </c>
      <c r="L148" s="3" t="s">
        <v>30</v>
      </c>
      <c r="M148" s="3" t="s">
        <v>81</v>
      </c>
      <c r="N148" s="3" t="s">
        <v>86</v>
      </c>
    </row>
    <row r="149" spans="1:14" x14ac:dyDescent="0.3">
      <c r="A149" s="2">
        <v>43980</v>
      </c>
      <c r="B149" s="2">
        <v>43983</v>
      </c>
      <c r="C149">
        <v>3</v>
      </c>
      <c r="D149" s="3" t="s">
        <v>10</v>
      </c>
      <c r="E149" s="6">
        <v>390</v>
      </c>
      <c r="F149" s="6">
        <v>253.5</v>
      </c>
      <c r="G149">
        <v>4</v>
      </c>
      <c r="H149" s="6">
        <f>SalesData_2[[#This Row],[Unit Price]]*SalesData_2[[#This Row],[Units Sold]]</f>
        <v>1560</v>
      </c>
      <c r="I149" s="6">
        <f>SalesData_2[[#This Row],[Unit Cost]]*SalesData_2[[#This Row],[Units Sold]]</f>
        <v>1014</v>
      </c>
      <c r="J149" s="6">
        <f>SalesData_2[[#This Row],[Sales]]-SalesData_2[[#This Row],[COGS]]</f>
        <v>546</v>
      </c>
      <c r="K149" s="21">
        <f>SalesData_2[[#This Row],[Revenue]]/SalesData_2[[#This Row],[Sales]]</f>
        <v>0.35</v>
      </c>
      <c r="L149" s="3" t="s">
        <v>44</v>
      </c>
      <c r="M149" s="3" t="s">
        <v>79</v>
      </c>
      <c r="N149" s="3" t="s">
        <v>85</v>
      </c>
    </row>
    <row r="150" spans="1:14" x14ac:dyDescent="0.3">
      <c r="A150" s="2">
        <v>43981</v>
      </c>
      <c r="B150" s="2">
        <v>43984</v>
      </c>
      <c r="C150">
        <v>3</v>
      </c>
      <c r="D150" s="3" t="s">
        <v>22</v>
      </c>
      <c r="E150" s="6">
        <v>460</v>
      </c>
      <c r="F150" s="6">
        <v>303.60000000000002</v>
      </c>
      <c r="G150">
        <v>3</v>
      </c>
      <c r="H150" s="6">
        <f>SalesData_2[[#This Row],[Unit Price]]*SalesData_2[[#This Row],[Units Sold]]</f>
        <v>1380</v>
      </c>
      <c r="I150" s="6">
        <f>SalesData_2[[#This Row],[Unit Cost]]*SalesData_2[[#This Row],[Units Sold]]</f>
        <v>910.80000000000007</v>
      </c>
      <c r="J150" s="6">
        <f>SalesData_2[[#This Row],[Sales]]-SalesData_2[[#This Row],[COGS]]</f>
        <v>469.19999999999993</v>
      </c>
      <c r="K150" s="21">
        <f>SalesData_2[[#This Row],[Revenue]]/SalesData_2[[#This Row],[Sales]]</f>
        <v>0.33999999999999997</v>
      </c>
      <c r="L150" s="3" t="s">
        <v>31</v>
      </c>
      <c r="M150" s="3" t="s">
        <v>80</v>
      </c>
      <c r="N150" s="3" t="s">
        <v>86</v>
      </c>
    </row>
    <row r="151" spans="1:14" x14ac:dyDescent="0.3">
      <c r="A151" s="2">
        <v>43981</v>
      </c>
      <c r="B151" s="2">
        <v>43982</v>
      </c>
      <c r="C151">
        <v>1</v>
      </c>
      <c r="D151" s="3" t="s">
        <v>3</v>
      </c>
      <c r="E151" s="6">
        <v>95</v>
      </c>
      <c r="F151" s="6">
        <v>60.8</v>
      </c>
      <c r="G151">
        <v>2</v>
      </c>
      <c r="H151" s="6">
        <f>SalesData_2[[#This Row],[Unit Price]]*SalesData_2[[#This Row],[Units Sold]]</f>
        <v>190</v>
      </c>
      <c r="I151" s="6">
        <f>SalesData_2[[#This Row],[Unit Cost]]*SalesData_2[[#This Row],[Units Sold]]</f>
        <v>121.6</v>
      </c>
      <c r="J151" s="6">
        <f>SalesData_2[[#This Row],[Sales]]-SalesData_2[[#This Row],[COGS]]</f>
        <v>68.400000000000006</v>
      </c>
      <c r="K151" s="21">
        <f>SalesData_2[[#This Row],[Revenue]]/SalesData_2[[#This Row],[Sales]]</f>
        <v>0.36000000000000004</v>
      </c>
      <c r="L151" s="3" t="s">
        <v>37</v>
      </c>
      <c r="M151" s="3" t="s">
        <v>83</v>
      </c>
      <c r="N151" s="3" t="s">
        <v>85</v>
      </c>
    </row>
    <row r="152" spans="1:14" x14ac:dyDescent="0.3">
      <c r="A152" s="2">
        <v>43981</v>
      </c>
      <c r="B152" s="2">
        <v>43988</v>
      </c>
      <c r="C152">
        <v>7</v>
      </c>
      <c r="D152" s="3" t="s">
        <v>10</v>
      </c>
      <c r="E152" s="6">
        <v>390</v>
      </c>
      <c r="F152" s="6">
        <v>253.5</v>
      </c>
      <c r="G152">
        <v>5</v>
      </c>
      <c r="H152" s="6">
        <f>SalesData_2[[#This Row],[Unit Price]]*SalesData_2[[#This Row],[Units Sold]]</f>
        <v>1950</v>
      </c>
      <c r="I152" s="6">
        <f>SalesData_2[[#This Row],[Unit Cost]]*SalesData_2[[#This Row],[Units Sold]]</f>
        <v>1267.5</v>
      </c>
      <c r="J152" s="6">
        <f>SalesData_2[[#This Row],[Sales]]-SalesData_2[[#This Row],[COGS]]</f>
        <v>682.5</v>
      </c>
      <c r="K152" s="21">
        <f>SalesData_2[[#This Row],[Revenue]]/SalesData_2[[#This Row],[Sales]]</f>
        <v>0.35</v>
      </c>
      <c r="L152" s="3" t="s">
        <v>55</v>
      </c>
      <c r="M152" s="3" t="s">
        <v>82</v>
      </c>
      <c r="N152" s="3" t="s">
        <v>85</v>
      </c>
    </row>
    <row r="153" spans="1:14" x14ac:dyDescent="0.3">
      <c r="A153" s="2">
        <v>43983</v>
      </c>
      <c r="B153" s="2">
        <v>43990</v>
      </c>
      <c r="C153">
        <v>7</v>
      </c>
      <c r="D153" s="3" t="s">
        <v>3</v>
      </c>
      <c r="E153" s="6">
        <v>95</v>
      </c>
      <c r="F153" s="6">
        <v>60.8</v>
      </c>
      <c r="G153">
        <v>6</v>
      </c>
      <c r="H153" s="6">
        <f>SalesData_2[[#This Row],[Unit Price]]*SalesData_2[[#This Row],[Units Sold]]</f>
        <v>570</v>
      </c>
      <c r="I153" s="6">
        <f>SalesData_2[[#This Row],[Unit Cost]]*SalesData_2[[#This Row],[Units Sold]]</f>
        <v>364.79999999999995</v>
      </c>
      <c r="J153" s="6">
        <f>SalesData_2[[#This Row],[Sales]]-SalesData_2[[#This Row],[COGS]]</f>
        <v>205.20000000000005</v>
      </c>
      <c r="K153" s="21">
        <f>SalesData_2[[#This Row],[Revenue]]/SalesData_2[[#This Row],[Sales]]</f>
        <v>0.3600000000000001</v>
      </c>
      <c r="L153" s="3" t="s">
        <v>56</v>
      </c>
      <c r="M153" s="3" t="s">
        <v>79</v>
      </c>
      <c r="N153" s="3" t="s">
        <v>85</v>
      </c>
    </row>
    <row r="154" spans="1:14" x14ac:dyDescent="0.3">
      <c r="A154" s="2">
        <v>43985</v>
      </c>
      <c r="B154" s="2">
        <v>43992</v>
      </c>
      <c r="C154">
        <v>7</v>
      </c>
      <c r="D154" s="3" t="s">
        <v>12</v>
      </c>
      <c r="E154" s="6">
        <v>320</v>
      </c>
      <c r="F154" s="6">
        <v>233.6</v>
      </c>
      <c r="G154">
        <v>2</v>
      </c>
      <c r="H154" s="6">
        <f>SalesData_2[[#This Row],[Unit Price]]*SalesData_2[[#This Row],[Units Sold]]</f>
        <v>640</v>
      </c>
      <c r="I154" s="6">
        <f>SalesData_2[[#This Row],[Unit Cost]]*SalesData_2[[#This Row],[Units Sold]]</f>
        <v>467.2</v>
      </c>
      <c r="J154" s="6">
        <f>SalesData_2[[#This Row],[Sales]]-SalesData_2[[#This Row],[COGS]]</f>
        <v>172.8</v>
      </c>
      <c r="K154" s="21">
        <f>SalesData_2[[#This Row],[Revenue]]/SalesData_2[[#This Row],[Sales]]</f>
        <v>0.27</v>
      </c>
      <c r="L154" s="3" t="s">
        <v>62</v>
      </c>
      <c r="M154" s="3" t="s">
        <v>79</v>
      </c>
      <c r="N154" s="3" t="s">
        <v>86</v>
      </c>
    </row>
    <row r="155" spans="1:14" x14ac:dyDescent="0.3">
      <c r="A155" s="2">
        <v>43986</v>
      </c>
      <c r="B155" s="2">
        <v>43989</v>
      </c>
      <c r="C155">
        <v>3</v>
      </c>
      <c r="D155" s="3" t="s">
        <v>21</v>
      </c>
      <c r="E155" s="6">
        <v>355</v>
      </c>
      <c r="F155" s="6">
        <v>252.05</v>
      </c>
      <c r="G155">
        <v>8</v>
      </c>
      <c r="H155" s="6">
        <f>SalesData_2[[#This Row],[Unit Price]]*SalesData_2[[#This Row],[Units Sold]]</f>
        <v>2840</v>
      </c>
      <c r="I155" s="6">
        <f>SalesData_2[[#This Row],[Unit Cost]]*SalesData_2[[#This Row],[Units Sold]]</f>
        <v>2016.4</v>
      </c>
      <c r="J155" s="6">
        <f>SalesData_2[[#This Row],[Sales]]-SalesData_2[[#This Row],[COGS]]</f>
        <v>823.59999999999991</v>
      </c>
      <c r="K155" s="21">
        <f>SalesData_2[[#This Row],[Revenue]]/SalesData_2[[#This Row],[Sales]]</f>
        <v>0.28999999999999998</v>
      </c>
      <c r="L155" s="3" t="s">
        <v>47</v>
      </c>
      <c r="M155" s="3" t="s">
        <v>81</v>
      </c>
      <c r="N155" s="3" t="s">
        <v>85</v>
      </c>
    </row>
    <row r="156" spans="1:14" x14ac:dyDescent="0.3">
      <c r="A156" s="2">
        <v>43986</v>
      </c>
      <c r="B156" s="2">
        <v>43988</v>
      </c>
      <c r="C156">
        <v>2</v>
      </c>
      <c r="D156" s="3" t="s">
        <v>18</v>
      </c>
      <c r="E156" s="6">
        <v>80</v>
      </c>
      <c r="F156" s="6">
        <v>48.8</v>
      </c>
      <c r="G156">
        <v>6</v>
      </c>
      <c r="H156" s="6">
        <f>SalesData_2[[#This Row],[Unit Price]]*SalesData_2[[#This Row],[Units Sold]]</f>
        <v>480</v>
      </c>
      <c r="I156" s="6">
        <f>SalesData_2[[#This Row],[Unit Cost]]*SalesData_2[[#This Row],[Units Sold]]</f>
        <v>292.79999999999995</v>
      </c>
      <c r="J156" s="6">
        <f>SalesData_2[[#This Row],[Sales]]-SalesData_2[[#This Row],[COGS]]</f>
        <v>187.20000000000005</v>
      </c>
      <c r="K156" s="21">
        <f>SalesData_2[[#This Row],[Revenue]]/SalesData_2[[#This Row],[Sales]]</f>
        <v>0.39000000000000007</v>
      </c>
      <c r="L156" s="3" t="s">
        <v>75</v>
      </c>
      <c r="M156" s="3" t="s">
        <v>81</v>
      </c>
      <c r="N156" s="3" t="s">
        <v>86</v>
      </c>
    </row>
    <row r="157" spans="1:14" x14ac:dyDescent="0.3">
      <c r="A157" s="2">
        <v>43986</v>
      </c>
      <c r="B157" s="2">
        <v>43987</v>
      </c>
      <c r="C157">
        <v>1</v>
      </c>
      <c r="D157" s="3" t="s">
        <v>22</v>
      </c>
      <c r="E157" s="6">
        <v>460</v>
      </c>
      <c r="F157" s="6">
        <v>303.60000000000002</v>
      </c>
      <c r="G157">
        <v>5</v>
      </c>
      <c r="H157" s="6">
        <f>SalesData_2[[#This Row],[Unit Price]]*SalesData_2[[#This Row],[Units Sold]]</f>
        <v>2300</v>
      </c>
      <c r="I157" s="6">
        <f>SalesData_2[[#This Row],[Unit Cost]]*SalesData_2[[#This Row],[Units Sold]]</f>
        <v>1518</v>
      </c>
      <c r="J157" s="6">
        <f>SalesData_2[[#This Row],[Sales]]-SalesData_2[[#This Row],[COGS]]</f>
        <v>782</v>
      </c>
      <c r="K157" s="21">
        <f>SalesData_2[[#This Row],[Revenue]]/SalesData_2[[#This Row],[Sales]]</f>
        <v>0.34</v>
      </c>
      <c r="L157" s="3" t="s">
        <v>41</v>
      </c>
      <c r="M157" s="3" t="s">
        <v>81</v>
      </c>
      <c r="N157" s="3" t="s">
        <v>86</v>
      </c>
    </row>
    <row r="158" spans="1:14" x14ac:dyDescent="0.3">
      <c r="A158" s="2">
        <v>43986</v>
      </c>
      <c r="B158" s="2">
        <v>43989</v>
      </c>
      <c r="C158">
        <v>3</v>
      </c>
      <c r="D158" s="3" t="s">
        <v>11</v>
      </c>
      <c r="E158" s="6">
        <v>490</v>
      </c>
      <c r="F158" s="6">
        <v>298.89999999999998</v>
      </c>
      <c r="G158">
        <v>4</v>
      </c>
      <c r="H158" s="6">
        <f>SalesData_2[[#This Row],[Unit Price]]*SalesData_2[[#This Row],[Units Sold]]</f>
        <v>1960</v>
      </c>
      <c r="I158" s="6">
        <f>SalesData_2[[#This Row],[Unit Cost]]*SalesData_2[[#This Row],[Units Sold]]</f>
        <v>1195.5999999999999</v>
      </c>
      <c r="J158" s="6">
        <f>SalesData_2[[#This Row],[Sales]]-SalesData_2[[#This Row],[COGS]]</f>
        <v>764.40000000000009</v>
      </c>
      <c r="K158" s="21">
        <f>SalesData_2[[#This Row],[Revenue]]/SalesData_2[[#This Row],[Sales]]</f>
        <v>0.39000000000000007</v>
      </c>
      <c r="L158" s="3" t="s">
        <v>48</v>
      </c>
      <c r="M158" s="3" t="s">
        <v>79</v>
      </c>
      <c r="N158" s="3" t="s">
        <v>86</v>
      </c>
    </row>
    <row r="159" spans="1:14" x14ac:dyDescent="0.3">
      <c r="A159" s="2">
        <v>43989</v>
      </c>
      <c r="B159" s="2">
        <v>43993</v>
      </c>
      <c r="C159">
        <v>4</v>
      </c>
      <c r="D159" s="3" t="s">
        <v>10</v>
      </c>
      <c r="E159" s="6">
        <v>390</v>
      </c>
      <c r="F159" s="6">
        <v>253.5</v>
      </c>
      <c r="G159">
        <v>5</v>
      </c>
      <c r="H159" s="6">
        <f>SalesData_2[[#This Row],[Unit Price]]*SalesData_2[[#This Row],[Units Sold]]</f>
        <v>1950</v>
      </c>
      <c r="I159" s="6">
        <f>SalesData_2[[#This Row],[Unit Cost]]*SalesData_2[[#This Row],[Units Sold]]</f>
        <v>1267.5</v>
      </c>
      <c r="J159" s="6">
        <f>SalesData_2[[#This Row],[Sales]]-SalesData_2[[#This Row],[COGS]]</f>
        <v>682.5</v>
      </c>
      <c r="K159" s="21">
        <f>SalesData_2[[#This Row],[Revenue]]/SalesData_2[[#This Row],[Sales]]</f>
        <v>0.35</v>
      </c>
      <c r="L159" s="3" t="s">
        <v>36</v>
      </c>
      <c r="M159" s="3" t="s">
        <v>79</v>
      </c>
      <c r="N159" s="3" t="s">
        <v>85</v>
      </c>
    </row>
    <row r="160" spans="1:14" x14ac:dyDescent="0.3">
      <c r="A160" s="2">
        <v>43989</v>
      </c>
      <c r="B160" s="2">
        <v>43990</v>
      </c>
      <c r="C160">
        <v>1</v>
      </c>
      <c r="D160" s="3" t="s">
        <v>20</v>
      </c>
      <c r="E160" s="6">
        <v>440</v>
      </c>
      <c r="F160" s="6">
        <v>286</v>
      </c>
      <c r="G160">
        <v>8</v>
      </c>
      <c r="H160" s="6">
        <f>SalesData_2[[#This Row],[Unit Price]]*SalesData_2[[#This Row],[Units Sold]]</f>
        <v>3520</v>
      </c>
      <c r="I160" s="6">
        <f>SalesData_2[[#This Row],[Unit Cost]]*SalesData_2[[#This Row],[Units Sold]]</f>
        <v>2288</v>
      </c>
      <c r="J160" s="6">
        <f>SalesData_2[[#This Row],[Sales]]-SalesData_2[[#This Row],[COGS]]</f>
        <v>1232</v>
      </c>
      <c r="K160" s="21">
        <f>SalesData_2[[#This Row],[Revenue]]/SalesData_2[[#This Row],[Sales]]</f>
        <v>0.35</v>
      </c>
      <c r="L160" s="3" t="s">
        <v>65</v>
      </c>
      <c r="M160" s="3" t="s">
        <v>79</v>
      </c>
      <c r="N160" s="3" t="s">
        <v>86</v>
      </c>
    </row>
    <row r="161" spans="1:14" x14ac:dyDescent="0.3">
      <c r="A161" s="2">
        <v>43990</v>
      </c>
      <c r="B161" s="2">
        <v>43991</v>
      </c>
      <c r="C161">
        <v>1</v>
      </c>
      <c r="D161" s="3" t="s">
        <v>19</v>
      </c>
      <c r="E161" s="6">
        <v>220</v>
      </c>
      <c r="F161" s="6">
        <v>154</v>
      </c>
      <c r="G161">
        <v>2</v>
      </c>
      <c r="H161" s="6">
        <f>SalesData_2[[#This Row],[Unit Price]]*SalesData_2[[#This Row],[Units Sold]]</f>
        <v>440</v>
      </c>
      <c r="I161" s="6">
        <f>SalesData_2[[#This Row],[Unit Cost]]*SalesData_2[[#This Row],[Units Sold]]</f>
        <v>308</v>
      </c>
      <c r="J161" s="6">
        <f>SalesData_2[[#This Row],[Sales]]-SalesData_2[[#This Row],[COGS]]</f>
        <v>132</v>
      </c>
      <c r="K161" s="21">
        <f>SalesData_2[[#This Row],[Revenue]]/SalesData_2[[#This Row],[Sales]]</f>
        <v>0.3</v>
      </c>
      <c r="L161" s="3" t="s">
        <v>70</v>
      </c>
      <c r="M161" s="3" t="s">
        <v>80</v>
      </c>
      <c r="N161" s="3" t="s">
        <v>85</v>
      </c>
    </row>
    <row r="162" spans="1:14" x14ac:dyDescent="0.3">
      <c r="A162" s="2">
        <v>43990</v>
      </c>
      <c r="B162" s="2">
        <v>43997</v>
      </c>
      <c r="C162">
        <v>7</v>
      </c>
      <c r="D162" s="3" t="s">
        <v>17</v>
      </c>
      <c r="E162" s="6">
        <v>195</v>
      </c>
      <c r="F162" s="6">
        <v>138.44999999999999</v>
      </c>
      <c r="G162">
        <v>9</v>
      </c>
      <c r="H162" s="6">
        <f>SalesData_2[[#This Row],[Unit Price]]*SalesData_2[[#This Row],[Units Sold]]</f>
        <v>1755</v>
      </c>
      <c r="I162" s="6">
        <f>SalesData_2[[#This Row],[Unit Cost]]*SalesData_2[[#This Row],[Units Sold]]</f>
        <v>1246.05</v>
      </c>
      <c r="J162" s="6">
        <f>SalesData_2[[#This Row],[Sales]]-SalesData_2[[#This Row],[COGS]]</f>
        <v>508.95000000000005</v>
      </c>
      <c r="K162" s="21">
        <f>SalesData_2[[#This Row],[Revenue]]/SalesData_2[[#This Row],[Sales]]</f>
        <v>0.29000000000000004</v>
      </c>
      <c r="L162" s="3" t="s">
        <v>64</v>
      </c>
      <c r="M162" s="3" t="s">
        <v>81</v>
      </c>
      <c r="N162" s="3" t="s">
        <v>85</v>
      </c>
    </row>
    <row r="163" spans="1:14" x14ac:dyDescent="0.3">
      <c r="A163" s="2">
        <v>43991</v>
      </c>
      <c r="B163" s="2">
        <v>43997</v>
      </c>
      <c r="C163">
        <v>6</v>
      </c>
      <c r="D163" s="3" t="s">
        <v>13</v>
      </c>
      <c r="E163" s="6">
        <v>445</v>
      </c>
      <c r="F163" s="6">
        <v>280.35000000000002</v>
      </c>
      <c r="G163">
        <v>6</v>
      </c>
      <c r="H163" s="6">
        <f>SalesData_2[[#This Row],[Unit Price]]*SalesData_2[[#This Row],[Units Sold]]</f>
        <v>2670</v>
      </c>
      <c r="I163" s="6">
        <f>SalesData_2[[#This Row],[Unit Cost]]*SalesData_2[[#This Row],[Units Sold]]</f>
        <v>1682.1000000000001</v>
      </c>
      <c r="J163" s="6">
        <f>SalesData_2[[#This Row],[Sales]]-SalesData_2[[#This Row],[COGS]]</f>
        <v>987.89999999999986</v>
      </c>
      <c r="K163" s="21">
        <f>SalesData_2[[#This Row],[Revenue]]/SalesData_2[[#This Row],[Sales]]</f>
        <v>0.36999999999999994</v>
      </c>
      <c r="L163" s="3" t="s">
        <v>49</v>
      </c>
      <c r="M163" s="3" t="s">
        <v>82</v>
      </c>
      <c r="N163" s="3" t="s">
        <v>86</v>
      </c>
    </row>
    <row r="164" spans="1:14" x14ac:dyDescent="0.3">
      <c r="A164" s="2">
        <v>43992</v>
      </c>
      <c r="B164" s="2">
        <v>43996</v>
      </c>
      <c r="C164">
        <v>4</v>
      </c>
      <c r="D164" s="3" t="s">
        <v>4</v>
      </c>
      <c r="E164" s="6">
        <v>390</v>
      </c>
      <c r="F164" s="6">
        <v>288.60000000000002</v>
      </c>
      <c r="G164">
        <v>8</v>
      </c>
      <c r="H164" s="6">
        <f>SalesData_2[[#This Row],[Unit Price]]*SalesData_2[[#This Row],[Units Sold]]</f>
        <v>3120</v>
      </c>
      <c r="I164" s="6">
        <f>SalesData_2[[#This Row],[Unit Cost]]*SalesData_2[[#This Row],[Units Sold]]</f>
        <v>2308.8000000000002</v>
      </c>
      <c r="J164" s="6">
        <f>SalesData_2[[#This Row],[Sales]]-SalesData_2[[#This Row],[COGS]]</f>
        <v>811.19999999999982</v>
      </c>
      <c r="K164" s="21">
        <f>SalesData_2[[#This Row],[Revenue]]/SalesData_2[[#This Row],[Sales]]</f>
        <v>0.25999999999999995</v>
      </c>
      <c r="L164" s="3" t="s">
        <v>46</v>
      </c>
      <c r="M164" s="3" t="s">
        <v>81</v>
      </c>
      <c r="N164" s="3" t="s">
        <v>86</v>
      </c>
    </row>
    <row r="165" spans="1:14" x14ac:dyDescent="0.3">
      <c r="A165" s="2">
        <v>43993</v>
      </c>
      <c r="B165" s="2">
        <v>43999</v>
      </c>
      <c r="C165">
        <v>6</v>
      </c>
      <c r="D165" s="3" t="s">
        <v>18</v>
      </c>
      <c r="E165" s="6">
        <v>80</v>
      </c>
      <c r="F165" s="6">
        <v>48.8</v>
      </c>
      <c r="G165">
        <v>7</v>
      </c>
      <c r="H165" s="6">
        <f>SalesData_2[[#This Row],[Unit Price]]*SalesData_2[[#This Row],[Units Sold]]</f>
        <v>560</v>
      </c>
      <c r="I165" s="6">
        <f>SalesData_2[[#This Row],[Unit Cost]]*SalesData_2[[#This Row],[Units Sold]]</f>
        <v>341.59999999999997</v>
      </c>
      <c r="J165" s="6">
        <f>SalesData_2[[#This Row],[Sales]]-SalesData_2[[#This Row],[COGS]]</f>
        <v>218.40000000000003</v>
      </c>
      <c r="K165" s="21">
        <f>SalesData_2[[#This Row],[Revenue]]/SalesData_2[[#This Row],[Sales]]</f>
        <v>0.39000000000000007</v>
      </c>
      <c r="L165" s="3" t="s">
        <v>40</v>
      </c>
      <c r="M165" s="3" t="s">
        <v>80</v>
      </c>
      <c r="N165" s="3" t="s">
        <v>85</v>
      </c>
    </row>
    <row r="166" spans="1:14" x14ac:dyDescent="0.3">
      <c r="A166" s="2">
        <v>43994</v>
      </c>
      <c r="B166" s="2">
        <v>44001</v>
      </c>
      <c r="C166">
        <v>7</v>
      </c>
      <c r="D166" s="3" t="s">
        <v>2</v>
      </c>
      <c r="E166" s="6">
        <v>250</v>
      </c>
      <c r="F166" s="6">
        <v>187.5</v>
      </c>
      <c r="G166">
        <v>7</v>
      </c>
      <c r="H166" s="6">
        <f>SalesData_2[[#This Row],[Unit Price]]*SalesData_2[[#This Row],[Units Sold]]</f>
        <v>1750</v>
      </c>
      <c r="I166" s="6">
        <f>SalesData_2[[#This Row],[Unit Cost]]*SalesData_2[[#This Row],[Units Sold]]</f>
        <v>1312.5</v>
      </c>
      <c r="J166" s="6">
        <f>SalesData_2[[#This Row],[Sales]]-SalesData_2[[#This Row],[COGS]]</f>
        <v>437.5</v>
      </c>
      <c r="K166" s="21">
        <f>SalesData_2[[#This Row],[Revenue]]/SalesData_2[[#This Row],[Sales]]</f>
        <v>0.25</v>
      </c>
      <c r="L166" s="3" t="s">
        <v>42</v>
      </c>
      <c r="M166" s="3" t="s">
        <v>82</v>
      </c>
      <c r="N166" s="3" t="s">
        <v>86</v>
      </c>
    </row>
    <row r="167" spans="1:14" x14ac:dyDescent="0.3">
      <c r="A167" s="2">
        <v>43998</v>
      </c>
      <c r="B167" s="2">
        <v>43999</v>
      </c>
      <c r="C167">
        <v>1</v>
      </c>
      <c r="D167" s="3" t="s">
        <v>21</v>
      </c>
      <c r="E167" s="6">
        <v>355</v>
      </c>
      <c r="F167" s="6">
        <v>252.05</v>
      </c>
      <c r="G167">
        <v>9</v>
      </c>
      <c r="H167" s="6">
        <f>SalesData_2[[#This Row],[Unit Price]]*SalesData_2[[#This Row],[Units Sold]]</f>
        <v>3195</v>
      </c>
      <c r="I167" s="6">
        <f>SalesData_2[[#This Row],[Unit Cost]]*SalesData_2[[#This Row],[Units Sold]]</f>
        <v>2268.4500000000003</v>
      </c>
      <c r="J167" s="6">
        <f>SalesData_2[[#This Row],[Sales]]-SalesData_2[[#This Row],[COGS]]</f>
        <v>926.54999999999973</v>
      </c>
      <c r="K167" s="21">
        <f>SalesData_2[[#This Row],[Revenue]]/SalesData_2[[#This Row],[Sales]]</f>
        <v>0.28999999999999992</v>
      </c>
      <c r="L167" s="3" t="s">
        <v>72</v>
      </c>
      <c r="M167" s="3" t="s">
        <v>83</v>
      </c>
      <c r="N167" s="3" t="s">
        <v>86</v>
      </c>
    </row>
    <row r="168" spans="1:14" x14ac:dyDescent="0.3">
      <c r="A168" s="2">
        <v>43998</v>
      </c>
      <c r="B168" s="2">
        <v>44002</v>
      </c>
      <c r="C168">
        <v>4</v>
      </c>
      <c r="D168" s="3" t="s">
        <v>19</v>
      </c>
      <c r="E168" s="6">
        <v>220</v>
      </c>
      <c r="F168" s="6">
        <v>154</v>
      </c>
      <c r="G168">
        <v>8</v>
      </c>
      <c r="H168" s="6">
        <f>SalesData_2[[#This Row],[Unit Price]]*SalesData_2[[#This Row],[Units Sold]]</f>
        <v>1760</v>
      </c>
      <c r="I168" s="6">
        <f>SalesData_2[[#This Row],[Unit Cost]]*SalesData_2[[#This Row],[Units Sold]]</f>
        <v>1232</v>
      </c>
      <c r="J168" s="6">
        <f>SalesData_2[[#This Row],[Sales]]-SalesData_2[[#This Row],[COGS]]</f>
        <v>528</v>
      </c>
      <c r="K168" s="21">
        <f>SalesData_2[[#This Row],[Revenue]]/SalesData_2[[#This Row],[Sales]]</f>
        <v>0.3</v>
      </c>
      <c r="L168" s="3" t="s">
        <v>36</v>
      </c>
      <c r="M168" s="3" t="s">
        <v>82</v>
      </c>
      <c r="N168" s="3" t="s">
        <v>86</v>
      </c>
    </row>
    <row r="169" spans="1:14" x14ac:dyDescent="0.3">
      <c r="A169" s="2">
        <v>44001</v>
      </c>
      <c r="B169" s="2">
        <v>44007</v>
      </c>
      <c r="C169">
        <v>6</v>
      </c>
      <c r="D169" s="3" t="s">
        <v>22</v>
      </c>
      <c r="E169" s="6">
        <v>460</v>
      </c>
      <c r="F169" s="6">
        <v>303.60000000000002</v>
      </c>
      <c r="G169">
        <v>5</v>
      </c>
      <c r="H169" s="6">
        <f>SalesData_2[[#This Row],[Unit Price]]*SalesData_2[[#This Row],[Units Sold]]</f>
        <v>2300</v>
      </c>
      <c r="I169" s="6">
        <f>SalesData_2[[#This Row],[Unit Cost]]*SalesData_2[[#This Row],[Units Sold]]</f>
        <v>1518</v>
      </c>
      <c r="J169" s="6">
        <f>SalesData_2[[#This Row],[Sales]]-SalesData_2[[#This Row],[COGS]]</f>
        <v>782</v>
      </c>
      <c r="K169" s="21">
        <f>SalesData_2[[#This Row],[Revenue]]/SalesData_2[[#This Row],[Sales]]</f>
        <v>0.34</v>
      </c>
      <c r="L169" s="3" t="s">
        <v>48</v>
      </c>
      <c r="M169" s="3" t="s">
        <v>83</v>
      </c>
      <c r="N169" s="3" t="s">
        <v>85</v>
      </c>
    </row>
    <row r="170" spans="1:14" x14ac:dyDescent="0.3">
      <c r="A170" s="2">
        <v>44001</v>
      </c>
      <c r="B170" s="2">
        <v>44003</v>
      </c>
      <c r="C170">
        <v>2</v>
      </c>
      <c r="D170" s="3" t="s">
        <v>15</v>
      </c>
      <c r="E170" s="6">
        <v>110</v>
      </c>
      <c r="F170" s="6">
        <v>78.099999999999994</v>
      </c>
      <c r="G170">
        <v>2</v>
      </c>
      <c r="H170" s="6">
        <f>SalesData_2[[#This Row],[Unit Price]]*SalesData_2[[#This Row],[Units Sold]]</f>
        <v>220</v>
      </c>
      <c r="I170" s="6">
        <f>SalesData_2[[#This Row],[Unit Cost]]*SalesData_2[[#This Row],[Units Sold]]</f>
        <v>156.19999999999999</v>
      </c>
      <c r="J170" s="6">
        <f>SalesData_2[[#This Row],[Sales]]-SalesData_2[[#This Row],[COGS]]</f>
        <v>63.800000000000011</v>
      </c>
      <c r="K170" s="21">
        <f>SalesData_2[[#This Row],[Revenue]]/SalesData_2[[#This Row],[Sales]]</f>
        <v>0.29000000000000004</v>
      </c>
      <c r="L170" s="3" t="s">
        <v>59</v>
      </c>
      <c r="M170" s="3" t="s">
        <v>81</v>
      </c>
      <c r="N170" s="3" t="s">
        <v>85</v>
      </c>
    </row>
    <row r="171" spans="1:14" x14ac:dyDescent="0.3">
      <c r="A171" s="2">
        <v>44001</v>
      </c>
      <c r="B171" s="2">
        <v>44008</v>
      </c>
      <c r="C171">
        <v>7</v>
      </c>
      <c r="D171" s="3" t="s">
        <v>17</v>
      </c>
      <c r="E171" s="6">
        <v>195</v>
      </c>
      <c r="F171" s="6">
        <v>138.44999999999999</v>
      </c>
      <c r="G171">
        <v>1</v>
      </c>
      <c r="H171" s="6">
        <f>SalesData_2[[#This Row],[Unit Price]]*SalesData_2[[#This Row],[Units Sold]]</f>
        <v>195</v>
      </c>
      <c r="I171" s="6">
        <f>SalesData_2[[#This Row],[Unit Cost]]*SalesData_2[[#This Row],[Units Sold]]</f>
        <v>138.44999999999999</v>
      </c>
      <c r="J171" s="6">
        <f>SalesData_2[[#This Row],[Sales]]-SalesData_2[[#This Row],[COGS]]</f>
        <v>56.550000000000011</v>
      </c>
      <c r="K171" s="21">
        <f>SalesData_2[[#This Row],[Revenue]]/SalesData_2[[#This Row],[Sales]]</f>
        <v>0.29000000000000004</v>
      </c>
      <c r="L171" s="3" t="s">
        <v>58</v>
      </c>
      <c r="M171" s="3" t="s">
        <v>81</v>
      </c>
      <c r="N171" s="3" t="s">
        <v>85</v>
      </c>
    </row>
    <row r="172" spans="1:14" x14ac:dyDescent="0.3">
      <c r="A172" s="2">
        <v>44002</v>
      </c>
      <c r="B172" s="2">
        <v>44009</v>
      </c>
      <c r="C172">
        <v>7</v>
      </c>
      <c r="D172" s="3" t="s">
        <v>18</v>
      </c>
      <c r="E172" s="6">
        <v>80</v>
      </c>
      <c r="F172" s="6">
        <v>48.8</v>
      </c>
      <c r="G172">
        <v>4</v>
      </c>
      <c r="H172" s="6">
        <f>SalesData_2[[#This Row],[Unit Price]]*SalesData_2[[#This Row],[Units Sold]]</f>
        <v>320</v>
      </c>
      <c r="I172" s="6">
        <f>SalesData_2[[#This Row],[Unit Cost]]*SalesData_2[[#This Row],[Units Sold]]</f>
        <v>195.2</v>
      </c>
      <c r="J172" s="6">
        <f>SalesData_2[[#This Row],[Sales]]-SalesData_2[[#This Row],[COGS]]</f>
        <v>124.80000000000001</v>
      </c>
      <c r="K172" s="21">
        <f>SalesData_2[[#This Row],[Revenue]]/SalesData_2[[#This Row],[Sales]]</f>
        <v>0.39</v>
      </c>
      <c r="L172" s="3" t="s">
        <v>40</v>
      </c>
      <c r="M172" s="3" t="s">
        <v>79</v>
      </c>
      <c r="N172" s="3" t="s">
        <v>85</v>
      </c>
    </row>
    <row r="173" spans="1:14" x14ac:dyDescent="0.3">
      <c r="A173" s="2">
        <v>44004</v>
      </c>
      <c r="B173" s="2">
        <v>44006</v>
      </c>
      <c r="C173">
        <v>2</v>
      </c>
      <c r="D173" s="3" t="s">
        <v>18</v>
      </c>
      <c r="E173" s="6">
        <v>80</v>
      </c>
      <c r="F173" s="6">
        <v>48.8</v>
      </c>
      <c r="G173">
        <v>5</v>
      </c>
      <c r="H173" s="6">
        <f>SalesData_2[[#This Row],[Unit Price]]*SalesData_2[[#This Row],[Units Sold]]</f>
        <v>400</v>
      </c>
      <c r="I173" s="6">
        <f>SalesData_2[[#This Row],[Unit Cost]]*SalesData_2[[#This Row],[Units Sold]]</f>
        <v>244</v>
      </c>
      <c r="J173" s="6">
        <f>SalesData_2[[#This Row],[Sales]]-SalesData_2[[#This Row],[COGS]]</f>
        <v>156</v>
      </c>
      <c r="K173" s="21">
        <f>SalesData_2[[#This Row],[Revenue]]/SalesData_2[[#This Row],[Sales]]</f>
        <v>0.39</v>
      </c>
      <c r="L173" s="3" t="s">
        <v>63</v>
      </c>
      <c r="M173" s="3" t="s">
        <v>82</v>
      </c>
      <c r="N173" s="3" t="s">
        <v>86</v>
      </c>
    </row>
    <row r="174" spans="1:14" x14ac:dyDescent="0.3">
      <c r="A174" s="2">
        <v>44005</v>
      </c>
      <c r="B174" s="2">
        <v>44011</v>
      </c>
      <c r="C174">
        <v>6</v>
      </c>
      <c r="D174" s="3" t="s">
        <v>17</v>
      </c>
      <c r="E174" s="6">
        <v>195</v>
      </c>
      <c r="F174" s="6">
        <v>138.44999999999999</v>
      </c>
      <c r="G174">
        <v>3</v>
      </c>
      <c r="H174" s="6">
        <f>SalesData_2[[#This Row],[Unit Price]]*SalesData_2[[#This Row],[Units Sold]]</f>
        <v>585</v>
      </c>
      <c r="I174" s="6">
        <f>SalesData_2[[#This Row],[Unit Cost]]*SalesData_2[[#This Row],[Units Sold]]</f>
        <v>415.34999999999997</v>
      </c>
      <c r="J174" s="6">
        <f>SalesData_2[[#This Row],[Sales]]-SalesData_2[[#This Row],[COGS]]</f>
        <v>169.65000000000003</v>
      </c>
      <c r="K174" s="21">
        <f>SalesData_2[[#This Row],[Revenue]]/SalesData_2[[#This Row],[Sales]]</f>
        <v>0.29000000000000004</v>
      </c>
      <c r="L174" s="3" t="s">
        <v>37</v>
      </c>
      <c r="M174" s="3" t="s">
        <v>81</v>
      </c>
      <c r="N174" s="3" t="s">
        <v>86</v>
      </c>
    </row>
    <row r="175" spans="1:14" x14ac:dyDescent="0.3">
      <c r="A175" s="2">
        <v>44006</v>
      </c>
      <c r="B175" s="2">
        <v>44012</v>
      </c>
      <c r="C175">
        <v>6</v>
      </c>
      <c r="D175" s="3" t="s">
        <v>14</v>
      </c>
      <c r="E175" s="6">
        <v>375</v>
      </c>
      <c r="F175" s="6">
        <v>247.5</v>
      </c>
      <c r="G175">
        <v>1</v>
      </c>
      <c r="H175" s="6">
        <f>SalesData_2[[#This Row],[Unit Price]]*SalesData_2[[#This Row],[Units Sold]]</f>
        <v>375</v>
      </c>
      <c r="I175" s="6">
        <f>SalesData_2[[#This Row],[Unit Cost]]*SalesData_2[[#This Row],[Units Sold]]</f>
        <v>247.5</v>
      </c>
      <c r="J175" s="6">
        <f>SalesData_2[[#This Row],[Sales]]-SalesData_2[[#This Row],[COGS]]</f>
        <v>127.5</v>
      </c>
      <c r="K175" s="21">
        <f>SalesData_2[[#This Row],[Revenue]]/SalesData_2[[#This Row],[Sales]]</f>
        <v>0.34</v>
      </c>
      <c r="L175" s="3" t="s">
        <v>73</v>
      </c>
      <c r="M175" s="3" t="s">
        <v>80</v>
      </c>
      <c r="N175" s="3" t="s">
        <v>86</v>
      </c>
    </row>
    <row r="176" spans="1:14" x14ac:dyDescent="0.3">
      <c r="A176" s="2">
        <v>44008</v>
      </c>
      <c r="B176" s="2">
        <v>44009</v>
      </c>
      <c r="C176">
        <v>1</v>
      </c>
      <c r="D176" s="3" t="s">
        <v>9</v>
      </c>
      <c r="E176" s="6">
        <v>215</v>
      </c>
      <c r="F176" s="6">
        <v>152.65</v>
      </c>
      <c r="G176">
        <v>2</v>
      </c>
      <c r="H176" s="6">
        <f>SalesData_2[[#This Row],[Unit Price]]*SalesData_2[[#This Row],[Units Sold]]</f>
        <v>430</v>
      </c>
      <c r="I176" s="6">
        <f>SalesData_2[[#This Row],[Unit Cost]]*SalesData_2[[#This Row],[Units Sold]]</f>
        <v>305.3</v>
      </c>
      <c r="J176" s="6">
        <f>SalesData_2[[#This Row],[Sales]]-SalesData_2[[#This Row],[COGS]]</f>
        <v>124.69999999999999</v>
      </c>
      <c r="K176" s="21">
        <f>SalesData_2[[#This Row],[Revenue]]/SalesData_2[[#This Row],[Sales]]</f>
        <v>0.28999999999999998</v>
      </c>
      <c r="L176" s="3" t="s">
        <v>66</v>
      </c>
      <c r="M176" s="3" t="s">
        <v>82</v>
      </c>
      <c r="N176" s="3" t="s">
        <v>86</v>
      </c>
    </row>
    <row r="177" spans="1:14" x14ac:dyDescent="0.3">
      <c r="A177" s="2">
        <v>44008</v>
      </c>
      <c r="B177" s="2">
        <v>44009</v>
      </c>
      <c r="C177">
        <v>1</v>
      </c>
      <c r="D177" s="3" t="s">
        <v>6</v>
      </c>
      <c r="E177" s="6">
        <v>99</v>
      </c>
      <c r="F177" s="6">
        <v>62.37</v>
      </c>
      <c r="G177">
        <v>4</v>
      </c>
      <c r="H177" s="6">
        <f>SalesData_2[[#This Row],[Unit Price]]*SalesData_2[[#This Row],[Units Sold]]</f>
        <v>396</v>
      </c>
      <c r="I177" s="6">
        <f>SalesData_2[[#This Row],[Unit Cost]]*SalesData_2[[#This Row],[Units Sold]]</f>
        <v>249.48</v>
      </c>
      <c r="J177" s="6">
        <f>SalesData_2[[#This Row],[Sales]]-SalesData_2[[#This Row],[COGS]]</f>
        <v>146.52000000000001</v>
      </c>
      <c r="K177" s="21">
        <f>SalesData_2[[#This Row],[Revenue]]/SalesData_2[[#This Row],[Sales]]</f>
        <v>0.37000000000000005</v>
      </c>
      <c r="L177" s="3" t="s">
        <v>59</v>
      </c>
      <c r="M177" s="3" t="s">
        <v>82</v>
      </c>
      <c r="N177" s="3" t="s">
        <v>86</v>
      </c>
    </row>
    <row r="178" spans="1:14" x14ac:dyDescent="0.3">
      <c r="A178" s="2">
        <v>44009</v>
      </c>
      <c r="B178" s="2">
        <v>44015</v>
      </c>
      <c r="C178">
        <v>6</v>
      </c>
      <c r="D178" s="3" t="s">
        <v>15</v>
      </c>
      <c r="E178" s="6">
        <v>110</v>
      </c>
      <c r="F178" s="6">
        <v>78.099999999999994</v>
      </c>
      <c r="G178">
        <v>8</v>
      </c>
      <c r="H178" s="6">
        <f>SalesData_2[[#This Row],[Unit Price]]*SalesData_2[[#This Row],[Units Sold]]</f>
        <v>880</v>
      </c>
      <c r="I178" s="6">
        <f>SalesData_2[[#This Row],[Unit Cost]]*SalesData_2[[#This Row],[Units Sold]]</f>
        <v>624.79999999999995</v>
      </c>
      <c r="J178" s="6">
        <f>SalesData_2[[#This Row],[Sales]]-SalesData_2[[#This Row],[COGS]]</f>
        <v>255.20000000000005</v>
      </c>
      <c r="K178" s="21">
        <f>SalesData_2[[#This Row],[Revenue]]/SalesData_2[[#This Row],[Sales]]</f>
        <v>0.29000000000000004</v>
      </c>
      <c r="L178" s="3" t="s">
        <v>34</v>
      </c>
      <c r="M178" s="3" t="s">
        <v>80</v>
      </c>
      <c r="N178" s="3" t="s">
        <v>86</v>
      </c>
    </row>
    <row r="179" spans="1:14" x14ac:dyDescent="0.3">
      <c r="A179" s="2">
        <v>44010</v>
      </c>
      <c r="B179" s="2">
        <v>44011</v>
      </c>
      <c r="C179">
        <v>1</v>
      </c>
      <c r="D179" s="3" t="s">
        <v>6</v>
      </c>
      <c r="E179" s="6">
        <v>99</v>
      </c>
      <c r="F179" s="6">
        <v>62.37</v>
      </c>
      <c r="G179">
        <v>7</v>
      </c>
      <c r="H179" s="6">
        <f>SalesData_2[[#This Row],[Unit Price]]*SalesData_2[[#This Row],[Units Sold]]</f>
        <v>693</v>
      </c>
      <c r="I179" s="6">
        <f>SalesData_2[[#This Row],[Unit Cost]]*SalesData_2[[#This Row],[Units Sold]]</f>
        <v>436.59</v>
      </c>
      <c r="J179" s="6">
        <f>SalesData_2[[#This Row],[Sales]]-SalesData_2[[#This Row],[COGS]]</f>
        <v>256.41000000000003</v>
      </c>
      <c r="K179" s="21">
        <f>SalesData_2[[#This Row],[Revenue]]/SalesData_2[[#This Row],[Sales]]</f>
        <v>0.37000000000000005</v>
      </c>
      <c r="L179" s="3" t="s">
        <v>75</v>
      </c>
      <c r="M179" s="3" t="s">
        <v>82</v>
      </c>
      <c r="N179" s="3" t="s">
        <v>85</v>
      </c>
    </row>
    <row r="180" spans="1:14" x14ac:dyDescent="0.3">
      <c r="A180" s="2">
        <v>44010</v>
      </c>
      <c r="B180" s="2">
        <v>44015</v>
      </c>
      <c r="C180">
        <v>5</v>
      </c>
      <c r="D180" s="3" t="s">
        <v>10</v>
      </c>
      <c r="E180" s="6">
        <v>390</v>
      </c>
      <c r="F180" s="6">
        <v>253.5</v>
      </c>
      <c r="G180">
        <v>6</v>
      </c>
      <c r="H180" s="6">
        <f>SalesData_2[[#This Row],[Unit Price]]*SalesData_2[[#This Row],[Units Sold]]</f>
        <v>2340</v>
      </c>
      <c r="I180" s="6">
        <f>SalesData_2[[#This Row],[Unit Cost]]*SalesData_2[[#This Row],[Units Sold]]</f>
        <v>1521</v>
      </c>
      <c r="J180" s="6">
        <f>SalesData_2[[#This Row],[Sales]]-SalesData_2[[#This Row],[COGS]]</f>
        <v>819</v>
      </c>
      <c r="K180" s="21">
        <f>SalesData_2[[#This Row],[Revenue]]/SalesData_2[[#This Row],[Sales]]</f>
        <v>0.35</v>
      </c>
      <c r="L180" s="3" t="s">
        <v>74</v>
      </c>
      <c r="M180" s="3" t="s">
        <v>80</v>
      </c>
      <c r="N180" s="3" t="s">
        <v>85</v>
      </c>
    </row>
    <row r="181" spans="1:14" x14ac:dyDescent="0.3">
      <c r="A181" s="2">
        <v>44011</v>
      </c>
      <c r="B181" s="2">
        <v>44014</v>
      </c>
      <c r="C181">
        <v>3</v>
      </c>
      <c r="D181" s="3" t="s">
        <v>6</v>
      </c>
      <c r="E181" s="6">
        <v>99</v>
      </c>
      <c r="F181" s="6">
        <v>62.37</v>
      </c>
      <c r="G181">
        <v>6</v>
      </c>
      <c r="H181" s="6">
        <f>SalesData_2[[#This Row],[Unit Price]]*SalesData_2[[#This Row],[Units Sold]]</f>
        <v>594</v>
      </c>
      <c r="I181" s="6">
        <f>SalesData_2[[#This Row],[Unit Cost]]*SalesData_2[[#This Row],[Units Sold]]</f>
        <v>374.21999999999997</v>
      </c>
      <c r="J181" s="6">
        <f>SalesData_2[[#This Row],[Sales]]-SalesData_2[[#This Row],[COGS]]</f>
        <v>219.78000000000003</v>
      </c>
      <c r="K181" s="21">
        <f>SalesData_2[[#This Row],[Revenue]]/SalesData_2[[#This Row],[Sales]]</f>
        <v>0.37000000000000005</v>
      </c>
      <c r="L181" s="3" t="s">
        <v>59</v>
      </c>
      <c r="M181" s="3" t="s">
        <v>81</v>
      </c>
      <c r="N181" s="3" t="s">
        <v>85</v>
      </c>
    </row>
    <row r="182" spans="1:14" x14ac:dyDescent="0.3">
      <c r="A182" s="2">
        <v>44011</v>
      </c>
      <c r="B182" s="2">
        <v>44016</v>
      </c>
      <c r="C182">
        <v>5</v>
      </c>
      <c r="D182" s="3" t="s">
        <v>20</v>
      </c>
      <c r="E182" s="6">
        <v>440</v>
      </c>
      <c r="F182" s="6">
        <v>286</v>
      </c>
      <c r="G182">
        <v>6</v>
      </c>
      <c r="H182" s="6">
        <f>SalesData_2[[#This Row],[Unit Price]]*SalesData_2[[#This Row],[Units Sold]]</f>
        <v>2640</v>
      </c>
      <c r="I182" s="6">
        <f>SalesData_2[[#This Row],[Unit Cost]]*SalesData_2[[#This Row],[Units Sold]]</f>
        <v>1716</v>
      </c>
      <c r="J182" s="6">
        <f>SalesData_2[[#This Row],[Sales]]-SalesData_2[[#This Row],[COGS]]</f>
        <v>924</v>
      </c>
      <c r="K182" s="21">
        <f>SalesData_2[[#This Row],[Revenue]]/SalesData_2[[#This Row],[Sales]]</f>
        <v>0.35</v>
      </c>
      <c r="L182" s="3" t="s">
        <v>35</v>
      </c>
      <c r="M182" s="3" t="s">
        <v>82</v>
      </c>
      <c r="N182" s="3" t="s">
        <v>86</v>
      </c>
    </row>
    <row r="183" spans="1:14" x14ac:dyDescent="0.3">
      <c r="A183" s="2">
        <v>44011</v>
      </c>
      <c r="B183" s="2">
        <v>44017</v>
      </c>
      <c r="C183">
        <v>6</v>
      </c>
      <c r="D183" s="3" t="s">
        <v>17</v>
      </c>
      <c r="E183" s="6">
        <v>195</v>
      </c>
      <c r="F183" s="6">
        <v>138.44999999999999</v>
      </c>
      <c r="G183">
        <v>4</v>
      </c>
      <c r="H183" s="6">
        <f>SalesData_2[[#This Row],[Unit Price]]*SalesData_2[[#This Row],[Units Sold]]</f>
        <v>780</v>
      </c>
      <c r="I183" s="6">
        <f>SalesData_2[[#This Row],[Unit Cost]]*SalesData_2[[#This Row],[Units Sold]]</f>
        <v>553.79999999999995</v>
      </c>
      <c r="J183" s="6">
        <f>SalesData_2[[#This Row],[Sales]]-SalesData_2[[#This Row],[COGS]]</f>
        <v>226.20000000000005</v>
      </c>
      <c r="K183" s="21">
        <f>SalesData_2[[#This Row],[Revenue]]/SalesData_2[[#This Row],[Sales]]</f>
        <v>0.29000000000000004</v>
      </c>
      <c r="L183" s="3" t="s">
        <v>29</v>
      </c>
      <c r="M183" s="3" t="s">
        <v>80</v>
      </c>
      <c r="N183" s="3" t="s">
        <v>85</v>
      </c>
    </row>
    <row r="184" spans="1:14" x14ac:dyDescent="0.3">
      <c r="A184" s="2">
        <v>44013</v>
      </c>
      <c r="B184" s="2">
        <v>44019</v>
      </c>
      <c r="C184">
        <v>6</v>
      </c>
      <c r="D184" s="3" t="s">
        <v>4</v>
      </c>
      <c r="E184" s="6">
        <v>390</v>
      </c>
      <c r="F184" s="6">
        <v>288.60000000000002</v>
      </c>
      <c r="G184">
        <v>7</v>
      </c>
      <c r="H184" s="6">
        <f>SalesData_2[[#This Row],[Unit Price]]*SalesData_2[[#This Row],[Units Sold]]</f>
        <v>2730</v>
      </c>
      <c r="I184" s="6">
        <f>SalesData_2[[#This Row],[Unit Cost]]*SalesData_2[[#This Row],[Units Sold]]</f>
        <v>2020.2000000000003</v>
      </c>
      <c r="J184" s="6">
        <f>SalesData_2[[#This Row],[Sales]]-SalesData_2[[#This Row],[COGS]]</f>
        <v>709.79999999999973</v>
      </c>
      <c r="K184" s="21">
        <f>SalesData_2[[#This Row],[Revenue]]/SalesData_2[[#This Row],[Sales]]</f>
        <v>0.2599999999999999</v>
      </c>
      <c r="L184" s="3" t="s">
        <v>67</v>
      </c>
      <c r="M184" s="3" t="s">
        <v>79</v>
      </c>
      <c r="N184" s="3" t="s">
        <v>85</v>
      </c>
    </row>
    <row r="185" spans="1:14" x14ac:dyDescent="0.3">
      <c r="A185" s="2">
        <v>44013</v>
      </c>
      <c r="B185" s="2">
        <v>44014</v>
      </c>
      <c r="C185">
        <v>1</v>
      </c>
      <c r="D185" s="3" t="s">
        <v>12</v>
      </c>
      <c r="E185" s="6">
        <v>320</v>
      </c>
      <c r="F185" s="6">
        <v>233.6</v>
      </c>
      <c r="G185">
        <v>9</v>
      </c>
      <c r="H185" s="6">
        <f>SalesData_2[[#This Row],[Unit Price]]*SalesData_2[[#This Row],[Units Sold]]</f>
        <v>2880</v>
      </c>
      <c r="I185" s="6">
        <f>SalesData_2[[#This Row],[Unit Cost]]*SalesData_2[[#This Row],[Units Sold]]</f>
        <v>2102.4</v>
      </c>
      <c r="J185" s="6">
        <f>SalesData_2[[#This Row],[Sales]]-SalesData_2[[#This Row],[COGS]]</f>
        <v>777.59999999999991</v>
      </c>
      <c r="K185" s="21">
        <f>SalesData_2[[#This Row],[Revenue]]/SalesData_2[[#This Row],[Sales]]</f>
        <v>0.26999999999999996</v>
      </c>
      <c r="L185" s="3" t="s">
        <v>30</v>
      </c>
      <c r="M185" s="3" t="s">
        <v>82</v>
      </c>
      <c r="N185" s="3" t="s">
        <v>86</v>
      </c>
    </row>
    <row r="186" spans="1:14" x14ac:dyDescent="0.3">
      <c r="A186" s="2">
        <v>44016</v>
      </c>
      <c r="B186" s="2">
        <v>44023</v>
      </c>
      <c r="C186">
        <v>7</v>
      </c>
      <c r="D186" s="3" t="s">
        <v>13</v>
      </c>
      <c r="E186" s="6">
        <v>445</v>
      </c>
      <c r="F186" s="6">
        <v>280.35000000000002</v>
      </c>
      <c r="G186">
        <v>7</v>
      </c>
      <c r="H186" s="6">
        <f>SalesData_2[[#This Row],[Unit Price]]*SalesData_2[[#This Row],[Units Sold]]</f>
        <v>3115</v>
      </c>
      <c r="I186" s="6">
        <f>SalesData_2[[#This Row],[Unit Cost]]*SalesData_2[[#This Row],[Units Sold]]</f>
        <v>1962.4500000000003</v>
      </c>
      <c r="J186" s="6">
        <f>SalesData_2[[#This Row],[Sales]]-SalesData_2[[#This Row],[COGS]]</f>
        <v>1152.5499999999997</v>
      </c>
      <c r="K186" s="21">
        <f>SalesData_2[[#This Row],[Revenue]]/SalesData_2[[#This Row],[Sales]]</f>
        <v>0.36999999999999994</v>
      </c>
      <c r="L186" s="3" t="s">
        <v>47</v>
      </c>
      <c r="M186" s="3" t="s">
        <v>81</v>
      </c>
      <c r="N186" s="3" t="s">
        <v>85</v>
      </c>
    </row>
    <row r="187" spans="1:14" x14ac:dyDescent="0.3">
      <c r="A187" s="2">
        <v>44017</v>
      </c>
      <c r="B187" s="2">
        <v>44021</v>
      </c>
      <c r="C187">
        <v>4</v>
      </c>
      <c r="D187" s="3" t="s">
        <v>7</v>
      </c>
      <c r="E187" s="6">
        <v>250</v>
      </c>
      <c r="F187" s="6">
        <v>167.5</v>
      </c>
      <c r="G187">
        <v>3</v>
      </c>
      <c r="H187" s="6">
        <f>SalesData_2[[#This Row],[Unit Price]]*SalesData_2[[#This Row],[Units Sold]]</f>
        <v>750</v>
      </c>
      <c r="I187" s="6">
        <f>SalesData_2[[#This Row],[Unit Cost]]*SalesData_2[[#This Row],[Units Sold]]</f>
        <v>502.5</v>
      </c>
      <c r="J187" s="6">
        <f>SalesData_2[[#This Row],[Sales]]-SalesData_2[[#This Row],[COGS]]</f>
        <v>247.5</v>
      </c>
      <c r="K187" s="21">
        <f>SalesData_2[[#This Row],[Revenue]]/SalesData_2[[#This Row],[Sales]]</f>
        <v>0.33</v>
      </c>
      <c r="L187" s="3" t="s">
        <v>69</v>
      </c>
      <c r="M187" s="3" t="s">
        <v>83</v>
      </c>
      <c r="N187" s="3" t="s">
        <v>85</v>
      </c>
    </row>
    <row r="188" spans="1:14" x14ac:dyDescent="0.3">
      <c r="A188" s="2">
        <v>44017</v>
      </c>
      <c r="B188" s="2">
        <v>44024</v>
      </c>
      <c r="C188">
        <v>7</v>
      </c>
      <c r="D188" s="3" t="s">
        <v>10</v>
      </c>
      <c r="E188" s="6">
        <v>390</v>
      </c>
      <c r="F188" s="6">
        <v>253.5</v>
      </c>
      <c r="G188">
        <v>9</v>
      </c>
      <c r="H188" s="6">
        <f>SalesData_2[[#This Row],[Unit Price]]*SalesData_2[[#This Row],[Units Sold]]</f>
        <v>3510</v>
      </c>
      <c r="I188" s="6">
        <f>SalesData_2[[#This Row],[Unit Cost]]*SalesData_2[[#This Row],[Units Sold]]</f>
        <v>2281.5</v>
      </c>
      <c r="J188" s="6">
        <f>SalesData_2[[#This Row],[Sales]]-SalesData_2[[#This Row],[COGS]]</f>
        <v>1228.5</v>
      </c>
      <c r="K188" s="21">
        <f>SalesData_2[[#This Row],[Revenue]]/SalesData_2[[#This Row],[Sales]]</f>
        <v>0.35</v>
      </c>
      <c r="L188" s="3" t="s">
        <v>56</v>
      </c>
      <c r="M188" s="3" t="s">
        <v>82</v>
      </c>
      <c r="N188" s="3" t="s">
        <v>86</v>
      </c>
    </row>
    <row r="189" spans="1:14" x14ac:dyDescent="0.3">
      <c r="A189" s="2">
        <v>44018</v>
      </c>
      <c r="B189" s="2">
        <v>44020</v>
      </c>
      <c r="C189">
        <v>2</v>
      </c>
      <c r="D189" s="3" t="s">
        <v>4</v>
      </c>
      <c r="E189" s="6">
        <v>390</v>
      </c>
      <c r="F189" s="6">
        <v>288.60000000000002</v>
      </c>
      <c r="G189">
        <v>7</v>
      </c>
      <c r="H189" s="6">
        <f>SalesData_2[[#This Row],[Unit Price]]*SalesData_2[[#This Row],[Units Sold]]</f>
        <v>2730</v>
      </c>
      <c r="I189" s="6">
        <f>SalesData_2[[#This Row],[Unit Cost]]*SalesData_2[[#This Row],[Units Sold]]</f>
        <v>2020.2000000000003</v>
      </c>
      <c r="J189" s="6">
        <f>SalesData_2[[#This Row],[Sales]]-SalesData_2[[#This Row],[COGS]]</f>
        <v>709.79999999999973</v>
      </c>
      <c r="K189" s="21">
        <f>SalesData_2[[#This Row],[Revenue]]/SalesData_2[[#This Row],[Sales]]</f>
        <v>0.2599999999999999</v>
      </c>
      <c r="L189" s="3" t="s">
        <v>75</v>
      </c>
      <c r="M189" s="3" t="s">
        <v>81</v>
      </c>
      <c r="N189" s="3" t="s">
        <v>85</v>
      </c>
    </row>
    <row r="190" spans="1:14" x14ac:dyDescent="0.3">
      <c r="A190" s="2">
        <v>44019</v>
      </c>
      <c r="B190" s="2">
        <v>44022</v>
      </c>
      <c r="C190">
        <v>3</v>
      </c>
      <c r="D190" s="3" t="s">
        <v>21</v>
      </c>
      <c r="E190" s="6">
        <v>355</v>
      </c>
      <c r="F190" s="6">
        <v>252.05</v>
      </c>
      <c r="G190">
        <v>3</v>
      </c>
      <c r="H190" s="6">
        <f>SalesData_2[[#This Row],[Unit Price]]*SalesData_2[[#This Row],[Units Sold]]</f>
        <v>1065</v>
      </c>
      <c r="I190" s="6">
        <f>SalesData_2[[#This Row],[Unit Cost]]*SalesData_2[[#This Row],[Units Sold]]</f>
        <v>756.15000000000009</v>
      </c>
      <c r="J190" s="6">
        <f>SalesData_2[[#This Row],[Sales]]-SalesData_2[[#This Row],[COGS]]</f>
        <v>308.84999999999991</v>
      </c>
      <c r="K190" s="21">
        <f>SalesData_2[[#This Row],[Revenue]]/SalesData_2[[#This Row],[Sales]]</f>
        <v>0.28999999999999992</v>
      </c>
      <c r="L190" s="3" t="s">
        <v>74</v>
      </c>
      <c r="M190" s="3" t="s">
        <v>81</v>
      </c>
      <c r="N190" s="3" t="s">
        <v>86</v>
      </c>
    </row>
    <row r="191" spans="1:14" x14ac:dyDescent="0.3">
      <c r="A191" s="2">
        <v>44020</v>
      </c>
      <c r="B191" s="2">
        <v>44025</v>
      </c>
      <c r="C191">
        <v>5</v>
      </c>
      <c r="D191" s="3" t="s">
        <v>13</v>
      </c>
      <c r="E191" s="6">
        <v>445</v>
      </c>
      <c r="F191" s="6">
        <v>280.35000000000002</v>
      </c>
      <c r="G191">
        <v>3</v>
      </c>
      <c r="H191" s="6">
        <f>SalesData_2[[#This Row],[Unit Price]]*SalesData_2[[#This Row],[Units Sold]]</f>
        <v>1335</v>
      </c>
      <c r="I191" s="6">
        <f>SalesData_2[[#This Row],[Unit Cost]]*SalesData_2[[#This Row],[Units Sold]]</f>
        <v>841.05000000000007</v>
      </c>
      <c r="J191" s="6">
        <f>SalesData_2[[#This Row],[Sales]]-SalesData_2[[#This Row],[COGS]]</f>
        <v>493.94999999999993</v>
      </c>
      <c r="K191" s="21">
        <f>SalesData_2[[#This Row],[Revenue]]/SalesData_2[[#This Row],[Sales]]</f>
        <v>0.36999999999999994</v>
      </c>
      <c r="L191" s="3" t="s">
        <v>52</v>
      </c>
      <c r="M191" s="3" t="s">
        <v>79</v>
      </c>
      <c r="N191" s="3" t="s">
        <v>85</v>
      </c>
    </row>
    <row r="192" spans="1:14" x14ac:dyDescent="0.3">
      <c r="A192" s="2">
        <v>44020</v>
      </c>
      <c r="B192" s="2">
        <v>44025</v>
      </c>
      <c r="C192">
        <v>5</v>
      </c>
      <c r="D192" s="3" t="s">
        <v>2</v>
      </c>
      <c r="E192" s="6">
        <v>250</v>
      </c>
      <c r="F192" s="6">
        <v>187.5</v>
      </c>
      <c r="G192">
        <v>1</v>
      </c>
      <c r="H192" s="6">
        <f>SalesData_2[[#This Row],[Unit Price]]*SalesData_2[[#This Row],[Units Sold]]</f>
        <v>250</v>
      </c>
      <c r="I192" s="6">
        <f>SalesData_2[[#This Row],[Unit Cost]]*SalesData_2[[#This Row],[Units Sold]]</f>
        <v>187.5</v>
      </c>
      <c r="J192" s="6">
        <f>SalesData_2[[#This Row],[Sales]]-SalesData_2[[#This Row],[COGS]]</f>
        <v>62.5</v>
      </c>
      <c r="K192" s="21">
        <f>SalesData_2[[#This Row],[Revenue]]/SalesData_2[[#This Row],[Sales]]</f>
        <v>0.25</v>
      </c>
      <c r="L192" s="3" t="s">
        <v>67</v>
      </c>
      <c r="M192" s="3" t="s">
        <v>79</v>
      </c>
      <c r="N192" s="3" t="s">
        <v>85</v>
      </c>
    </row>
    <row r="193" spans="1:14" x14ac:dyDescent="0.3">
      <c r="A193" s="2">
        <v>44021</v>
      </c>
      <c r="B193" s="2">
        <v>44023</v>
      </c>
      <c r="C193">
        <v>2</v>
      </c>
      <c r="D193" s="3" t="s">
        <v>14</v>
      </c>
      <c r="E193" s="6">
        <v>375</v>
      </c>
      <c r="F193" s="6">
        <v>247.5</v>
      </c>
      <c r="G193">
        <v>4</v>
      </c>
      <c r="H193" s="6">
        <f>SalesData_2[[#This Row],[Unit Price]]*SalesData_2[[#This Row],[Units Sold]]</f>
        <v>1500</v>
      </c>
      <c r="I193" s="6">
        <f>SalesData_2[[#This Row],[Unit Cost]]*SalesData_2[[#This Row],[Units Sold]]</f>
        <v>990</v>
      </c>
      <c r="J193" s="6">
        <f>SalesData_2[[#This Row],[Sales]]-SalesData_2[[#This Row],[COGS]]</f>
        <v>510</v>
      </c>
      <c r="K193" s="21">
        <f>SalesData_2[[#This Row],[Revenue]]/SalesData_2[[#This Row],[Sales]]</f>
        <v>0.34</v>
      </c>
      <c r="L193" s="3" t="s">
        <v>53</v>
      </c>
      <c r="M193" s="3" t="s">
        <v>83</v>
      </c>
      <c r="N193" s="3" t="s">
        <v>85</v>
      </c>
    </row>
    <row r="194" spans="1:14" x14ac:dyDescent="0.3">
      <c r="A194" s="2">
        <v>44021</v>
      </c>
      <c r="B194" s="2">
        <v>44028</v>
      </c>
      <c r="C194">
        <v>7</v>
      </c>
      <c r="D194" s="3" t="s">
        <v>12</v>
      </c>
      <c r="E194" s="6">
        <v>320</v>
      </c>
      <c r="F194" s="6">
        <v>233.6</v>
      </c>
      <c r="G194">
        <v>7</v>
      </c>
      <c r="H194" s="6">
        <f>SalesData_2[[#This Row],[Unit Price]]*SalesData_2[[#This Row],[Units Sold]]</f>
        <v>2240</v>
      </c>
      <c r="I194" s="6">
        <f>SalesData_2[[#This Row],[Unit Cost]]*SalesData_2[[#This Row],[Units Sold]]</f>
        <v>1635.2</v>
      </c>
      <c r="J194" s="6">
        <f>SalesData_2[[#This Row],[Sales]]-SalesData_2[[#This Row],[COGS]]</f>
        <v>604.79999999999995</v>
      </c>
      <c r="K194" s="21">
        <f>SalesData_2[[#This Row],[Revenue]]/SalesData_2[[#This Row],[Sales]]</f>
        <v>0.26999999999999996</v>
      </c>
      <c r="L194" s="3" t="s">
        <v>64</v>
      </c>
      <c r="M194" s="3" t="s">
        <v>81</v>
      </c>
      <c r="N194" s="3" t="s">
        <v>86</v>
      </c>
    </row>
    <row r="195" spans="1:14" x14ac:dyDescent="0.3">
      <c r="A195" s="2">
        <v>44023</v>
      </c>
      <c r="B195" s="2">
        <v>44028</v>
      </c>
      <c r="C195">
        <v>5</v>
      </c>
      <c r="D195" s="3" t="s">
        <v>19</v>
      </c>
      <c r="E195" s="6">
        <v>220</v>
      </c>
      <c r="F195" s="6">
        <v>154</v>
      </c>
      <c r="G195">
        <v>6</v>
      </c>
      <c r="H195" s="6">
        <f>SalesData_2[[#This Row],[Unit Price]]*SalesData_2[[#This Row],[Units Sold]]</f>
        <v>1320</v>
      </c>
      <c r="I195" s="6">
        <f>SalesData_2[[#This Row],[Unit Cost]]*SalesData_2[[#This Row],[Units Sold]]</f>
        <v>924</v>
      </c>
      <c r="J195" s="6">
        <f>SalesData_2[[#This Row],[Sales]]-SalesData_2[[#This Row],[COGS]]</f>
        <v>396</v>
      </c>
      <c r="K195" s="21">
        <f>SalesData_2[[#This Row],[Revenue]]/SalesData_2[[#This Row],[Sales]]</f>
        <v>0.3</v>
      </c>
      <c r="L195" s="3" t="s">
        <v>69</v>
      </c>
      <c r="M195" s="3" t="s">
        <v>80</v>
      </c>
      <c r="N195" s="3" t="s">
        <v>85</v>
      </c>
    </row>
    <row r="196" spans="1:14" x14ac:dyDescent="0.3">
      <c r="A196" s="2">
        <v>44023</v>
      </c>
      <c r="B196" s="2">
        <v>44025</v>
      </c>
      <c r="C196">
        <v>2</v>
      </c>
      <c r="D196" s="3" t="s">
        <v>23</v>
      </c>
      <c r="E196" s="6">
        <v>275</v>
      </c>
      <c r="F196" s="6">
        <v>200.75</v>
      </c>
      <c r="G196">
        <v>5</v>
      </c>
      <c r="H196" s="6">
        <f>SalesData_2[[#This Row],[Unit Price]]*SalesData_2[[#This Row],[Units Sold]]</f>
        <v>1375</v>
      </c>
      <c r="I196" s="6">
        <f>SalesData_2[[#This Row],[Unit Cost]]*SalesData_2[[#This Row],[Units Sold]]</f>
        <v>1003.75</v>
      </c>
      <c r="J196" s="6">
        <f>SalesData_2[[#This Row],[Sales]]-SalesData_2[[#This Row],[COGS]]</f>
        <v>371.25</v>
      </c>
      <c r="K196" s="21">
        <f>SalesData_2[[#This Row],[Revenue]]/SalesData_2[[#This Row],[Sales]]</f>
        <v>0.27</v>
      </c>
      <c r="L196" s="3" t="s">
        <v>47</v>
      </c>
      <c r="M196" s="3" t="s">
        <v>82</v>
      </c>
      <c r="N196" s="3" t="s">
        <v>86</v>
      </c>
    </row>
    <row r="197" spans="1:14" x14ac:dyDescent="0.3">
      <c r="A197" s="2">
        <v>44024</v>
      </c>
      <c r="B197" s="2">
        <v>44030</v>
      </c>
      <c r="C197">
        <v>6</v>
      </c>
      <c r="D197" s="3" t="s">
        <v>7</v>
      </c>
      <c r="E197" s="6">
        <v>250</v>
      </c>
      <c r="F197" s="6">
        <v>167.5</v>
      </c>
      <c r="G197">
        <v>5</v>
      </c>
      <c r="H197" s="6">
        <f>SalesData_2[[#This Row],[Unit Price]]*SalesData_2[[#This Row],[Units Sold]]</f>
        <v>1250</v>
      </c>
      <c r="I197" s="6">
        <f>SalesData_2[[#This Row],[Unit Cost]]*SalesData_2[[#This Row],[Units Sold]]</f>
        <v>837.5</v>
      </c>
      <c r="J197" s="6">
        <f>SalesData_2[[#This Row],[Sales]]-SalesData_2[[#This Row],[COGS]]</f>
        <v>412.5</v>
      </c>
      <c r="K197" s="21">
        <f>SalesData_2[[#This Row],[Revenue]]/SalesData_2[[#This Row],[Sales]]</f>
        <v>0.33</v>
      </c>
      <c r="L197" s="3" t="s">
        <v>37</v>
      </c>
      <c r="M197" s="3" t="s">
        <v>80</v>
      </c>
      <c r="N197" s="3" t="s">
        <v>85</v>
      </c>
    </row>
    <row r="198" spans="1:14" x14ac:dyDescent="0.3">
      <c r="A198" s="2">
        <v>44025</v>
      </c>
      <c r="B198" s="2">
        <v>44031</v>
      </c>
      <c r="C198">
        <v>6</v>
      </c>
      <c r="D198" s="3" t="s">
        <v>23</v>
      </c>
      <c r="E198" s="6">
        <v>275</v>
      </c>
      <c r="F198" s="6">
        <v>200.75</v>
      </c>
      <c r="G198">
        <v>8</v>
      </c>
      <c r="H198" s="6">
        <f>SalesData_2[[#This Row],[Unit Price]]*SalesData_2[[#This Row],[Units Sold]]</f>
        <v>2200</v>
      </c>
      <c r="I198" s="6">
        <f>SalesData_2[[#This Row],[Unit Cost]]*SalesData_2[[#This Row],[Units Sold]]</f>
        <v>1606</v>
      </c>
      <c r="J198" s="6">
        <f>SalesData_2[[#This Row],[Sales]]-SalesData_2[[#This Row],[COGS]]</f>
        <v>594</v>
      </c>
      <c r="K198" s="21">
        <f>SalesData_2[[#This Row],[Revenue]]/SalesData_2[[#This Row],[Sales]]</f>
        <v>0.27</v>
      </c>
      <c r="L198" s="3" t="s">
        <v>40</v>
      </c>
      <c r="M198" s="3" t="s">
        <v>83</v>
      </c>
      <c r="N198" s="3" t="s">
        <v>86</v>
      </c>
    </row>
    <row r="199" spans="1:14" x14ac:dyDescent="0.3">
      <c r="A199" s="2">
        <v>44025</v>
      </c>
      <c r="B199" s="2">
        <v>44026</v>
      </c>
      <c r="C199">
        <v>1</v>
      </c>
      <c r="D199" s="3" t="s">
        <v>5</v>
      </c>
      <c r="E199" s="6">
        <v>290</v>
      </c>
      <c r="F199" s="6">
        <v>185.6</v>
      </c>
      <c r="G199">
        <v>6</v>
      </c>
      <c r="H199" s="6">
        <f>SalesData_2[[#This Row],[Unit Price]]*SalesData_2[[#This Row],[Units Sold]]</f>
        <v>1740</v>
      </c>
      <c r="I199" s="6">
        <f>SalesData_2[[#This Row],[Unit Cost]]*SalesData_2[[#This Row],[Units Sold]]</f>
        <v>1113.5999999999999</v>
      </c>
      <c r="J199" s="6">
        <f>SalesData_2[[#This Row],[Sales]]-SalesData_2[[#This Row],[COGS]]</f>
        <v>626.40000000000009</v>
      </c>
      <c r="K199" s="21">
        <f>SalesData_2[[#This Row],[Revenue]]/SalesData_2[[#This Row],[Sales]]</f>
        <v>0.36000000000000004</v>
      </c>
      <c r="L199" s="3" t="s">
        <v>34</v>
      </c>
      <c r="M199" s="3" t="s">
        <v>83</v>
      </c>
      <c r="N199" s="3" t="s">
        <v>85</v>
      </c>
    </row>
    <row r="200" spans="1:14" x14ac:dyDescent="0.3">
      <c r="A200" s="2">
        <v>44027</v>
      </c>
      <c r="B200" s="2">
        <v>44031</v>
      </c>
      <c r="C200">
        <v>4</v>
      </c>
      <c r="D200" s="3" t="s">
        <v>2</v>
      </c>
      <c r="E200" s="6">
        <v>250</v>
      </c>
      <c r="F200" s="6">
        <v>187.5</v>
      </c>
      <c r="G200">
        <v>7</v>
      </c>
      <c r="H200" s="6">
        <f>SalesData_2[[#This Row],[Unit Price]]*SalesData_2[[#This Row],[Units Sold]]</f>
        <v>1750</v>
      </c>
      <c r="I200" s="6">
        <f>SalesData_2[[#This Row],[Unit Cost]]*SalesData_2[[#This Row],[Units Sold]]</f>
        <v>1312.5</v>
      </c>
      <c r="J200" s="6">
        <f>SalesData_2[[#This Row],[Sales]]-SalesData_2[[#This Row],[COGS]]</f>
        <v>437.5</v>
      </c>
      <c r="K200" s="21">
        <f>SalesData_2[[#This Row],[Revenue]]/SalesData_2[[#This Row],[Sales]]</f>
        <v>0.25</v>
      </c>
      <c r="L200" s="3" t="s">
        <v>39</v>
      </c>
      <c r="M200" s="3" t="s">
        <v>79</v>
      </c>
      <c r="N200" s="3" t="s">
        <v>86</v>
      </c>
    </row>
    <row r="201" spans="1:14" x14ac:dyDescent="0.3">
      <c r="A201" s="2">
        <v>44029</v>
      </c>
      <c r="B201" s="2">
        <v>44031</v>
      </c>
      <c r="C201">
        <v>2</v>
      </c>
      <c r="D201" s="3" t="s">
        <v>18</v>
      </c>
      <c r="E201" s="6">
        <v>80</v>
      </c>
      <c r="F201" s="6">
        <v>48.8</v>
      </c>
      <c r="G201">
        <v>2</v>
      </c>
      <c r="H201" s="6">
        <f>SalesData_2[[#This Row],[Unit Price]]*SalesData_2[[#This Row],[Units Sold]]</f>
        <v>160</v>
      </c>
      <c r="I201" s="6">
        <f>SalesData_2[[#This Row],[Unit Cost]]*SalesData_2[[#This Row],[Units Sold]]</f>
        <v>97.6</v>
      </c>
      <c r="J201" s="6">
        <f>SalesData_2[[#This Row],[Sales]]-SalesData_2[[#This Row],[COGS]]</f>
        <v>62.400000000000006</v>
      </c>
      <c r="K201" s="21">
        <f>SalesData_2[[#This Row],[Revenue]]/SalesData_2[[#This Row],[Sales]]</f>
        <v>0.39</v>
      </c>
      <c r="L201" s="3" t="s">
        <v>75</v>
      </c>
      <c r="M201" s="3" t="s">
        <v>82</v>
      </c>
      <c r="N201" s="3" t="s">
        <v>85</v>
      </c>
    </row>
    <row r="202" spans="1:14" x14ac:dyDescent="0.3">
      <c r="A202" s="2">
        <v>44029</v>
      </c>
      <c r="B202" s="2">
        <v>44036</v>
      </c>
      <c r="C202">
        <v>7</v>
      </c>
      <c r="D202" s="3" t="s">
        <v>23</v>
      </c>
      <c r="E202" s="6">
        <v>275</v>
      </c>
      <c r="F202" s="6">
        <v>200.75</v>
      </c>
      <c r="G202">
        <v>6</v>
      </c>
      <c r="H202" s="6">
        <f>SalesData_2[[#This Row],[Unit Price]]*SalesData_2[[#This Row],[Units Sold]]</f>
        <v>1650</v>
      </c>
      <c r="I202" s="6">
        <f>SalesData_2[[#This Row],[Unit Cost]]*SalesData_2[[#This Row],[Units Sold]]</f>
        <v>1204.5</v>
      </c>
      <c r="J202" s="6">
        <f>SalesData_2[[#This Row],[Sales]]-SalesData_2[[#This Row],[COGS]]</f>
        <v>445.5</v>
      </c>
      <c r="K202" s="21">
        <f>SalesData_2[[#This Row],[Revenue]]/SalesData_2[[#This Row],[Sales]]</f>
        <v>0.27</v>
      </c>
      <c r="L202" s="3" t="s">
        <v>70</v>
      </c>
      <c r="M202" s="3" t="s">
        <v>81</v>
      </c>
      <c r="N202" s="3" t="s">
        <v>85</v>
      </c>
    </row>
    <row r="203" spans="1:14" x14ac:dyDescent="0.3">
      <c r="A203" s="2">
        <v>44034</v>
      </c>
      <c r="B203" s="2">
        <v>44037</v>
      </c>
      <c r="C203">
        <v>3</v>
      </c>
      <c r="D203" s="3" t="s">
        <v>16</v>
      </c>
      <c r="E203" s="6">
        <v>145</v>
      </c>
      <c r="F203" s="6">
        <v>105.85</v>
      </c>
      <c r="G203">
        <v>8</v>
      </c>
      <c r="H203" s="6">
        <f>SalesData_2[[#This Row],[Unit Price]]*SalesData_2[[#This Row],[Units Sold]]</f>
        <v>1160</v>
      </c>
      <c r="I203" s="6">
        <f>SalesData_2[[#This Row],[Unit Cost]]*SalesData_2[[#This Row],[Units Sold]]</f>
        <v>846.8</v>
      </c>
      <c r="J203" s="6">
        <f>SalesData_2[[#This Row],[Sales]]-SalesData_2[[#This Row],[COGS]]</f>
        <v>313.20000000000005</v>
      </c>
      <c r="K203" s="21">
        <f>SalesData_2[[#This Row],[Revenue]]/SalesData_2[[#This Row],[Sales]]</f>
        <v>0.27</v>
      </c>
      <c r="L203" s="3" t="s">
        <v>67</v>
      </c>
      <c r="M203" s="3" t="s">
        <v>82</v>
      </c>
      <c r="N203" s="3" t="s">
        <v>86</v>
      </c>
    </row>
    <row r="204" spans="1:14" x14ac:dyDescent="0.3">
      <c r="A204" s="2">
        <v>44034</v>
      </c>
      <c r="B204" s="2">
        <v>44037</v>
      </c>
      <c r="C204">
        <v>3</v>
      </c>
      <c r="D204" s="3" t="s">
        <v>11</v>
      </c>
      <c r="E204" s="6">
        <v>490</v>
      </c>
      <c r="F204" s="6">
        <v>298.89999999999998</v>
      </c>
      <c r="G204">
        <v>4</v>
      </c>
      <c r="H204" s="6">
        <f>SalesData_2[[#This Row],[Unit Price]]*SalesData_2[[#This Row],[Units Sold]]</f>
        <v>1960</v>
      </c>
      <c r="I204" s="6">
        <f>SalesData_2[[#This Row],[Unit Cost]]*SalesData_2[[#This Row],[Units Sold]]</f>
        <v>1195.5999999999999</v>
      </c>
      <c r="J204" s="6">
        <f>SalesData_2[[#This Row],[Sales]]-SalesData_2[[#This Row],[COGS]]</f>
        <v>764.40000000000009</v>
      </c>
      <c r="K204" s="21">
        <f>SalesData_2[[#This Row],[Revenue]]/SalesData_2[[#This Row],[Sales]]</f>
        <v>0.39000000000000007</v>
      </c>
      <c r="L204" s="3" t="s">
        <v>71</v>
      </c>
      <c r="M204" s="3" t="s">
        <v>83</v>
      </c>
      <c r="N204" s="3" t="s">
        <v>86</v>
      </c>
    </row>
    <row r="205" spans="1:14" x14ac:dyDescent="0.3">
      <c r="A205" s="2">
        <v>44035</v>
      </c>
      <c r="B205" s="2">
        <v>44041</v>
      </c>
      <c r="C205">
        <v>6</v>
      </c>
      <c r="D205" s="3" t="s">
        <v>19</v>
      </c>
      <c r="E205" s="6">
        <v>220</v>
      </c>
      <c r="F205" s="6">
        <v>154</v>
      </c>
      <c r="G205">
        <v>9</v>
      </c>
      <c r="H205" s="6">
        <f>SalesData_2[[#This Row],[Unit Price]]*SalesData_2[[#This Row],[Units Sold]]</f>
        <v>1980</v>
      </c>
      <c r="I205" s="6">
        <f>SalesData_2[[#This Row],[Unit Cost]]*SalesData_2[[#This Row],[Units Sold]]</f>
        <v>1386</v>
      </c>
      <c r="J205" s="6">
        <f>SalesData_2[[#This Row],[Sales]]-SalesData_2[[#This Row],[COGS]]</f>
        <v>594</v>
      </c>
      <c r="K205" s="21">
        <f>SalesData_2[[#This Row],[Revenue]]/SalesData_2[[#This Row],[Sales]]</f>
        <v>0.3</v>
      </c>
      <c r="L205" s="3" t="s">
        <v>75</v>
      </c>
      <c r="M205" s="3" t="s">
        <v>82</v>
      </c>
      <c r="N205" s="3" t="s">
        <v>86</v>
      </c>
    </row>
    <row r="206" spans="1:14" x14ac:dyDescent="0.3">
      <c r="A206" s="2">
        <v>44035</v>
      </c>
      <c r="B206" s="2">
        <v>44039</v>
      </c>
      <c r="C206">
        <v>4</v>
      </c>
      <c r="D206" s="3" t="s">
        <v>22</v>
      </c>
      <c r="E206" s="6">
        <v>460</v>
      </c>
      <c r="F206" s="6">
        <v>303.60000000000002</v>
      </c>
      <c r="G206">
        <v>6</v>
      </c>
      <c r="H206" s="6">
        <f>SalesData_2[[#This Row],[Unit Price]]*SalesData_2[[#This Row],[Units Sold]]</f>
        <v>2760</v>
      </c>
      <c r="I206" s="6">
        <f>SalesData_2[[#This Row],[Unit Cost]]*SalesData_2[[#This Row],[Units Sold]]</f>
        <v>1821.6000000000001</v>
      </c>
      <c r="J206" s="6">
        <f>SalesData_2[[#This Row],[Sales]]-SalesData_2[[#This Row],[COGS]]</f>
        <v>938.39999999999986</v>
      </c>
      <c r="K206" s="21">
        <f>SalesData_2[[#This Row],[Revenue]]/SalesData_2[[#This Row],[Sales]]</f>
        <v>0.33999999999999997</v>
      </c>
      <c r="L206" s="3" t="s">
        <v>69</v>
      </c>
      <c r="M206" s="3" t="s">
        <v>83</v>
      </c>
      <c r="N206" s="3" t="s">
        <v>85</v>
      </c>
    </row>
    <row r="207" spans="1:14" x14ac:dyDescent="0.3">
      <c r="A207" s="2">
        <v>44039</v>
      </c>
      <c r="B207" s="2">
        <v>44042</v>
      </c>
      <c r="C207">
        <v>3</v>
      </c>
      <c r="D207" s="3" t="s">
        <v>10</v>
      </c>
      <c r="E207" s="6">
        <v>390</v>
      </c>
      <c r="F207" s="6">
        <v>253.5</v>
      </c>
      <c r="G207">
        <v>4</v>
      </c>
      <c r="H207" s="6">
        <f>SalesData_2[[#This Row],[Unit Price]]*SalesData_2[[#This Row],[Units Sold]]</f>
        <v>1560</v>
      </c>
      <c r="I207" s="6">
        <f>SalesData_2[[#This Row],[Unit Cost]]*SalesData_2[[#This Row],[Units Sold]]</f>
        <v>1014</v>
      </c>
      <c r="J207" s="6">
        <f>SalesData_2[[#This Row],[Sales]]-SalesData_2[[#This Row],[COGS]]</f>
        <v>546</v>
      </c>
      <c r="K207" s="21">
        <f>SalesData_2[[#This Row],[Revenue]]/SalesData_2[[#This Row],[Sales]]</f>
        <v>0.35</v>
      </c>
      <c r="L207" s="3" t="s">
        <v>60</v>
      </c>
      <c r="M207" s="3" t="s">
        <v>83</v>
      </c>
      <c r="N207" s="3" t="s">
        <v>85</v>
      </c>
    </row>
    <row r="208" spans="1:14" x14ac:dyDescent="0.3">
      <c r="A208" s="2">
        <v>44040</v>
      </c>
      <c r="B208" s="2">
        <v>44047</v>
      </c>
      <c r="C208">
        <v>7</v>
      </c>
      <c r="D208" s="3" t="s">
        <v>21</v>
      </c>
      <c r="E208" s="6">
        <v>355</v>
      </c>
      <c r="F208" s="6">
        <v>252.05</v>
      </c>
      <c r="G208">
        <v>1</v>
      </c>
      <c r="H208" s="6">
        <f>SalesData_2[[#This Row],[Unit Price]]*SalesData_2[[#This Row],[Units Sold]]</f>
        <v>355</v>
      </c>
      <c r="I208" s="6">
        <f>SalesData_2[[#This Row],[Unit Cost]]*SalesData_2[[#This Row],[Units Sold]]</f>
        <v>252.05</v>
      </c>
      <c r="J208" s="6">
        <f>SalesData_2[[#This Row],[Sales]]-SalesData_2[[#This Row],[COGS]]</f>
        <v>102.94999999999999</v>
      </c>
      <c r="K208" s="21">
        <f>SalesData_2[[#This Row],[Revenue]]/SalesData_2[[#This Row],[Sales]]</f>
        <v>0.28999999999999998</v>
      </c>
      <c r="L208" s="3" t="s">
        <v>74</v>
      </c>
      <c r="M208" s="3" t="s">
        <v>83</v>
      </c>
      <c r="N208" s="3" t="s">
        <v>85</v>
      </c>
    </row>
    <row r="209" spans="1:14" x14ac:dyDescent="0.3">
      <c r="A209" s="2">
        <v>44040</v>
      </c>
      <c r="B209" s="2">
        <v>44041</v>
      </c>
      <c r="C209">
        <v>1</v>
      </c>
      <c r="D209" s="3" t="s">
        <v>2</v>
      </c>
      <c r="E209" s="6">
        <v>250</v>
      </c>
      <c r="F209" s="6">
        <v>187.5</v>
      </c>
      <c r="G209">
        <v>7</v>
      </c>
      <c r="H209" s="6">
        <f>SalesData_2[[#This Row],[Unit Price]]*SalesData_2[[#This Row],[Units Sold]]</f>
        <v>1750</v>
      </c>
      <c r="I209" s="6">
        <f>SalesData_2[[#This Row],[Unit Cost]]*SalesData_2[[#This Row],[Units Sold]]</f>
        <v>1312.5</v>
      </c>
      <c r="J209" s="6">
        <f>SalesData_2[[#This Row],[Sales]]-SalesData_2[[#This Row],[COGS]]</f>
        <v>437.5</v>
      </c>
      <c r="K209" s="21">
        <f>SalesData_2[[#This Row],[Revenue]]/SalesData_2[[#This Row],[Sales]]</f>
        <v>0.25</v>
      </c>
      <c r="L209" s="3" t="s">
        <v>71</v>
      </c>
      <c r="M209" s="3" t="s">
        <v>81</v>
      </c>
      <c r="N209" s="3" t="s">
        <v>86</v>
      </c>
    </row>
    <row r="210" spans="1:14" x14ac:dyDescent="0.3">
      <c r="A210" s="2">
        <v>44040</v>
      </c>
      <c r="B210" s="2">
        <v>44042</v>
      </c>
      <c r="C210">
        <v>2</v>
      </c>
      <c r="D210" s="3" t="s">
        <v>2</v>
      </c>
      <c r="E210" s="6">
        <v>250</v>
      </c>
      <c r="F210" s="6">
        <v>187.5</v>
      </c>
      <c r="G210">
        <v>8</v>
      </c>
      <c r="H210" s="6">
        <f>SalesData_2[[#This Row],[Unit Price]]*SalesData_2[[#This Row],[Units Sold]]</f>
        <v>2000</v>
      </c>
      <c r="I210" s="6">
        <f>SalesData_2[[#This Row],[Unit Cost]]*SalesData_2[[#This Row],[Units Sold]]</f>
        <v>1500</v>
      </c>
      <c r="J210" s="6">
        <f>SalesData_2[[#This Row],[Sales]]-SalesData_2[[#This Row],[COGS]]</f>
        <v>500</v>
      </c>
      <c r="K210" s="21">
        <f>SalesData_2[[#This Row],[Revenue]]/SalesData_2[[#This Row],[Sales]]</f>
        <v>0.25</v>
      </c>
      <c r="L210" s="3" t="s">
        <v>71</v>
      </c>
      <c r="M210" s="3" t="s">
        <v>83</v>
      </c>
      <c r="N210" s="3" t="s">
        <v>85</v>
      </c>
    </row>
    <row r="211" spans="1:14" x14ac:dyDescent="0.3">
      <c r="A211" s="2">
        <v>44041</v>
      </c>
      <c r="B211" s="2">
        <v>44043</v>
      </c>
      <c r="C211">
        <v>2</v>
      </c>
      <c r="D211" s="3" t="s">
        <v>4</v>
      </c>
      <c r="E211" s="6">
        <v>390</v>
      </c>
      <c r="F211" s="6">
        <v>288.60000000000002</v>
      </c>
      <c r="G211">
        <v>8</v>
      </c>
      <c r="H211" s="6">
        <f>SalesData_2[[#This Row],[Unit Price]]*SalesData_2[[#This Row],[Units Sold]]</f>
        <v>3120</v>
      </c>
      <c r="I211" s="6">
        <f>SalesData_2[[#This Row],[Unit Cost]]*SalesData_2[[#This Row],[Units Sold]]</f>
        <v>2308.8000000000002</v>
      </c>
      <c r="J211" s="6">
        <f>SalesData_2[[#This Row],[Sales]]-SalesData_2[[#This Row],[COGS]]</f>
        <v>811.19999999999982</v>
      </c>
      <c r="K211" s="21">
        <f>SalesData_2[[#This Row],[Revenue]]/SalesData_2[[#This Row],[Sales]]</f>
        <v>0.25999999999999995</v>
      </c>
      <c r="L211" s="3" t="s">
        <v>46</v>
      </c>
      <c r="M211" s="3" t="s">
        <v>83</v>
      </c>
      <c r="N211" s="3" t="s">
        <v>85</v>
      </c>
    </row>
    <row r="212" spans="1:14" x14ac:dyDescent="0.3">
      <c r="A212" s="2">
        <v>44041</v>
      </c>
      <c r="B212" s="2">
        <v>44046</v>
      </c>
      <c r="C212">
        <v>5</v>
      </c>
      <c r="D212" s="3" t="s">
        <v>8</v>
      </c>
      <c r="E212" s="6">
        <v>59</v>
      </c>
      <c r="F212" s="6">
        <v>41.3</v>
      </c>
      <c r="G212">
        <v>5</v>
      </c>
      <c r="H212" s="6">
        <f>SalesData_2[[#This Row],[Unit Price]]*SalesData_2[[#This Row],[Units Sold]]</f>
        <v>295</v>
      </c>
      <c r="I212" s="6">
        <f>SalesData_2[[#This Row],[Unit Cost]]*SalesData_2[[#This Row],[Units Sold]]</f>
        <v>206.5</v>
      </c>
      <c r="J212" s="6">
        <f>SalesData_2[[#This Row],[Sales]]-SalesData_2[[#This Row],[COGS]]</f>
        <v>88.5</v>
      </c>
      <c r="K212" s="21">
        <f>SalesData_2[[#This Row],[Revenue]]/SalesData_2[[#This Row],[Sales]]</f>
        <v>0.3</v>
      </c>
      <c r="L212" s="3" t="s">
        <v>40</v>
      </c>
      <c r="M212" s="3" t="s">
        <v>80</v>
      </c>
      <c r="N212" s="3" t="s">
        <v>85</v>
      </c>
    </row>
    <row r="213" spans="1:14" x14ac:dyDescent="0.3">
      <c r="A213" s="2">
        <v>44041</v>
      </c>
      <c r="B213" s="2">
        <v>44046</v>
      </c>
      <c r="C213">
        <v>5</v>
      </c>
      <c r="D213" s="3" t="s">
        <v>5</v>
      </c>
      <c r="E213" s="6">
        <v>290</v>
      </c>
      <c r="F213" s="6">
        <v>185.6</v>
      </c>
      <c r="G213">
        <v>5</v>
      </c>
      <c r="H213" s="6">
        <f>SalesData_2[[#This Row],[Unit Price]]*SalesData_2[[#This Row],[Units Sold]]</f>
        <v>1450</v>
      </c>
      <c r="I213" s="6">
        <f>SalesData_2[[#This Row],[Unit Cost]]*SalesData_2[[#This Row],[Units Sold]]</f>
        <v>928</v>
      </c>
      <c r="J213" s="6">
        <f>SalesData_2[[#This Row],[Sales]]-SalesData_2[[#This Row],[COGS]]</f>
        <v>522</v>
      </c>
      <c r="K213" s="21">
        <f>SalesData_2[[#This Row],[Revenue]]/SalesData_2[[#This Row],[Sales]]</f>
        <v>0.36</v>
      </c>
      <c r="L213" s="3" t="s">
        <v>40</v>
      </c>
      <c r="M213" s="3" t="s">
        <v>80</v>
      </c>
      <c r="N213" s="3" t="s">
        <v>85</v>
      </c>
    </row>
    <row r="214" spans="1:14" x14ac:dyDescent="0.3">
      <c r="A214" s="2">
        <v>44043</v>
      </c>
      <c r="B214" s="2">
        <v>44044</v>
      </c>
      <c r="C214">
        <v>1</v>
      </c>
      <c r="D214" s="3" t="s">
        <v>19</v>
      </c>
      <c r="E214" s="6">
        <v>220</v>
      </c>
      <c r="F214" s="6">
        <v>154</v>
      </c>
      <c r="G214">
        <v>2</v>
      </c>
      <c r="H214" s="6">
        <f>SalesData_2[[#This Row],[Unit Price]]*SalesData_2[[#This Row],[Units Sold]]</f>
        <v>440</v>
      </c>
      <c r="I214" s="6">
        <f>SalesData_2[[#This Row],[Unit Cost]]*SalesData_2[[#This Row],[Units Sold]]</f>
        <v>308</v>
      </c>
      <c r="J214" s="6">
        <f>SalesData_2[[#This Row],[Sales]]-SalesData_2[[#This Row],[COGS]]</f>
        <v>132</v>
      </c>
      <c r="K214" s="21">
        <f>SalesData_2[[#This Row],[Revenue]]/SalesData_2[[#This Row],[Sales]]</f>
        <v>0.3</v>
      </c>
      <c r="L214" s="3" t="s">
        <v>33</v>
      </c>
      <c r="M214" s="3" t="s">
        <v>80</v>
      </c>
      <c r="N214" s="3" t="s">
        <v>85</v>
      </c>
    </row>
    <row r="215" spans="1:14" x14ac:dyDescent="0.3">
      <c r="A215" s="2">
        <v>44043</v>
      </c>
      <c r="B215" s="2">
        <v>44046</v>
      </c>
      <c r="C215">
        <v>3</v>
      </c>
      <c r="D215" s="3" t="s">
        <v>5</v>
      </c>
      <c r="E215" s="6">
        <v>290</v>
      </c>
      <c r="F215" s="6">
        <v>185.6</v>
      </c>
      <c r="G215">
        <v>7</v>
      </c>
      <c r="H215" s="6">
        <f>SalesData_2[[#This Row],[Unit Price]]*SalesData_2[[#This Row],[Units Sold]]</f>
        <v>2030</v>
      </c>
      <c r="I215" s="6">
        <f>SalesData_2[[#This Row],[Unit Cost]]*SalesData_2[[#This Row],[Units Sold]]</f>
        <v>1299.2</v>
      </c>
      <c r="J215" s="6">
        <f>SalesData_2[[#This Row],[Sales]]-SalesData_2[[#This Row],[COGS]]</f>
        <v>730.8</v>
      </c>
      <c r="K215" s="21">
        <f>SalesData_2[[#This Row],[Revenue]]/SalesData_2[[#This Row],[Sales]]</f>
        <v>0.36</v>
      </c>
      <c r="L215" s="3" t="s">
        <v>71</v>
      </c>
      <c r="M215" s="3" t="s">
        <v>79</v>
      </c>
      <c r="N215" s="3" t="s">
        <v>85</v>
      </c>
    </row>
    <row r="216" spans="1:14" x14ac:dyDescent="0.3">
      <c r="A216" s="2">
        <v>44044</v>
      </c>
      <c r="B216" s="2">
        <v>44050</v>
      </c>
      <c r="C216">
        <v>6</v>
      </c>
      <c r="D216" s="3" t="s">
        <v>10</v>
      </c>
      <c r="E216" s="6">
        <v>390</v>
      </c>
      <c r="F216" s="6">
        <v>253.5</v>
      </c>
      <c r="G216">
        <v>5</v>
      </c>
      <c r="H216" s="6">
        <f>SalesData_2[[#This Row],[Unit Price]]*SalesData_2[[#This Row],[Units Sold]]</f>
        <v>1950</v>
      </c>
      <c r="I216" s="6">
        <f>SalesData_2[[#This Row],[Unit Cost]]*SalesData_2[[#This Row],[Units Sold]]</f>
        <v>1267.5</v>
      </c>
      <c r="J216" s="6">
        <f>SalesData_2[[#This Row],[Sales]]-SalesData_2[[#This Row],[COGS]]</f>
        <v>682.5</v>
      </c>
      <c r="K216" s="21">
        <f>SalesData_2[[#This Row],[Revenue]]/SalesData_2[[#This Row],[Sales]]</f>
        <v>0.35</v>
      </c>
      <c r="L216" s="3" t="s">
        <v>52</v>
      </c>
      <c r="M216" s="3" t="s">
        <v>82</v>
      </c>
      <c r="N216" s="3" t="s">
        <v>85</v>
      </c>
    </row>
    <row r="217" spans="1:14" x14ac:dyDescent="0.3">
      <c r="A217" s="2">
        <v>44044</v>
      </c>
      <c r="B217" s="2">
        <v>44046</v>
      </c>
      <c r="C217">
        <v>2</v>
      </c>
      <c r="D217" s="3" t="s">
        <v>9</v>
      </c>
      <c r="E217" s="6">
        <v>215</v>
      </c>
      <c r="F217" s="6">
        <v>152.65</v>
      </c>
      <c r="G217">
        <v>6</v>
      </c>
      <c r="H217" s="6">
        <f>SalesData_2[[#This Row],[Unit Price]]*SalesData_2[[#This Row],[Units Sold]]</f>
        <v>1290</v>
      </c>
      <c r="I217" s="6">
        <f>SalesData_2[[#This Row],[Unit Cost]]*SalesData_2[[#This Row],[Units Sold]]</f>
        <v>915.90000000000009</v>
      </c>
      <c r="J217" s="6">
        <f>SalesData_2[[#This Row],[Sales]]-SalesData_2[[#This Row],[COGS]]</f>
        <v>374.09999999999991</v>
      </c>
      <c r="K217" s="21">
        <f>SalesData_2[[#This Row],[Revenue]]/SalesData_2[[#This Row],[Sales]]</f>
        <v>0.28999999999999992</v>
      </c>
      <c r="L217" s="3" t="s">
        <v>76</v>
      </c>
      <c r="M217" s="3" t="s">
        <v>79</v>
      </c>
      <c r="N217" s="3" t="s">
        <v>85</v>
      </c>
    </row>
    <row r="218" spans="1:14" x14ac:dyDescent="0.3">
      <c r="A218" s="2">
        <v>44046</v>
      </c>
      <c r="B218" s="2">
        <v>44050</v>
      </c>
      <c r="C218">
        <v>4</v>
      </c>
      <c r="D218" s="3" t="s">
        <v>17</v>
      </c>
      <c r="E218" s="6">
        <v>195</v>
      </c>
      <c r="F218" s="6">
        <v>138.44999999999999</v>
      </c>
      <c r="G218">
        <v>3</v>
      </c>
      <c r="H218" s="6">
        <f>SalesData_2[[#This Row],[Unit Price]]*SalesData_2[[#This Row],[Units Sold]]</f>
        <v>585</v>
      </c>
      <c r="I218" s="6">
        <f>SalesData_2[[#This Row],[Unit Cost]]*SalesData_2[[#This Row],[Units Sold]]</f>
        <v>415.34999999999997</v>
      </c>
      <c r="J218" s="6">
        <f>SalesData_2[[#This Row],[Sales]]-SalesData_2[[#This Row],[COGS]]</f>
        <v>169.65000000000003</v>
      </c>
      <c r="K218" s="21">
        <f>SalesData_2[[#This Row],[Revenue]]/SalesData_2[[#This Row],[Sales]]</f>
        <v>0.29000000000000004</v>
      </c>
      <c r="L218" s="3" t="s">
        <v>37</v>
      </c>
      <c r="M218" s="3" t="s">
        <v>83</v>
      </c>
      <c r="N218" s="3" t="s">
        <v>86</v>
      </c>
    </row>
    <row r="219" spans="1:14" x14ac:dyDescent="0.3">
      <c r="A219" s="2">
        <v>44049</v>
      </c>
      <c r="B219" s="2">
        <v>44052</v>
      </c>
      <c r="C219">
        <v>3</v>
      </c>
      <c r="D219" s="3" t="s">
        <v>6</v>
      </c>
      <c r="E219" s="6">
        <v>99</v>
      </c>
      <c r="F219" s="6">
        <v>62.37</v>
      </c>
      <c r="G219">
        <v>7</v>
      </c>
      <c r="H219" s="6">
        <f>SalesData_2[[#This Row],[Unit Price]]*SalesData_2[[#This Row],[Units Sold]]</f>
        <v>693</v>
      </c>
      <c r="I219" s="6">
        <f>SalesData_2[[#This Row],[Unit Cost]]*SalesData_2[[#This Row],[Units Sold]]</f>
        <v>436.59</v>
      </c>
      <c r="J219" s="6">
        <f>SalesData_2[[#This Row],[Sales]]-SalesData_2[[#This Row],[COGS]]</f>
        <v>256.41000000000003</v>
      </c>
      <c r="K219" s="21">
        <f>SalesData_2[[#This Row],[Revenue]]/SalesData_2[[#This Row],[Sales]]</f>
        <v>0.37000000000000005</v>
      </c>
      <c r="L219" s="3" t="s">
        <v>37</v>
      </c>
      <c r="M219" s="3" t="s">
        <v>81</v>
      </c>
      <c r="N219" s="3" t="s">
        <v>86</v>
      </c>
    </row>
    <row r="220" spans="1:14" x14ac:dyDescent="0.3">
      <c r="A220" s="2">
        <v>44049</v>
      </c>
      <c r="B220" s="2">
        <v>44054</v>
      </c>
      <c r="C220">
        <v>5</v>
      </c>
      <c r="D220" s="3" t="s">
        <v>5</v>
      </c>
      <c r="E220" s="6">
        <v>290</v>
      </c>
      <c r="F220" s="6">
        <v>185.6</v>
      </c>
      <c r="G220">
        <v>1</v>
      </c>
      <c r="H220" s="6">
        <f>SalesData_2[[#This Row],[Unit Price]]*SalesData_2[[#This Row],[Units Sold]]</f>
        <v>290</v>
      </c>
      <c r="I220" s="6">
        <f>SalesData_2[[#This Row],[Unit Cost]]*SalesData_2[[#This Row],[Units Sold]]</f>
        <v>185.6</v>
      </c>
      <c r="J220" s="6">
        <f>SalesData_2[[#This Row],[Sales]]-SalesData_2[[#This Row],[COGS]]</f>
        <v>104.4</v>
      </c>
      <c r="K220" s="21">
        <f>SalesData_2[[#This Row],[Revenue]]/SalesData_2[[#This Row],[Sales]]</f>
        <v>0.36000000000000004</v>
      </c>
      <c r="L220" s="3" t="s">
        <v>52</v>
      </c>
      <c r="M220" s="3" t="s">
        <v>82</v>
      </c>
      <c r="N220" s="3" t="s">
        <v>86</v>
      </c>
    </row>
    <row r="221" spans="1:14" x14ac:dyDescent="0.3">
      <c r="A221" s="2">
        <v>44050</v>
      </c>
      <c r="B221" s="2">
        <v>44055</v>
      </c>
      <c r="C221">
        <v>5</v>
      </c>
      <c r="D221" s="3" t="s">
        <v>20</v>
      </c>
      <c r="E221" s="6">
        <v>440</v>
      </c>
      <c r="F221" s="6">
        <v>286</v>
      </c>
      <c r="G221">
        <v>1</v>
      </c>
      <c r="H221" s="6">
        <f>SalesData_2[[#This Row],[Unit Price]]*SalesData_2[[#This Row],[Units Sold]]</f>
        <v>440</v>
      </c>
      <c r="I221" s="6">
        <f>SalesData_2[[#This Row],[Unit Cost]]*SalesData_2[[#This Row],[Units Sold]]</f>
        <v>286</v>
      </c>
      <c r="J221" s="6">
        <f>SalesData_2[[#This Row],[Sales]]-SalesData_2[[#This Row],[COGS]]</f>
        <v>154</v>
      </c>
      <c r="K221" s="21">
        <f>SalesData_2[[#This Row],[Revenue]]/SalesData_2[[#This Row],[Sales]]</f>
        <v>0.35</v>
      </c>
      <c r="L221" s="3" t="s">
        <v>56</v>
      </c>
      <c r="M221" s="3" t="s">
        <v>81</v>
      </c>
      <c r="N221" s="3" t="s">
        <v>86</v>
      </c>
    </row>
    <row r="222" spans="1:14" x14ac:dyDescent="0.3">
      <c r="A222" s="2">
        <v>44051</v>
      </c>
      <c r="B222" s="2">
        <v>44053</v>
      </c>
      <c r="C222">
        <v>2</v>
      </c>
      <c r="D222" s="3" t="s">
        <v>2</v>
      </c>
      <c r="E222" s="6">
        <v>250</v>
      </c>
      <c r="F222" s="6">
        <v>187.5</v>
      </c>
      <c r="G222">
        <v>3</v>
      </c>
      <c r="H222" s="6">
        <f>SalesData_2[[#This Row],[Unit Price]]*SalesData_2[[#This Row],[Units Sold]]</f>
        <v>750</v>
      </c>
      <c r="I222" s="6">
        <f>SalesData_2[[#This Row],[Unit Cost]]*SalesData_2[[#This Row],[Units Sold]]</f>
        <v>562.5</v>
      </c>
      <c r="J222" s="6">
        <f>SalesData_2[[#This Row],[Sales]]-SalesData_2[[#This Row],[COGS]]</f>
        <v>187.5</v>
      </c>
      <c r="K222" s="21">
        <f>SalesData_2[[#This Row],[Revenue]]/SalesData_2[[#This Row],[Sales]]</f>
        <v>0.25</v>
      </c>
      <c r="L222" s="3" t="s">
        <v>69</v>
      </c>
      <c r="M222" s="3" t="s">
        <v>81</v>
      </c>
      <c r="N222" s="3" t="s">
        <v>86</v>
      </c>
    </row>
    <row r="223" spans="1:14" x14ac:dyDescent="0.3">
      <c r="A223" s="2">
        <v>44051</v>
      </c>
      <c r="B223" s="2">
        <v>44052</v>
      </c>
      <c r="C223">
        <v>1</v>
      </c>
      <c r="D223" s="3" t="s">
        <v>10</v>
      </c>
      <c r="E223" s="6">
        <v>390</v>
      </c>
      <c r="F223" s="6">
        <v>253.5</v>
      </c>
      <c r="G223">
        <v>6</v>
      </c>
      <c r="H223" s="6">
        <f>SalesData_2[[#This Row],[Unit Price]]*SalesData_2[[#This Row],[Units Sold]]</f>
        <v>2340</v>
      </c>
      <c r="I223" s="6">
        <f>SalesData_2[[#This Row],[Unit Cost]]*SalesData_2[[#This Row],[Units Sold]]</f>
        <v>1521</v>
      </c>
      <c r="J223" s="6">
        <f>SalesData_2[[#This Row],[Sales]]-SalesData_2[[#This Row],[COGS]]</f>
        <v>819</v>
      </c>
      <c r="K223" s="21">
        <f>SalesData_2[[#This Row],[Revenue]]/SalesData_2[[#This Row],[Sales]]</f>
        <v>0.35</v>
      </c>
      <c r="L223" s="3" t="s">
        <v>59</v>
      </c>
      <c r="M223" s="3" t="s">
        <v>82</v>
      </c>
      <c r="N223" s="3" t="s">
        <v>85</v>
      </c>
    </row>
    <row r="224" spans="1:14" x14ac:dyDescent="0.3">
      <c r="A224" s="2">
        <v>44055</v>
      </c>
      <c r="B224" s="2">
        <v>44056</v>
      </c>
      <c r="C224">
        <v>1</v>
      </c>
      <c r="D224" s="3" t="s">
        <v>11</v>
      </c>
      <c r="E224" s="6">
        <v>490</v>
      </c>
      <c r="F224" s="6">
        <v>298.89999999999998</v>
      </c>
      <c r="G224">
        <v>3</v>
      </c>
      <c r="H224" s="6">
        <f>SalesData_2[[#This Row],[Unit Price]]*SalesData_2[[#This Row],[Units Sold]]</f>
        <v>1470</v>
      </c>
      <c r="I224" s="6">
        <f>SalesData_2[[#This Row],[Unit Cost]]*SalesData_2[[#This Row],[Units Sold]]</f>
        <v>896.69999999999993</v>
      </c>
      <c r="J224" s="6">
        <f>SalesData_2[[#This Row],[Sales]]-SalesData_2[[#This Row],[COGS]]</f>
        <v>573.30000000000007</v>
      </c>
      <c r="K224" s="21">
        <f>SalesData_2[[#This Row],[Revenue]]/SalesData_2[[#This Row],[Sales]]</f>
        <v>0.39000000000000007</v>
      </c>
      <c r="L224" s="3" t="s">
        <v>43</v>
      </c>
      <c r="M224" s="3" t="s">
        <v>80</v>
      </c>
      <c r="N224" s="3" t="s">
        <v>85</v>
      </c>
    </row>
    <row r="225" spans="1:14" x14ac:dyDescent="0.3">
      <c r="A225" s="2">
        <v>44056</v>
      </c>
      <c r="B225" s="2">
        <v>44063</v>
      </c>
      <c r="C225">
        <v>7</v>
      </c>
      <c r="D225" s="3" t="s">
        <v>14</v>
      </c>
      <c r="E225" s="6">
        <v>375</v>
      </c>
      <c r="F225" s="6">
        <v>247.5</v>
      </c>
      <c r="G225">
        <v>2</v>
      </c>
      <c r="H225" s="6">
        <f>SalesData_2[[#This Row],[Unit Price]]*SalesData_2[[#This Row],[Units Sold]]</f>
        <v>750</v>
      </c>
      <c r="I225" s="6">
        <f>SalesData_2[[#This Row],[Unit Cost]]*SalesData_2[[#This Row],[Units Sold]]</f>
        <v>495</v>
      </c>
      <c r="J225" s="6">
        <f>SalesData_2[[#This Row],[Sales]]-SalesData_2[[#This Row],[COGS]]</f>
        <v>255</v>
      </c>
      <c r="K225" s="21">
        <f>SalesData_2[[#This Row],[Revenue]]/SalesData_2[[#This Row],[Sales]]</f>
        <v>0.34</v>
      </c>
      <c r="L225" s="3" t="s">
        <v>33</v>
      </c>
      <c r="M225" s="3" t="s">
        <v>82</v>
      </c>
      <c r="N225" s="3" t="s">
        <v>85</v>
      </c>
    </row>
    <row r="226" spans="1:14" x14ac:dyDescent="0.3">
      <c r="A226" s="2">
        <v>44057</v>
      </c>
      <c r="B226" s="2">
        <v>44059</v>
      </c>
      <c r="C226">
        <v>2</v>
      </c>
      <c r="D226" s="3" t="s">
        <v>20</v>
      </c>
      <c r="E226" s="6">
        <v>440</v>
      </c>
      <c r="F226" s="6">
        <v>286</v>
      </c>
      <c r="G226">
        <v>3</v>
      </c>
      <c r="H226" s="6">
        <f>SalesData_2[[#This Row],[Unit Price]]*SalesData_2[[#This Row],[Units Sold]]</f>
        <v>1320</v>
      </c>
      <c r="I226" s="6">
        <f>SalesData_2[[#This Row],[Unit Cost]]*SalesData_2[[#This Row],[Units Sold]]</f>
        <v>858</v>
      </c>
      <c r="J226" s="6">
        <f>SalesData_2[[#This Row],[Sales]]-SalesData_2[[#This Row],[COGS]]</f>
        <v>462</v>
      </c>
      <c r="K226" s="21">
        <f>SalesData_2[[#This Row],[Revenue]]/SalesData_2[[#This Row],[Sales]]</f>
        <v>0.35</v>
      </c>
      <c r="L226" s="3" t="s">
        <v>75</v>
      </c>
      <c r="M226" s="3" t="s">
        <v>80</v>
      </c>
      <c r="N226" s="3" t="s">
        <v>85</v>
      </c>
    </row>
    <row r="227" spans="1:14" x14ac:dyDescent="0.3">
      <c r="A227" s="2">
        <v>44057</v>
      </c>
      <c r="B227" s="2">
        <v>44060</v>
      </c>
      <c r="C227">
        <v>3</v>
      </c>
      <c r="D227" s="3" t="s">
        <v>15</v>
      </c>
      <c r="E227" s="6">
        <v>110</v>
      </c>
      <c r="F227" s="6">
        <v>78.099999999999994</v>
      </c>
      <c r="G227">
        <v>2</v>
      </c>
      <c r="H227" s="6">
        <f>SalesData_2[[#This Row],[Unit Price]]*SalesData_2[[#This Row],[Units Sold]]</f>
        <v>220</v>
      </c>
      <c r="I227" s="6">
        <f>SalesData_2[[#This Row],[Unit Cost]]*SalesData_2[[#This Row],[Units Sold]]</f>
        <v>156.19999999999999</v>
      </c>
      <c r="J227" s="6">
        <f>SalesData_2[[#This Row],[Sales]]-SalesData_2[[#This Row],[COGS]]</f>
        <v>63.800000000000011</v>
      </c>
      <c r="K227" s="21">
        <f>SalesData_2[[#This Row],[Revenue]]/SalesData_2[[#This Row],[Sales]]</f>
        <v>0.29000000000000004</v>
      </c>
      <c r="L227" s="3" t="s">
        <v>37</v>
      </c>
      <c r="M227" s="3" t="s">
        <v>79</v>
      </c>
      <c r="N227" s="3" t="s">
        <v>85</v>
      </c>
    </row>
    <row r="228" spans="1:14" x14ac:dyDescent="0.3">
      <c r="A228" s="2">
        <v>44058</v>
      </c>
      <c r="B228" s="2">
        <v>44060</v>
      </c>
      <c r="C228">
        <v>2</v>
      </c>
      <c r="D228" s="3" t="s">
        <v>11</v>
      </c>
      <c r="E228" s="6">
        <v>490</v>
      </c>
      <c r="F228" s="6">
        <v>298.89999999999998</v>
      </c>
      <c r="G228">
        <v>7</v>
      </c>
      <c r="H228" s="6">
        <f>SalesData_2[[#This Row],[Unit Price]]*SalesData_2[[#This Row],[Units Sold]]</f>
        <v>3430</v>
      </c>
      <c r="I228" s="6">
        <f>SalesData_2[[#This Row],[Unit Cost]]*SalesData_2[[#This Row],[Units Sold]]</f>
        <v>2092.2999999999997</v>
      </c>
      <c r="J228" s="6">
        <f>SalesData_2[[#This Row],[Sales]]-SalesData_2[[#This Row],[COGS]]</f>
        <v>1337.7000000000003</v>
      </c>
      <c r="K228" s="21">
        <f>SalesData_2[[#This Row],[Revenue]]/SalesData_2[[#This Row],[Sales]]</f>
        <v>0.39000000000000007</v>
      </c>
      <c r="L228" s="3" t="s">
        <v>60</v>
      </c>
      <c r="M228" s="3" t="s">
        <v>80</v>
      </c>
      <c r="N228" s="3" t="s">
        <v>85</v>
      </c>
    </row>
    <row r="229" spans="1:14" x14ac:dyDescent="0.3">
      <c r="A229" s="2">
        <v>44061</v>
      </c>
      <c r="B229" s="2">
        <v>44068</v>
      </c>
      <c r="C229">
        <v>7</v>
      </c>
      <c r="D229" s="3" t="s">
        <v>16</v>
      </c>
      <c r="E229" s="6">
        <v>145</v>
      </c>
      <c r="F229" s="6">
        <v>105.85</v>
      </c>
      <c r="G229">
        <v>2</v>
      </c>
      <c r="H229" s="6">
        <f>SalesData_2[[#This Row],[Unit Price]]*SalesData_2[[#This Row],[Units Sold]]</f>
        <v>290</v>
      </c>
      <c r="I229" s="6">
        <f>SalesData_2[[#This Row],[Unit Cost]]*SalesData_2[[#This Row],[Units Sold]]</f>
        <v>211.7</v>
      </c>
      <c r="J229" s="6">
        <f>SalesData_2[[#This Row],[Sales]]-SalesData_2[[#This Row],[COGS]]</f>
        <v>78.300000000000011</v>
      </c>
      <c r="K229" s="21">
        <f>SalesData_2[[#This Row],[Revenue]]/SalesData_2[[#This Row],[Sales]]</f>
        <v>0.27</v>
      </c>
      <c r="L229" s="3" t="s">
        <v>33</v>
      </c>
      <c r="M229" s="3" t="s">
        <v>82</v>
      </c>
      <c r="N229" s="3" t="s">
        <v>86</v>
      </c>
    </row>
    <row r="230" spans="1:14" x14ac:dyDescent="0.3">
      <c r="A230" s="2">
        <v>44063</v>
      </c>
      <c r="B230" s="2">
        <v>44069</v>
      </c>
      <c r="C230">
        <v>6</v>
      </c>
      <c r="D230" s="3" t="s">
        <v>4</v>
      </c>
      <c r="E230" s="6">
        <v>390</v>
      </c>
      <c r="F230" s="6">
        <v>288.60000000000002</v>
      </c>
      <c r="G230">
        <v>8</v>
      </c>
      <c r="H230" s="6">
        <f>SalesData_2[[#This Row],[Unit Price]]*SalesData_2[[#This Row],[Units Sold]]</f>
        <v>3120</v>
      </c>
      <c r="I230" s="6">
        <f>SalesData_2[[#This Row],[Unit Cost]]*SalesData_2[[#This Row],[Units Sold]]</f>
        <v>2308.8000000000002</v>
      </c>
      <c r="J230" s="6">
        <f>SalesData_2[[#This Row],[Sales]]-SalesData_2[[#This Row],[COGS]]</f>
        <v>811.19999999999982</v>
      </c>
      <c r="K230" s="21">
        <f>SalesData_2[[#This Row],[Revenue]]/SalesData_2[[#This Row],[Sales]]</f>
        <v>0.25999999999999995</v>
      </c>
      <c r="L230" s="3" t="s">
        <v>61</v>
      </c>
      <c r="M230" s="3" t="s">
        <v>79</v>
      </c>
      <c r="N230" s="3" t="s">
        <v>85</v>
      </c>
    </row>
    <row r="231" spans="1:14" x14ac:dyDescent="0.3">
      <c r="A231" s="2">
        <v>44064</v>
      </c>
      <c r="B231" s="2">
        <v>44065</v>
      </c>
      <c r="C231">
        <v>1</v>
      </c>
      <c r="D231" s="3" t="s">
        <v>6</v>
      </c>
      <c r="E231" s="6">
        <v>99</v>
      </c>
      <c r="F231" s="6">
        <v>62.37</v>
      </c>
      <c r="G231">
        <v>1</v>
      </c>
      <c r="H231" s="6">
        <f>SalesData_2[[#This Row],[Unit Price]]*SalesData_2[[#This Row],[Units Sold]]</f>
        <v>99</v>
      </c>
      <c r="I231" s="6">
        <f>SalesData_2[[#This Row],[Unit Cost]]*SalesData_2[[#This Row],[Units Sold]]</f>
        <v>62.37</v>
      </c>
      <c r="J231" s="6">
        <f>SalesData_2[[#This Row],[Sales]]-SalesData_2[[#This Row],[COGS]]</f>
        <v>36.630000000000003</v>
      </c>
      <c r="K231" s="21">
        <f>SalesData_2[[#This Row],[Revenue]]/SalesData_2[[#This Row],[Sales]]</f>
        <v>0.37000000000000005</v>
      </c>
      <c r="L231" s="3" t="s">
        <v>35</v>
      </c>
      <c r="M231" s="3" t="s">
        <v>79</v>
      </c>
      <c r="N231" s="3" t="s">
        <v>86</v>
      </c>
    </row>
    <row r="232" spans="1:14" x14ac:dyDescent="0.3">
      <c r="A232" s="2">
        <v>44065</v>
      </c>
      <c r="B232" s="2">
        <v>44069</v>
      </c>
      <c r="C232">
        <v>4</v>
      </c>
      <c r="D232" s="3" t="s">
        <v>4</v>
      </c>
      <c r="E232" s="6">
        <v>390</v>
      </c>
      <c r="F232" s="6">
        <v>288.60000000000002</v>
      </c>
      <c r="G232">
        <v>5</v>
      </c>
      <c r="H232" s="6">
        <f>SalesData_2[[#This Row],[Unit Price]]*SalesData_2[[#This Row],[Units Sold]]</f>
        <v>1950</v>
      </c>
      <c r="I232" s="6">
        <f>SalesData_2[[#This Row],[Unit Cost]]*SalesData_2[[#This Row],[Units Sold]]</f>
        <v>1443</v>
      </c>
      <c r="J232" s="6">
        <f>SalesData_2[[#This Row],[Sales]]-SalesData_2[[#This Row],[COGS]]</f>
        <v>507</v>
      </c>
      <c r="K232" s="21">
        <f>SalesData_2[[#This Row],[Revenue]]/SalesData_2[[#This Row],[Sales]]</f>
        <v>0.26</v>
      </c>
      <c r="L232" s="3" t="s">
        <v>54</v>
      </c>
      <c r="M232" s="3" t="s">
        <v>83</v>
      </c>
      <c r="N232" s="3" t="s">
        <v>85</v>
      </c>
    </row>
    <row r="233" spans="1:14" x14ac:dyDescent="0.3">
      <c r="A233" s="2">
        <v>44069</v>
      </c>
      <c r="B233" s="2">
        <v>44071</v>
      </c>
      <c r="C233">
        <v>2</v>
      </c>
      <c r="D233" s="3" t="s">
        <v>3</v>
      </c>
      <c r="E233" s="6">
        <v>95</v>
      </c>
      <c r="F233" s="6">
        <v>60.8</v>
      </c>
      <c r="G233">
        <v>6</v>
      </c>
      <c r="H233" s="6">
        <f>SalesData_2[[#This Row],[Unit Price]]*SalesData_2[[#This Row],[Units Sold]]</f>
        <v>570</v>
      </c>
      <c r="I233" s="6">
        <f>SalesData_2[[#This Row],[Unit Cost]]*SalesData_2[[#This Row],[Units Sold]]</f>
        <v>364.79999999999995</v>
      </c>
      <c r="J233" s="6">
        <f>SalesData_2[[#This Row],[Sales]]-SalesData_2[[#This Row],[COGS]]</f>
        <v>205.20000000000005</v>
      </c>
      <c r="K233" s="21">
        <f>SalesData_2[[#This Row],[Revenue]]/SalesData_2[[#This Row],[Sales]]</f>
        <v>0.3600000000000001</v>
      </c>
      <c r="L233" s="3" t="s">
        <v>61</v>
      </c>
      <c r="M233" s="3" t="s">
        <v>81</v>
      </c>
      <c r="N233" s="3" t="s">
        <v>86</v>
      </c>
    </row>
    <row r="234" spans="1:14" x14ac:dyDescent="0.3">
      <c r="A234" s="2">
        <v>44069</v>
      </c>
      <c r="B234" s="2">
        <v>44071</v>
      </c>
      <c r="C234">
        <v>2</v>
      </c>
      <c r="D234" s="3" t="s">
        <v>14</v>
      </c>
      <c r="E234" s="6">
        <v>375</v>
      </c>
      <c r="F234" s="6">
        <v>247.5</v>
      </c>
      <c r="G234">
        <v>9</v>
      </c>
      <c r="H234" s="6">
        <f>SalesData_2[[#This Row],[Unit Price]]*SalesData_2[[#This Row],[Units Sold]]</f>
        <v>3375</v>
      </c>
      <c r="I234" s="6">
        <f>SalesData_2[[#This Row],[Unit Cost]]*SalesData_2[[#This Row],[Units Sold]]</f>
        <v>2227.5</v>
      </c>
      <c r="J234" s="6">
        <f>SalesData_2[[#This Row],[Sales]]-SalesData_2[[#This Row],[COGS]]</f>
        <v>1147.5</v>
      </c>
      <c r="K234" s="21">
        <f>SalesData_2[[#This Row],[Revenue]]/SalesData_2[[#This Row],[Sales]]</f>
        <v>0.34</v>
      </c>
      <c r="L234" s="3" t="s">
        <v>64</v>
      </c>
      <c r="M234" s="3" t="s">
        <v>82</v>
      </c>
      <c r="N234" s="3" t="s">
        <v>86</v>
      </c>
    </row>
    <row r="235" spans="1:14" x14ac:dyDescent="0.3">
      <c r="A235" s="2">
        <v>44072</v>
      </c>
      <c r="B235" s="2">
        <v>44078</v>
      </c>
      <c r="C235">
        <v>6</v>
      </c>
      <c r="D235" s="3" t="s">
        <v>14</v>
      </c>
      <c r="E235" s="6">
        <v>375</v>
      </c>
      <c r="F235" s="6">
        <v>247.5</v>
      </c>
      <c r="G235">
        <v>1</v>
      </c>
      <c r="H235" s="6">
        <f>SalesData_2[[#This Row],[Unit Price]]*SalesData_2[[#This Row],[Units Sold]]</f>
        <v>375</v>
      </c>
      <c r="I235" s="6">
        <f>SalesData_2[[#This Row],[Unit Cost]]*SalesData_2[[#This Row],[Units Sold]]</f>
        <v>247.5</v>
      </c>
      <c r="J235" s="6">
        <f>SalesData_2[[#This Row],[Sales]]-SalesData_2[[#This Row],[COGS]]</f>
        <v>127.5</v>
      </c>
      <c r="K235" s="21">
        <f>SalesData_2[[#This Row],[Revenue]]/SalesData_2[[#This Row],[Sales]]</f>
        <v>0.34</v>
      </c>
      <c r="L235" s="3" t="s">
        <v>52</v>
      </c>
      <c r="M235" s="3" t="s">
        <v>80</v>
      </c>
      <c r="N235" s="3" t="s">
        <v>86</v>
      </c>
    </row>
    <row r="236" spans="1:14" x14ac:dyDescent="0.3">
      <c r="A236" s="2">
        <v>44072</v>
      </c>
      <c r="B236" s="2">
        <v>44078</v>
      </c>
      <c r="C236">
        <v>6</v>
      </c>
      <c r="D236" s="3" t="s">
        <v>11</v>
      </c>
      <c r="E236" s="6">
        <v>490</v>
      </c>
      <c r="F236" s="6">
        <v>298.89999999999998</v>
      </c>
      <c r="G236">
        <v>6</v>
      </c>
      <c r="H236" s="6">
        <f>SalesData_2[[#This Row],[Unit Price]]*SalesData_2[[#This Row],[Units Sold]]</f>
        <v>2940</v>
      </c>
      <c r="I236" s="6">
        <f>SalesData_2[[#This Row],[Unit Cost]]*SalesData_2[[#This Row],[Units Sold]]</f>
        <v>1793.3999999999999</v>
      </c>
      <c r="J236" s="6">
        <f>SalesData_2[[#This Row],[Sales]]-SalesData_2[[#This Row],[COGS]]</f>
        <v>1146.6000000000001</v>
      </c>
      <c r="K236" s="21">
        <f>SalesData_2[[#This Row],[Revenue]]/SalesData_2[[#This Row],[Sales]]</f>
        <v>0.39000000000000007</v>
      </c>
      <c r="L236" s="3" t="s">
        <v>44</v>
      </c>
      <c r="M236" s="3" t="s">
        <v>82</v>
      </c>
      <c r="N236" s="3" t="s">
        <v>85</v>
      </c>
    </row>
    <row r="237" spans="1:14" x14ac:dyDescent="0.3">
      <c r="A237" s="2">
        <v>44072</v>
      </c>
      <c r="B237" s="2">
        <v>44074</v>
      </c>
      <c r="C237">
        <v>2</v>
      </c>
      <c r="D237" s="3" t="s">
        <v>22</v>
      </c>
      <c r="E237" s="6">
        <v>460</v>
      </c>
      <c r="F237" s="6">
        <v>303.60000000000002</v>
      </c>
      <c r="G237">
        <v>8</v>
      </c>
      <c r="H237" s="6">
        <f>SalesData_2[[#This Row],[Unit Price]]*SalesData_2[[#This Row],[Units Sold]]</f>
        <v>3680</v>
      </c>
      <c r="I237" s="6">
        <f>SalesData_2[[#This Row],[Unit Cost]]*SalesData_2[[#This Row],[Units Sold]]</f>
        <v>2428.8000000000002</v>
      </c>
      <c r="J237" s="6">
        <f>SalesData_2[[#This Row],[Sales]]-SalesData_2[[#This Row],[COGS]]</f>
        <v>1251.1999999999998</v>
      </c>
      <c r="K237" s="21">
        <f>SalesData_2[[#This Row],[Revenue]]/SalesData_2[[#This Row],[Sales]]</f>
        <v>0.33999999999999997</v>
      </c>
      <c r="L237" s="3" t="s">
        <v>54</v>
      </c>
      <c r="M237" s="3" t="s">
        <v>80</v>
      </c>
      <c r="N237" s="3" t="s">
        <v>85</v>
      </c>
    </row>
    <row r="238" spans="1:14" x14ac:dyDescent="0.3">
      <c r="A238" s="2">
        <v>44073</v>
      </c>
      <c r="B238" s="2">
        <v>44078</v>
      </c>
      <c r="C238">
        <v>5</v>
      </c>
      <c r="D238" s="3" t="s">
        <v>8</v>
      </c>
      <c r="E238" s="6">
        <v>59</v>
      </c>
      <c r="F238" s="6">
        <v>41.3</v>
      </c>
      <c r="G238">
        <v>1</v>
      </c>
      <c r="H238" s="6">
        <f>SalesData_2[[#This Row],[Unit Price]]*SalesData_2[[#This Row],[Units Sold]]</f>
        <v>59</v>
      </c>
      <c r="I238" s="6">
        <f>SalesData_2[[#This Row],[Unit Cost]]*SalesData_2[[#This Row],[Units Sold]]</f>
        <v>41.3</v>
      </c>
      <c r="J238" s="6">
        <f>SalesData_2[[#This Row],[Sales]]-SalesData_2[[#This Row],[COGS]]</f>
        <v>17.700000000000003</v>
      </c>
      <c r="K238" s="21">
        <f>SalesData_2[[#This Row],[Revenue]]/SalesData_2[[#This Row],[Sales]]</f>
        <v>0.30000000000000004</v>
      </c>
      <c r="L238" s="3" t="s">
        <v>50</v>
      </c>
      <c r="M238" s="3" t="s">
        <v>80</v>
      </c>
      <c r="N238" s="3" t="s">
        <v>86</v>
      </c>
    </row>
    <row r="239" spans="1:14" x14ac:dyDescent="0.3">
      <c r="A239" s="2">
        <v>44074</v>
      </c>
      <c r="B239" s="2">
        <v>44079</v>
      </c>
      <c r="C239">
        <v>5</v>
      </c>
      <c r="D239" s="3" t="s">
        <v>18</v>
      </c>
      <c r="E239" s="6">
        <v>80</v>
      </c>
      <c r="F239" s="6">
        <v>48.8</v>
      </c>
      <c r="G239">
        <v>5</v>
      </c>
      <c r="H239" s="6">
        <f>SalesData_2[[#This Row],[Unit Price]]*SalesData_2[[#This Row],[Units Sold]]</f>
        <v>400</v>
      </c>
      <c r="I239" s="6">
        <f>SalesData_2[[#This Row],[Unit Cost]]*SalesData_2[[#This Row],[Units Sold]]</f>
        <v>244</v>
      </c>
      <c r="J239" s="6">
        <f>SalesData_2[[#This Row],[Sales]]-SalesData_2[[#This Row],[COGS]]</f>
        <v>156</v>
      </c>
      <c r="K239" s="21">
        <f>SalesData_2[[#This Row],[Revenue]]/SalesData_2[[#This Row],[Sales]]</f>
        <v>0.39</v>
      </c>
      <c r="L239" s="3" t="s">
        <v>59</v>
      </c>
      <c r="M239" s="3" t="s">
        <v>81</v>
      </c>
      <c r="N239" s="3" t="s">
        <v>86</v>
      </c>
    </row>
    <row r="240" spans="1:14" x14ac:dyDescent="0.3">
      <c r="A240" s="2">
        <v>44075</v>
      </c>
      <c r="B240" s="2">
        <v>44081</v>
      </c>
      <c r="C240">
        <v>6</v>
      </c>
      <c r="D240" s="3" t="s">
        <v>20</v>
      </c>
      <c r="E240" s="6">
        <v>440</v>
      </c>
      <c r="F240" s="6">
        <v>286</v>
      </c>
      <c r="G240">
        <v>8</v>
      </c>
      <c r="H240" s="6">
        <f>SalesData_2[[#This Row],[Unit Price]]*SalesData_2[[#This Row],[Units Sold]]</f>
        <v>3520</v>
      </c>
      <c r="I240" s="6">
        <f>SalesData_2[[#This Row],[Unit Cost]]*SalesData_2[[#This Row],[Units Sold]]</f>
        <v>2288</v>
      </c>
      <c r="J240" s="6">
        <f>SalesData_2[[#This Row],[Sales]]-SalesData_2[[#This Row],[COGS]]</f>
        <v>1232</v>
      </c>
      <c r="K240" s="21">
        <f>SalesData_2[[#This Row],[Revenue]]/SalesData_2[[#This Row],[Sales]]</f>
        <v>0.35</v>
      </c>
      <c r="L240" s="3" t="s">
        <v>74</v>
      </c>
      <c r="M240" s="3" t="s">
        <v>83</v>
      </c>
      <c r="N240" s="3" t="s">
        <v>86</v>
      </c>
    </row>
    <row r="241" spans="1:14" x14ac:dyDescent="0.3">
      <c r="A241" s="2">
        <v>44075</v>
      </c>
      <c r="B241" s="2">
        <v>44079</v>
      </c>
      <c r="C241">
        <v>4</v>
      </c>
      <c r="D241" s="3" t="s">
        <v>22</v>
      </c>
      <c r="E241" s="6">
        <v>460</v>
      </c>
      <c r="F241" s="6">
        <v>303.60000000000002</v>
      </c>
      <c r="G241">
        <v>7</v>
      </c>
      <c r="H241" s="6">
        <f>SalesData_2[[#This Row],[Unit Price]]*SalesData_2[[#This Row],[Units Sold]]</f>
        <v>3220</v>
      </c>
      <c r="I241" s="6">
        <f>SalesData_2[[#This Row],[Unit Cost]]*SalesData_2[[#This Row],[Units Sold]]</f>
        <v>2125.2000000000003</v>
      </c>
      <c r="J241" s="6">
        <f>SalesData_2[[#This Row],[Sales]]-SalesData_2[[#This Row],[COGS]]</f>
        <v>1094.7999999999997</v>
      </c>
      <c r="K241" s="21">
        <f>SalesData_2[[#This Row],[Revenue]]/SalesData_2[[#This Row],[Sales]]</f>
        <v>0.33999999999999991</v>
      </c>
      <c r="L241" s="3" t="s">
        <v>29</v>
      </c>
      <c r="M241" s="3" t="s">
        <v>83</v>
      </c>
      <c r="N241" s="3" t="s">
        <v>85</v>
      </c>
    </row>
    <row r="242" spans="1:14" x14ac:dyDescent="0.3">
      <c r="A242" s="2">
        <v>44075</v>
      </c>
      <c r="B242" s="2">
        <v>44078</v>
      </c>
      <c r="C242">
        <v>3</v>
      </c>
      <c r="D242" s="3" t="s">
        <v>19</v>
      </c>
      <c r="E242" s="6">
        <v>220</v>
      </c>
      <c r="F242" s="6">
        <v>154</v>
      </c>
      <c r="G242">
        <v>1</v>
      </c>
      <c r="H242" s="6">
        <f>SalesData_2[[#This Row],[Unit Price]]*SalesData_2[[#This Row],[Units Sold]]</f>
        <v>220</v>
      </c>
      <c r="I242" s="6">
        <f>SalesData_2[[#This Row],[Unit Cost]]*SalesData_2[[#This Row],[Units Sold]]</f>
        <v>154</v>
      </c>
      <c r="J242" s="6">
        <f>SalesData_2[[#This Row],[Sales]]-SalesData_2[[#This Row],[COGS]]</f>
        <v>66</v>
      </c>
      <c r="K242" s="21">
        <f>SalesData_2[[#This Row],[Revenue]]/SalesData_2[[#This Row],[Sales]]</f>
        <v>0.3</v>
      </c>
      <c r="L242" s="3" t="s">
        <v>31</v>
      </c>
      <c r="M242" s="3" t="s">
        <v>79</v>
      </c>
      <c r="N242" s="3" t="s">
        <v>86</v>
      </c>
    </row>
    <row r="243" spans="1:14" x14ac:dyDescent="0.3">
      <c r="A243" s="2">
        <v>44076</v>
      </c>
      <c r="B243" s="2">
        <v>44080</v>
      </c>
      <c r="C243">
        <v>4</v>
      </c>
      <c r="D243" s="3" t="s">
        <v>2</v>
      </c>
      <c r="E243" s="6">
        <v>250</v>
      </c>
      <c r="F243" s="6">
        <v>187.5</v>
      </c>
      <c r="G243">
        <v>5</v>
      </c>
      <c r="H243" s="6">
        <f>SalesData_2[[#This Row],[Unit Price]]*SalesData_2[[#This Row],[Units Sold]]</f>
        <v>1250</v>
      </c>
      <c r="I243" s="6">
        <f>SalesData_2[[#This Row],[Unit Cost]]*SalesData_2[[#This Row],[Units Sold]]</f>
        <v>937.5</v>
      </c>
      <c r="J243" s="6">
        <f>SalesData_2[[#This Row],[Sales]]-SalesData_2[[#This Row],[COGS]]</f>
        <v>312.5</v>
      </c>
      <c r="K243" s="21">
        <f>SalesData_2[[#This Row],[Revenue]]/SalesData_2[[#This Row],[Sales]]</f>
        <v>0.25</v>
      </c>
      <c r="L243" s="3" t="s">
        <v>40</v>
      </c>
      <c r="M243" s="3" t="s">
        <v>79</v>
      </c>
      <c r="N243" s="3" t="s">
        <v>86</v>
      </c>
    </row>
    <row r="244" spans="1:14" x14ac:dyDescent="0.3">
      <c r="A244" s="2">
        <v>44080</v>
      </c>
      <c r="B244" s="2">
        <v>44083</v>
      </c>
      <c r="C244">
        <v>3</v>
      </c>
      <c r="D244" s="3" t="s">
        <v>19</v>
      </c>
      <c r="E244" s="6">
        <v>220</v>
      </c>
      <c r="F244" s="6">
        <v>154</v>
      </c>
      <c r="G244">
        <v>9</v>
      </c>
      <c r="H244" s="6">
        <f>SalesData_2[[#This Row],[Unit Price]]*SalesData_2[[#This Row],[Units Sold]]</f>
        <v>1980</v>
      </c>
      <c r="I244" s="6">
        <f>SalesData_2[[#This Row],[Unit Cost]]*SalesData_2[[#This Row],[Units Sold]]</f>
        <v>1386</v>
      </c>
      <c r="J244" s="6">
        <f>SalesData_2[[#This Row],[Sales]]-SalesData_2[[#This Row],[COGS]]</f>
        <v>594</v>
      </c>
      <c r="K244" s="21">
        <f>SalesData_2[[#This Row],[Revenue]]/SalesData_2[[#This Row],[Sales]]</f>
        <v>0.3</v>
      </c>
      <c r="L244" s="3" t="s">
        <v>71</v>
      </c>
      <c r="M244" s="3" t="s">
        <v>82</v>
      </c>
      <c r="N244" s="3" t="s">
        <v>85</v>
      </c>
    </row>
    <row r="245" spans="1:14" x14ac:dyDescent="0.3">
      <c r="A245" s="2">
        <v>44081</v>
      </c>
      <c r="B245" s="2">
        <v>44087</v>
      </c>
      <c r="C245">
        <v>6</v>
      </c>
      <c r="D245" s="3" t="s">
        <v>9</v>
      </c>
      <c r="E245" s="6">
        <v>215</v>
      </c>
      <c r="F245" s="6">
        <v>152.65</v>
      </c>
      <c r="G245">
        <v>8</v>
      </c>
      <c r="H245" s="6">
        <f>SalesData_2[[#This Row],[Unit Price]]*SalesData_2[[#This Row],[Units Sold]]</f>
        <v>1720</v>
      </c>
      <c r="I245" s="6">
        <f>SalesData_2[[#This Row],[Unit Cost]]*SalesData_2[[#This Row],[Units Sold]]</f>
        <v>1221.2</v>
      </c>
      <c r="J245" s="6">
        <f>SalesData_2[[#This Row],[Sales]]-SalesData_2[[#This Row],[COGS]]</f>
        <v>498.79999999999995</v>
      </c>
      <c r="K245" s="21">
        <f>SalesData_2[[#This Row],[Revenue]]/SalesData_2[[#This Row],[Sales]]</f>
        <v>0.28999999999999998</v>
      </c>
      <c r="L245" s="3" t="s">
        <v>45</v>
      </c>
      <c r="M245" s="3" t="s">
        <v>83</v>
      </c>
      <c r="N245" s="3" t="s">
        <v>86</v>
      </c>
    </row>
    <row r="246" spans="1:14" x14ac:dyDescent="0.3">
      <c r="A246" s="2">
        <v>44081</v>
      </c>
      <c r="B246" s="2">
        <v>44087</v>
      </c>
      <c r="C246">
        <v>6</v>
      </c>
      <c r="D246" s="3" t="s">
        <v>8</v>
      </c>
      <c r="E246" s="6">
        <v>59</v>
      </c>
      <c r="F246" s="6">
        <v>41.3</v>
      </c>
      <c r="G246">
        <v>4</v>
      </c>
      <c r="H246" s="6">
        <f>SalesData_2[[#This Row],[Unit Price]]*SalesData_2[[#This Row],[Units Sold]]</f>
        <v>236</v>
      </c>
      <c r="I246" s="6">
        <f>SalesData_2[[#This Row],[Unit Cost]]*SalesData_2[[#This Row],[Units Sold]]</f>
        <v>165.2</v>
      </c>
      <c r="J246" s="6">
        <f>SalesData_2[[#This Row],[Sales]]-SalesData_2[[#This Row],[COGS]]</f>
        <v>70.800000000000011</v>
      </c>
      <c r="K246" s="21">
        <f>SalesData_2[[#This Row],[Revenue]]/SalesData_2[[#This Row],[Sales]]</f>
        <v>0.30000000000000004</v>
      </c>
      <c r="L246" s="3" t="s">
        <v>38</v>
      </c>
      <c r="M246" s="3" t="s">
        <v>80</v>
      </c>
      <c r="N246" s="3" t="s">
        <v>85</v>
      </c>
    </row>
    <row r="247" spans="1:14" x14ac:dyDescent="0.3">
      <c r="A247" s="2">
        <v>44081</v>
      </c>
      <c r="B247" s="2">
        <v>44083</v>
      </c>
      <c r="C247">
        <v>2</v>
      </c>
      <c r="D247" s="3" t="s">
        <v>23</v>
      </c>
      <c r="E247" s="6">
        <v>275</v>
      </c>
      <c r="F247" s="6">
        <v>200.75</v>
      </c>
      <c r="G247">
        <v>3</v>
      </c>
      <c r="H247" s="6">
        <f>SalesData_2[[#This Row],[Unit Price]]*SalesData_2[[#This Row],[Units Sold]]</f>
        <v>825</v>
      </c>
      <c r="I247" s="6">
        <f>SalesData_2[[#This Row],[Unit Cost]]*SalesData_2[[#This Row],[Units Sold]]</f>
        <v>602.25</v>
      </c>
      <c r="J247" s="6">
        <f>SalesData_2[[#This Row],[Sales]]-SalesData_2[[#This Row],[COGS]]</f>
        <v>222.75</v>
      </c>
      <c r="K247" s="21">
        <f>SalesData_2[[#This Row],[Revenue]]/SalesData_2[[#This Row],[Sales]]</f>
        <v>0.27</v>
      </c>
      <c r="L247" s="3" t="s">
        <v>37</v>
      </c>
      <c r="M247" s="3" t="s">
        <v>79</v>
      </c>
      <c r="N247" s="3" t="s">
        <v>86</v>
      </c>
    </row>
    <row r="248" spans="1:14" x14ac:dyDescent="0.3">
      <c r="A248" s="2">
        <v>44081</v>
      </c>
      <c r="B248" s="2">
        <v>44085</v>
      </c>
      <c r="C248">
        <v>4</v>
      </c>
      <c r="D248" s="3" t="s">
        <v>10</v>
      </c>
      <c r="E248" s="6">
        <v>390</v>
      </c>
      <c r="F248" s="6">
        <v>253.5</v>
      </c>
      <c r="G248">
        <v>6</v>
      </c>
      <c r="H248" s="6">
        <f>SalesData_2[[#This Row],[Unit Price]]*SalesData_2[[#This Row],[Units Sold]]</f>
        <v>2340</v>
      </c>
      <c r="I248" s="6">
        <f>SalesData_2[[#This Row],[Unit Cost]]*SalesData_2[[#This Row],[Units Sold]]</f>
        <v>1521</v>
      </c>
      <c r="J248" s="6">
        <f>SalesData_2[[#This Row],[Sales]]-SalesData_2[[#This Row],[COGS]]</f>
        <v>819</v>
      </c>
      <c r="K248" s="21">
        <f>SalesData_2[[#This Row],[Revenue]]/SalesData_2[[#This Row],[Sales]]</f>
        <v>0.35</v>
      </c>
      <c r="L248" s="3" t="s">
        <v>64</v>
      </c>
      <c r="M248" s="3" t="s">
        <v>79</v>
      </c>
      <c r="N248" s="3" t="s">
        <v>85</v>
      </c>
    </row>
    <row r="249" spans="1:14" x14ac:dyDescent="0.3">
      <c r="A249" s="2">
        <v>44081</v>
      </c>
      <c r="B249" s="2">
        <v>44088</v>
      </c>
      <c r="C249">
        <v>7</v>
      </c>
      <c r="D249" s="3" t="s">
        <v>2</v>
      </c>
      <c r="E249" s="6">
        <v>250</v>
      </c>
      <c r="F249" s="6">
        <v>187.5</v>
      </c>
      <c r="G249">
        <v>7</v>
      </c>
      <c r="H249" s="6">
        <f>SalesData_2[[#This Row],[Unit Price]]*SalesData_2[[#This Row],[Units Sold]]</f>
        <v>1750</v>
      </c>
      <c r="I249" s="6">
        <f>SalesData_2[[#This Row],[Unit Cost]]*SalesData_2[[#This Row],[Units Sold]]</f>
        <v>1312.5</v>
      </c>
      <c r="J249" s="6">
        <f>SalesData_2[[#This Row],[Sales]]-SalesData_2[[#This Row],[COGS]]</f>
        <v>437.5</v>
      </c>
      <c r="K249" s="21">
        <f>SalesData_2[[#This Row],[Revenue]]/SalesData_2[[#This Row],[Sales]]</f>
        <v>0.25</v>
      </c>
      <c r="L249" s="3" t="s">
        <v>30</v>
      </c>
      <c r="M249" s="3" t="s">
        <v>80</v>
      </c>
      <c r="N249" s="3" t="s">
        <v>86</v>
      </c>
    </row>
    <row r="250" spans="1:14" x14ac:dyDescent="0.3">
      <c r="A250" s="2">
        <v>44082</v>
      </c>
      <c r="B250" s="2">
        <v>44085</v>
      </c>
      <c r="C250">
        <v>3</v>
      </c>
      <c r="D250" s="3" t="s">
        <v>8</v>
      </c>
      <c r="E250" s="6">
        <v>59</v>
      </c>
      <c r="F250" s="6">
        <v>41.3</v>
      </c>
      <c r="G250">
        <v>8</v>
      </c>
      <c r="H250" s="6">
        <f>SalesData_2[[#This Row],[Unit Price]]*SalesData_2[[#This Row],[Units Sold]]</f>
        <v>472</v>
      </c>
      <c r="I250" s="6">
        <f>SalesData_2[[#This Row],[Unit Cost]]*SalesData_2[[#This Row],[Units Sold]]</f>
        <v>330.4</v>
      </c>
      <c r="J250" s="6">
        <f>SalesData_2[[#This Row],[Sales]]-SalesData_2[[#This Row],[COGS]]</f>
        <v>141.60000000000002</v>
      </c>
      <c r="K250" s="21">
        <f>SalesData_2[[#This Row],[Revenue]]/SalesData_2[[#This Row],[Sales]]</f>
        <v>0.30000000000000004</v>
      </c>
      <c r="L250" s="3" t="s">
        <v>46</v>
      </c>
      <c r="M250" s="3" t="s">
        <v>80</v>
      </c>
      <c r="N250" s="3" t="s">
        <v>85</v>
      </c>
    </row>
    <row r="251" spans="1:14" x14ac:dyDescent="0.3">
      <c r="A251" s="2">
        <v>44082</v>
      </c>
      <c r="B251" s="2">
        <v>44088</v>
      </c>
      <c r="C251">
        <v>6</v>
      </c>
      <c r="D251" s="3" t="s">
        <v>8</v>
      </c>
      <c r="E251" s="6">
        <v>59</v>
      </c>
      <c r="F251" s="6">
        <v>41.3</v>
      </c>
      <c r="G251">
        <v>9</v>
      </c>
      <c r="H251" s="6">
        <f>SalesData_2[[#This Row],[Unit Price]]*SalesData_2[[#This Row],[Units Sold]]</f>
        <v>531</v>
      </c>
      <c r="I251" s="6">
        <f>SalesData_2[[#This Row],[Unit Cost]]*SalesData_2[[#This Row],[Units Sold]]</f>
        <v>371.7</v>
      </c>
      <c r="J251" s="6">
        <f>SalesData_2[[#This Row],[Sales]]-SalesData_2[[#This Row],[COGS]]</f>
        <v>159.30000000000001</v>
      </c>
      <c r="K251" s="21">
        <f>SalesData_2[[#This Row],[Revenue]]/SalesData_2[[#This Row],[Sales]]</f>
        <v>0.30000000000000004</v>
      </c>
      <c r="L251" s="3" t="s">
        <v>54</v>
      </c>
      <c r="M251" s="3" t="s">
        <v>79</v>
      </c>
      <c r="N251" s="3" t="s">
        <v>86</v>
      </c>
    </row>
    <row r="252" spans="1:14" x14ac:dyDescent="0.3">
      <c r="A252" s="2">
        <v>44082</v>
      </c>
      <c r="B252" s="2">
        <v>44088</v>
      </c>
      <c r="C252">
        <v>6</v>
      </c>
      <c r="D252" s="3" t="s">
        <v>3</v>
      </c>
      <c r="E252" s="6">
        <v>95</v>
      </c>
      <c r="F252" s="6">
        <v>60.8</v>
      </c>
      <c r="G252">
        <v>7</v>
      </c>
      <c r="H252" s="6">
        <f>SalesData_2[[#This Row],[Unit Price]]*SalesData_2[[#This Row],[Units Sold]]</f>
        <v>665</v>
      </c>
      <c r="I252" s="6">
        <f>SalesData_2[[#This Row],[Unit Cost]]*SalesData_2[[#This Row],[Units Sold]]</f>
        <v>425.59999999999997</v>
      </c>
      <c r="J252" s="6">
        <f>SalesData_2[[#This Row],[Sales]]-SalesData_2[[#This Row],[COGS]]</f>
        <v>239.40000000000003</v>
      </c>
      <c r="K252" s="21">
        <f>SalesData_2[[#This Row],[Revenue]]/SalesData_2[[#This Row],[Sales]]</f>
        <v>0.36000000000000004</v>
      </c>
      <c r="L252" s="3" t="s">
        <v>64</v>
      </c>
      <c r="M252" s="3" t="s">
        <v>79</v>
      </c>
      <c r="N252" s="3" t="s">
        <v>85</v>
      </c>
    </row>
    <row r="253" spans="1:14" x14ac:dyDescent="0.3">
      <c r="A253" s="2">
        <v>44083</v>
      </c>
      <c r="B253" s="2">
        <v>44088</v>
      </c>
      <c r="C253">
        <v>5</v>
      </c>
      <c r="D253" s="3" t="s">
        <v>8</v>
      </c>
      <c r="E253" s="6">
        <v>59</v>
      </c>
      <c r="F253" s="6">
        <v>41.3</v>
      </c>
      <c r="G253">
        <v>2</v>
      </c>
      <c r="H253" s="6">
        <f>SalesData_2[[#This Row],[Unit Price]]*SalesData_2[[#This Row],[Units Sold]]</f>
        <v>118</v>
      </c>
      <c r="I253" s="6">
        <f>SalesData_2[[#This Row],[Unit Cost]]*SalesData_2[[#This Row],[Units Sold]]</f>
        <v>82.6</v>
      </c>
      <c r="J253" s="6">
        <f>SalesData_2[[#This Row],[Sales]]-SalesData_2[[#This Row],[COGS]]</f>
        <v>35.400000000000006</v>
      </c>
      <c r="K253" s="21">
        <f>SalesData_2[[#This Row],[Revenue]]/SalesData_2[[#This Row],[Sales]]</f>
        <v>0.30000000000000004</v>
      </c>
      <c r="L253" s="3" t="s">
        <v>58</v>
      </c>
      <c r="M253" s="3" t="s">
        <v>80</v>
      </c>
      <c r="N253" s="3" t="s">
        <v>85</v>
      </c>
    </row>
    <row r="254" spans="1:14" x14ac:dyDescent="0.3">
      <c r="A254" s="2">
        <v>44083</v>
      </c>
      <c r="B254" s="2">
        <v>44090</v>
      </c>
      <c r="C254">
        <v>7</v>
      </c>
      <c r="D254" s="3" t="s">
        <v>8</v>
      </c>
      <c r="E254" s="6">
        <v>59</v>
      </c>
      <c r="F254" s="6">
        <v>41.3</v>
      </c>
      <c r="G254">
        <v>5</v>
      </c>
      <c r="H254" s="6">
        <f>SalesData_2[[#This Row],[Unit Price]]*SalesData_2[[#This Row],[Units Sold]]</f>
        <v>295</v>
      </c>
      <c r="I254" s="6">
        <f>SalesData_2[[#This Row],[Unit Cost]]*SalesData_2[[#This Row],[Units Sold]]</f>
        <v>206.5</v>
      </c>
      <c r="J254" s="6">
        <f>SalesData_2[[#This Row],[Sales]]-SalesData_2[[#This Row],[COGS]]</f>
        <v>88.5</v>
      </c>
      <c r="K254" s="21">
        <f>SalesData_2[[#This Row],[Revenue]]/SalesData_2[[#This Row],[Sales]]</f>
        <v>0.3</v>
      </c>
      <c r="L254" s="3" t="s">
        <v>67</v>
      </c>
      <c r="M254" s="3" t="s">
        <v>82</v>
      </c>
      <c r="N254" s="3" t="s">
        <v>85</v>
      </c>
    </row>
    <row r="255" spans="1:14" x14ac:dyDescent="0.3">
      <c r="A255" s="2">
        <v>44083</v>
      </c>
      <c r="B255" s="2">
        <v>44090</v>
      </c>
      <c r="C255">
        <v>7</v>
      </c>
      <c r="D255" s="3" t="s">
        <v>3</v>
      </c>
      <c r="E255" s="6">
        <v>95</v>
      </c>
      <c r="F255" s="6">
        <v>60.8</v>
      </c>
      <c r="G255">
        <v>2</v>
      </c>
      <c r="H255" s="6">
        <f>SalesData_2[[#This Row],[Unit Price]]*SalesData_2[[#This Row],[Units Sold]]</f>
        <v>190</v>
      </c>
      <c r="I255" s="6">
        <f>SalesData_2[[#This Row],[Unit Cost]]*SalesData_2[[#This Row],[Units Sold]]</f>
        <v>121.6</v>
      </c>
      <c r="J255" s="6">
        <f>SalesData_2[[#This Row],[Sales]]-SalesData_2[[#This Row],[COGS]]</f>
        <v>68.400000000000006</v>
      </c>
      <c r="K255" s="21">
        <f>SalesData_2[[#This Row],[Revenue]]/SalesData_2[[#This Row],[Sales]]</f>
        <v>0.36000000000000004</v>
      </c>
      <c r="L255" s="3" t="s">
        <v>53</v>
      </c>
      <c r="M255" s="3" t="s">
        <v>83</v>
      </c>
      <c r="N255" s="3" t="s">
        <v>85</v>
      </c>
    </row>
    <row r="256" spans="1:14" x14ac:dyDescent="0.3">
      <c r="A256" s="2">
        <v>44084</v>
      </c>
      <c r="B256" s="2">
        <v>44088</v>
      </c>
      <c r="C256">
        <v>4</v>
      </c>
      <c r="D256" s="3" t="s">
        <v>12</v>
      </c>
      <c r="E256" s="6">
        <v>320</v>
      </c>
      <c r="F256" s="6">
        <v>233.6</v>
      </c>
      <c r="G256">
        <v>6</v>
      </c>
      <c r="H256" s="6">
        <f>SalesData_2[[#This Row],[Unit Price]]*SalesData_2[[#This Row],[Units Sold]]</f>
        <v>1920</v>
      </c>
      <c r="I256" s="6">
        <f>SalesData_2[[#This Row],[Unit Cost]]*SalesData_2[[#This Row],[Units Sold]]</f>
        <v>1401.6</v>
      </c>
      <c r="J256" s="6">
        <f>SalesData_2[[#This Row],[Sales]]-SalesData_2[[#This Row],[COGS]]</f>
        <v>518.40000000000009</v>
      </c>
      <c r="K256" s="21">
        <f>SalesData_2[[#This Row],[Revenue]]/SalesData_2[[#This Row],[Sales]]</f>
        <v>0.27000000000000007</v>
      </c>
      <c r="L256" s="3" t="s">
        <v>57</v>
      </c>
      <c r="M256" s="3" t="s">
        <v>80</v>
      </c>
      <c r="N256" s="3" t="s">
        <v>86</v>
      </c>
    </row>
    <row r="257" spans="1:14" x14ac:dyDescent="0.3">
      <c r="A257" s="2">
        <v>44086</v>
      </c>
      <c r="B257" s="2">
        <v>44091</v>
      </c>
      <c r="C257">
        <v>5</v>
      </c>
      <c r="D257" s="3" t="s">
        <v>23</v>
      </c>
      <c r="E257" s="6">
        <v>275</v>
      </c>
      <c r="F257" s="6">
        <v>200.75</v>
      </c>
      <c r="G257">
        <v>5</v>
      </c>
      <c r="H257" s="6">
        <f>SalesData_2[[#This Row],[Unit Price]]*SalesData_2[[#This Row],[Units Sold]]</f>
        <v>1375</v>
      </c>
      <c r="I257" s="6">
        <f>SalesData_2[[#This Row],[Unit Cost]]*SalesData_2[[#This Row],[Units Sold]]</f>
        <v>1003.75</v>
      </c>
      <c r="J257" s="6">
        <f>SalesData_2[[#This Row],[Sales]]-SalesData_2[[#This Row],[COGS]]</f>
        <v>371.25</v>
      </c>
      <c r="K257" s="21">
        <f>SalesData_2[[#This Row],[Revenue]]/SalesData_2[[#This Row],[Sales]]</f>
        <v>0.27</v>
      </c>
      <c r="L257" s="3" t="s">
        <v>46</v>
      </c>
      <c r="M257" s="3" t="s">
        <v>80</v>
      </c>
      <c r="N257" s="3" t="s">
        <v>85</v>
      </c>
    </row>
    <row r="258" spans="1:14" x14ac:dyDescent="0.3">
      <c r="A258" s="2">
        <v>44087</v>
      </c>
      <c r="B258" s="2">
        <v>44093</v>
      </c>
      <c r="C258">
        <v>6</v>
      </c>
      <c r="D258" s="3" t="s">
        <v>15</v>
      </c>
      <c r="E258" s="6">
        <v>110</v>
      </c>
      <c r="F258" s="6">
        <v>78.099999999999994</v>
      </c>
      <c r="G258">
        <v>1</v>
      </c>
      <c r="H258" s="6">
        <f>SalesData_2[[#This Row],[Unit Price]]*SalesData_2[[#This Row],[Units Sold]]</f>
        <v>110</v>
      </c>
      <c r="I258" s="6">
        <f>SalesData_2[[#This Row],[Unit Cost]]*SalesData_2[[#This Row],[Units Sold]]</f>
        <v>78.099999999999994</v>
      </c>
      <c r="J258" s="6">
        <f>SalesData_2[[#This Row],[Sales]]-SalesData_2[[#This Row],[COGS]]</f>
        <v>31.900000000000006</v>
      </c>
      <c r="K258" s="21">
        <f>SalesData_2[[#This Row],[Revenue]]/SalesData_2[[#This Row],[Sales]]</f>
        <v>0.29000000000000004</v>
      </c>
      <c r="L258" s="3" t="s">
        <v>47</v>
      </c>
      <c r="M258" s="3" t="s">
        <v>80</v>
      </c>
      <c r="N258" s="3" t="s">
        <v>85</v>
      </c>
    </row>
    <row r="259" spans="1:14" x14ac:dyDescent="0.3">
      <c r="A259" s="2">
        <v>44089</v>
      </c>
      <c r="B259" s="2">
        <v>44095</v>
      </c>
      <c r="C259">
        <v>6</v>
      </c>
      <c r="D259" s="3" t="s">
        <v>11</v>
      </c>
      <c r="E259" s="6">
        <v>490</v>
      </c>
      <c r="F259" s="6">
        <v>298.89999999999998</v>
      </c>
      <c r="G259">
        <v>8</v>
      </c>
      <c r="H259" s="6">
        <f>SalesData_2[[#This Row],[Unit Price]]*SalesData_2[[#This Row],[Units Sold]]</f>
        <v>3920</v>
      </c>
      <c r="I259" s="6">
        <f>SalesData_2[[#This Row],[Unit Cost]]*SalesData_2[[#This Row],[Units Sold]]</f>
        <v>2391.1999999999998</v>
      </c>
      <c r="J259" s="6">
        <f>SalesData_2[[#This Row],[Sales]]-SalesData_2[[#This Row],[COGS]]</f>
        <v>1528.8000000000002</v>
      </c>
      <c r="K259" s="21">
        <f>SalesData_2[[#This Row],[Revenue]]/SalesData_2[[#This Row],[Sales]]</f>
        <v>0.39000000000000007</v>
      </c>
      <c r="L259" s="3" t="s">
        <v>68</v>
      </c>
      <c r="M259" s="3" t="s">
        <v>80</v>
      </c>
      <c r="N259" s="3" t="s">
        <v>85</v>
      </c>
    </row>
    <row r="260" spans="1:14" x14ac:dyDescent="0.3">
      <c r="A260" s="2">
        <v>44089</v>
      </c>
      <c r="B260" s="2">
        <v>44090</v>
      </c>
      <c r="C260">
        <v>1</v>
      </c>
      <c r="D260" s="3" t="s">
        <v>21</v>
      </c>
      <c r="E260" s="6">
        <v>355</v>
      </c>
      <c r="F260" s="6">
        <v>252.05</v>
      </c>
      <c r="G260">
        <v>8</v>
      </c>
      <c r="H260" s="6">
        <f>SalesData_2[[#This Row],[Unit Price]]*SalesData_2[[#This Row],[Units Sold]]</f>
        <v>2840</v>
      </c>
      <c r="I260" s="6">
        <f>SalesData_2[[#This Row],[Unit Cost]]*SalesData_2[[#This Row],[Units Sold]]</f>
        <v>2016.4</v>
      </c>
      <c r="J260" s="6">
        <f>SalesData_2[[#This Row],[Sales]]-SalesData_2[[#This Row],[COGS]]</f>
        <v>823.59999999999991</v>
      </c>
      <c r="K260" s="21">
        <f>SalesData_2[[#This Row],[Revenue]]/SalesData_2[[#This Row],[Sales]]</f>
        <v>0.28999999999999998</v>
      </c>
      <c r="L260" s="3" t="s">
        <v>37</v>
      </c>
      <c r="M260" s="3" t="s">
        <v>80</v>
      </c>
      <c r="N260" s="3" t="s">
        <v>86</v>
      </c>
    </row>
    <row r="261" spans="1:14" x14ac:dyDescent="0.3">
      <c r="A261" s="2">
        <v>44092</v>
      </c>
      <c r="B261" s="2">
        <v>44099</v>
      </c>
      <c r="C261">
        <v>7</v>
      </c>
      <c r="D261" s="3" t="s">
        <v>19</v>
      </c>
      <c r="E261" s="6">
        <v>220</v>
      </c>
      <c r="F261" s="6">
        <v>154</v>
      </c>
      <c r="G261">
        <v>7</v>
      </c>
      <c r="H261" s="6">
        <f>SalesData_2[[#This Row],[Unit Price]]*SalesData_2[[#This Row],[Units Sold]]</f>
        <v>1540</v>
      </c>
      <c r="I261" s="6">
        <f>SalesData_2[[#This Row],[Unit Cost]]*SalesData_2[[#This Row],[Units Sold]]</f>
        <v>1078</v>
      </c>
      <c r="J261" s="6">
        <f>SalesData_2[[#This Row],[Sales]]-SalesData_2[[#This Row],[COGS]]</f>
        <v>462</v>
      </c>
      <c r="K261" s="21">
        <f>SalesData_2[[#This Row],[Revenue]]/SalesData_2[[#This Row],[Sales]]</f>
        <v>0.3</v>
      </c>
      <c r="L261" s="3" t="s">
        <v>57</v>
      </c>
      <c r="M261" s="3" t="s">
        <v>83</v>
      </c>
      <c r="N261" s="3" t="s">
        <v>86</v>
      </c>
    </row>
    <row r="262" spans="1:14" x14ac:dyDescent="0.3">
      <c r="A262" s="2">
        <v>44093</v>
      </c>
      <c r="B262" s="2">
        <v>44095</v>
      </c>
      <c r="C262">
        <v>2</v>
      </c>
      <c r="D262" s="3" t="s">
        <v>20</v>
      </c>
      <c r="E262" s="6">
        <v>440</v>
      </c>
      <c r="F262" s="6">
        <v>286</v>
      </c>
      <c r="G262">
        <v>1</v>
      </c>
      <c r="H262" s="6">
        <f>SalesData_2[[#This Row],[Unit Price]]*SalesData_2[[#This Row],[Units Sold]]</f>
        <v>440</v>
      </c>
      <c r="I262" s="6">
        <f>SalesData_2[[#This Row],[Unit Cost]]*SalesData_2[[#This Row],[Units Sold]]</f>
        <v>286</v>
      </c>
      <c r="J262" s="6">
        <f>SalesData_2[[#This Row],[Sales]]-SalesData_2[[#This Row],[COGS]]</f>
        <v>154</v>
      </c>
      <c r="K262" s="21">
        <f>SalesData_2[[#This Row],[Revenue]]/SalesData_2[[#This Row],[Sales]]</f>
        <v>0.35</v>
      </c>
      <c r="L262" s="3" t="s">
        <v>66</v>
      </c>
      <c r="M262" s="3" t="s">
        <v>81</v>
      </c>
      <c r="N262" s="3" t="s">
        <v>85</v>
      </c>
    </row>
    <row r="263" spans="1:14" x14ac:dyDescent="0.3">
      <c r="A263" s="2">
        <v>44093</v>
      </c>
      <c r="B263" s="2">
        <v>44098</v>
      </c>
      <c r="C263">
        <v>5</v>
      </c>
      <c r="D263" s="3" t="s">
        <v>21</v>
      </c>
      <c r="E263" s="6">
        <v>355</v>
      </c>
      <c r="F263" s="6">
        <v>252.05</v>
      </c>
      <c r="G263">
        <v>4</v>
      </c>
      <c r="H263" s="6">
        <f>SalesData_2[[#This Row],[Unit Price]]*SalesData_2[[#This Row],[Units Sold]]</f>
        <v>1420</v>
      </c>
      <c r="I263" s="6">
        <f>SalesData_2[[#This Row],[Unit Cost]]*SalesData_2[[#This Row],[Units Sold]]</f>
        <v>1008.2</v>
      </c>
      <c r="J263" s="6">
        <f>SalesData_2[[#This Row],[Sales]]-SalesData_2[[#This Row],[COGS]]</f>
        <v>411.79999999999995</v>
      </c>
      <c r="K263" s="21">
        <f>SalesData_2[[#This Row],[Revenue]]/SalesData_2[[#This Row],[Sales]]</f>
        <v>0.28999999999999998</v>
      </c>
      <c r="L263" s="3" t="s">
        <v>54</v>
      </c>
      <c r="M263" s="3" t="s">
        <v>79</v>
      </c>
      <c r="N263" s="3" t="s">
        <v>85</v>
      </c>
    </row>
    <row r="264" spans="1:14" x14ac:dyDescent="0.3">
      <c r="A264" s="2">
        <v>44094</v>
      </c>
      <c r="B264" s="2">
        <v>44097</v>
      </c>
      <c r="C264">
        <v>3</v>
      </c>
      <c r="D264" s="3" t="s">
        <v>5</v>
      </c>
      <c r="E264" s="6">
        <v>290</v>
      </c>
      <c r="F264" s="6">
        <v>185.6</v>
      </c>
      <c r="G264">
        <v>8</v>
      </c>
      <c r="H264" s="6">
        <f>SalesData_2[[#This Row],[Unit Price]]*SalesData_2[[#This Row],[Units Sold]]</f>
        <v>2320</v>
      </c>
      <c r="I264" s="6">
        <f>SalesData_2[[#This Row],[Unit Cost]]*SalesData_2[[#This Row],[Units Sold]]</f>
        <v>1484.8</v>
      </c>
      <c r="J264" s="6">
        <f>SalesData_2[[#This Row],[Sales]]-SalesData_2[[#This Row],[COGS]]</f>
        <v>835.2</v>
      </c>
      <c r="K264" s="21">
        <f>SalesData_2[[#This Row],[Revenue]]/SalesData_2[[#This Row],[Sales]]</f>
        <v>0.36000000000000004</v>
      </c>
      <c r="L264" s="3" t="s">
        <v>36</v>
      </c>
      <c r="M264" s="3" t="s">
        <v>82</v>
      </c>
      <c r="N264" s="3" t="s">
        <v>86</v>
      </c>
    </row>
    <row r="265" spans="1:14" x14ac:dyDescent="0.3">
      <c r="A265" s="2">
        <v>44094</v>
      </c>
      <c r="B265" s="2">
        <v>44096</v>
      </c>
      <c r="C265">
        <v>2</v>
      </c>
      <c r="D265" s="3" t="s">
        <v>2</v>
      </c>
      <c r="E265" s="6">
        <v>250</v>
      </c>
      <c r="F265" s="6">
        <v>187.5</v>
      </c>
      <c r="G265">
        <v>7</v>
      </c>
      <c r="H265" s="6">
        <f>SalesData_2[[#This Row],[Unit Price]]*SalesData_2[[#This Row],[Units Sold]]</f>
        <v>1750</v>
      </c>
      <c r="I265" s="6">
        <f>SalesData_2[[#This Row],[Unit Cost]]*SalesData_2[[#This Row],[Units Sold]]</f>
        <v>1312.5</v>
      </c>
      <c r="J265" s="6">
        <f>SalesData_2[[#This Row],[Sales]]-SalesData_2[[#This Row],[COGS]]</f>
        <v>437.5</v>
      </c>
      <c r="K265" s="21">
        <f>SalesData_2[[#This Row],[Revenue]]/SalesData_2[[#This Row],[Sales]]</f>
        <v>0.25</v>
      </c>
      <c r="L265" s="3" t="s">
        <v>73</v>
      </c>
      <c r="M265" s="3" t="s">
        <v>83</v>
      </c>
      <c r="N265" s="3" t="s">
        <v>85</v>
      </c>
    </row>
    <row r="266" spans="1:14" x14ac:dyDescent="0.3">
      <c r="A266" s="2">
        <v>44095</v>
      </c>
      <c r="B266" s="2">
        <v>44100</v>
      </c>
      <c r="C266">
        <v>5</v>
      </c>
      <c r="D266" s="3" t="s">
        <v>10</v>
      </c>
      <c r="E266" s="6">
        <v>390</v>
      </c>
      <c r="F266" s="6">
        <v>253.5</v>
      </c>
      <c r="G266">
        <v>5</v>
      </c>
      <c r="H266" s="6">
        <f>SalesData_2[[#This Row],[Unit Price]]*SalesData_2[[#This Row],[Units Sold]]</f>
        <v>1950</v>
      </c>
      <c r="I266" s="6">
        <f>SalesData_2[[#This Row],[Unit Cost]]*SalesData_2[[#This Row],[Units Sold]]</f>
        <v>1267.5</v>
      </c>
      <c r="J266" s="6">
        <f>SalesData_2[[#This Row],[Sales]]-SalesData_2[[#This Row],[COGS]]</f>
        <v>682.5</v>
      </c>
      <c r="K266" s="21">
        <f>SalesData_2[[#This Row],[Revenue]]/SalesData_2[[#This Row],[Sales]]</f>
        <v>0.35</v>
      </c>
      <c r="L266" s="3" t="s">
        <v>76</v>
      </c>
      <c r="M266" s="3" t="s">
        <v>81</v>
      </c>
      <c r="N266" s="3" t="s">
        <v>85</v>
      </c>
    </row>
    <row r="267" spans="1:14" x14ac:dyDescent="0.3">
      <c r="A267" s="2">
        <v>44098</v>
      </c>
      <c r="B267" s="2">
        <v>44102</v>
      </c>
      <c r="C267">
        <v>4</v>
      </c>
      <c r="D267" s="3" t="s">
        <v>4</v>
      </c>
      <c r="E267" s="6">
        <v>390</v>
      </c>
      <c r="F267" s="6">
        <v>288.60000000000002</v>
      </c>
      <c r="G267">
        <v>7</v>
      </c>
      <c r="H267" s="6">
        <f>SalesData_2[[#This Row],[Unit Price]]*SalesData_2[[#This Row],[Units Sold]]</f>
        <v>2730</v>
      </c>
      <c r="I267" s="6">
        <f>SalesData_2[[#This Row],[Unit Cost]]*SalesData_2[[#This Row],[Units Sold]]</f>
        <v>2020.2000000000003</v>
      </c>
      <c r="J267" s="6">
        <f>SalesData_2[[#This Row],[Sales]]-SalesData_2[[#This Row],[COGS]]</f>
        <v>709.79999999999973</v>
      </c>
      <c r="K267" s="21">
        <f>SalesData_2[[#This Row],[Revenue]]/SalesData_2[[#This Row],[Sales]]</f>
        <v>0.2599999999999999</v>
      </c>
      <c r="L267" s="3" t="s">
        <v>58</v>
      </c>
      <c r="M267" s="3" t="s">
        <v>82</v>
      </c>
      <c r="N267" s="3" t="s">
        <v>86</v>
      </c>
    </row>
    <row r="268" spans="1:14" x14ac:dyDescent="0.3">
      <c r="A268" s="2">
        <v>44098</v>
      </c>
      <c r="B268" s="2">
        <v>44103</v>
      </c>
      <c r="C268">
        <v>5</v>
      </c>
      <c r="D268" s="3" t="s">
        <v>5</v>
      </c>
      <c r="E268" s="6">
        <v>290</v>
      </c>
      <c r="F268" s="6">
        <v>185.6</v>
      </c>
      <c r="G268">
        <v>3</v>
      </c>
      <c r="H268" s="6">
        <f>SalesData_2[[#This Row],[Unit Price]]*SalesData_2[[#This Row],[Units Sold]]</f>
        <v>870</v>
      </c>
      <c r="I268" s="6">
        <f>SalesData_2[[#This Row],[Unit Cost]]*SalesData_2[[#This Row],[Units Sold]]</f>
        <v>556.79999999999995</v>
      </c>
      <c r="J268" s="6">
        <f>SalesData_2[[#This Row],[Sales]]-SalesData_2[[#This Row],[COGS]]</f>
        <v>313.20000000000005</v>
      </c>
      <c r="K268" s="21">
        <f>SalesData_2[[#This Row],[Revenue]]/SalesData_2[[#This Row],[Sales]]</f>
        <v>0.36000000000000004</v>
      </c>
      <c r="L268" s="3" t="s">
        <v>63</v>
      </c>
      <c r="M268" s="3" t="s">
        <v>83</v>
      </c>
      <c r="N268" s="3" t="s">
        <v>85</v>
      </c>
    </row>
    <row r="269" spans="1:14" x14ac:dyDescent="0.3">
      <c r="A269" s="2">
        <v>44099</v>
      </c>
      <c r="B269" s="2">
        <v>44101</v>
      </c>
      <c r="C269">
        <v>2</v>
      </c>
      <c r="D269" s="3" t="s">
        <v>11</v>
      </c>
      <c r="E269" s="6">
        <v>490</v>
      </c>
      <c r="F269" s="6">
        <v>298.89999999999998</v>
      </c>
      <c r="G269">
        <v>5</v>
      </c>
      <c r="H269" s="6">
        <f>SalesData_2[[#This Row],[Unit Price]]*SalesData_2[[#This Row],[Units Sold]]</f>
        <v>2450</v>
      </c>
      <c r="I269" s="6">
        <f>SalesData_2[[#This Row],[Unit Cost]]*SalesData_2[[#This Row],[Units Sold]]</f>
        <v>1494.5</v>
      </c>
      <c r="J269" s="6">
        <f>SalesData_2[[#This Row],[Sales]]-SalesData_2[[#This Row],[COGS]]</f>
        <v>955.5</v>
      </c>
      <c r="K269" s="21">
        <f>SalesData_2[[#This Row],[Revenue]]/SalesData_2[[#This Row],[Sales]]</f>
        <v>0.39</v>
      </c>
      <c r="L269" s="3" t="s">
        <v>30</v>
      </c>
      <c r="M269" s="3" t="s">
        <v>81</v>
      </c>
      <c r="N269" s="3" t="s">
        <v>86</v>
      </c>
    </row>
    <row r="270" spans="1:14" x14ac:dyDescent="0.3">
      <c r="A270" s="2">
        <v>44106</v>
      </c>
      <c r="B270" s="2">
        <v>44111</v>
      </c>
      <c r="C270">
        <v>5</v>
      </c>
      <c r="D270" s="3" t="s">
        <v>14</v>
      </c>
      <c r="E270" s="6">
        <v>375</v>
      </c>
      <c r="F270" s="6">
        <v>247.5</v>
      </c>
      <c r="G270">
        <v>4</v>
      </c>
      <c r="H270" s="6">
        <f>SalesData_2[[#This Row],[Unit Price]]*SalesData_2[[#This Row],[Units Sold]]</f>
        <v>1500</v>
      </c>
      <c r="I270" s="6">
        <f>SalesData_2[[#This Row],[Unit Cost]]*SalesData_2[[#This Row],[Units Sold]]</f>
        <v>990</v>
      </c>
      <c r="J270" s="6">
        <f>SalesData_2[[#This Row],[Sales]]-SalesData_2[[#This Row],[COGS]]</f>
        <v>510</v>
      </c>
      <c r="K270" s="21">
        <f>SalesData_2[[#This Row],[Revenue]]/SalesData_2[[#This Row],[Sales]]</f>
        <v>0.34</v>
      </c>
      <c r="L270" s="3" t="s">
        <v>52</v>
      </c>
      <c r="M270" s="3" t="s">
        <v>82</v>
      </c>
      <c r="N270" s="3" t="s">
        <v>86</v>
      </c>
    </row>
    <row r="271" spans="1:14" x14ac:dyDescent="0.3">
      <c r="A271" s="2">
        <v>44107</v>
      </c>
      <c r="B271" s="2">
        <v>44111</v>
      </c>
      <c r="C271">
        <v>4</v>
      </c>
      <c r="D271" s="3" t="s">
        <v>13</v>
      </c>
      <c r="E271" s="6">
        <v>445</v>
      </c>
      <c r="F271" s="6">
        <v>280.35000000000002</v>
      </c>
      <c r="G271">
        <v>3</v>
      </c>
      <c r="H271" s="6">
        <f>SalesData_2[[#This Row],[Unit Price]]*SalesData_2[[#This Row],[Units Sold]]</f>
        <v>1335</v>
      </c>
      <c r="I271" s="6">
        <f>SalesData_2[[#This Row],[Unit Cost]]*SalesData_2[[#This Row],[Units Sold]]</f>
        <v>841.05000000000007</v>
      </c>
      <c r="J271" s="6">
        <f>SalesData_2[[#This Row],[Sales]]-SalesData_2[[#This Row],[COGS]]</f>
        <v>493.94999999999993</v>
      </c>
      <c r="K271" s="21">
        <f>SalesData_2[[#This Row],[Revenue]]/SalesData_2[[#This Row],[Sales]]</f>
        <v>0.36999999999999994</v>
      </c>
      <c r="L271" s="3" t="s">
        <v>76</v>
      </c>
      <c r="M271" s="3" t="s">
        <v>82</v>
      </c>
      <c r="N271" s="3" t="s">
        <v>86</v>
      </c>
    </row>
    <row r="272" spans="1:14" x14ac:dyDescent="0.3">
      <c r="A272" s="2">
        <v>44107</v>
      </c>
      <c r="B272" s="2">
        <v>44109</v>
      </c>
      <c r="C272">
        <v>2</v>
      </c>
      <c r="D272" s="3" t="s">
        <v>9</v>
      </c>
      <c r="E272" s="6">
        <v>215</v>
      </c>
      <c r="F272" s="6">
        <v>152.65</v>
      </c>
      <c r="G272">
        <v>3</v>
      </c>
      <c r="H272" s="6">
        <f>SalesData_2[[#This Row],[Unit Price]]*SalesData_2[[#This Row],[Units Sold]]</f>
        <v>645</v>
      </c>
      <c r="I272" s="6">
        <f>SalesData_2[[#This Row],[Unit Cost]]*SalesData_2[[#This Row],[Units Sold]]</f>
        <v>457.95000000000005</v>
      </c>
      <c r="J272" s="6">
        <f>SalesData_2[[#This Row],[Sales]]-SalesData_2[[#This Row],[COGS]]</f>
        <v>187.04999999999995</v>
      </c>
      <c r="K272" s="21">
        <f>SalesData_2[[#This Row],[Revenue]]/SalesData_2[[#This Row],[Sales]]</f>
        <v>0.28999999999999992</v>
      </c>
      <c r="L272" s="3" t="s">
        <v>43</v>
      </c>
      <c r="M272" s="3" t="s">
        <v>80</v>
      </c>
      <c r="N272" s="3" t="s">
        <v>85</v>
      </c>
    </row>
    <row r="273" spans="1:14" x14ac:dyDescent="0.3">
      <c r="A273" s="2">
        <v>44108</v>
      </c>
      <c r="B273" s="2">
        <v>44109</v>
      </c>
      <c r="C273">
        <v>1</v>
      </c>
      <c r="D273" s="3" t="s">
        <v>20</v>
      </c>
      <c r="E273" s="6">
        <v>440</v>
      </c>
      <c r="F273" s="6">
        <v>286</v>
      </c>
      <c r="G273">
        <v>5</v>
      </c>
      <c r="H273" s="6">
        <f>SalesData_2[[#This Row],[Unit Price]]*SalesData_2[[#This Row],[Units Sold]]</f>
        <v>2200</v>
      </c>
      <c r="I273" s="6">
        <f>SalesData_2[[#This Row],[Unit Cost]]*SalesData_2[[#This Row],[Units Sold]]</f>
        <v>1430</v>
      </c>
      <c r="J273" s="6">
        <f>SalesData_2[[#This Row],[Sales]]-SalesData_2[[#This Row],[COGS]]</f>
        <v>770</v>
      </c>
      <c r="K273" s="21">
        <f>SalesData_2[[#This Row],[Revenue]]/SalesData_2[[#This Row],[Sales]]</f>
        <v>0.35</v>
      </c>
      <c r="L273" s="3" t="s">
        <v>74</v>
      </c>
      <c r="M273" s="3" t="s">
        <v>79</v>
      </c>
      <c r="N273" s="3" t="s">
        <v>85</v>
      </c>
    </row>
    <row r="274" spans="1:14" x14ac:dyDescent="0.3">
      <c r="A274" s="2">
        <v>44109</v>
      </c>
      <c r="B274" s="2">
        <v>44116</v>
      </c>
      <c r="C274">
        <v>7</v>
      </c>
      <c r="D274" s="3" t="s">
        <v>8</v>
      </c>
      <c r="E274" s="6">
        <v>59</v>
      </c>
      <c r="F274" s="6">
        <v>41.3</v>
      </c>
      <c r="G274">
        <v>8</v>
      </c>
      <c r="H274" s="6">
        <f>SalesData_2[[#This Row],[Unit Price]]*SalesData_2[[#This Row],[Units Sold]]</f>
        <v>472</v>
      </c>
      <c r="I274" s="6">
        <f>SalesData_2[[#This Row],[Unit Cost]]*SalesData_2[[#This Row],[Units Sold]]</f>
        <v>330.4</v>
      </c>
      <c r="J274" s="6">
        <f>SalesData_2[[#This Row],[Sales]]-SalesData_2[[#This Row],[COGS]]</f>
        <v>141.60000000000002</v>
      </c>
      <c r="K274" s="21">
        <f>SalesData_2[[#This Row],[Revenue]]/SalesData_2[[#This Row],[Sales]]</f>
        <v>0.30000000000000004</v>
      </c>
      <c r="L274" s="3" t="s">
        <v>36</v>
      </c>
      <c r="M274" s="3" t="s">
        <v>82</v>
      </c>
      <c r="N274" s="3" t="s">
        <v>86</v>
      </c>
    </row>
    <row r="275" spans="1:14" x14ac:dyDescent="0.3">
      <c r="A275" s="2">
        <v>44109</v>
      </c>
      <c r="B275" s="2">
        <v>44116</v>
      </c>
      <c r="C275">
        <v>7</v>
      </c>
      <c r="D275" s="3" t="s">
        <v>9</v>
      </c>
      <c r="E275" s="6">
        <v>215</v>
      </c>
      <c r="F275" s="6">
        <v>152.65</v>
      </c>
      <c r="G275">
        <v>2</v>
      </c>
      <c r="H275" s="6">
        <f>SalesData_2[[#This Row],[Unit Price]]*SalesData_2[[#This Row],[Units Sold]]</f>
        <v>430</v>
      </c>
      <c r="I275" s="6">
        <f>SalesData_2[[#This Row],[Unit Cost]]*SalesData_2[[#This Row],[Units Sold]]</f>
        <v>305.3</v>
      </c>
      <c r="J275" s="6">
        <f>SalesData_2[[#This Row],[Sales]]-SalesData_2[[#This Row],[COGS]]</f>
        <v>124.69999999999999</v>
      </c>
      <c r="K275" s="21">
        <f>SalesData_2[[#This Row],[Revenue]]/SalesData_2[[#This Row],[Sales]]</f>
        <v>0.28999999999999998</v>
      </c>
      <c r="L275" s="3" t="s">
        <v>59</v>
      </c>
      <c r="M275" s="3" t="s">
        <v>79</v>
      </c>
      <c r="N275" s="3" t="s">
        <v>86</v>
      </c>
    </row>
    <row r="276" spans="1:14" x14ac:dyDescent="0.3">
      <c r="A276" s="2">
        <v>44111</v>
      </c>
      <c r="B276" s="2">
        <v>44114</v>
      </c>
      <c r="C276">
        <v>3</v>
      </c>
      <c r="D276" s="3" t="s">
        <v>7</v>
      </c>
      <c r="E276" s="6">
        <v>250</v>
      </c>
      <c r="F276" s="6">
        <v>167.5</v>
      </c>
      <c r="G276">
        <v>6</v>
      </c>
      <c r="H276" s="6">
        <f>SalesData_2[[#This Row],[Unit Price]]*SalesData_2[[#This Row],[Units Sold]]</f>
        <v>1500</v>
      </c>
      <c r="I276" s="6">
        <f>SalesData_2[[#This Row],[Unit Cost]]*SalesData_2[[#This Row],[Units Sold]]</f>
        <v>1005</v>
      </c>
      <c r="J276" s="6">
        <f>SalesData_2[[#This Row],[Sales]]-SalesData_2[[#This Row],[COGS]]</f>
        <v>495</v>
      </c>
      <c r="K276" s="21">
        <f>SalesData_2[[#This Row],[Revenue]]/SalesData_2[[#This Row],[Sales]]</f>
        <v>0.33</v>
      </c>
      <c r="L276" s="3" t="s">
        <v>62</v>
      </c>
      <c r="M276" s="3" t="s">
        <v>79</v>
      </c>
      <c r="N276" s="3" t="s">
        <v>86</v>
      </c>
    </row>
    <row r="277" spans="1:14" x14ac:dyDescent="0.3">
      <c r="A277" s="2">
        <v>44111</v>
      </c>
      <c r="B277" s="2">
        <v>44115</v>
      </c>
      <c r="C277">
        <v>4</v>
      </c>
      <c r="D277" s="3" t="s">
        <v>15</v>
      </c>
      <c r="E277" s="6">
        <v>110</v>
      </c>
      <c r="F277" s="6">
        <v>78.099999999999994</v>
      </c>
      <c r="G277">
        <v>7</v>
      </c>
      <c r="H277" s="6">
        <f>SalesData_2[[#This Row],[Unit Price]]*SalesData_2[[#This Row],[Units Sold]]</f>
        <v>770</v>
      </c>
      <c r="I277" s="6">
        <f>SalesData_2[[#This Row],[Unit Cost]]*SalesData_2[[#This Row],[Units Sold]]</f>
        <v>546.69999999999993</v>
      </c>
      <c r="J277" s="6">
        <f>SalesData_2[[#This Row],[Sales]]-SalesData_2[[#This Row],[COGS]]</f>
        <v>223.30000000000007</v>
      </c>
      <c r="K277" s="21">
        <f>SalesData_2[[#This Row],[Revenue]]/SalesData_2[[#This Row],[Sales]]</f>
        <v>0.29000000000000009</v>
      </c>
      <c r="L277" s="3" t="s">
        <v>42</v>
      </c>
      <c r="M277" s="3" t="s">
        <v>80</v>
      </c>
      <c r="N277" s="3" t="s">
        <v>85</v>
      </c>
    </row>
    <row r="278" spans="1:14" x14ac:dyDescent="0.3">
      <c r="A278" s="2">
        <v>44111</v>
      </c>
      <c r="B278" s="2">
        <v>44117</v>
      </c>
      <c r="C278">
        <v>6</v>
      </c>
      <c r="D278" s="3" t="s">
        <v>6</v>
      </c>
      <c r="E278" s="6">
        <v>99</v>
      </c>
      <c r="F278" s="6">
        <v>62.37</v>
      </c>
      <c r="G278">
        <v>9</v>
      </c>
      <c r="H278" s="6">
        <f>SalesData_2[[#This Row],[Unit Price]]*SalesData_2[[#This Row],[Units Sold]]</f>
        <v>891</v>
      </c>
      <c r="I278" s="6">
        <f>SalesData_2[[#This Row],[Unit Cost]]*SalesData_2[[#This Row],[Units Sold]]</f>
        <v>561.32999999999993</v>
      </c>
      <c r="J278" s="6">
        <f>SalesData_2[[#This Row],[Sales]]-SalesData_2[[#This Row],[COGS]]</f>
        <v>329.67000000000007</v>
      </c>
      <c r="K278" s="21">
        <f>SalesData_2[[#This Row],[Revenue]]/SalesData_2[[#This Row],[Sales]]</f>
        <v>0.37000000000000011</v>
      </c>
      <c r="L278" s="3" t="s">
        <v>49</v>
      </c>
      <c r="M278" s="3" t="s">
        <v>82</v>
      </c>
      <c r="N278" s="3" t="s">
        <v>86</v>
      </c>
    </row>
    <row r="279" spans="1:14" x14ac:dyDescent="0.3">
      <c r="A279" s="2">
        <v>44111</v>
      </c>
      <c r="B279" s="2">
        <v>44112</v>
      </c>
      <c r="C279">
        <v>1</v>
      </c>
      <c r="D279" s="3" t="s">
        <v>14</v>
      </c>
      <c r="E279" s="6">
        <v>375</v>
      </c>
      <c r="F279" s="6">
        <v>247.5</v>
      </c>
      <c r="G279">
        <v>4</v>
      </c>
      <c r="H279" s="6">
        <f>SalesData_2[[#This Row],[Unit Price]]*SalesData_2[[#This Row],[Units Sold]]</f>
        <v>1500</v>
      </c>
      <c r="I279" s="6">
        <f>SalesData_2[[#This Row],[Unit Cost]]*SalesData_2[[#This Row],[Units Sold]]</f>
        <v>990</v>
      </c>
      <c r="J279" s="6">
        <f>SalesData_2[[#This Row],[Sales]]-SalesData_2[[#This Row],[COGS]]</f>
        <v>510</v>
      </c>
      <c r="K279" s="21">
        <f>SalesData_2[[#This Row],[Revenue]]/SalesData_2[[#This Row],[Sales]]</f>
        <v>0.34</v>
      </c>
      <c r="L279" s="3" t="s">
        <v>56</v>
      </c>
      <c r="M279" s="3" t="s">
        <v>80</v>
      </c>
      <c r="N279" s="3" t="s">
        <v>85</v>
      </c>
    </row>
    <row r="280" spans="1:14" x14ac:dyDescent="0.3">
      <c r="A280" s="2">
        <v>44112</v>
      </c>
      <c r="B280" s="2">
        <v>44115</v>
      </c>
      <c r="C280">
        <v>3</v>
      </c>
      <c r="D280" s="3" t="s">
        <v>17</v>
      </c>
      <c r="E280" s="6">
        <v>195</v>
      </c>
      <c r="F280" s="6">
        <v>138.44999999999999</v>
      </c>
      <c r="G280">
        <v>1</v>
      </c>
      <c r="H280" s="6">
        <f>SalesData_2[[#This Row],[Unit Price]]*SalesData_2[[#This Row],[Units Sold]]</f>
        <v>195</v>
      </c>
      <c r="I280" s="6">
        <f>SalesData_2[[#This Row],[Unit Cost]]*SalesData_2[[#This Row],[Units Sold]]</f>
        <v>138.44999999999999</v>
      </c>
      <c r="J280" s="6">
        <f>SalesData_2[[#This Row],[Sales]]-SalesData_2[[#This Row],[COGS]]</f>
        <v>56.550000000000011</v>
      </c>
      <c r="K280" s="21">
        <f>SalesData_2[[#This Row],[Revenue]]/SalesData_2[[#This Row],[Sales]]</f>
        <v>0.29000000000000004</v>
      </c>
      <c r="L280" s="3" t="s">
        <v>32</v>
      </c>
      <c r="M280" s="3" t="s">
        <v>81</v>
      </c>
      <c r="N280" s="3" t="s">
        <v>85</v>
      </c>
    </row>
    <row r="281" spans="1:14" x14ac:dyDescent="0.3">
      <c r="A281" s="2">
        <v>44113</v>
      </c>
      <c r="B281" s="2">
        <v>44118</v>
      </c>
      <c r="C281">
        <v>5</v>
      </c>
      <c r="D281" s="3" t="s">
        <v>16</v>
      </c>
      <c r="E281" s="6">
        <v>145</v>
      </c>
      <c r="F281" s="6">
        <v>105.85</v>
      </c>
      <c r="G281">
        <v>5</v>
      </c>
      <c r="H281" s="6">
        <f>SalesData_2[[#This Row],[Unit Price]]*SalesData_2[[#This Row],[Units Sold]]</f>
        <v>725</v>
      </c>
      <c r="I281" s="6">
        <f>SalesData_2[[#This Row],[Unit Cost]]*SalesData_2[[#This Row],[Units Sold]]</f>
        <v>529.25</v>
      </c>
      <c r="J281" s="6">
        <f>SalesData_2[[#This Row],[Sales]]-SalesData_2[[#This Row],[COGS]]</f>
        <v>195.75</v>
      </c>
      <c r="K281" s="21">
        <f>SalesData_2[[#This Row],[Revenue]]/SalesData_2[[#This Row],[Sales]]</f>
        <v>0.27</v>
      </c>
      <c r="L281" s="3" t="s">
        <v>54</v>
      </c>
      <c r="M281" s="3" t="s">
        <v>80</v>
      </c>
      <c r="N281" s="3" t="s">
        <v>86</v>
      </c>
    </row>
    <row r="282" spans="1:14" x14ac:dyDescent="0.3">
      <c r="A282" s="2">
        <v>44114</v>
      </c>
      <c r="B282" s="2">
        <v>44117</v>
      </c>
      <c r="C282">
        <v>3</v>
      </c>
      <c r="D282" s="3" t="s">
        <v>5</v>
      </c>
      <c r="E282" s="6">
        <v>290</v>
      </c>
      <c r="F282" s="6">
        <v>185.6</v>
      </c>
      <c r="G282">
        <v>4</v>
      </c>
      <c r="H282" s="6">
        <f>SalesData_2[[#This Row],[Unit Price]]*SalesData_2[[#This Row],[Units Sold]]</f>
        <v>1160</v>
      </c>
      <c r="I282" s="6">
        <f>SalesData_2[[#This Row],[Unit Cost]]*SalesData_2[[#This Row],[Units Sold]]</f>
        <v>742.4</v>
      </c>
      <c r="J282" s="6">
        <f>SalesData_2[[#This Row],[Sales]]-SalesData_2[[#This Row],[COGS]]</f>
        <v>417.6</v>
      </c>
      <c r="K282" s="21">
        <f>SalesData_2[[#This Row],[Revenue]]/SalesData_2[[#This Row],[Sales]]</f>
        <v>0.36000000000000004</v>
      </c>
      <c r="L282" s="3" t="s">
        <v>64</v>
      </c>
      <c r="M282" s="3" t="s">
        <v>79</v>
      </c>
      <c r="N282" s="3" t="s">
        <v>86</v>
      </c>
    </row>
    <row r="283" spans="1:14" x14ac:dyDescent="0.3">
      <c r="A283" s="2">
        <v>44114</v>
      </c>
      <c r="B283" s="2">
        <v>44116</v>
      </c>
      <c r="C283">
        <v>2</v>
      </c>
      <c r="D283" s="3" t="s">
        <v>3</v>
      </c>
      <c r="E283" s="6">
        <v>95</v>
      </c>
      <c r="F283" s="6">
        <v>60.8</v>
      </c>
      <c r="G283">
        <v>2</v>
      </c>
      <c r="H283" s="6">
        <f>SalesData_2[[#This Row],[Unit Price]]*SalesData_2[[#This Row],[Units Sold]]</f>
        <v>190</v>
      </c>
      <c r="I283" s="6">
        <f>SalesData_2[[#This Row],[Unit Cost]]*SalesData_2[[#This Row],[Units Sold]]</f>
        <v>121.6</v>
      </c>
      <c r="J283" s="6">
        <f>SalesData_2[[#This Row],[Sales]]-SalesData_2[[#This Row],[COGS]]</f>
        <v>68.400000000000006</v>
      </c>
      <c r="K283" s="21">
        <f>SalesData_2[[#This Row],[Revenue]]/SalesData_2[[#This Row],[Sales]]</f>
        <v>0.36000000000000004</v>
      </c>
      <c r="L283" s="3" t="s">
        <v>52</v>
      </c>
      <c r="M283" s="3" t="s">
        <v>81</v>
      </c>
      <c r="N283" s="3" t="s">
        <v>86</v>
      </c>
    </row>
    <row r="284" spans="1:14" x14ac:dyDescent="0.3">
      <c r="A284" s="2">
        <v>44115</v>
      </c>
      <c r="B284" s="2">
        <v>44118</v>
      </c>
      <c r="C284">
        <v>3</v>
      </c>
      <c r="D284" s="3" t="s">
        <v>15</v>
      </c>
      <c r="E284" s="6">
        <v>110</v>
      </c>
      <c r="F284" s="6">
        <v>78.099999999999994</v>
      </c>
      <c r="G284">
        <v>8</v>
      </c>
      <c r="H284" s="6">
        <f>SalesData_2[[#This Row],[Unit Price]]*SalesData_2[[#This Row],[Units Sold]]</f>
        <v>880</v>
      </c>
      <c r="I284" s="6">
        <f>SalesData_2[[#This Row],[Unit Cost]]*SalesData_2[[#This Row],[Units Sold]]</f>
        <v>624.79999999999995</v>
      </c>
      <c r="J284" s="6">
        <f>SalesData_2[[#This Row],[Sales]]-SalesData_2[[#This Row],[COGS]]</f>
        <v>255.20000000000005</v>
      </c>
      <c r="K284" s="21">
        <f>SalesData_2[[#This Row],[Revenue]]/SalesData_2[[#This Row],[Sales]]</f>
        <v>0.29000000000000004</v>
      </c>
      <c r="L284" s="3" t="s">
        <v>34</v>
      </c>
      <c r="M284" s="3" t="s">
        <v>81</v>
      </c>
      <c r="N284" s="3" t="s">
        <v>86</v>
      </c>
    </row>
    <row r="285" spans="1:14" x14ac:dyDescent="0.3">
      <c r="A285" s="2">
        <v>44116</v>
      </c>
      <c r="B285" s="2">
        <v>44123</v>
      </c>
      <c r="C285">
        <v>7</v>
      </c>
      <c r="D285" s="3" t="s">
        <v>21</v>
      </c>
      <c r="E285" s="6">
        <v>355</v>
      </c>
      <c r="F285" s="6">
        <v>252.05</v>
      </c>
      <c r="G285">
        <v>6</v>
      </c>
      <c r="H285" s="6">
        <f>SalesData_2[[#This Row],[Unit Price]]*SalesData_2[[#This Row],[Units Sold]]</f>
        <v>2130</v>
      </c>
      <c r="I285" s="6">
        <f>SalesData_2[[#This Row],[Unit Cost]]*SalesData_2[[#This Row],[Units Sold]]</f>
        <v>1512.3000000000002</v>
      </c>
      <c r="J285" s="6">
        <f>SalesData_2[[#This Row],[Sales]]-SalesData_2[[#This Row],[COGS]]</f>
        <v>617.69999999999982</v>
      </c>
      <c r="K285" s="21">
        <f>SalesData_2[[#This Row],[Revenue]]/SalesData_2[[#This Row],[Sales]]</f>
        <v>0.28999999999999992</v>
      </c>
      <c r="L285" s="3" t="s">
        <v>30</v>
      </c>
      <c r="M285" s="3" t="s">
        <v>81</v>
      </c>
      <c r="N285" s="3" t="s">
        <v>85</v>
      </c>
    </row>
    <row r="286" spans="1:14" x14ac:dyDescent="0.3">
      <c r="A286" s="2">
        <v>44117</v>
      </c>
      <c r="B286" s="2">
        <v>44123</v>
      </c>
      <c r="C286">
        <v>6</v>
      </c>
      <c r="D286" s="3" t="s">
        <v>14</v>
      </c>
      <c r="E286" s="6">
        <v>375</v>
      </c>
      <c r="F286" s="6">
        <v>247.5</v>
      </c>
      <c r="G286">
        <v>3</v>
      </c>
      <c r="H286" s="6">
        <f>SalesData_2[[#This Row],[Unit Price]]*SalesData_2[[#This Row],[Units Sold]]</f>
        <v>1125</v>
      </c>
      <c r="I286" s="6">
        <f>SalesData_2[[#This Row],[Unit Cost]]*SalesData_2[[#This Row],[Units Sold]]</f>
        <v>742.5</v>
      </c>
      <c r="J286" s="6">
        <f>SalesData_2[[#This Row],[Sales]]-SalesData_2[[#This Row],[COGS]]</f>
        <v>382.5</v>
      </c>
      <c r="K286" s="21">
        <f>SalesData_2[[#This Row],[Revenue]]/SalesData_2[[#This Row],[Sales]]</f>
        <v>0.34</v>
      </c>
      <c r="L286" s="3" t="s">
        <v>34</v>
      </c>
      <c r="M286" s="3" t="s">
        <v>82</v>
      </c>
      <c r="N286" s="3" t="s">
        <v>85</v>
      </c>
    </row>
    <row r="287" spans="1:14" x14ac:dyDescent="0.3">
      <c r="A287" s="2">
        <v>44117</v>
      </c>
      <c r="B287" s="2">
        <v>44124</v>
      </c>
      <c r="C287">
        <v>7</v>
      </c>
      <c r="D287" s="3" t="s">
        <v>12</v>
      </c>
      <c r="E287" s="6">
        <v>320</v>
      </c>
      <c r="F287" s="6">
        <v>233.6</v>
      </c>
      <c r="G287">
        <v>4</v>
      </c>
      <c r="H287" s="6">
        <f>SalesData_2[[#This Row],[Unit Price]]*SalesData_2[[#This Row],[Units Sold]]</f>
        <v>1280</v>
      </c>
      <c r="I287" s="6">
        <f>SalesData_2[[#This Row],[Unit Cost]]*SalesData_2[[#This Row],[Units Sold]]</f>
        <v>934.4</v>
      </c>
      <c r="J287" s="6">
        <f>SalesData_2[[#This Row],[Sales]]-SalesData_2[[#This Row],[COGS]]</f>
        <v>345.6</v>
      </c>
      <c r="K287" s="21">
        <f>SalesData_2[[#This Row],[Revenue]]/SalesData_2[[#This Row],[Sales]]</f>
        <v>0.27</v>
      </c>
      <c r="L287" s="3" t="s">
        <v>76</v>
      </c>
      <c r="M287" s="3" t="s">
        <v>81</v>
      </c>
      <c r="N287" s="3" t="s">
        <v>85</v>
      </c>
    </row>
    <row r="288" spans="1:14" x14ac:dyDescent="0.3">
      <c r="A288" s="2">
        <v>44118</v>
      </c>
      <c r="B288" s="2">
        <v>44124</v>
      </c>
      <c r="C288">
        <v>6</v>
      </c>
      <c r="D288" s="3" t="s">
        <v>6</v>
      </c>
      <c r="E288" s="6">
        <v>99</v>
      </c>
      <c r="F288" s="6">
        <v>62.37</v>
      </c>
      <c r="G288">
        <v>5</v>
      </c>
      <c r="H288" s="6">
        <f>SalesData_2[[#This Row],[Unit Price]]*SalesData_2[[#This Row],[Units Sold]]</f>
        <v>495</v>
      </c>
      <c r="I288" s="6">
        <f>SalesData_2[[#This Row],[Unit Cost]]*SalesData_2[[#This Row],[Units Sold]]</f>
        <v>311.84999999999997</v>
      </c>
      <c r="J288" s="6">
        <f>SalesData_2[[#This Row],[Sales]]-SalesData_2[[#This Row],[COGS]]</f>
        <v>183.15000000000003</v>
      </c>
      <c r="K288" s="21">
        <f>SalesData_2[[#This Row],[Revenue]]/SalesData_2[[#This Row],[Sales]]</f>
        <v>0.37000000000000005</v>
      </c>
      <c r="L288" s="3" t="s">
        <v>41</v>
      </c>
      <c r="M288" s="3" t="s">
        <v>82</v>
      </c>
      <c r="N288" s="3" t="s">
        <v>85</v>
      </c>
    </row>
    <row r="289" spans="1:14" x14ac:dyDescent="0.3">
      <c r="A289" s="2">
        <v>44119</v>
      </c>
      <c r="B289" s="2">
        <v>44120</v>
      </c>
      <c r="C289">
        <v>1</v>
      </c>
      <c r="D289" s="3" t="s">
        <v>5</v>
      </c>
      <c r="E289" s="6">
        <v>290</v>
      </c>
      <c r="F289" s="6">
        <v>185.6</v>
      </c>
      <c r="G289">
        <v>9</v>
      </c>
      <c r="H289" s="6">
        <f>SalesData_2[[#This Row],[Unit Price]]*SalesData_2[[#This Row],[Units Sold]]</f>
        <v>2610</v>
      </c>
      <c r="I289" s="6">
        <f>SalesData_2[[#This Row],[Unit Cost]]*SalesData_2[[#This Row],[Units Sold]]</f>
        <v>1670.3999999999999</v>
      </c>
      <c r="J289" s="6">
        <f>SalesData_2[[#This Row],[Sales]]-SalesData_2[[#This Row],[COGS]]</f>
        <v>939.60000000000014</v>
      </c>
      <c r="K289" s="21">
        <f>SalesData_2[[#This Row],[Revenue]]/SalesData_2[[#This Row],[Sales]]</f>
        <v>0.36000000000000004</v>
      </c>
      <c r="L289" s="3" t="s">
        <v>41</v>
      </c>
      <c r="M289" s="3" t="s">
        <v>81</v>
      </c>
      <c r="N289" s="3" t="s">
        <v>86</v>
      </c>
    </row>
    <row r="290" spans="1:14" x14ac:dyDescent="0.3">
      <c r="A290" s="2">
        <v>44119</v>
      </c>
      <c r="B290" s="2">
        <v>44121</v>
      </c>
      <c r="C290">
        <v>2</v>
      </c>
      <c r="D290" s="3" t="s">
        <v>10</v>
      </c>
      <c r="E290" s="6">
        <v>390</v>
      </c>
      <c r="F290" s="6">
        <v>253.5</v>
      </c>
      <c r="G290">
        <v>1</v>
      </c>
      <c r="H290" s="6">
        <f>SalesData_2[[#This Row],[Unit Price]]*SalesData_2[[#This Row],[Units Sold]]</f>
        <v>390</v>
      </c>
      <c r="I290" s="6">
        <f>SalesData_2[[#This Row],[Unit Cost]]*SalesData_2[[#This Row],[Units Sold]]</f>
        <v>253.5</v>
      </c>
      <c r="J290" s="6">
        <f>SalesData_2[[#This Row],[Sales]]-SalesData_2[[#This Row],[COGS]]</f>
        <v>136.5</v>
      </c>
      <c r="K290" s="21">
        <f>SalesData_2[[#This Row],[Revenue]]/SalesData_2[[#This Row],[Sales]]</f>
        <v>0.35</v>
      </c>
      <c r="L290" s="3" t="s">
        <v>60</v>
      </c>
      <c r="M290" s="3" t="s">
        <v>83</v>
      </c>
      <c r="N290" s="3" t="s">
        <v>85</v>
      </c>
    </row>
    <row r="291" spans="1:14" x14ac:dyDescent="0.3">
      <c r="A291" s="2">
        <v>44119</v>
      </c>
      <c r="B291" s="2">
        <v>44121</v>
      </c>
      <c r="C291">
        <v>2</v>
      </c>
      <c r="D291" s="3" t="s">
        <v>2</v>
      </c>
      <c r="E291" s="6">
        <v>250</v>
      </c>
      <c r="F291" s="6">
        <v>187.5</v>
      </c>
      <c r="G291">
        <v>4</v>
      </c>
      <c r="H291" s="6">
        <f>SalesData_2[[#This Row],[Unit Price]]*SalesData_2[[#This Row],[Units Sold]]</f>
        <v>1000</v>
      </c>
      <c r="I291" s="6">
        <f>SalesData_2[[#This Row],[Unit Cost]]*SalesData_2[[#This Row],[Units Sold]]</f>
        <v>750</v>
      </c>
      <c r="J291" s="6">
        <f>SalesData_2[[#This Row],[Sales]]-SalesData_2[[#This Row],[COGS]]</f>
        <v>250</v>
      </c>
      <c r="K291" s="21">
        <f>SalesData_2[[#This Row],[Revenue]]/SalesData_2[[#This Row],[Sales]]</f>
        <v>0.25</v>
      </c>
      <c r="L291" s="3" t="s">
        <v>46</v>
      </c>
      <c r="M291" s="3" t="s">
        <v>83</v>
      </c>
      <c r="N291" s="3" t="s">
        <v>86</v>
      </c>
    </row>
    <row r="292" spans="1:14" x14ac:dyDescent="0.3">
      <c r="A292" s="2">
        <v>44120</v>
      </c>
      <c r="B292" s="2">
        <v>44123</v>
      </c>
      <c r="C292">
        <v>3</v>
      </c>
      <c r="D292" s="3" t="s">
        <v>2</v>
      </c>
      <c r="E292" s="6">
        <v>250</v>
      </c>
      <c r="F292" s="6">
        <v>187.5</v>
      </c>
      <c r="G292">
        <v>1</v>
      </c>
      <c r="H292" s="6">
        <f>SalesData_2[[#This Row],[Unit Price]]*SalesData_2[[#This Row],[Units Sold]]</f>
        <v>250</v>
      </c>
      <c r="I292" s="6">
        <f>SalesData_2[[#This Row],[Unit Cost]]*SalesData_2[[#This Row],[Units Sold]]</f>
        <v>187.5</v>
      </c>
      <c r="J292" s="6">
        <f>SalesData_2[[#This Row],[Sales]]-SalesData_2[[#This Row],[COGS]]</f>
        <v>62.5</v>
      </c>
      <c r="K292" s="21">
        <f>SalesData_2[[#This Row],[Revenue]]/SalesData_2[[#This Row],[Sales]]</f>
        <v>0.25</v>
      </c>
      <c r="L292" s="3" t="s">
        <v>51</v>
      </c>
      <c r="M292" s="3" t="s">
        <v>81</v>
      </c>
      <c r="N292" s="3" t="s">
        <v>85</v>
      </c>
    </row>
    <row r="293" spans="1:14" x14ac:dyDescent="0.3">
      <c r="A293" s="2">
        <v>44120</v>
      </c>
      <c r="B293" s="2">
        <v>44126</v>
      </c>
      <c r="C293">
        <v>6</v>
      </c>
      <c r="D293" s="3" t="s">
        <v>12</v>
      </c>
      <c r="E293" s="6">
        <v>320</v>
      </c>
      <c r="F293" s="6">
        <v>233.6</v>
      </c>
      <c r="G293">
        <v>8</v>
      </c>
      <c r="H293" s="6">
        <f>SalesData_2[[#This Row],[Unit Price]]*SalesData_2[[#This Row],[Units Sold]]</f>
        <v>2560</v>
      </c>
      <c r="I293" s="6">
        <f>SalesData_2[[#This Row],[Unit Cost]]*SalesData_2[[#This Row],[Units Sold]]</f>
        <v>1868.8</v>
      </c>
      <c r="J293" s="6">
        <f>SalesData_2[[#This Row],[Sales]]-SalesData_2[[#This Row],[COGS]]</f>
        <v>691.2</v>
      </c>
      <c r="K293" s="21">
        <f>SalesData_2[[#This Row],[Revenue]]/SalesData_2[[#This Row],[Sales]]</f>
        <v>0.27</v>
      </c>
      <c r="L293" s="3" t="s">
        <v>31</v>
      </c>
      <c r="M293" s="3" t="s">
        <v>81</v>
      </c>
      <c r="N293" s="3" t="s">
        <v>85</v>
      </c>
    </row>
    <row r="294" spans="1:14" x14ac:dyDescent="0.3">
      <c r="A294" s="2">
        <v>44121</v>
      </c>
      <c r="B294" s="2">
        <v>44123</v>
      </c>
      <c r="C294">
        <v>2</v>
      </c>
      <c r="D294" s="3" t="s">
        <v>9</v>
      </c>
      <c r="E294" s="6">
        <v>215</v>
      </c>
      <c r="F294" s="6">
        <v>152.65</v>
      </c>
      <c r="G294">
        <v>9</v>
      </c>
      <c r="H294" s="6">
        <f>SalesData_2[[#This Row],[Unit Price]]*SalesData_2[[#This Row],[Units Sold]]</f>
        <v>1935</v>
      </c>
      <c r="I294" s="6">
        <f>SalesData_2[[#This Row],[Unit Cost]]*SalesData_2[[#This Row],[Units Sold]]</f>
        <v>1373.8500000000001</v>
      </c>
      <c r="J294" s="6">
        <f>SalesData_2[[#This Row],[Sales]]-SalesData_2[[#This Row],[COGS]]</f>
        <v>561.14999999999986</v>
      </c>
      <c r="K294" s="21">
        <f>SalesData_2[[#This Row],[Revenue]]/SalesData_2[[#This Row],[Sales]]</f>
        <v>0.28999999999999992</v>
      </c>
      <c r="L294" s="3" t="s">
        <v>46</v>
      </c>
      <c r="M294" s="3" t="s">
        <v>82</v>
      </c>
      <c r="N294" s="3" t="s">
        <v>85</v>
      </c>
    </row>
    <row r="295" spans="1:14" x14ac:dyDescent="0.3">
      <c r="A295" s="2">
        <v>44122</v>
      </c>
      <c r="B295" s="2">
        <v>44124</v>
      </c>
      <c r="C295">
        <v>2</v>
      </c>
      <c r="D295" s="3" t="s">
        <v>7</v>
      </c>
      <c r="E295" s="6">
        <v>250</v>
      </c>
      <c r="F295" s="6">
        <v>167.5</v>
      </c>
      <c r="G295">
        <v>5</v>
      </c>
      <c r="H295" s="6">
        <f>SalesData_2[[#This Row],[Unit Price]]*SalesData_2[[#This Row],[Units Sold]]</f>
        <v>1250</v>
      </c>
      <c r="I295" s="6">
        <f>SalesData_2[[#This Row],[Unit Cost]]*SalesData_2[[#This Row],[Units Sold]]</f>
        <v>837.5</v>
      </c>
      <c r="J295" s="6">
        <f>SalesData_2[[#This Row],[Sales]]-SalesData_2[[#This Row],[COGS]]</f>
        <v>412.5</v>
      </c>
      <c r="K295" s="21">
        <f>SalesData_2[[#This Row],[Revenue]]/SalesData_2[[#This Row],[Sales]]</f>
        <v>0.33</v>
      </c>
      <c r="L295" s="3" t="s">
        <v>74</v>
      </c>
      <c r="M295" s="3" t="s">
        <v>82</v>
      </c>
      <c r="N295" s="3" t="s">
        <v>86</v>
      </c>
    </row>
    <row r="296" spans="1:14" x14ac:dyDescent="0.3">
      <c r="A296" s="2">
        <v>44125</v>
      </c>
      <c r="B296" s="2">
        <v>44132</v>
      </c>
      <c r="C296">
        <v>7</v>
      </c>
      <c r="D296" s="3" t="s">
        <v>15</v>
      </c>
      <c r="E296" s="6">
        <v>110</v>
      </c>
      <c r="F296" s="6">
        <v>78.099999999999994</v>
      </c>
      <c r="G296">
        <v>8</v>
      </c>
      <c r="H296" s="6">
        <f>SalesData_2[[#This Row],[Unit Price]]*SalesData_2[[#This Row],[Units Sold]]</f>
        <v>880</v>
      </c>
      <c r="I296" s="6">
        <f>SalesData_2[[#This Row],[Unit Cost]]*SalesData_2[[#This Row],[Units Sold]]</f>
        <v>624.79999999999995</v>
      </c>
      <c r="J296" s="6">
        <f>SalesData_2[[#This Row],[Sales]]-SalesData_2[[#This Row],[COGS]]</f>
        <v>255.20000000000005</v>
      </c>
      <c r="K296" s="21">
        <f>SalesData_2[[#This Row],[Revenue]]/SalesData_2[[#This Row],[Sales]]</f>
        <v>0.29000000000000004</v>
      </c>
      <c r="L296" s="3" t="s">
        <v>64</v>
      </c>
      <c r="M296" s="3" t="s">
        <v>82</v>
      </c>
      <c r="N296" s="3" t="s">
        <v>85</v>
      </c>
    </row>
    <row r="297" spans="1:14" x14ac:dyDescent="0.3">
      <c r="A297" s="2">
        <v>44127</v>
      </c>
      <c r="B297" s="2">
        <v>44133</v>
      </c>
      <c r="C297">
        <v>6</v>
      </c>
      <c r="D297" s="3" t="s">
        <v>14</v>
      </c>
      <c r="E297" s="6">
        <v>375</v>
      </c>
      <c r="F297" s="6">
        <v>247.5</v>
      </c>
      <c r="G297">
        <v>4</v>
      </c>
      <c r="H297" s="6">
        <f>SalesData_2[[#This Row],[Unit Price]]*SalesData_2[[#This Row],[Units Sold]]</f>
        <v>1500</v>
      </c>
      <c r="I297" s="6">
        <f>SalesData_2[[#This Row],[Unit Cost]]*SalesData_2[[#This Row],[Units Sold]]</f>
        <v>990</v>
      </c>
      <c r="J297" s="6">
        <f>SalesData_2[[#This Row],[Sales]]-SalesData_2[[#This Row],[COGS]]</f>
        <v>510</v>
      </c>
      <c r="K297" s="21">
        <f>SalesData_2[[#This Row],[Revenue]]/SalesData_2[[#This Row],[Sales]]</f>
        <v>0.34</v>
      </c>
      <c r="L297" s="3" t="s">
        <v>51</v>
      </c>
      <c r="M297" s="3" t="s">
        <v>81</v>
      </c>
      <c r="N297" s="3" t="s">
        <v>86</v>
      </c>
    </row>
    <row r="298" spans="1:14" x14ac:dyDescent="0.3">
      <c r="A298" s="2">
        <v>44127</v>
      </c>
      <c r="B298" s="2">
        <v>44130</v>
      </c>
      <c r="C298">
        <v>3</v>
      </c>
      <c r="D298" s="3" t="s">
        <v>4</v>
      </c>
      <c r="E298" s="6">
        <v>390</v>
      </c>
      <c r="F298" s="6">
        <v>288.60000000000002</v>
      </c>
      <c r="G298">
        <v>9</v>
      </c>
      <c r="H298" s="6">
        <f>SalesData_2[[#This Row],[Unit Price]]*SalesData_2[[#This Row],[Units Sold]]</f>
        <v>3510</v>
      </c>
      <c r="I298" s="6">
        <f>SalesData_2[[#This Row],[Unit Cost]]*SalesData_2[[#This Row],[Units Sold]]</f>
        <v>2597.4</v>
      </c>
      <c r="J298" s="6">
        <f>SalesData_2[[#This Row],[Sales]]-SalesData_2[[#This Row],[COGS]]</f>
        <v>912.59999999999991</v>
      </c>
      <c r="K298" s="21">
        <f>SalesData_2[[#This Row],[Revenue]]/SalesData_2[[#This Row],[Sales]]</f>
        <v>0.25999999999999995</v>
      </c>
      <c r="L298" s="3" t="s">
        <v>41</v>
      </c>
      <c r="M298" s="3" t="s">
        <v>82</v>
      </c>
      <c r="N298" s="3" t="s">
        <v>86</v>
      </c>
    </row>
    <row r="299" spans="1:14" x14ac:dyDescent="0.3">
      <c r="A299" s="2">
        <v>44128</v>
      </c>
      <c r="B299" s="2">
        <v>44130</v>
      </c>
      <c r="C299">
        <v>2</v>
      </c>
      <c r="D299" s="3" t="s">
        <v>9</v>
      </c>
      <c r="E299" s="6">
        <v>215</v>
      </c>
      <c r="F299" s="6">
        <v>152.65</v>
      </c>
      <c r="G299">
        <v>6</v>
      </c>
      <c r="H299" s="6">
        <f>SalesData_2[[#This Row],[Unit Price]]*SalesData_2[[#This Row],[Units Sold]]</f>
        <v>1290</v>
      </c>
      <c r="I299" s="6">
        <f>SalesData_2[[#This Row],[Unit Cost]]*SalesData_2[[#This Row],[Units Sold]]</f>
        <v>915.90000000000009</v>
      </c>
      <c r="J299" s="6">
        <f>SalesData_2[[#This Row],[Sales]]-SalesData_2[[#This Row],[COGS]]</f>
        <v>374.09999999999991</v>
      </c>
      <c r="K299" s="21">
        <f>SalesData_2[[#This Row],[Revenue]]/SalesData_2[[#This Row],[Sales]]</f>
        <v>0.28999999999999992</v>
      </c>
      <c r="L299" s="3" t="s">
        <v>58</v>
      </c>
      <c r="M299" s="3" t="s">
        <v>83</v>
      </c>
      <c r="N299" s="3" t="s">
        <v>86</v>
      </c>
    </row>
    <row r="300" spans="1:14" x14ac:dyDescent="0.3">
      <c r="A300" s="2">
        <v>44129</v>
      </c>
      <c r="B300" s="2">
        <v>44136</v>
      </c>
      <c r="C300">
        <v>7</v>
      </c>
      <c r="D300" s="3" t="s">
        <v>23</v>
      </c>
      <c r="E300" s="6">
        <v>275</v>
      </c>
      <c r="F300" s="6">
        <v>200.75</v>
      </c>
      <c r="G300">
        <v>6</v>
      </c>
      <c r="H300" s="6">
        <f>SalesData_2[[#This Row],[Unit Price]]*SalesData_2[[#This Row],[Units Sold]]</f>
        <v>1650</v>
      </c>
      <c r="I300" s="6">
        <f>SalesData_2[[#This Row],[Unit Cost]]*SalesData_2[[#This Row],[Units Sold]]</f>
        <v>1204.5</v>
      </c>
      <c r="J300" s="6">
        <f>SalesData_2[[#This Row],[Sales]]-SalesData_2[[#This Row],[COGS]]</f>
        <v>445.5</v>
      </c>
      <c r="K300" s="21">
        <f>SalesData_2[[#This Row],[Revenue]]/SalesData_2[[#This Row],[Sales]]</f>
        <v>0.27</v>
      </c>
      <c r="L300" s="3" t="s">
        <v>72</v>
      </c>
      <c r="M300" s="3" t="s">
        <v>83</v>
      </c>
      <c r="N300" s="3" t="s">
        <v>86</v>
      </c>
    </row>
    <row r="301" spans="1:14" x14ac:dyDescent="0.3">
      <c r="A301" s="2">
        <v>44131</v>
      </c>
      <c r="B301" s="2">
        <v>44135</v>
      </c>
      <c r="C301">
        <v>4</v>
      </c>
      <c r="D301" s="3" t="s">
        <v>2</v>
      </c>
      <c r="E301" s="6">
        <v>250</v>
      </c>
      <c r="F301" s="6">
        <v>187.5</v>
      </c>
      <c r="G301">
        <v>4</v>
      </c>
      <c r="H301" s="6">
        <f>SalesData_2[[#This Row],[Unit Price]]*SalesData_2[[#This Row],[Units Sold]]</f>
        <v>1000</v>
      </c>
      <c r="I301" s="6">
        <f>SalesData_2[[#This Row],[Unit Cost]]*SalesData_2[[#This Row],[Units Sold]]</f>
        <v>750</v>
      </c>
      <c r="J301" s="6">
        <f>SalesData_2[[#This Row],[Sales]]-SalesData_2[[#This Row],[COGS]]</f>
        <v>250</v>
      </c>
      <c r="K301" s="21">
        <f>SalesData_2[[#This Row],[Revenue]]/SalesData_2[[#This Row],[Sales]]</f>
        <v>0.25</v>
      </c>
      <c r="L301" s="3" t="s">
        <v>31</v>
      </c>
      <c r="M301" s="3" t="s">
        <v>79</v>
      </c>
      <c r="N301" s="3" t="s">
        <v>86</v>
      </c>
    </row>
    <row r="302" spans="1:14" x14ac:dyDescent="0.3">
      <c r="A302" s="2">
        <v>44132</v>
      </c>
      <c r="B302" s="2">
        <v>44138</v>
      </c>
      <c r="C302">
        <v>6</v>
      </c>
      <c r="D302" s="3" t="s">
        <v>8</v>
      </c>
      <c r="E302" s="6">
        <v>59</v>
      </c>
      <c r="F302" s="6">
        <v>41.3</v>
      </c>
      <c r="G302">
        <v>1</v>
      </c>
      <c r="H302" s="6">
        <f>SalesData_2[[#This Row],[Unit Price]]*SalesData_2[[#This Row],[Units Sold]]</f>
        <v>59</v>
      </c>
      <c r="I302" s="6">
        <f>SalesData_2[[#This Row],[Unit Cost]]*SalesData_2[[#This Row],[Units Sold]]</f>
        <v>41.3</v>
      </c>
      <c r="J302" s="6">
        <f>SalesData_2[[#This Row],[Sales]]-SalesData_2[[#This Row],[COGS]]</f>
        <v>17.700000000000003</v>
      </c>
      <c r="K302" s="21">
        <f>SalesData_2[[#This Row],[Revenue]]/SalesData_2[[#This Row],[Sales]]</f>
        <v>0.30000000000000004</v>
      </c>
      <c r="L302" s="3" t="s">
        <v>74</v>
      </c>
      <c r="M302" s="3" t="s">
        <v>82</v>
      </c>
      <c r="N302" s="3" t="s">
        <v>86</v>
      </c>
    </row>
    <row r="303" spans="1:14" x14ac:dyDescent="0.3">
      <c r="A303" s="2">
        <v>44132</v>
      </c>
      <c r="B303" s="2">
        <v>44135</v>
      </c>
      <c r="C303">
        <v>3</v>
      </c>
      <c r="D303" s="3" t="s">
        <v>17</v>
      </c>
      <c r="E303" s="6">
        <v>195</v>
      </c>
      <c r="F303" s="6">
        <v>138.44999999999999</v>
      </c>
      <c r="G303">
        <v>1</v>
      </c>
      <c r="H303" s="6">
        <f>SalesData_2[[#This Row],[Unit Price]]*SalesData_2[[#This Row],[Units Sold]]</f>
        <v>195</v>
      </c>
      <c r="I303" s="6">
        <f>SalesData_2[[#This Row],[Unit Cost]]*SalesData_2[[#This Row],[Units Sold]]</f>
        <v>138.44999999999999</v>
      </c>
      <c r="J303" s="6">
        <f>SalesData_2[[#This Row],[Sales]]-SalesData_2[[#This Row],[COGS]]</f>
        <v>56.550000000000011</v>
      </c>
      <c r="K303" s="21">
        <f>SalesData_2[[#This Row],[Revenue]]/SalesData_2[[#This Row],[Sales]]</f>
        <v>0.29000000000000004</v>
      </c>
      <c r="L303" s="3" t="s">
        <v>52</v>
      </c>
      <c r="M303" s="3" t="s">
        <v>81</v>
      </c>
      <c r="N303" s="3" t="s">
        <v>86</v>
      </c>
    </row>
    <row r="304" spans="1:14" x14ac:dyDescent="0.3">
      <c r="A304" s="2">
        <v>44132</v>
      </c>
      <c r="B304" s="2">
        <v>44138</v>
      </c>
      <c r="C304">
        <v>6</v>
      </c>
      <c r="D304" s="3" t="s">
        <v>17</v>
      </c>
      <c r="E304" s="6">
        <v>195</v>
      </c>
      <c r="F304" s="6">
        <v>138.44999999999999</v>
      </c>
      <c r="G304">
        <v>2</v>
      </c>
      <c r="H304" s="6">
        <f>SalesData_2[[#This Row],[Unit Price]]*SalesData_2[[#This Row],[Units Sold]]</f>
        <v>390</v>
      </c>
      <c r="I304" s="6">
        <f>SalesData_2[[#This Row],[Unit Cost]]*SalesData_2[[#This Row],[Units Sold]]</f>
        <v>276.89999999999998</v>
      </c>
      <c r="J304" s="6">
        <f>SalesData_2[[#This Row],[Sales]]-SalesData_2[[#This Row],[COGS]]</f>
        <v>113.10000000000002</v>
      </c>
      <c r="K304" s="21">
        <f>SalesData_2[[#This Row],[Revenue]]/SalesData_2[[#This Row],[Sales]]</f>
        <v>0.29000000000000004</v>
      </c>
      <c r="L304" s="3" t="s">
        <v>40</v>
      </c>
      <c r="M304" s="3" t="s">
        <v>82</v>
      </c>
      <c r="N304" s="3" t="s">
        <v>86</v>
      </c>
    </row>
    <row r="305" spans="1:14" x14ac:dyDescent="0.3">
      <c r="A305" s="2">
        <v>44134</v>
      </c>
      <c r="B305" s="2">
        <v>44136</v>
      </c>
      <c r="C305">
        <v>2</v>
      </c>
      <c r="D305" s="3" t="s">
        <v>23</v>
      </c>
      <c r="E305" s="6">
        <v>275</v>
      </c>
      <c r="F305" s="6">
        <v>200.75</v>
      </c>
      <c r="G305">
        <v>8</v>
      </c>
      <c r="H305" s="6">
        <f>SalesData_2[[#This Row],[Unit Price]]*SalesData_2[[#This Row],[Units Sold]]</f>
        <v>2200</v>
      </c>
      <c r="I305" s="6">
        <f>SalesData_2[[#This Row],[Unit Cost]]*SalesData_2[[#This Row],[Units Sold]]</f>
        <v>1606</v>
      </c>
      <c r="J305" s="6">
        <f>SalesData_2[[#This Row],[Sales]]-SalesData_2[[#This Row],[COGS]]</f>
        <v>594</v>
      </c>
      <c r="K305" s="21">
        <f>SalesData_2[[#This Row],[Revenue]]/SalesData_2[[#This Row],[Sales]]</f>
        <v>0.27</v>
      </c>
      <c r="L305" s="3" t="s">
        <v>46</v>
      </c>
      <c r="M305" s="3" t="s">
        <v>80</v>
      </c>
      <c r="N305" s="3" t="s">
        <v>86</v>
      </c>
    </row>
    <row r="306" spans="1:14" x14ac:dyDescent="0.3">
      <c r="A306" s="2">
        <v>44136</v>
      </c>
      <c r="B306" s="2">
        <v>44140</v>
      </c>
      <c r="C306">
        <v>4</v>
      </c>
      <c r="D306" s="3" t="s">
        <v>20</v>
      </c>
      <c r="E306" s="6">
        <v>440</v>
      </c>
      <c r="F306" s="6">
        <v>286</v>
      </c>
      <c r="G306">
        <v>3</v>
      </c>
      <c r="H306" s="6">
        <f>SalesData_2[[#This Row],[Unit Price]]*SalesData_2[[#This Row],[Units Sold]]</f>
        <v>1320</v>
      </c>
      <c r="I306" s="6">
        <f>SalesData_2[[#This Row],[Unit Cost]]*SalesData_2[[#This Row],[Units Sold]]</f>
        <v>858</v>
      </c>
      <c r="J306" s="6">
        <f>SalesData_2[[#This Row],[Sales]]-SalesData_2[[#This Row],[COGS]]</f>
        <v>462</v>
      </c>
      <c r="K306" s="21">
        <f>SalesData_2[[#This Row],[Revenue]]/SalesData_2[[#This Row],[Sales]]</f>
        <v>0.35</v>
      </c>
      <c r="L306" s="3" t="s">
        <v>42</v>
      </c>
      <c r="M306" s="3" t="s">
        <v>83</v>
      </c>
      <c r="N306" s="3" t="s">
        <v>86</v>
      </c>
    </row>
    <row r="307" spans="1:14" x14ac:dyDescent="0.3">
      <c r="A307" s="2">
        <v>44137</v>
      </c>
      <c r="B307" s="2">
        <v>44143</v>
      </c>
      <c r="C307">
        <v>6</v>
      </c>
      <c r="D307" s="3" t="s">
        <v>9</v>
      </c>
      <c r="E307" s="6">
        <v>215</v>
      </c>
      <c r="F307" s="6">
        <v>152.65</v>
      </c>
      <c r="G307">
        <v>4</v>
      </c>
      <c r="H307" s="6">
        <f>SalesData_2[[#This Row],[Unit Price]]*SalesData_2[[#This Row],[Units Sold]]</f>
        <v>860</v>
      </c>
      <c r="I307" s="6">
        <f>SalesData_2[[#This Row],[Unit Cost]]*SalesData_2[[#This Row],[Units Sold]]</f>
        <v>610.6</v>
      </c>
      <c r="J307" s="6">
        <f>SalesData_2[[#This Row],[Sales]]-SalesData_2[[#This Row],[COGS]]</f>
        <v>249.39999999999998</v>
      </c>
      <c r="K307" s="21">
        <f>SalesData_2[[#This Row],[Revenue]]/SalesData_2[[#This Row],[Sales]]</f>
        <v>0.28999999999999998</v>
      </c>
      <c r="L307" s="3" t="s">
        <v>52</v>
      </c>
      <c r="M307" s="3" t="s">
        <v>82</v>
      </c>
      <c r="N307" s="3" t="s">
        <v>86</v>
      </c>
    </row>
    <row r="308" spans="1:14" x14ac:dyDescent="0.3">
      <c r="A308" s="2">
        <v>44138</v>
      </c>
      <c r="B308" s="2">
        <v>44140</v>
      </c>
      <c r="C308">
        <v>2</v>
      </c>
      <c r="D308" s="3" t="s">
        <v>5</v>
      </c>
      <c r="E308" s="6">
        <v>290</v>
      </c>
      <c r="F308" s="6">
        <v>185.6</v>
      </c>
      <c r="G308">
        <v>3</v>
      </c>
      <c r="H308" s="6">
        <f>SalesData_2[[#This Row],[Unit Price]]*SalesData_2[[#This Row],[Units Sold]]</f>
        <v>870</v>
      </c>
      <c r="I308" s="6">
        <f>SalesData_2[[#This Row],[Unit Cost]]*SalesData_2[[#This Row],[Units Sold]]</f>
        <v>556.79999999999995</v>
      </c>
      <c r="J308" s="6">
        <f>SalesData_2[[#This Row],[Sales]]-SalesData_2[[#This Row],[COGS]]</f>
        <v>313.20000000000005</v>
      </c>
      <c r="K308" s="21">
        <f>SalesData_2[[#This Row],[Revenue]]/SalesData_2[[#This Row],[Sales]]</f>
        <v>0.36000000000000004</v>
      </c>
      <c r="L308" s="3" t="s">
        <v>35</v>
      </c>
      <c r="M308" s="3" t="s">
        <v>83</v>
      </c>
      <c r="N308" s="3" t="s">
        <v>85</v>
      </c>
    </row>
    <row r="309" spans="1:14" x14ac:dyDescent="0.3">
      <c r="A309" s="2">
        <v>44138</v>
      </c>
      <c r="B309" s="2">
        <v>44145</v>
      </c>
      <c r="C309">
        <v>7</v>
      </c>
      <c r="D309" s="3" t="s">
        <v>22</v>
      </c>
      <c r="E309" s="6">
        <v>460</v>
      </c>
      <c r="F309" s="6">
        <v>303.60000000000002</v>
      </c>
      <c r="G309">
        <v>5</v>
      </c>
      <c r="H309" s="6">
        <f>SalesData_2[[#This Row],[Unit Price]]*SalesData_2[[#This Row],[Units Sold]]</f>
        <v>2300</v>
      </c>
      <c r="I309" s="6">
        <f>SalesData_2[[#This Row],[Unit Cost]]*SalesData_2[[#This Row],[Units Sold]]</f>
        <v>1518</v>
      </c>
      <c r="J309" s="6">
        <f>SalesData_2[[#This Row],[Sales]]-SalesData_2[[#This Row],[COGS]]</f>
        <v>782</v>
      </c>
      <c r="K309" s="21">
        <f>SalesData_2[[#This Row],[Revenue]]/SalesData_2[[#This Row],[Sales]]</f>
        <v>0.34</v>
      </c>
      <c r="L309" s="3" t="s">
        <v>50</v>
      </c>
      <c r="M309" s="3" t="s">
        <v>81</v>
      </c>
      <c r="N309" s="3" t="s">
        <v>86</v>
      </c>
    </row>
    <row r="310" spans="1:14" x14ac:dyDescent="0.3">
      <c r="A310" s="2">
        <v>44139</v>
      </c>
      <c r="B310" s="2">
        <v>44143</v>
      </c>
      <c r="C310">
        <v>4</v>
      </c>
      <c r="D310" s="3" t="s">
        <v>10</v>
      </c>
      <c r="E310" s="6">
        <v>390</v>
      </c>
      <c r="F310" s="6">
        <v>253.5</v>
      </c>
      <c r="G310">
        <v>7</v>
      </c>
      <c r="H310" s="6">
        <f>SalesData_2[[#This Row],[Unit Price]]*SalesData_2[[#This Row],[Units Sold]]</f>
        <v>2730</v>
      </c>
      <c r="I310" s="6">
        <f>SalesData_2[[#This Row],[Unit Cost]]*SalesData_2[[#This Row],[Units Sold]]</f>
        <v>1774.5</v>
      </c>
      <c r="J310" s="6">
        <f>SalesData_2[[#This Row],[Sales]]-SalesData_2[[#This Row],[COGS]]</f>
        <v>955.5</v>
      </c>
      <c r="K310" s="21">
        <f>SalesData_2[[#This Row],[Revenue]]/SalesData_2[[#This Row],[Sales]]</f>
        <v>0.35</v>
      </c>
      <c r="L310" s="3" t="s">
        <v>46</v>
      </c>
      <c r="M310" s="3" t="s">
        <v>82</v>
      </c>
      <c r="N310" s="3" t="s">
        <v>85</v>
      </c>
    </row>
    <row r="311" spans="1:14" x14ac:dyDescent="0.3">
      <c r="A311" s="2">
        <v>44141</v>
      </c>
      <c r="B311" s="2">
        <v>44144</v>
      </c>
      <c r="C311">
        <v>3</v>
      </c>
      <c r="D311" s="3" t="s">
        <v>15</v>
      </c>
      <c r="E311" s="6">
        <v>110</v>
      </c>
      <c r="F311" s="6">
        <v>78.099999999999994</v>
      </c>
      <c r="G311">
        <v>4</v>
      </c>
      <c r="H311" s="6">
        <f>SalesData_2[[#This Row],[Unit Price]]*SalesData_2[[#This Row],[Units Sold]]</f>
        <v>440</v>
      </c>
      <c r="I311" s="6">
        <f>SalesData_2[[#This Row],[Unit Cost]]*SalesData_2[[#This Row],[Units Sold]]</f>
        <v>312.39999999999998</v>
      </c>
      <c r="J311" s="6">
        <f>SalesData_2[[#This Row],[Sales]]-SalesData_2[[#This Row],[COGS]]</f>
        <v>127.60000000000002</v>
      </c>
      <c r="K311" s="21">
        <f>SalesData_2[[#This Row],[Revenue]]/SalesData_2[[#This Row],[Sales]]</f>
        <v>0.29000000000000004</v>
      </c>
      <c r="L311" s="3" t="s">
        <v>41</v>
      </c>
      <c r="M311" s="3" t="s">
        <v>82</v>
      </c>
      <c r="N311" s="3" t="s">
        <v>86</v>
      </c>
    </row>
    <row r="312" spans="1:14" x14ac:dyDescent="0.3">
      <c r="A312" s="2">
        <v>44141</v>
      </c>
      <c r="B312" s="2">
        <v>44147</v>
      </c>
      <c r="C312">
        <v>6</v>
      </c>
      <c r="D312" s="3" t="s">
        <v>13</v>
      </c>
      <c r="E312" s="6">
        <v>445</v>
      </c>
      <c r="F312" s="6">
        <v>280.35000000000002</v>
      </c>
      <c r="G312">
        <v>8</v>
      </c>
      <c r="H312" s="6">
        <f>SalesData_2[[#This Row],[Unit Price]]*SalesData_2[[#This Row],[Units Sold]]</f>
        <v>3560</v>
      </c>
      <c r="I312" s="6">
        <f>SalesData_2[[#This Row],[Unit Cost]]*SalesData_2[[#This Row],[Units Sold]]</f>
        <v>2242.8000000000002</v>
      </c>
      <c r="J312" s="6">
        <f>SalesData_2[[#This Row],[Sales]]-SalesData_2[[#This Row],[COGS]]</f>
        <v>1317.1999999999998</v>
      </c>
      <c r="K312" s="21">
        <f>SalesData_2[[#This Row],[Revenue]]/SalesData_2[[#This Row],[Sales]]</f>
        <v>0.36999999999999994</v>
      </c>
      <c r="L312" s="3" t="s">
        <v>41</v>
      </c>
      <c r="M312" s="3" t="s">
        <v>82</v>
      </c>
      <c r="N312" s="3" t="s">
        <v>86</v>
      </c>
    </row>
    <row r="313" spans="1:14" x14ac:dyDescent="0.3">
      <c r="A313" s="2">
        <v>44142</v>
      </c>
      <c r="B313" s="2">
        <v>44145</v>
      </c>
      <c r="C313">
        <v>3</v>
      </c>
      <c r="D313" s="3" t="s">
        <v>13</v>
      </c>
      <c r="E313" s="6">
        <v>445</v>
      </c>
      <c r="F313" s="6">
        <v>280.35000000000002</v>
      </c>
      <c r="G313">
        <v>7</v>
      </c>
      <c r="H313" s="6">
        <f>SalesData_2[[#This Row],[Unit Price]]*SalesData_2[[#This Row],[Units Sold]]</f>
        <v>3115</v>
      </c>
      <c r="I313" s="6">
        <f>SalesData_2[[#This Row],[Unit Cost]]*SalesData_2[[#This Row],[Units Sold]]</f>
        <v>1962.4500000000003</v>
      </c>
      <c r="J313" s="6">
        <f>SalesData_2[[#This Row],[Sales]]-SalesData_2[[#This Row],[COGS]]</f>
        <v>1152.5499999999997</v>
      </c>
      <c r="K313" s="21">
        <f>SalesData_2[[#This Row],[Revenue]]/SalesData_2[[#This Row],[Sales]]</f>
        <v>0.36999999999999994</v>
      </c>
      <c r="L313" s="3" t="s">
        <v>42</v>
      </c>
      <c r="M313" s="3" t="s">
        <v>82</v>
      </c>
      <c r="N313" s="3" t="s">
        <v>85</v>
      </c>
    </row>
    <row r="314" spans="1:14" x14ac:dyDescent="0.3">
      <c r="A314" s="2">
        <v>44142</v>
      </c>
      <c r="B314" s="2">
        <v>44145</v>
      </c>
      <c r="C314">
        <v>3</v>
      </c>
      <c r="D314" s="3" t="s">
        <v>3</v>
      </c>
      <c r="E314" s="6">
        <v>95</v>
      </c>
      <c r="F314" s="6">
        <v>60.8</v>
      </c>
      <c r="G314">
        <v>3</v>
      </c>
      <c r="H314" s="6">
        <f>SalesData_2[[#This Row],[Unit Price]]*SalesData_2[[#This Row],[Units Sold]]</f>
        <v>285</v>
      </c>
      <c r="I314" s="6">
        <f>SalesData_2[[#This Row],[Unit Cost]]*SalesData_2[[#This Row],[Units Sold]]</f>
        <v>182.39999999999998</v>
      </c>
      <c r="J314" s="6">
        <f>SalesData_2[[#This Row],[Sales]]-SalesData_2[[#This Row],[COGS]]</f>
        <v>102.60000000000002</v>
      </c>
      <c r="K314" s="21">
        <f>SalesData_2[[#This Row],[Revenue]]/SalesData_2[[#This Row],[Sales]]</f>
        <v>0.3600000000000001</v>
      </c>
      <c r="L314" s="3" t="s">
        <v>74</v>
      </c>
      <c r="M314" s="3" t="s">
        <v>80</v>
      </c>
      <c r="N314" s="3" t="s">
        <v>85</v>
      </c>
    </row>
    <row r="315" spans="1:14" x14ac:dyDescent="0.3">
      <c r="A315" s="2">
        <v>44142</v>
      </c>
      <c r="B315" s="2">
        <v>44146</v>
      </c>
      <c r="C315">
        <v>4</v>
      </c>
      <c r="D315" s="3" t="s">
        <v>12</v>
      </c>
      <c r="E315" s="6">
        <v>320</v>
      </c>
      <c r="F315" s="6">
        <v>233.6</v>
      </c>
      <c r="G315">
        <v>5</v>
      </c>
      <c r="H315" s="6">
        <f>SalesData_2[[#This Row],[Unit Price]]*SalesData_2[[#This Row],[Units Sold]]</f>
        <v>1600</v>
      </c>
      <c r="I315" s="6">
        <f>SalesData_2[[#This Row],[Unit Cost]]*SalesData_2[[#This Row],[Units Sold]]</f>
        <v>1168</v>
      </c>
      <c r="J315" s="6">
        <f>SalesData_2[[#This Row],[Sales]]-SalesData_2[[#This Row],[COGS]]</f>
        <v>432</v>
      </c>
      <c r="K315" s="21">
        <f>SalesData_2[[#This Row],[Revenue]]/SalesData_2[[#This Row],[Sales]]</f>
        <v>0.27</v>
      </c>
      <c r="L315" s="3" t="s">
        <v>45</v>
      </c>
      <c r="M315" s="3" t="s">
        <v>80</v>
      </c>
      <c r="N315" s="3" t="s">
        <v>85</v>
      </c>
    </row>
    <row r="316" spans="1:14" x14ac:dyDescent="0.3">
      <c r="A316" s="2">
        <v>44145</v>
      </c>
      <c r="B316" s="2">
        <v>44152</v>
      </c>
      <c r="C316">
        <v>7</v>
      </c>
      <c r="D316" s="3" t="s">
        <v>13</v>
      </c>
      <c r="E316" s="6">
        <v>445</v>
      </c>
      <c r="F316" s="6">
        <v>280.35000000000002</v>
      </c>
      <c r="G316">
        <v>4</v>
      </c>
      <c r="H316" s="6">
        <f>SalesData_2[[#This Row],[Unit Price]]*SalesData_2[[#This Row],[Units Sold]]</f>
        <v>1780</v>
      </c>
      <c r="I316" s="6">
        <f>SalesData_2[[#This Row],[Unit Cost]]*SalesData_2[[#This Row],[Units Sold]]</f>
        <v>1121.4000000000001</v>
      </c>
      <c r="J316" s="6">
        <f>SalesData_2[[#This Row],[Sales]]-SalesData_2[[#This Row],[COGS]]</f>
        <v>658.59999999999991</v>
      </c>
      <c r="K316" s="21">
        <f>SalesData_2[[#This Row],[Revenue]]/SalesData_2[[#This Row],[Sales]]</f>
        <v>0.36999999999999994</v>
      </c>
      <c r="L316" s="3" t="s">
        <v>46</v>
      </c>
      <c r="M316" s="3" t="s">
        <v>80</v>
      </c>
      <c r="N316" s="3" t="s">
        <v>86</v>
      </c>
    </row>
    <row r="317" spans="1:14" x14ac:dyDescent="0.3">
      <c r="A317" s="2">
        <v>44145</v>
      </c>
      <c r="B317" s="2">
        <v>44152</v>
      </c>
      <c r="C317">
        <v>7</v>
      </c>
      <c r="D317" s="3" t="s">
        <v>14</v>
      </c>
      <c r="E317" s="6">
        <v>375</v>
      </c>
      <c r="F317" s="6">
        <v>247.5</v>
      </c>
      <c r="G317">
        <v>2</v>
      </c>
      <c r="H317" s="6">
        <f>SalesData_2[[#This Row],[Unit Price]]*SalesData_2[[#This Row],[Units Sold]]</f>
        <v>750</v>
      </c>
      <c r="I317" s="6">
        <f>SalesData_2[[#This Row],[Unit Cost]]*SalesData_2[[#This Row],[Units Sold]]</f>
        <v>495</v>
      </c>
      <c r="J317" s="6">
        <f>SalesData_2[[#This Row],[Sales]]-SalesData_2[[#This Row],[COGS]]</f>
        <v>255</v>
      </c>
      <c r="K317" s="21">
        <f>SalesData_2[[#This Row],[Revenue]]/SalesData_2[[#This Row],[Sales]]</f>
        <v>0.34</v>
      </c>
      <c r="L317" s="3" t="s">
        <v>47</v>
      </c>
      <c r="M317" s="3" t="s">
        <v>83</v>
      </c>
      <c r="N317" s="3" t="s">
        <v>85</v>
      </c>
    </row>
    <row r="318" spans="1:14" x14ac:dyDescent="0.3">
      <c r="A318" s="2">
        <v>44147</v>
      </c>
      <c r="B318" s="2">
        <v>44148</v>
      </c>
      <c r="C318">
        <v>1</v>
      </c>
      <c r="D318" s="3" t="s">
        <v>4</v>
      </c>
      <c r="E318" s="6">
        <v>390</v>
      </c>
      <c r="F318" s="6">
        <v>288.60000000000002</v>
      </c>
      <c r="G318">
        <v>7</v>
      </c>
      <c r="H318" s="6">
        <f>SalesData_2[[#This Row],[Unit Price]]*SalesData_2[[#This Row],[Units Sold]]</f>
        <v>2730</v>
      </c>
      <c r="I318" s="6">
        <f>SalesData_2[[#This Row],[Unit Cost]]*SalesData_2[[#This Row],[Units Sold]]</f>
        <v>2020.2000000000003</v>
      </c>
      <c r="J318" s="6">
        <f>SalesData_2[[#This Row],[Sales]]-SalesData_2[[#This Row],[COGS]]</f>
        <v>709.79999999999973</v>
      </c>
      <c r="K318" s="21">
        <f>SalesData_2[[#This Row],[Revenue]]/SalesData_2[[#This Row],[Sales]]</f>
        <v>0.2599999999999999</v>
      </c>
      <c r="L318" s="3" t="s">
        <v>61</v>
      </c>
      <c r="M318" s="3" t="s">
        <v>82</v>
      </c>
      <c r="N318" s="3" t="s">
        <v>85</v>
      </c>
    </row>
    <row r="319" spans="1:14" x14ac:dyDescent="0.3">
      <c r="A319" s="2">
        <v>44147</v>
      </c>
      <c r="B319" s="2">
        <v>44154</v>
      </c>
      <c r="C319">
        <v>7</v>
      </c>
      <c r="D319" s="3" t="s">
        <v>12</v>
      </c>
      <c r="E319" s="6">
        <v>320</v>
      </c>
      <c r="F319" s="6">
        <v>233.6</v>
      </c>
      <c r="G319">
        <v>3</v>
      </c>
      <c r="H319" s="6">
        <f>SalesData_2[[#This Row],[Unit Price]]*SalesData_2[[#This Row],[Units Sold]]</f>
        <v>960</v>
      </c>
      <c r="I319" s="6">
        <f>SalesData_2[[#This Row],[Unit Cost]]*SalesData_2[[#This Row],[Units Sold]]</f>
        <v>700.8</v>
      </c>
      <c r="J319" s="6">
        <f>SalesData_2[[#This Row],[Sales]]-SalesData_2[[#This Row],[COGS]]</f>
        <v>259.20000000000005</v>
      </c>
      <c r="K319" s="21">
        <f>SalesData_2[[#This Row],[Revenue]]/SalesData_2[[#This Row],[Sales]]</f>
        <v>0.27000000000000007</v>
      </c>
      <c r="L319" s="3" t="s">
        <v>75</v>
      </c>
      <c r="M319" s="3" t="s">
        <v>80</v>
      </c>
      <c r="N319" s="3" t="s">
        <v>86</v>
      </c>
    </row>
    <row r="320" spans="1:14" x14ac:dyDescent="0.3">
      <c r="A320" s="2">
        <v>44147</v>
      </c>
      <c r="B320" s="2">
        <v>44152</v>
      </c>
      <c r="C320">
        <v>5</v>
      </c>
      <c r="D320" s="3" t="s">
        <v>21</v>
      </c>
      <c r="E320" s="6">
        <v>355</v>
      </c>
      <c r="F320" s="6">
        <v>252.05</v>
      </c>
      <c r="G320">
        <v>3</v>
      </c>
      <c r="H320" s="6">
        <f>SalesData_2[[#This Row],[Unit Price]]*SalesData_2[[#This Row],[Units Sold]]</f>
        <v>1065</v>
      </c>
      <c r="I320" s="6">
        <f>SalesData_2[[#This Row],[Unit Cost]]*SalesData_2[[#This Row],[Units Sold]]</f>
        <v>756.15000000000009</v>
      </c>
      <c r="J320" s="6">
        <f>SalesData_2[[#This Row],[Sales]]-SalesData_2[[#This Row],[COGS]]</f>
        <v>308.84999999999991</v>
      </c>
      <c r="K320" s="21">
        <f>SalesData_2[[#This Row],[Revenue]]/SalesData_2[[#This Row],[Sales]]</f>
        <v>0.28999999999999992</v>
      </c>
      <c r="L320" s="3" t="s">
        <v>43</v>
      </c>
      <c r="M320" s="3" t="s">
        <v>80</v>
      </c>
      <c r="N320" s="3" t="s">
        <v>85</v>
      </c>
    </row>
    <row r="321" spans="1:14" x14ac:dyDescent="0.3">
      <c r="A321" s="2">
        <v>44147</v>
      </c>
      <c r="B321" s="2">
        <v>44153</v>
      </c>
      <c r="C321">
        <v>6</v>
      </c>
      <c r="D321" s="3" t="s">
        <v>13</v>
      </c>
      <c r="E321" s="6">
        <v>445</v>
      </c>
      <c r="F321" s="6">
        <v>280.35000000000002</v>
      </c>
      <c r="G321">
        <v>4</v>
      </c>
      <c r="H321" s="6">
        <f>SalesData_2[[#This Row],[Unit Price]]*SalesData_2[[#This Row],[Units Sold]]</f>
        <v>1780</v>
      </c>
      <c r="I321" s="6">
        <f>SalesData_2[[#This Row],[Unit Cost]]*SalesData_2[[#This Row],[Units Sold]]</f>
        <v>1121.4000000000001</v>
      </c>
      <c r="J321" s="6">
        <f>SalesData_2[[#This Row],[Sales]]-SalesData_2[[#This Row],[COGS]]</f>
        <v>658.59999999999991</v>
      </c>
      <c r="K321" s="21">
        <f>SalesData_2[[#This Row],[Revenue]]/SalesData_2[[#This Row],[Sales]]</f>
        <v>0.36999999999999994</v>
      </c>
      <c r="L321" s="3" t="s">
        <v>71</v>
      </c>
      <c r="M321" s="3" t="s">
        <v>81</v>
      </c>
      <c r="N321" s="3" t="s">
        <v>85</v>
      </c>
    </row>
    <row r="322" spans="1:14" x14ac:dyDescent="0.3">
      <c r="A322" s="2">
        <v>44148</v>
      </c>
      <c r="B322" s="2">
        <v>44150</v>
      </c>
      <c r="C322">
        <v>2</v>
      </c>
      <c r="D322" s="3" t="s">
        <v>18</v>
      </c>
      <c r="E322" s="6">
        <v>80</v>
      </c>
      <c r="F322" s="6">
        <v>48.8</v>
      </c>
      <c r="G322">
        <v>5</v>
      </c>
      <c r="H322" s="6">
        <f>SalesData_2[[#This Row],[Unit Price]]*SalesData_2[[#This Row],[Units Sold]]</f>
        <v>400</v>
      </c>
      <c r="I322" s="6">
        <f>SalesData_2[[#This Row],[Unit Cost]]*SalesData_2[[#This Row],[Units Sold]]</f>
        <v>244</v>
      </c>
      <c r="J322" s="6">
        <f>SalesData_2[[#This Row],[Sales]]-SalesData_2[[#This Row],[COGS]]</f>
        <v>156</v>
      </c>
      <c r="K322" s="21">
        <f>SalesData_2[[#This Row],[Revenue]]/SalesData_2[[#This Row],[Sales]]</f>
        <v>0.39</v>
      </c>
      <c r="L322" s="3" t="s">
        <v>39</v>
      </c>
      <c r="M322" s="3" t="s">
        <v>83</v>
      </c>
      <c r="N322" s="3" t="s">
        <v>85</v>
      </c>
    </row>
    <row r="323" spans="1:14" x14ac:dyDescent="0.3">
      <c r="A323" s="2">
        <v>44149</v>
      </c>
      <c r="B323" s="2">
        <v>44151</v>
      </c>
      <c r="C323">
        <v>2</v>
      </c>
      <c r="D323" s="3" t="s">
        <v>23</v>
      </c>
      <c r="E323" s="6">
        <v>275</v>
      </c>
      <c r="F323" s="6">
        <v>200.75</v>
      </c>
      <c r="G323">
        <v>1</v>
      </c>
      <c r="H323" s="6">
        <f>SalesData_2[[#This Row],[Unit Price]]*SalesData_2[[#This Row],[Units Sold]]</f>
        <v>275</v>
      </c>
      <c r="I323" s="6">
        <f>SalesData_2[[#This Row],[Unit Cost]]*SalesData_2[[#This Row],[Units Sold]]</f>
        <v>200.75</v>
      </c>
      <c r="J323" s="6">
        <f>SalesData_2[[#This Row],[Sales]]-SalesData_2[[#This Row],[COGS]]</f>
        <v>74.25</v>
      </c>
      <c r="K323" s="21">
        <f>SalesData_2[[#This Row],[Revenue]]/SalesData_2[[#This Row],[Sales]]</f>
        <v>0.27</v>
      </c>
      <c r="L323" s="3" t="s">
        <v>66</v>
      </c>
      <c r="M323" s="3" t="s">
        <v>79</v>
      </c>
      <c r="N323" s="3" t="s">
        <v>85</v>
      </c>
    </row>
    <row r="324" spans="1:14" x14ac:dyDescent="0.3">
      <c r="A324" s="2">
        <v>44151</v>
      </c>
      <c r="B324" s="2">
        <v>44158</v>
      </c>
      <c r="C324">
        <v>7</v>
      </c>
      <c r="D324" s="3" t="s">
        <v>4</v>
      </c>
      <c r="E324" s="6">
        <v>390</v>
      </c>
      <c r="F324" s="6">
        <v>288.60000000000002</v>
      </c>
      <c r="G324">
        <v>4</v>
      </c>
      <c r="H324" s="6">
        <f>SalesData_2[[#This Row],[Unit Price]]*SalesData_2[[#This Row],[Units Sold]]</f>
        <v>1560</v>
      </c>
      <c r="I324" s="6">
        <f>SalesData_2[[#This Row],[Unit Cost]]*SalesData_2[[#This Row],[Units Sold]]</f>
        <v>1154.4000000000001</v>
      </c>
      <c r="J324" s="6">
        <f>SalesData_2[[#This Row],[Sales]]-SalesData_2[[#This Row],[COGS]]</f>
        <v>405.59999999999991</v>
      </c>
      <c r="K324" s="21">
        <f>SalesData_2[[#This Row],[Revenue]]/SalesData_2[[#This Row],[Sales]]</f>
        <v>0.25999999999999995</v>
      </c>
      <c r="L324" s="3" t="s">
        <v>65</v>
      </c>
      <c r="M324" s="3" t="s">
        <v>83</v>
      </c>
      <c r="N324" s="3" t="s">
        <v>86</v>
      </c>
    </row>
    <row r="325" spans="1:14" x14ac:dyDescent="0.3">
      <c r="A325" s="2">
        <v>44151</v>
      </c>
      <c r="B325" s="2">
        <v>44152</v>
      </c>
      <c r="C325">
        <v>1</v>
      </c>
      <c r="D325" s="3" t="s">
        <v>16</v>
      </c>
      <c r="E325" s="6">
        <v>145</v>
      </c>
      <c r="F325" s="6">
        <v>105.85</v>
      </c>
      <c r="G325">
        <v>1</v>
      </c>
      <c r="H325" s="6">
        <f>SalesData_2[[#This Row],[Unit Price]]*SalesData_2[[#This Row],[Units Sold]]</f>
        <v>145</v>
      </c>
      <c r="I325" s="6">
        <f>SalesData_2[[#This Row],[Unit Cost]]*SalesData_2[[#This Row],[Units Sold]]</f>
        <v>105.85</v>
      </c>
      <c r="J325" s="6">
        <f>SalesData_2[[#This Row],[Sales]]-SalesData_2[[#This Row],[COGS]]</f>
        <v>39.150000000000006</v>
      </c>
      <c r="K325" s="21">
        <f>SalesData_2[[#This Row],[Revenue]]/SalesData_2[[#This Row],[Sales]]</f>
        <v>0.27</v>
      </c>
      <c r="L325" s="3" t="s">
        <v>59</v>
      </c>
      <c r="M325" s="3" t="s">
        <v>83</v>
      </c>
      <c r="N325" s="3" t="s">
        <v>86</v>
      </c>
    </row>
    <row r="326" spans="1:14" x14ac:dyDescent="0.3">
      <c r="A326" s="2">
        <v>44152</v>
      </c>
      <c r="B326" s="2">
        <v>44155</v>
      </c>
      <c r="C326">
        <v>3</v>
      </c>
      <c r="D326" s="3" t="s">
        <v>22</v>
      </c>
      <c r="E326" s="6">
        <v>460</v>
      </c>
      <c r="F326" s="6">
        <v>303.60000000000002</v>
      </c>
      <c r="G326">
        <v>8</v>
      </c>
      <c r="H326" s="6">
        <f>SalesData_2[[#This Row],[Unit Price]]*SalesData_2[[#This Row],[Units Sold]]</f>
        <v>3680</v>
      </c>
      <c r="I326" s="6">
        <f>SalesData_2[[#This Row],[Unit Cost]]*SalesData_2[[#This Row],[Units Sold]]</f>
        <v>2428.8000000000002</v>
      </c>
      <c r="J326" s="6">
        <f>SalesData_2[[#This Row],[Sales]]-SalesData_2[[#This Row],[COGS]]</f>
        <v>1251.1999999999998</v>
      </c>
      <c r="K326" s="21">
        <f>SalesData_2[[#This Row],[Revenue]]/SalesData_2[[#This Row],[Sales]]</f>
        <v>0.33999999999999997</v>
      </c>
      <c r="L326" s="3" t="s">
        <v>50</v>
      </c>
      <c r="M326" s="3" t="s">
        <v>80</v>
      </c>
      <c r="N326" s="3" t="s">
        <v>85</v>
      </c>
    </row>
    <row r="327" spans="1:14" x14ac:dyDescent="0.3">
      <c r="A327" s="2">
        <v>44153</v>
      </c>
      <c r="B327" s="2">
        <v>44160</v>
      </c>
      <c r="C327">
        <v>7</v>
      </c>
      <c r="D327" s="3" t="s">
        <v>21</v>
      </c>
      <c r="E327" s="6">
        <v>355</v>
      </c>
      <c r="F327" s="6">
        <v>252.05</v>
      </c>
      <c r="G327">
        <v>7</v>
      </c>
      <c r="H327" s="6">
        <f>SalesData_2[[#This Row],[Unit Price]]*SalesData_2[[#This Row],[Units Sold]]</f>
        <v>2485</v>
      </c>
      <c r="I327" s="6">
        <f>SalesData_2[[#This Row],[Unit Cost]]*SalesData_2[[#This Row],[Units Sold]]</f>
        <v>1764.3500000000001</v>
      </c>
      <c r="J327" s="6">
        <f>SalesData_2[[#This Row],[Sales]]-SalesData_2[[#This Row],[COGS]]</f>
        <v>720.64999999999986</v>
      </c>
      <c r="K327" s="21">
        <f>SalesData_2[[#This Row],[Revenue]]/SalesData_2[[#This Row],[Sales]]</f>
        <v>0.28999999999999992</v>
      </c>
      <c r="L327" s="3" t="s">
        <v>70</v>
      </c>
      <c r="M327" s="3" t="s">
        <v>79</v>
      </c>
      <c r="N327" s="3" t="s">
        <v>85</v>
      </c>
    </row>
    <row r="328" spans="1:14" x14ac:dyDescent="0.3">
      <c r="A328" s="2">
        <v>44153</v>
      </c>
      <c r="B328" s="2">
        <v>44158</v>
      </c>
      <c r="C328">
        <v>5</v>
      </c>
      <c r="D328" s="3" t="s">
        <v>13</v>
      </c>
      <c r="E328" s="6">
        <v>445</v>
      </c>
      <c r="F328" s="6">
        <v>280.35000000000002</v>
      </c>
      <c r="G328">
        <v>3</v>
      </c>
      <c r="H328" s="6">
        <f>SalesData_2[[#This Row],[Unit Price]]*SalesData_2[[#This Row],[Units Sold]]</f>
        <v>1335</v>
      </c>
      <c r="I328" s="6">
        <f>SalesData_2[[#This Row],[Unit Cost]]*SalesData_2[[#This Row],[Units Sold]]</f>
        <v>841.05000000000007</v>
      </c>
      <c r="J328" s="6">
        <f>SalesData_2[[#This Row],[Sales]]-SalesData_2[[#This Row],[COGS]]</f>
        <v>493.94999999999993</v>
      </c>
      <c r="K328" s="21">
        <f>SalesData_2[[#This Row],[Revenue]]/SalesData_2[[#This Row],[Sales]]</f>
        <v>0.36999999999999994</v>
      </c>
      <c r="L328" s="3" t="s">
        <v>41</v>
      </c>
      <c r="M328" s="3" t="s">
        <v>82</v>
      </c>
      <c r="N328" s="3" t="s">
        <v>86</v>
      </c>
    </row>
    <row r="329" spans="1:14" x14ac:dyDescent="0.3">
      <c r="A329" s="2">
        <v>44153</v>
      </c>
      <c r="B329" s="2">
        <v>44160</v>
      </c>
      <c r="C329">
        <v>7</v>
      </c>
      <c r="D329" s="3" t="s">
        <v>4</v>
      </c>
      <c r="E329" s="6">
        <v>390</v>
      </c>
      <c r="F329" s="6">
        <v>288.60000000000002</v>
      </c>
      <c r="G329">
        <v>9</v>
      </c>
      <c r="H329" s="6">
        <f>SalesData_2[[#This Row],[Unit Price]]*SalesData_2[[#This Row],[Units Sold]]</f>
        <v>3510</v>
      </c>
      <c r="I329" s="6">
        <f>SalesData_2[[#This Row],[Unit Cost]]*SalesData_2[[#This Row],[Units Sold]]</f>
        <v>2597.4</v>
      </c>
      <c r="J329" s="6">
        <f>SalesData_2[[#This Row],[Sales]]-SalesData_2[[#This Row],[COGS]]</f>
        <v>912.59999999999991</v>
      </c>
      <c r="K329" s="21">
        <f>SalesData_2[[#This Row],[Revenue]]/SalesData_2[[#This Row],[Sales]]</f>
        <v>0.25999999999999995</v>
      </c>
      <c r="L329" s="3" t="s">
        <v>61</v>
      </c>
      <c r="M329" s="3" t="s">
        <v>80</v>
      </c>
      <c r="N329" s="3" t="s">
        <v>85</v>
      </c>
    </row>
    <row r="330" spans="1:14" x14ac:dyDescent="0.3">
      <c r="A330" s="2">
        <v>44155</v>
      </c>
      <c r="B330" s="2">
        <v>44162</v>
      </c>
      <c r="C330">
        <v>7</v>
      </c>
      <c r="D330" s="3" t="s">
        <v>17</v>
      </c>
      <c r="E330" s="6">
        <v>195</v>
      </c>
      <c r="F330" s="6">
        <v>138.44999999999999</v>
      </c>
      <c r="G330">
        <v>2</v>
      </c>
      <c r="H330" s="6">
        <f>SalesData_2[[#This Row],[Unit Price]]*SalesData_2[[#This Row],[Units Sold]]</f>
        <v>390</v>
      </c>
      <c r="I330" s="6">
        <f>SalesData_2[[#This Row],[Unit Cost]]*SalesData_2[[#This Row],[Units Sold]]</f>
        <v>276.89999999999998</v>
      </c>
      <c r="J330" s="6">
        <f>SalesData_2[[#This Row],[Sales]]-SalesData_2[[#This Row],[COGS]]</f>
        <v>113.10000000000002</v>
      </c>
      <c r="K330" s="21">
        <f>SalesData_2[[#This Row],[Revenue]]/SalesData_2[[#This Row],[Sales]]</f>
        <v>0.29000000000000004</v>
      </c>
      <c r="L330" s="3" t="s">
        <v>74</v>
      </c>
      <c r="M330" s="3" t="s">
        <v>79</v>
      </c>
      <c r="N330" s="3" t="s">
        <v>86</v>
      </c>
    </row>
    <row r="331" spans="1:14" x14ac:dyDescent="0.3">
      <c r="A331" s="2">
        <v>44156</v>
      </c>
      <c r="B331" s="2">
        <v>44162</v>
      </c>
      <c r="C331">
        <v>6</v>
      </c>
      <c r="D331" s="3" t="s">
        <v>16</v>
      </c>
      <c r="E331" s="6">
        <v>145</v>
      </c>
      <c r="F331" s="6">
        <v>105.85</v>
      </c>
      <c r="G331">
        <v>3</v>
      </c>
      <c r="H331" s="6">
        <f>SalesData_2[[#This Row],[Unit Price]]*SalesData_2[[#This Row],[Units Sold]]</f>
        <v>435</v>
      </c>
      <c r="I331" s="6">
        <f>SalesData_2[[#This Row],[Unit Cost]]*SalesData_2[[#This Row],[Units Sold]]</f>
        <v>317.54999999999995</v>
      </c>
      <c r="J331" s="6">
        <f>SalesData_2[[#This Row],[Sales]]-SalesData_2[[#This Row],[COGS]]</f>
        <v>117.45000000000005</v>
      </c>
      <c r="K331" s="21">
        <f>SalesData_2[[#This Row],[Revenue]]/SalesData_2[[#This Row],[Sales]]</f>
        <v>0.27000000000000013</v>
      </c>
      <c r="L331" s="3" t="s">
        <v>68</v>
      </c>
      <c r="M331" s="3" t="s">
        <v>80</v>
      </c>
      <c r="N331" s="3" t="s">
        <v>85</v>
      </c>
    </row>
    <row r="332" spans="1:14" x14ac:dyDescent="0.3">
      <c r="A332" s="2">
        <v>44158</v>
      </c>
      <c r="B332" s="2">
        <v>44161</v>
      </c>
      <c r="C332">
        <v>3</v>
      </c>
      <c r="D332" s="3" t="s">
        <v>5</v>
      </c>
      <c r="E332" s="6">
        <v>290</v>
      </c>
      <c r="F332" s="6">
        <v>185.6</v>
      </c>
      <c r="G332">
        <v>5</v>
      </c>
      <c r="H332" s="6">
        <f>SalesData_2[[#This Row],[Unit Price]]*SalesData_2[[#This Row],[Units Sold]]</f>
        <v>1450</v>
      </c>
      <c r="I332" s="6">
        <f>SalesData_2[[#This Row],[Unit Cost]]*SalesData_2[[#This Row],[Units Sold]]</f>
        <v>928</v>
      </c>
      <c r="J332" s="6">
        <f>SalesData_2[[#This Row],[Sales]]-SalesData_2[[#This Row],[COGS]]</f>
        <v>522</v>
      </c>
      <c r="K332" s="21">
        <f>SalesData_2[[#This Row],[Revenue]]/SalesData_2[[#This Row],[Sales]]</f>
        <v>0.36</v>
      </c>
      <c r="L332" s="3" t="s">
        <v>75</v>
      </c>
      <c r="M332" s="3" t="s">
        <v>82</v>
      </c>
      <c r="N332" s="3" t="s">
        <v>86</v>
      </c>
    </row>
    <row r="333" spans="1:14" x14ac:dyDescent="0.3">
      <c r="A333" s="2">
        <v>44158</v>
      </c>
      <c r="B333" s="2">
        <v>44159</v>
      </c>
      <c r="C333">
        <v>1</v>
      </c>
      <c r="D333" s="3" t="s">
        <v>5</v>
      </c>
      <c r="E333" s="6">
        <v>290</v>
      </c>
      <c r="F333" s="6">
        <v>185.6</v>
      </c>
      <c r="G333">
        <v>6</v>
      </c>
      <c r="H333" s="6">
        <f>SalesData_2[[#This Row],[Unit Price]]*SalesData_2[[#This Row],[Units Sold]]</f>
        <v>1740</v>
      </c>
      <c r="I333" s="6">
        <f>SalesData_2[[#This Row],[Unit Cost]]*SalesData_2[[#This Row],[Units Sold]]</f>
        <v>1113.5999999999999</v>
      </c>
      <c r="J333" s="6">
        <f>SalesData_2[[#This Row],[Sales]]-SalesData_2[[#This Row],[COGS]]</f>
        <v>626.40000000000009</v>
      </c>
      <c r="K333" s="21">
        <f>SalesData_2[[#This Row],[Revenue]]/SalesData_2[[#This Row],[Sales]]</f>
        <v>0.36000000000000004</v>
      </c>
      <c r="L333" s="3" t="s">
        <v>68</v>
      </c>
      <c r="M333" s="3" t="s">
        <v>79</v>
      </c>
      <c r="N333" s="3" t="s">
        <v>86</v>
      </c>
    </row>
    <row r="334" spans="1:14" x14ac:dyDescent="0.3">
      <c r="A334" s="2">
        <v>44160</v>
      </c>
      <c r="B334" s="2">
        <v>44165</v>
      </c>
      <c r="C334">
        <v>5</v>
      </c>
      <c r="D334" s="3" t="s">
        <v>14</v>
      </c>
      <c r="E334" s="6">
        <v>375</v>
      </c>
      <c r="F334" s="6">
        <v>247.5</v>
      </c>
      <c r="G334">
        <v>4</v>
      </c>
      <c r="H334" s="6">
        <f>SalesData_2[[#This Row],[Unit Price]]*SalesData_2[[#This Row],[Units Sold]]</f>
        <v>1500</v>
      </c>
      <c r="I334" s="6">
        <f>SalesData_2[[#This Row],[Unit Cost]]*SalesData_2[[#This Row],[Units Sold]]</f>
        <v>990</v>
      </c>
      <c r="J334" s="6">
        <f>SalesData_2[[#This Row],[Sales]]-SalesData_2[[#This Row],[COGS]]</f>
        <v>510</v>
      </c>
      <c r="K334" s="21">
        <f>SalesData_2[[#This Row],[Revenue]]/SalesData_2[[#This Row],[Sales]]</f>
        <v>0.34</v>
      </c>
      <c r="L334" s="3" t="s">
        <v>44</v>
      </c>
      <c r="M334" s="3" t="s">
        <v>80</v>
      </c>
      <c r="N334" s="3" t="s">
        <v>85</v>
      </c>
    </row>
    <row r="335" spans="1:14" x14ac:dyDescent="0.3">
      <c r="A335" s="2">
        <v>44160</v>
      </c>
      <c r="B335" s="2">
        <v>44163</v>
      </c>
      <c r="C335">
        <v>3</v>
      </c>
      <c r="D335" s="3" t="s">
        <v>14</v>
      </c>
      <c r="E335" s="6">
        <v>375</v>
      </c>
      <c r="F335" s="6">
        <v>247.5</v>
      </c>
      <c r="G335">
        <v>5</v>
      </c>
      <c r="H335" s="6">
        <f>SalesData_2[[#This Row],[Unit Price]]*SalesData_2[[#This Row],[Units Sold]]</f>
        <v>1875</v>
      </c>
      <c r="I335" s="6">
        <f>SalesData_2[[#This Row],[Unit Cost]]*SalesData_2[[#This Row],[Units Sold]]</f>
        <v>1237.5</v>
      </c>
      <c r="J335" s="6">
        <f>SalesData_2[[#This Row],[Sales]]-SalesData_2[[#This Row],[COGS]]</f>
        <v>637.5</v>
      </c>
      <c r="K335" s="21">
        <f>SalesData_2[[#This Row],[Revenue]]/SalesData_2[[#This Row],[Sales]]</f>
        <v>0.34</v>
      </c>
      <c r="L335" s="3" t="s">
        <v>57</v>
      </c>
      <c r="M335" s="3" t="s">
        <v>80</v>
      </c>
      <c r="N335" s="3" t="s">
        <v>85</v>
      </c>
    </row>
    <row r="336" spans="1:14" x14ac:dyDescent="0.3">
      <c r="A336" s="2">
        <v>44162</v>
      </c>
      <c r="B336" s="2">
        <v>44169</v>
      </c>
      <c r="C336">
        <v>7</v>
      </c>
      <c r="D336" s="3" t="s">
        <v>7</v>
      </c>
      <c r="E336" s="6">
        <v>250</v>
      </c>
      <c r="F336" s="6">
        <v>167.5</v>
      </c>
      <c r="G336">
        <v>4</v>
      </c>
      <c r="H336" s="6">
        <f>SalesData_2[[#This Row],[Unit Price]]*SalesData_2[[#This Row],[Units Sold]]</f>
        <v>1000</v>
      </c>
      <c r="I336" s="6">
        <f>SalesData_2[[#This Row],[Unit Cost]]*SalesData_2[[#This Row],[Units Sold]]</f>
        <v>670</v>
      </c>
      <c r="J336" s="6">
        <f>SalesData_2[[#This Row],[Sales]]-SalesData_2[[#This Row],[COGS]]</f>
        <v>330</v>
      </c>
      <c r="K336" s="21">
        <f>SalesData_2[[#This Row],[Revenue]]/SalesData_2[[#This Row],[Sales]]</f>
        <v>0.33</v>
      </c>
      <c r="L336" s="3" t="s">
        <v>43</v>
      </c>
      <c r="M336" s="3" t="s">
        <v>79</v>
      </c>
      <c r="N336" s="3" t="s">
        <v>86</v>
      </c>
    </row>
    <row r="337" spans="1:14" x14ac:dyDescent="0.3">
      <c r="A337" s="2">
        <v>44165</v>
      </c>
      <c r="B337" s="2">
        <v>44170</v>
      </c>
      <c r="C337">
        <v>5</v>
      </c>
      <c r="D337" s="3" t="s">
        <v>13</v>
      </c>
      <c r="E337" s="6">
        <v>445</v>
      </c>
      <c r="F337" s="6">
        <v>280.35000000000002</v>
      </c>
      <c r="G337">
        <v>1</v>
      </c>
      <c r="H337" s="6">
        <f>SalesData_2[[#This Row],[Unit Price]]*SalesData_2[[#This Row],[Units Sold]]</f>
        <v>445</v>
      </c>
      <c r="I337" s="6">
        <f>SalesData_2[[#This Row],[Unit Cost]]*SalesData_2[[#This Row],[Units Sold]]</f>
        <v>280.35000000000002</v>
      </c>
      <c r="J337" s="6">
        <f>SalesData_2[[#This Row],[Sales]]-SalesData_2[[#This Row],[COGS]]</f>
        <v>164.64999999999998</v>
      </c>
      <c r="K337" s="21">
        <f>SalesData_2[[#This Row],[Revenue]]/SalesData_2[[#This Row],[Sales]]</f>
        <v>0.36999999999999994</v>
      </c>
      <c r="L337" s="3" t="s">
        <v>70</v>
      </c>
      <c r="M337" s="3" t="s">
        <v>83</v>
      </c>
      <c r="N337" s="3" t="s">
        <v>86</v>
      </c>
    </row>
    <row r="338" spans="1:14" x14ac:dyDescent="0.3">
      <c r="A338" s="2">
        <v>44166</v>
      </c>
      <c r="B338" s="2">
        <v>44169</v>
      </c>
      <c r="C338">
        <v>3</v>
      </c>
      <c r="D338" s="3" t="s">
        <v>5</v>
      </c>
      <c r="E338" s="6">
        <v>290</v>
      </c>
      <c r="F338" s="6">
        <v>185.6</v>
      </c>
      <c r="G338">
        <v>9</v>
      </c>
      <c r="H338" s="6">
        <f>SalesData_2[[#This Row],[Unit Price]]*SalesData_2[[#This Row],[Units Sold]]</f>
        <v>2610</v>
      </c>
      <c r="I338" s="6">
        <f>SalesData_2[[#This Row],[Unit Cost]]*SalesData_2[[#This Row],[Units Sold]]</f>
        <v>1670.3999999999999</v>
      </c>
      <c r="J338" s="6">
        <f>SalesData_2[[#This Row],[Sales]]-SalesData_2[[#This Row],[COGS]]</f>
        <v>939.60000000000014</v>
      </c>
      <c r="K338" s="21">
        <f>SalesData_2[[#This Row],[Revenue]]/SalesData_2[[#This Row],[Sales]]</f>
        <v>0.36000000000000004</v>
      </c>
      <c r="L338" s="3" t="s">
        <v>51</v>
      </c>
      <c r="M338" s="3" t="s">
        <v>80</v>
      </c>
      <c r="N338" s="3" t="s">
        <v>86</v>
      </c>
    </row>
    <row r="339" spans="1:14" x14ac:dyDescent="0.3">
      <c r="A339" s="2">
        <v>44167</v>
      </c>
      <c r="B339" s="2">
        <v>44169</v>
      </c>
      <c r="C339">
        <v>2</v>
      </c>
      <c r="D339" s="3" t="s">
        <v>4</v>
      </c>
      <c r="E339" s="6">
        <v>390</v>
      </c>
      <c r="F339" s="6">
        <v>288.60000000000002</v>
      </c>
      <c r="G339">
        <v>2</v>
      </c>
      <c r="H339" s="6">
        <f>SalesData_2[[#This Row],[Unit Price]]*SalesData_2[[#This Row],[Units Sold]]</f>
        <v>780</v>
      </c>
      <c r="I339" s="6">
        <f>SalesData_2[[#This Row],[Unit Cost]]*SalesData_2[[#This Row],[Units Sold]]</f>
        <v>577.20000000000005</v>
      </c>
      <c r="J339" s="6">
        <f>SalesData_2[[#This Row],[Sales]]-SalesData_2[[#This Row],[COGS]]</f>
        <v>202.79999999999995</v>
      </c>
      <c r="K339" s="21">
        <f>SalesData_2[[#This Row],[Revenue]]/SalesData_2[[#This Row],[Sales]]</f>
        <v>0.25999999999999995</v>
      </c>
      <c r="L339" s="3" t="s">
        <v>33</v>
      </c>
      <c r="M339" s="3" t="s">
        <v>82</v>
      </c>
      <c r="N339" s="3" t="s">
        <v>86</v>
      </c>
    </row>
    <row r="340" spans="1:14" x14ac:dyDescent="0.3">
      <c r="A340" s="2">
        <v>44169</v>
      </c>
      <c r="B340" s="2">
        <v>44171</v>
      </c>
      <c r="C340">
        <v>2</v>
      </c>
      <c r="D340" s="3" t="s">
        <v>13</v>
      </c>
      <c r="E340" s="6">
        <v>445</v>
      </c>
      <c r="F340" s="6">
        <v>280.35000000000002</v>
      </c>
      <c r="G340">
        <v>4</v>
      </c>
      <c r="H340" s="6">
        <f>SalesData_2[[#This Row],[Unit Price]]*SalesData_2[[#This Row],[Units Sold]]</f>
        <v>1780</v>
      </c>
      <c r="I340" s="6">
        <f>SalesData_2[[#This Row],[Unit Cost]]*SalesData_2[[#This Row],[Units Sold]]</f>
        <v>1121.4000000000001</v>
      </c>
      <c r="J340" s="6">
        <f>SalesData_2[[#This Row],[Sales]]-SalesData_2[[#This Row],[COGS]]</f>
        <v>658.59999999999991</v>
      </c>
      <c r="K340" s="21">
        <f>SalesData_2[[#This Row],[Revenue]]/SalesData_2[[#This Row],[Sales]]</f>
        <v>0.36999999999999994</v>
      </c>
      <c r="L340" s="3" t="s">
        <v>66</v>
      </c>
      <c r="M340" s="3" t="s">
        <v>79</v>
      </c>
      <c r="N340" s="3" t="s">
        <v>85</v>
      </c>
    </row>
    <row r="341" spans="1:14" x14ac:dyDescent="0.3">
      <c r="A341" s="2">
        <v>44170</v>
      </c>
      <c r="B341" s="2">
        <v>44177</v>
      </c>
      <c r="C341">
        <v>7</v>
      </c>
      <c r="D341" s="3" t="s">
        <v>7</v>
      </c>
      <c r="E341" s="6">
        <v>250</v>
      </c>
      <c r="F341" s="6">
        <v>167.5</v>
      </c>
      <c r="G341">
        <v>8</v>
      </c>
      <c r="H341" s="6">
        <f>SalesData_2[[#This Row],[Unit Price]]*SalesData_2[[#This Row],[Units Sold]]</f>
        <v>2000</v>
      </c>
      <c r="I341" s="6">
        <f>SalesData_2[[#This Row],[Unit Cost]]*SalesData_2[[#This Row],[Units Sold]]</f>
        <v>1340</v>
      </c>
      <c r="J341" s="6">
        <f>SalesData_2[[#This Row],[Sales]]-SalesData_2[[#This Row],[COGS]]</f>
        <v>660</v>
      </c>
      <c r="K341" s="21">
        <f>SalesData_2[[#This Row],[Revenue]]/SalesData_2[[#This Row],[Sales]]</f>
        <v>0.33</v>
      </c>
      <c r="L341" s="3" t="s">
        <v>38</v>
      </c>
      <c r="M341" s="3" t="s">
        <v>82</v>
      </c>
      <c r="N341" s="3" t="s">
        <v>86</v>
      </c>
    </row>
    <row r="342" spans="1:14" x14ac:dyDescent="0.3">
      <c r="A342" s="2">
        <v>44175</v>
      </c>
      <c r="B342" s="2">
        <v>44179</v>
      </c>
      <c r="C342">
        <v>4</v>
      </c>
      <c r="D342" s="3" t="s">
        <v>8</v>
      </c>
      <c r="E342" s="6">
        <v>59</v>
      </c>
      <c r="F342" s="6">
        <v>41.3</v>
      </c>
      <c r="G342">
        <v>3</v>
      </c>
      <c r="H342" s="6">
        <f>SalesData_2[[#This Row],[Unit Price]]*SalesData_2[[#This Row],[Units Sold]]</f>
        <v>177</v>
      </c>
      <c r="I342" s="6">
        <f>SalesData_2[[#This Row],[Unit Cost]]*SalesData_2[[#This Row],[Units Sold]]</f>
        <v>123.89999999999999</v>
      </c>
      <c r="J342" s="6">
        <f>SalesData_2[[#This Row],[Sales]]-SalesData_2[[#This Row],[COGS]]</f>
        <v>53.100000000000009</v>
      </c>
      <c r="K342" s="21">
        <f>SalesData_2[[#This Row],[Revenue]]/SalesData_2[[#This Row],[Sales]]</f>
        <v>0.30000000000000004</v>
      </c>
      <c r="L342" s="3" t="s">
        <v>34</v>
      </c>
      <c r="M342" s="3" t="s">
        <v>82</v>
      </c>
      <c r="N342" s="3" t="s">
        <v>86</v>
      </c>
    </row>
    <row r="343" spans="1:14" x14ac:dyDescent="0.3">
      <c r="A343" s="2">
        <v>44175</v>
      </c>
      <c r="B343" s="2">
        <v>44182</v>
      </c>
      <c r="C343">
        <v>7</v>
      </c>
      <c r="D343" s="3" t="s">
        <v>23</v>
      </c>
      <c r="E343" s="6">
        <v>275</v>
      </c>
      <c r="F343" s="6">
        <v>200.75</v>
      </c>
      <c r="G343">
        <v>9</v>
      </c>
      <c r="H343" s="6">
        <f>SalesData_2[[#This Row],[Unit Price]]*SalesData_2[[#This Row],[Units Sold]]</f>
        <v>2475</v>
      </c>
      <c r="I343" s="6">
        <f>SalesData_2[[#This Row],[Unit Cost]]*SalesData_2[[#This Row],[Units Sold]]</f>
        <v>1806.75</v>
      </c>
      <c r="J343" s="6">
        <f>SalesData_2[[#This Row],[Sales]]-SalesData_2[[#This Row],[COGS]]</f>
        <v>668.25</v>
      </c>
      <c r="K343" s="21">
        <f>SalesData_2[[#This Row],[Revenue]]/SalesData_2[[#This Row],[Sales]]</f>
        <v>0.27</v>
      </c>
      <c r="L343" s="3" t="s">
        <v>51</v>
      </c>
      <c r="M343" s="3" t="s">
        <v>82</v>
      </c>
      <c r="N343" s="3" t="s">
        <v>85</v>
      </c>
    </row>
    <row r="344" spans="1:14" x14ac:dyDescent="0.3">
      <c r="A344" s="2">
        <v>44176</v>
      </c>
      <c r="B344" s="2">
        <v>44182</v>
      </c>
      <c r="C344">
        <v>6</v>
      </c>
      <c r="D344" s="3" t="s">
        <v>4</v>
      </c>
      <c r="E344" s="6">
        <v>390</v>
      </c>
      <c r="F344" s="6">
        <v>288.60000000000002</v>
      </c>
      <c r="G344">
        <v>7</v>
      </c>
      <c r="H344" s="6">
        <f>SalesData_2[[#This Row],[Unit Price]]*SalesData_2[[#This Row],[Units Sold]]</f>
        <v>2730</v>
      </c>
      <c r="I344" s="6">
        <f>SalesData_2[[#This Row],[Unit Cost]]*SalesData_2[[#This Row],[Units Sold]]</f>
        <v>2020.2000000000003</v>
      </c>
      <c r="J344" s="6">
        <f>SalesData_2[[#This Row],[Sales]]-SalesData_2[[#This Row],[COGS]]</f>
        <v>709.79999999999973</v>
      </c>
      <c r="K344" s="21">
        <f>SalesData_2[[#This Row],[Revenue]]/SalesData_2[[#This Row],[Sales]]</f>
        <v>0.2599999999999999</v>
      </c>
      <c r="L344" s="3" t="s">
        <v>75</v>
      </c>
      <c r="M344" s="3" t="s">
        <v>79</v>
      </c>
      <c r="N344" s="3" t="s">
        <v>86</v>
      </c>
    </row>
    <row r="345" spans="1:14" x14ac:dyDescent="0.3">
      <c r="A345" s="2">
        <v>44178</v>
      </c>
      <c r="B345" s="2">
        <v>44183</v>
      </c>
      <c r="C345">
        <v>5</v>
      </c>
      <c r="D345" s="3" t="s">
        <v>5</v>
      </c>
      <c r="E345" s="6">
        <v>290</v>
      </c>
      <c r="F345" s="6">
        <v>185.6</v>
      </c>
      <c r="G345">
        <v>7</v>
      </c>
      <c r="H345" s="6">
        <f>SalesData_2[[#This Row],[Unit Price]]*SalesData_2[[#This Row],[Units Sold]]</f>
        <v>2030</v>
      </c>
      <c r="I345" s="6">
        <f>SalesData_2[[#This Row],[Unit Cost]]*SalesData_2[[#This Row],[Units Sold]]</f>
        <v>1299.2</v>
      </c>
      <c r="J345" s="6">
        <f>SalesData_2[[#This Row],[Sales]]-SalesData_2[[#This Row],[COGS]]</f>
        <v>730.8</v>
      </c>
      <c r="K345" s="21">
        <f>SalesData_2[[#This Row],[Revenue]]/SalesData_2[[#This Row],[Sales]]</f>
        <v>0.36</v>
      </c>
      <c r="L345" s="3" t="s">
        <v>41</v>
      </c>
      <c r="M345" s="3" t="s">
        <v>82</v>
      </c>
      <c r="N345" s="3" t="s">
        <v>86</v>
      </c>
    </row>
    <row r="346" spans="1:14" x14ac:dyDescent="0.3">
      <c r="A346" s="2">
        <v>44179</v>
      </c>
      <c r="B346" s="2">
        <v>44181</v>
      </c>
      <c r="C346">
        <v>2</v>
      </c>
      <c r="D346" s="3" t="s">
        <v>16</v>
      </c>
      <c r="E346" s="6">
        <v>145</v>
      </c>
      <c r="F346" s="6">
        <v>105.85</v>
      </c>
      <c r="G346">
        <v>1</v>
      </c>
      <c r="H346" s="6">
        <f>SalesData_2[[#This Row],[Unit Price]]*SalesData_2[[#This Row],[Units Sold]]</f>
        <v>145</v>
      </c>
      <c r="I346" s="6">
        <f>SalesData_2[[#This Row],[Unit Cost]]*SalesData_2[[#This Row],[Units Sold]]</f>
        <v>105.85</v>
      </c>
      <c r="J346" s="6">
        <f>SalesData_2[[#This Row],[Sales]]-SalesData_2[[#This Row],[COGS]]</f>
        <v>39.150000000000006</v>
      </c>
      <c r="K346" s="21">
        <f>SalesData_2[[#This Row],[Revenue]]/SalesData_2[[#This Row],[Sales]]</f>
        <v>0.27</v>
      </c>
      <c r="L346" s="3" t="s">
        <v>48</v>
      </c>
      <c r="M346" s="3" t="s">
        <v>82</v>
      </c>
      <c r="N346" s="3" t="s">
        <v>85</v>
      </c>
    </row>
    <row r="347" spans="1:14" x14ac:dyDescent="0.3">
      <c r="A347" s="2">
        <v>44182</v>
      </c>
      <c r="B347" s="2">
        <v>44185</v>
      </c>
      <c r="C347">
        <v>3</v>
      </c>
      <c r="D347" s="3" t="s">
        <v>7</v>
      </c>
      <c r="E347" s="6">
        <v>250</v>
      </c>
      <c r="F347" s="6">
        <v>167.5</v>
      </c>
      <c r="G347">
        <v>5</v>
      </c>
      <c r="H347" s="6">
        <f>SalesData_2[[#This Row],[Unit Price]]*SalesData_2[[#This Row],[Units Sold]]</f>
        <v>1250</v>
      </c>
      <c r="I347" s="6">
        <f>SalesData_2[[#This Row],[Unit Cost]]*SalesData_2[[#This Row],[Units Sold]]</f>
        <v>837.5</v>
      </c>
      <c r="J347" s="6">
        <f>SalesData_2[[#This Row],[Sales]]-SalesData_2[[#This Row],[COGS]]</f>
        <v>412.5</v>
      </c>
      <c r="K347" s="21">
        <f>SalesData_2[[#This Row],[Revenue]]/SalesData_2[[#This Row],[Sales]]</f>
        <v>0.33</v>
      </c>
      <c r="L347" s="3" t="s">
        <v>43</v>
      </c>
      <c r="M347" s="3" t="s">
        <v>79</v>
      </c>
      <c r="N347" s="3" t="s">
        <v>86</v>
      </c>
    </row>
    <row r="348" spans="1:14" x14ac:dyDescent="0.3">
      <c r="A348" s="2">
        <v>44183</v>
      </c>
      <c r="B348" s="2">
        <v>44185</v>
      </c>
      <c r="C348">
        <v>2</v>
      </c>
      <c r="D348" s="3" t="s">
        <v>7</v>
      </c>
      <c r="E348" s="6">
        <v>250</v>
      </c>
      <c r="F348" s="6">
        <v>167.5</v>
      </c>
      <c r="G348">
        <v>9</v>
      </c>
      <c r="H348" s="6">
        <f>SalesData_2[[#This Row],[Unit Price]]*SalesData_2[[#This Row],[Units Sold]]</f>
        <v>2250</v>
      </c>
      <c r="I348" s="6">
        <f>SalesData_2[[#This Row],[Unit Cost]]*SalesData_2[[#This Row],[Units Sold]]</f>
        <v>1507.5</v>
      </c>
      <c r="J348" s="6">
        <f>SalesData_2[[#This Row],[Sales]]-SalesData_2[[#This Row],[COGS]]</f>
        <v>742.5</v>
      </c>
      <c r="K348" s="21">
        <f>SalesData_2[[#This Row],[Revenue]]/SalesData_2[[#This Row],[Sales]]</f>
        <v>0.33</v>
      </c>
      <c r="L348" s="3" t="s">
        <v>76</v>
      </c>
      <c r="M348" s="3" t="s">
        <v>80</v>
      </c>
      <c r="N348" s="3" t="s">
        <v>85</v>
      </c>
    </row>
    <row r="349" spans="1:14" x14ac:dyDescent="0.3">
      <c r="A349" s="2">
        <v>44185</v>
      </c>
      <c r="B349" s="2">
        <v>44191</v>
      </c>
      <c r="C349">
        <v>6</v>
      </c>
      <c r="D349" s="3" t="s">
        <v>7</v>
      </c>
      <c r="E349" s="6">
        <v>250</v>
      </c>
      <c r="F349" s="6">
        <v>167.5</v>
      </c>
      <c r="G349">
        <v>5</v>
      </c>
      <c r="H349" s="6">
        <f>SalesData_2[[#This Row],[Unit Price]]*SalesData_2[[#This Row],[Units Sold]]</f>
        <v>1250</v>
      </c>
      <c r="I349" s="6">
        <f>SalesData_2[[#This Row],[Unit Cost]]*SalesData_2[[#This Row],[Units Sold]]</f>
        <v>837.5</v>
      </c>
      <c r="J349" s="6">
        <f>SalesData_2[[#This Row],[Sales]]-SalesData_2[[#This Row],[COGS]]</f>
        <v>412.5</v>
      </c>
      <c r="K349" s="21">
        <f>SalesData_2[[#This Row],[Revenue]]/SalesData_2[[#This Row],[Sales]]</f>
        <v>0.33</v>
      </c>
      <c r="L349" s="3" t="s">
        <v>69</v>
      </c>
      <c r="M349" s="3" t="s">
        <v>83</v>
      </c>
      <c r="N349" s="3" t="s">
        <v>86</v>
      </c>
    </row>
    <row r="350" spans="1:14" x14ac:dyDescent="0.3">
      <c r="A350" s="2">
        <v>44186</v>
      </c>
      <c r="B350" s="2">
        <v>44187</v>
      </c>
      <c r="C350">
        <v>1</v>
      </c>
      <c r="D350" s="3" t="s">
        <v>15</v>
      </c>
      <c r="E350" s="6">
        <v>110</v>
      </c>
      <c r="F350" s="6">
        <v>78.099999999999994</v>
      </c>
      <c r="G350">
        <v>1</v>
      </c>
      <c r="H350" s="6">
        <f>SalesData_2[[#This Row],[Unit Price]]*SalesData_2[[#This Row],[Units Sold]]</f>
        <v>110</v>
      </c>
      <c r="I350" s="6">
        <f>SalesData_2[[#This Row],[Unit Cost]]*SalesData_2[[#This Row],[Units Sold]]</f>
        <v>78.099999999999994</v>
      </c>
      <c r="J350" s="6">
        <f>SalesData_2[[#This Row],[Sales]]-SalesData_2[[#This Row],[COGS]]</f>
        <v>31.900000000000006</v>
      </c>
      <c r="K350" s="21">
        <f>SalesData_2[[#This Row],[Revenue]]/SalesData_2[[#This Row],[Sales]]</f>
        <v>0.29000000000000004</v>
      </c>
      <c r="L350" s="3" t="s">
        <v>33</v>
      </c>
      <c r="M350" s="3" t="s">
        <v>82</v>
      </c>
      <c r="N350" s="3" t="s">
        <v>86</v>
      </c>
    </row>
    <row r="351" spans="1:14" x14ac:dyDescent="0.3">
      <c r="A351" s="2">
        <v>44188</v>
      </c>
      <c r="B351" s="2">
        <v>44195</v>
      </c>
      <c r="C351">
        <v>7</v>
      </c>
      <c r="D351" s="3" t="s">
        <v>20</v>
      </c>
      <c r="E351" s="6">
        <v>440</v>
      </c>
      <c r="F351" s="6">
        <v>286</v>
      </c>
      <c r="G351">
        <v>9</v>
      </c>
      <c r="H351" s="6">
        <f>SalesData_2[[#This Row],[Unit Price]]*SalesData_2[[#This Row],[Units Sold]]</f>
        <v>3960</v>
      </c>
      <c r="I351" s="6">
        <f>SalesData_2[[#This Row],[Unit Cost]]*SalesData_2[[#This Row],[Units Sold]]</f>
        <v>2574</v>
      </c>
      <c r="J351" s="6">
        <f>SalesData_2[[#This Row],[Sales]]-SalesData_2[[#This Row],[COGS]]</f>
        <v>1386</v>
      </c>
      <c r="K351" s="21">
        <f>SalesData_2[[#This Row],[Revenue]]/SalesData_2[[#This Row],[Sales]]</f>
        <v>0.35</v>
      </c>
      <c r="L351" s="3" t="s">
        <v>67</v>
      </c>
      <c r="M351" s="3" t="s">
        <v>79</v>
      </c>
      <c r="N351" s="3" t="s">
        <v>86</v>
      </c>
    </row>
    <row r="352" spans="1:14" x14ac:dyDescent="0.3">
      <c r="A352" s="2">
        <v>44189</v>
      </c>
      <c r="B352" s="2">
        <v>44196</v>
      </c>
      <c r="C352">
        <v>7</v>
      </c>
      <c r="D352" s="3" t="s">
        <v>19</v>
      </c>
      <c r="E352" s="6">
        <v>220</v>
      </c>
      <c r="F352" s="6">
        <v>154</v>
      </c>
      <c r="G352">
        <v>3</v>
      </c>
      <c r="H352" s="6">
        <f>SalesData_2[[#This Row],[Unit Price]]*SalesData_2[[#This Row],[Units Sold]]</f>
        <v>660</v>
      </c>
      <c r="I352" s="6">
        <f>SalesData_2[[#This Row],[Unit Cost]]*SalesData_2[[#This Row],[Units Sold]]</f>
        <v>462</v>
      </c>
      <c r="J352" s="6">
        <f>SalesData_2[[#This Row],[Sales]]-SalesData_2[[#This Row],[COGS]]</f>
        <v>198</v>
      </c>
      <c r="K352" s="21">
        <f>SalesData_2[[#This Row],[Revenue]]/SalesData_2[[#This Row],[Sales]]</f>
        <v>0.3</v>
      </c>
      <c r="L352" s="3" t="s">
        <v>51</v>
      </c>
      <c r="M352" s="3" t="s">
        <v>79</v>
      </c>
      <c r="N352" s="3" t="s">
        <v>85</v>
      </c>
    </row>
    <row r="353" spans="1:14" x14ac:dyDescent="0.3">
      <c r="A353" s="2">
        <v>44190</v>
      </c>
      <c r="B353" s="2">
        <v>44196</v>
      </c>
      <c r="C353">
        <v>6</v>
      </c>
      <c r="D353" s="3" t="s">
        <v>8</v>
      </c>
      <c r="E353" s="6">
        <v>59</v>
      </c>
      <c r="F353" s="6">
        <v>41.3</v>
      </c>
      <c r="G353">
        <v>2</v>
      </c>
      <c r="H353" s="6">
        <f>SalesData_2[[#This Row],[Unit Price]]*SalesData_2[[#This Row],[Units Sold]]</f>
        <v>118</v>
      </c>
      <c r="I353" s="6">
        <f>SalesData_2[[#This Row],[Unit Cost]]*SalesData_2[[#This Row],[Units Sold]]</f>
        <v>82.6</v>
      </c>
      <c r="J353" s="6">
        <f>SalesData_2[[#This Row],[Sales]]-SalesData_2[[#This Row],[COGS]]</f>
        <v>35.400000000000006</v>
      </c>
      <c r="K353" s="21">
        <f>SalesData_2[[#This Row],[Revenue]]/SalesData_2[[#This Row],[Sales]]</f>
        <v>0.30000000000000004</v>
      </c>
      <c r="L353" s="3" t="s">
        <v>42</v>
      </c>
      <c r="M353" s="3" t="s">
        <v>83</v>
      </c>
      <c r="N353" s="3" t="s">
        <v>86</v>
      </c>
    </row>
    <row r="354" spans="1:14" x14ac:dyDescent="0.3">
      <c r="A354" s="2">
        <v>44192</v>
      </c>
      <c r="B354" s="2">
        <v>44196</v>
      </c>
      <c r="C354">
        <v>4</v>
      </c>
      <c r="D354" s="3" t="s">
        <v>7</v>
      </c>
      <c r="E354" s="6">
        <v>250</v>
      </c>
      <c r="F354" s="6">
        <v>167.5</v>
      </c>
      <c r="G354">
        <v>3</v>
      </c>
      <c r="H354" s="6">
        <f>SalesData_2[[#This Row],[Unit Price]]*SalesData_2[[#This Row],[Units Sold]]</f>
        <v>750</v>
      </c>
      <c r="I354" s="6">
        <f>SalesData_2[[#This Row],[Unit Cost]]*SalesData_2[[#This Row],[Units Sold]]</f>
        <v>502.5</v>
      </c>
      <c r="J354" s="6">
        <f>SalesData_2[[#This Row],[Sales]]-SalesData_2[[#This Row],[COGS]]</f>
        <v>247.5</v>
      </c>
      <c r="K354" s="21">
        <f>SalesData_2[[#This Row],[Revenue]]/SalesData_2[[#This Row],[Sales]]</f>
        <v>0.33</v>
      </c>
      <c r="L354" s="3" t="s">
        <v>76</v>
      </c>
      <c r="M354" s="3" t="s">
        <v>80</v>
      </c>
      <c r="N354" s="3" t="s">
        <v>86</v>
      </c>
    </row>
    <row r="355" spans="1:14" x14ac:dyDescent="0.3">
      <c r="A355" s="2">
        <v>44195</v>
      </c>
      <c r="B355" s="2">
        <v>44202</v>
      </c>
      <c r="C355">
        <v>7</v>
      </c>
      <c r="D355" s="3" t="s">
        <v>8</v>
      </c>
      <c r="E355" s="6">
        <v>59</v>
      </c>
      <c r="F355" s="6">
        <v>41.3</v>
      </c>
      <c r="G355">
        <v>6</v>
      </c>
      <c r="H355" s="6">
        <f>SalesData_2[[#This Row],[Unit Price]]*SalesData_2[[#This Row],[Units Sold]]</f>
        <v>354</v>
      </c>
      <c r="I355" s="6">
        <f>SalesData_2[[#This Row],[Unit Cost]]*SalesData_2[[#This Row],[Units Sold]]</f>
        <v>247.79999999999998</v>
      </c>
      <c r="J355" s="6">
        <f>SalesData_2[[#This Row],[Sales]]-SalesData_2[[#This Row],[COGS]]</f>
        <v>106.20000000000002</v>
      </c>
      <c r="K355" s="21">
        <f>SalesData_2[[#This Row],[Revenue]]/SalesData_2[[#This Row],[Sales]]</f>
        <v>0.30000000000000004</v>
      </c>
      <c r="L355" s="3" t="s">
        <v>59</v>
      </c>
      <c r="M355" s="3" t="s">
        <v>79</v>
      </c>
      <c r="N355" s="3" t="s">
        <v>86</v>
      </c>
    </row>
    <row r="356" spans="1:14" x14ac:dyDescent="0.3">
      <c r="A356" s="2">
        <v>44200</v>
      </c>
      <c r="B356" s="2">
        <v>44206</v>
      </c>
      <c r="C356">
        <v>6</v>
      </c>
      <c r="D356" s="3" t="s">
        <v>18</v>
      </c>
      <c r="E356" s="6">
        <v>80</v>
      </c>
      <c r="F356" s="6">
        <v>48.8</v>
      </c>
      <c r="G356">
        <v>3</v>
      </c>
      <c r="H356" s="6">
        <f>SalesData_2[[#This Row],[Unit Price]]*SalesData_2[[#This Row],[Units Sold]]</f>
        <v>240</v>
      </c>
      <c r="I356" s="6">
        <f>SalesData_2[[#This Row],[Unit Cost]]*SalesData_2[[#This Row],[Units Sold]]</f>
        <v>146.39999999999998</v>
      </c>
      <c r="J356" s="6">
        <f>SalesData_2[[#This Row],[Sales]]-SalesData_2[[#This Row],[COGS]]</f>
        <v>93.600000000000023</v>
      </c>
      <c r="K356" s="21">
        <f>SalesData_2[[#This Row],[Revenue]]/SalesData_2[[#This Row],[Sales]]</f>
        <v>0.39000000000000007</v>
      </c>
      <c r="L356" s="3" t="s">
        <v>58</v>
      </c>
      <c r="M356" s="3" t="s">
        <v>83</v>
      </c>
      <c r="N356" s="3" t="s">
        <v>85</v>
      </c>
    </row>
    <row r="357" spans="1:14" x14ac:dyDescent="0.3">
      <c r="A357" s="2">
        <v>44200</v>
      </c>
      <c r="B357" s="2">
        <v>44202</v>
      </c>
      <c r="C357">
        <v>2</v>
      </c>
      <c r="D357" s="3" t="s">
        <v>2</v>
      </c>
      <c r="E357" s="6">
        <v>250</v>
      </c>
      <c r="F357" s="6">
        <v>187.5</v>
      </c>
      <c r="G357">
        <v>7</v>
      </c>
      <c r="H357" s="6">
        <f>SalesData_2[[#This Row],[Unit Price]]*SalesData_2[[#This Row],[Units Sold]]</f>
        <v>1750</v>
      </c>
      <c r="I357" s="6">
        <f>SalesData_2[[#This Row],[Unit Cost]]*SalesData_2[[#This Row],[Units Sold]]</f>
        <v>1312.5</v>
      </c>
      <c r="J357" s="6">
        <f>SalesData_2[[#This Row],[Sales]]-SalesData_2[[#This Row],[COGS]]</f>
        <v>437.5</v>
      </c>
      <c r="K357" s="21">
        <f>SalesData_2[[#This Row],[Revenue]]/SalesData_2[[#This Row],[Sales]]</f>
        <v>0.25</v>
      </c>
      <c r="L357" s="3" t="s">
        <v>39</v>
      </c>
      <c r="M357" s="3" t="s">
        <v>80</v>
      </c>
      <c r="N357" s="3" t="s">
        <v>85</v>
      </c>
    </row>
    <row r="358" spans="1:14" x14ac:dyDescent="0.3">
      <c r="A358" s="2">
        <v>44201</v>
      </c>
      <c r="B358" s="2">
        <v>44206</v>
      </c>
      <c r="C358">
        <v>5</v>
      </c>
      <c r="D358" s="3" t="s">
        <v>9</v>
      </c>
      <c r="E358" s="6">
        <v>215</v>
      </c>
      <c r="F358" s="6">
        <v>152.65</v>
      </c>
      <c r="G358">
        <v>3</v>
      </c>
      <c r="H358" s="6">
        <f>SalesData_2[[#This Row],[Unit Price]]*SalesData_2[[#This Row],[Units Sold]]</f>
        <v>645</v>
      </c>
      <c r="I358" s="6">
        <f>SalesData_2[[#This Row],[Unit Cost]]*SalesData_2[[#This Row],[Units Sold]]</f>
        <v>457.95000000000005</v>
      </c>
      <c r="J358" s="6">
        <f>SalesData_2[[#This Row],[Sales]]-SalesData_2[[#This Row],[COGS]]</f>
        <v>187.04999999999995</v>
      </c>
      <c r="K358" s="21">
        <f>SalesData_2[[#This Row],[Revenue]]/SalesData_2[[#This Row],[Sales]]</f>
        <v>0.28999999999999992</v>
      </c>
      <c r="L358" s="3" t="s">
        <v>65</v>
      </c>
      <c r="M358" s="3" t="s">
        <v>83</v>
      </c>
      <c r="N358" s="3" t="s">
        <v>86</v>
      </c>
    </row>
    <row r="359" spans="1:14" x14ac:dyDescent="0.3">
      <c r="A359" s="2">
        <v>44201</v>
      </c>
      <c r="B359" s="2">
        <v>44203</v>
      </c>
      <c r="C359">
        <v>2</v>
      </c>
      <c r="D359" s="3" t="s">
        <v>2</v>
      </c>
      <c r="E359" s="6">
        <v>250</v>
      </c>
      <c r="F359" s="6">
        <v>187.5</v>
      </c>
      <c r="G359">
        <v>9</v>
      </c>
      <c r="H359" s="6">
        <f>SalesData_2[[#This Row],[Unit Price]]*SalesData_2[[#This Row],[Units Sold]]</f>
        <v>2250</v>
      </c>
      <c r="I359" s="6">
        <f>SalesData_2[[#This Row],[Unit Cost]]*SalesData_2[[#This Row],[Units Sold]]</f>
        <v>1687.5</v>
      </c>
      <c r="J359" s="6">
        <f>SalesData_2[[#This Row],[Sales]]-SalesData_2[[#This Row],[COGS]]</f>
        <v>562.5</v>
      </c>
      <c r="K359" s="21">
        <f>SalesData_2[[#This Row],[Revenue]]/SalesData_2[[#This Row],[Sales]]</f>
        <v>0.25</v>
      </c>
      <c r="L359" s="3" t="s">
        <v>30</v>
      </c>
      <c r="M359" s="3" t="s">
        <v>79</v>
      </c>
      <c r="N359" s="3" t="s">
        <v>86</v>
      </c>
    </row>
    <row r="360" spans="1:14" x14ac:dyDescent="0.3">
      <c r="A360" s="2">
        <v>44201</v>
      </c>
      <c r="B360" s="2">
        <v>44208</v>
      </c>
      <c r="C360">
        <v>7</v>
      </c>
      <c r="D360" s="3" t="s">
        <v>8</v>
      </c>
      <c r="E360" s="6">
        <v>59</v>
      </c>
      <c r="F360" s="6">
        <v>41.3</v>
      </c>
      <c r="G360">
        <v>6</v>
      </c>
      <c r="H360" s="6">
        <f>SalesData_2[[#This Row],[Unit Price]]*SalesData_2[[#This Row],[Units Sold]]</f>
        <v>354</v>
      </c>
      <c r="I360" s="6">
        <f>SalesData_2[[#This Row],[Unit Cost]]*SalesData_2[[#This Row],[Units Sold]]</f>
        <v>247.79999999999998</v>
      </c>
      <c r="J360" s="6">
        <f>SalesData_2[[#This Row],[Sales]]-SalesData_2[[#This Row],[COGS]]</f>
        <v>106.20000000000002</v>
      </c>
      <c r="K360" s="21">
        <f>SalesData_2[[#This Row],[Revenue]]/SalesData_2[[#This Row],[Sales]]</f>
        <v>0.30000000000000004</v>
      </c>
      <c r="L360" s="3" t="s">
        <v>64</v>
      </c>
      <c r="M360" s="3" t="s">
        <v>81</v>
      </c>
      <c r="N360" s="3" t="s">
        <v>86</v>
      </c>
    </row>
    <row r="361" spans="1:14" x14ac:dyDescent="0.3">
      <c r="A361" s="2">
        <v>44201</v>
      </c>
      <c r="B361" s="2">
        <v>44203</v>
      </c>
      <c r="C361">
        <v>2</v>
      </c>
      <c r="D361" s="3" t="s">
        <v>22</v>
      </c>
      <c r="E361" s="6">
        <v>460</v>
      </c>
      <c r="F361" s="6">
        <v>303.60000000000002</v>
      </c>
      <c r="G361">
        <v>8</v>
      </c>
      <c r="H361" s="6">
        <f>SalesData_2[[#This Row],[Unit Price]]*SalesData_2[[#This Row],[Units Sold]]</f>
        <v>3680</v>
      </c>
      <c r="I361" s="6">
        <f>SalesData_2[[#This Row],[Unit Cost]]*SalesData_2[[#This Row],[Units Sold]]</f>
        <v>2428.8000000000002</v>
      </c>
      <c r="J361" s="6">
        <f>SalesData_2[[#This Row],[Sales]]-SalesData_2[[#This Row],[COGS]]</f>
        <v>1251.1999999999998</v>
      </c>
      <c r="K361" s="21">
        <f>SalesData_2[[#This Row],[Revenue]]/SalesData_2[[#This Row],[Sales]]</f>
        <v>0.33999999999999997</v>
      </c>
      <c r="L361" s="3" t="s">
        <v>36</v>
      </c>
      <c r="M361" s="3" t="s">
        <v>82</v>
      </c>
      <c r="N361" s="3" t="s">
        <v>86</v>
      </c>
    </row>
    <row r="362" spans="1:14" x14ac:dyDescent="0.3">
      <c r="A362" s="2">
        <v>44201</v>
      </c>
      <c r="B362" s="2">
        <v>44205</v>
      </c>
      <c r="C362">
        <v>4</v>
      </c>
      <c r="D362" s="3" t="s">
        <v>21</v>
      </c>
      <c r="E362" s="6">
        <v>355</v>
      </c>
      <c r="F362" s="6">
        <v>252.05</v>
      </c>
      <c r="G362">
        <v>1</v>
      </c>
      <c r="H362" s="6">
        <f>SalesData_2[[#This Row],[Unit Price]]*SalesData_2[[#This Row],[Units Sold]]</f>
        <v>355</v>
      </c>
      <c r="I362" s="6">
        <f>SalesData_2[[#This Row],[Unit Cost]]*SalesData_2[[#This Row],[Units Sold]]</f>
        <v>252.05</v>
      </c>
      <c r="J362" s="6">
        <f>SalesData_2[[#This Row],[Sales]]-SalesData_2[[#This Row],[COGS]]</f>
        <v>102.94999999999999</v>
      </c>
      <c r="K362" s="21">
        <f>SalesData_2[[#This Row],[Revenue]]/SalesData_2[[#This Row],[Sales]]</f>
        <v>0.28999999999999998</v>
      </c>
      <c r="L362" s="3" t="s">
        <v>64</v>
      </c>
      <c r="M362" s="3" t="s">
        <v>80</v>
      </c>
      <c r="N362" s="3" t="s">
        <v>86</v>
      </c>
    </row>
    <row r="363" spans="1:14" x14ac:dyDescent="0.3">
      <c r="A363" s="2">
        <v>44201</v>
      </c>
      <c r="B363" s="2">
        <v>44207</v>
      </c>
      <c r="C363">
        <v>6</v>
      </c>
      <c r="D363" s="3" t="s">
        <v>6</v>
      </c>
      <c r="E363" s="6">
        <v>99</v>
      </c>
      <c r="F363" s="6">
        <v>62.37</v>
      </c>
      <c r="G363">
        <v>2</v>
      </c>
      <c r="H363" s="6">
        <f>SalesData_2[[#This Row],[Unit Price]]*SalesData_2[[#This Row],[Units Sold]]</f>
        <v>198</v>
      </c>
      <c r="I363" s="6">
        <f>SalesData_2[[#This Row],[Unit Cost]]*SalesData_2[[#This Row],[Units Sold]]</f>
        <v>124.74</v>
      </c>
      <c r="J363" s="6">
        <f>SalesData_2[[#This Row],[Sales]]-SalesData_2[[#This Row],[COGS]]</f>
        <v>73.260000000000005</v>
      </c>
      <c r="K363" s="21">
        <f>SalesData_2[[#This Row],[Revenue]]/SalesData_2[[#This Row],[Sales]]</f>
        <v>0.37000000000000005</v>
      </c>
      <c r="L363" s="3" t="s">
        <v>34</v>
      </c>
      <c r="M363" s="3" t="s">
        <v>80</v>
      </c>
      <c r="N363" s="3" t="s">
        <v>86</v>
      </c>
    </row>
    <row r="364" spans="1:14" x14ac:dyDescent="0.3">
      <c r="A364" s="2">
        <v>44202</v>
      </c>
      <c r="B364" s="2">
        <v>44203</v>
      </c>
      <c r="C364">
        <v>1</v>
      </c>
      <c r="D364" s="3" t="s">
        <v>15</v>
      </c>
      <c r="E364" s="6">
        <v>110</v>
      </c>
      <c r="F364" s="6">
        <v>78.099999999999994</v>
      </c>
      <c r="G364">
        <v>4</v>
      </c>
      <c r="H364" s="6">
        <f>SalesData_2[[#This Row],[Unit Price]]*SalesData_2[[#This Row],[Units Sold]]</f>
        <v>440</v>
      </c>
      <c r="I364" s="6">
        <f>SalesData_2[[#This Row],[Unit Cost]]*SalesData_2[[#This Row],[Units Sold]]</f>
        <v>312.39999999999998</v>
      </c>
      <c r="J364" s="6">
        <f>SalesData_2[[#This Row],[Sales]]-SalesData_2[[#This Row],[COGS]]</f>
        <v>127.60000000000002</v>
      </c>
      <c r="K364" s="21">
        <f>SalesData_2[[#This Row],[Revenue]]/SalesData_2[[#This Row],[Sales]]</f>
        <v>0.29000000000000004</v>
      </c>
      <c r="L364" s="3" t="s">
        <v>58</v>
      </c>
      <c r="M364" s="3" t="s">
        <v>82</v>
      </c>
      <c r="N364" s="3" t="s">
        <v>85</v>
      </c>
    </row>
    <row r="365" spans="1:14" x14ac:dyDescent="0.3">
      <c r="A365" s="2">
        <v>44202</v>
      </c>
      <c r="B365" s="2">
        <v>44209</v>
      </c>
      <c r="C365">
        <v>7</v>
      </c>
      <c r="D365" s="3" t="s">
        <v>3</v>
      </c>
      <c r="E365" s="6">
        <v>95</v>
      </c>
      <c r="F365" s="6">
        <v>60.8</v>
      </c>
      <c r="G365">
        <v>8</v>
      </c>
      <c r="H365" s="6">
        <f>SalesData_2[[#This Row],[Unit Price]]*SalesData_2[[#This Row],[Units Sold]]</f>
        <v>760</v>
      </c>
      <c r="I365" s="6">
        <f>SalesData_2[[#This Row],[Unit Cost]]*SalesData_2[[#This Row],[Units Sold]]</f>
        <v>486.4</v>
      </c>
      <c r="J365" s="6">
        <f>SalesData_2[[#This Row],[Sales]]-SalesData_2[[#This Row],[COGS]]</f>
        <v>273.60000000000002</v>
      </c>
      <c r="K365" s="21">
        <f>SalesData_2[[#This Row],[Revenue]]/SalesData_2[[#This Row],[Sales]]</f>
        <v>0.36000000000000004</v>
      </c>
      <c r="L365" s="3" t="s">
        <v>54</v>
      </c>
      <c r="M365" s="3" t="s">
        <v>79</v>
      </c>
      <c r="N365" s="3" t="s">
        <v>85</v>
      </c>
    </row>
    <row r="366" spans="1:14" x14ac:dyDescent="0.3">
      <c r="A366" s="2">
        <v>44203</v>
      </c>
      <c r="B366" s="2">
        <v>44210</v>
      </c>
      <c r="C366">
        <v>7</v>
      </c>
      <c r="D366" s="3" t="s">
        <v>15</v>
      </c>
      <c r="E366" s="6">
        <v>110</v>
      </c>
      <c r="F366" s="6">
        <v>78.099999999999994</v>
      </c>
      <c r="G366">
        <v>3</v>
      </c>
      <c r="H366" s="6">
        <f>SalesData_2[[#This Row],[Unit Price]]*SalesData_2[[#This Row],[Units Sold]]</f>
        <v>330</v>
      </c>
      <c r="I366" s="6">
        <f>SalesData_2[[#This Row],[Unit Cost]]*SalesData_2[[#This Row],[Units Sold]]</f>
        <v>234.29999999999998</v>
      </c>
      <c r="J366" s="6">
        <f>SalesData_2[[#This Row],[Sales]]-SalesData_2[[#This Row],[COGS]]</f>
        <v>95.700000000000017</v>
      </c>
      <c r="K366" s="21">
        <f>SalesData_2[[#This Row],[Revenue]]/SalesData_2[[#This Row],[Sales]]</f>
        <v>0.29000000000000004</v>
      </c>
      <c r="L366" s="3" t="s">
        <v>59</v>
      </c>
      <c r="M366" s="3" t="s">
        <v>81</v>
      </c>
      <c r="N366" s="3" t="s">
        <v>86</v>
      </c>
    </row>
    <row r="367" spans="1:14" x14ac:dyDescent="0.3">
      <c r="A367" s="2">
        <v>44205</v>
      </c>
      <c r="B367" s="2">
        <v>44211</v>
      </c>
      <c r="C367">
        <v>6</v>
      </c>
      <c r="D367" s="3" t="s">
        <v>19</v>
      </c>
      <c r="E367" s="6">
        <v>220</v>
      </c>
      <c r="F367" s="6">
        <v>154</v>
      </c>
      <c r="G367">
        <v>8</v>
      </c>
      <c r="H367" s="6">
        <f>SalesData_2[[#This Row],[Unit Price]]*SalesData_2[[#This Row],[Units Sold]]</f>
        <v>1760</v>
      </c>
      <c r="I367" s="6">
        <f>SalesData_2[[#This Row],[Unit Cost]]*SalesData_2[[#This Row],[Units Sold]]</f>
        <v>1232</v>
      </c>
      <c r="J367" s="6">
        <f>SalesData_2[[#This Row],[Sales]]-SalesData_2[[#This Row],[COGS]]</f>
        <v>528</v>
      </c>
      <c r="K367" s="21">
        <f>SalesData_2[[#This Row],[Revenue]]/SalesData_2[[#This Row],[Sales]]</f>
        <v>0.3</v>
      </c>
      <c r="L367" s="3" t="s">
        <v>30</v>
      </c>
      <c r="M367" s="3" t="s">
        <v>83</v>
      </c>
      <c r="N367" s="3" t="s">
        <v>85</v>
      </c>
    </row>
    <row r="368" spans="1:14" x14ac:dyDescent="0.3">
      <c r="A368" s="2">
        <v>44206</v>
      </c>
      <c r="B368" s="2">
        <v>44213</v>
      </c>
      <c r="C368">
        <v>7</v>
      </c>
      <c r="D368" s="3" t="s">
        <v>20</v>
      </c>
      <c r="E368" s="6">
        <v>440</v>
      </c>
      <c r="F368" s="6">
        <v>286</v>
      </c>
      <c r="G368">
        <v>1</v>
      </c>
      <c r="H368" s="6">
        <f>SalesData_2[[#This Row],[Unit Price]]*SalesData_2[[#This Row],[Units Sold]]</f>
        <v>440</v>
      </c>
      <c r="I368" s="6">
        <f>SalesData_2[[#This Row],[Unit Cost]]*SalesData_2[[#This Row],[Units Sold]]</f>
        <v>286</v>
      </c>
      <c r="J368" s="6">
        <f>SalesData_2[[#This Row],[Sales]]-SalesData_2[[#This Row],[COGS]]</f>
        <v>154</v>
      </c>
      <c r="K368" s="21">
        <f>SalesData_2[[#This Row],[Revenue]]/SalesData_2[[#This Row],[Sales]]</f>
        <v>0.35</v>
      </c>
      <c r="L368" s="3" t="s">
        <v>54</v>
      </c>
      <c r="M368" s="3" t="s">
        <v>81</v>
      </c>
      <c r="N368" s="3" t="s">
        <v>86</v>
      </c>
    </row>
    <row r="369" spans="1:14" x14ac:dyDescent="0.3">
      <c r="A369" s="2">
        <v>44207</v>
      </c>
      <c r="B369" s="2">
        <v>44212</v>
      </c>
      <c r="C369">
        <v>5</v>
      </c>
      <c r="D369" s="3" t="s">
        <v>15</v>
      </c>
      <c r="E369" s="6">
        <v>110</v>
      </c>
      <c r="F369" s="6">
        <v>78.099999999999994</v>
      </c>
      <c r="G369">
        <v>1</v>
      </c>
      <c r="H369" s="6">
        <f>SalesData_2[[#This Row],[Unit Price]]*SalesData_2[[#This Row],[Units Sold]]</f>
        <v>110</v>
      </c>
      <c r="I369" s="6">
        <f>SalesData_2[[#This Row],[Unit Cost]]*SalesData_2[[#This Row],[Units Sold]]</f>
        <v>78.099999999999994</v>
      </c>
      <c r="J369" s="6">
        <f>SalesData_2[[#This Row],[Sales]]-SalesData_2[[#This Row],[COGS]]</f>
        <v>31.900000000000006</v>
      </c>
      <c r="K369" s="21">
        <f>SalesData_2[[#This Row],[Revenue]]/SalesData_2[[#This Row],[Sales]]</f>
        <v>0.29000000000000004</v>
      </c>
      <c r="L369" s="3" t="s">
        <v>46</v>
      </c>
      <c r="M369" s="3" t="s">
        <v>83</v>
      </c>
      <c r="N369" s="3" t="s">
        <v>86</v>
      </c>
    </row>
    <row r="370" spans="1:14" x14ac:dyDescent="0.3">
      <c r="A370" s="2">
        <v>44208</v>
      </c>
      <c r="B370" s="2">
        <v>44209</v>
      </c>
      <c r="C370">
        <v>1</v>
      </c>
      <c r="D370" s="3" t="s">
        <v>7</v>
      </c>
      <c r="E370" s="6">
        <v>250</v>
      </c>
      <c r="F370" s="6">
        <v>167.5</v>
      </c>
      <c r="G370">
        <v>7</v>
      </c>
      <c r="H370" s="6">
        <f>SalesData_2[[#This Row],[Unit Price]]*SalesData_2[[#This Row],[Units Sold]]</f>
        <v>1750</v>
      </c>
      <c r="I370" s="6">
        <f>SalesData_2[[#This Row],[Unit Cost]]*SalesData_2[[#This Row],[Units Sold]]</f>
        <v>1172.5</v>
      </c>
      <c r="J370" s="6">
        <f>SalesData_2[[#This Row],[Sales]]-SalesData_2[[#This Row],[COGS]]</f>
        <v>577.5</v>
      </c>
      <c r="K370" s="21">
        <f>SalesData_2[[#This Row],[Revenue]]/SalesData_2[[#This Row],[Sales]]</f>
        <v>0.33</v>
      </c>
      <c r="L370" s="3" t="s">
        <v>75</v>
      </c>
      <c r="M370" s="3" t="s">
        <v>83</v>
      </c>
      <c r="N370" s="3" t="s">
        <v>86</v>
      </c>
    </row>
    <row r="371" spans="1:14" x14ac:dyDescent="0.3">
      <c r="A371" s="2">
        <v>44209</v>
      </c>
      <c r="B371" s="2">
        <v>44216</v>
      </c>
      <c r="C371">
        <v>7</v>
      </c>
      <c r="D371" s="3" t="s">
        <v>21</v>
      </c>
      <c r="E371" s="6">
        <v>355</v>
      </c>
      <c r="F371" s="6">
        <v>252.05</v>
      </c>
      <c r="G371">
        <v>9</v>
      </c>
      <c r="H371" s="6">
        <f>SalesData_2[[#This Row],[Unit Price]]*SalesData_2[[#This Row],[Units Sold]]</f>
        <v>3195</v>
      </c>
      <c r="I371" s="6">
        <f>SalesData_2[[#This Row],[Unit Cost]]*SalesData_2[[#This Row],[Units Sold]]</f>
        <v>2268.4500000000003</v>
      </c>
      <c r="J371" s="6">
        <f>SalesData_2[[#This Row],[Sales]]-SalesData_2[[#This Row],[COGS]]</f>
        <v>926.54999999999973</v>
      </c>
      <c r="K371" s="21">
        <f>SalesData_2[[#This Row],[Revenue]]/SalesData_2[[#This Row],[Sales]]</f>
        <v>0.28999999999999992</v>
      </c>
      <c r="L371" s="3" t="s">
        <v>68</v>
      </c>
      <c r="M371" s="3" t="s">
        <v>82</v>
      </c>
      <c r="N371" s="3" t="s">
        <v>85</v>
      </c>
    </row>
    <row r="372" spans="1:14" x14ac:dyDescent="0.3">
      <c r="A372" s="2">
        <v>44210</v>
      </c>
      <c r="B372" s="2">
        <v>44213</v>
      </c>
      <c r="C372">
        <v>3</v>
      </c>
      <c r="D372" s="3" t="s">
        <v>19</v>
      </c>
      <c r="E372" s="6">
        <v>220</v>
      </c>
      <c r="F372" s="6">
        <v>154</v>
      </c>
      <c r="G372">
        <v>9</v>
      </c>
      <c r="H372" s="6">
        <f>SalesData_2[[#This Row],[Unit Price]]*SalesData_2[[#This Row],[Units Sold]]</f>
        <v>1980</v>
      </c>
      <c r="I372" s="6">
        <f>SalesData_2[[#This Row],[Unit Cost]]*SalesData_2[[#This Row],[Units Sold]]</f>
        <v>1386</v>
      </c>
      <c r="J372" s="6">
        <f>SalesData_2[[#This Row],[Sales]]-SalesData_2[[#This Row],[COGS]]</f>
        <v>594</v>
      </c>
      <c r="K372" s="21">
        <f>SalesData_2[[#This Row],[Revenue]]/SalesData_2[[#This Row],[Sales]]</f>
        <v>0.3</v>
      </c>
      <c r="L372" s="3" t="s">
        <v>66</v>
      </c>
      <c r="M372" s="3" t="s">
        <v>79</v>
      </c>
      <c r="N372" s="3" t="s">
        <v>86</v>
      </c>
    </row>
    <row r="373" spans="1:14" x14ac:dyDescent="0.3">
      <c r="A373" s="2">
        <v>44210</v>
      </c>
      <c r="B373" s="2">
        <v>44215</v>
      </c>
      <c r="C373">
        <v>5</v>
      </c>
      <c r="D373" s="3" t="s">
        <v>3</v>
      </c>
      <c r="E373" s="6">
        <v>95</v>
      </c>
      <c r="F373" s="6">
        <v>60.8</v>
      </c>
      <c r="G373">
        <v>5</v>
      </c>
      <c r="H373" s="6">
        <f>SalesData_2[[#This Row],[Unit Price]]*SalesData_2[[#This Row],[Units Sold]]</f>
        <v>475</v>
      </c>
      <c r="I373" s="6">
        <f>SalesData_2[[#This Row],[Unit Cost]]*SalesData_2[[#This Row],[Units Sold]]</f>
        <v>304</v>
      </c>
      <c r="J373" s="6">
        <f>SalesData_2[[#This Row],[Sales]]-SalesData_2[[#This Row],[COGS]]</f>
        <v>171</v>
      </c>
      <c r="K373" s="21">
        <f>SalesData_2[[#This Row],[Revenue]]/SalesData_2[[#This Row],[Sales]]</f>
        <v>0.36</v>
      </c>
      <c r="L373" s="3" t="s">
        <v>66</v>
      </c>
      <c r="M373" s="3" t="s">
        <v>83</v>
      </c>
      <c r="N373" s="3" t="s">
        <v>86</v>
      </c>
    </row>
    <row r="374" spans="1:14" x14ac:dyDescent="0.3">
      <c r="A374" s="2">
        <v>44213</v>
      </c>
      <c r="B374" s="2">
        <v>44219</v>
      </c>
      <c r="C374">
        <v>6</v>
      </c>
      <c r="D374" s="3" t="s">
        <v>6</v>
      </c>
      <c r="E374" s="6">
        <v>99</v>
      </c>
      <c r="F374" s="6">
        <v>62.37</v>
      </c>
      <c r="G374">
        <v>5</v>
      </c>
      <c r="H374" s="6">
        <f>SalesData_2[[#This Row],[Unit Price]]*SalesData_2[[#This Row],[Units Sold]]</f>
        <v>495</v>
      </c>
      <c r="I374" s="6">
        <f>SalesData_2[[#This Row],[Unit Cost]]*SalesData_2[[#This Row],[Units Sold]]</f>
        <v>311.84999999999997</v>
      </c>
      <c r="J374" s="6">
        <f>SalesData_2[[#This Row],[Sales]]-SalesData_2[[#This Row],[COGS]]</f>
        <v>183.15000000000003</v>
      </c>
      <c r="K374" s="21">
        <f>SalesData_2[[#This Row],[Revenue]]/SalesData_2[[#This Row],[Sales]]</f>
        <v>0.37000000000000005</v>
      </c>
      <c r="L374" s="3" t="s">
        <v>45</v>
      </c>
      <c r="M374" s="3" t="s">
        <v>82</v>
      </c>
      <c r="N374" s="3" t="s">
        <v>86</v>
      </c>
    </row>
    <row r="375" spans="1:14" x14ac:dyDescent="0.3">
      <c r="A375" s="2">
        <v>44214</v>
      </c>
      <c r="B375" s="2">
        <v>44217</v>
      </c>
      <c r="C375">
        <v>3</v>
      </c>
      <c r="D375" s="3" t="s">
        <v>20</v>
      </c>
      <c r="E375" s="6">
        <v>440</v>
      </c>
      <c r="F375" s="6">
        <v>286</v>
      </c>
      <c r="G375">
        <v>1</v>
      </c>
      <c r="H375" s="6">
        <f>SalesData_2[[#This Row],[Unit Price]]*SalesData_2[[#This Row],[Units Sold]]</f>
        <v>440</v>
      </c>
      <c r="I375" s="6">
        <f>SalesData_2[[#This Row],[Unit Cost]]*SalesData_2[[#This Row],[Units Sold]]</f>
        <v>286</v>
      </c>
      <c r="J375" s="6">
        <f>SalesData_2[[#This Row],[Sales]]-SalesData_2[[#This Row],[COGS]]</f>
        <v>154</v>
      </c>
      <c r="K375" s="21">
        <f>SalesData_2[[#This Row],[Revenue]]/SalesData_2[[#This Row],[Sales]]</f>
        <v>0.35</v>
      </c>
      <c r="L375" s="3" t="s">
        <v>56</v>
      </c>
      <c r="M375" s="3" t="s">
        <v>81</v>
      </c>
      <c r="N375" s="3" t="s">
        <v>86</v>
      </c>
    </row>
    <row r="376" spans="1:14" x14ac:dyDescent="0.3">
      <c r="A376" s="2">
        <v>44214</v>
      </c>
      <c r="B376" s="2">
        <v>44219</v>
      </c>
      <c r="C376">
        <v>5</v>
      </c>
      <c r="D376" s="3" t="s">
        <v>2</v>
      </c>
      <c r="E376" s="6">
        <v>250</v>
      </c>
      <c r="F376" s="6">
        <v>187.5</v>
      </c>
      <c r="G376">
        <v>2</v>
      </c>
      <c r="H376" s="6">
        <f>SalesData_2[[#This Row],[Unit Price]]*SalesData_2[[#This Row],[Units Sold]]</f>
        <v>500</v>
      </c>
      <c r="I376" s="6">
        <f>SalesData_2[[#This Row],[Unit Cost]]*SalesData_2[[#This Row],[Units Sold]]</f>
        <v>375</v>
      </c>
      <c r="J376" s="6">
        <f>SalesData_2[[#This Row],[Sales]]-SalesData_2[[#This Row],[COGS]]</f>
        <v>125</v>
      </c>
      <c r="K376" s="21">
        <f>SalesData_2[[#This Row],[Revenue]]/SalesData_2[[#This Row],[Sales]]</f>
        <v>0.25</v>
      </c>
      <c r="L376" s="3" t="s">
        <v>45</v>
      </c>
      <c r="M376" s="3" t="s">
        <v>83</v>
      </c>
      <c r="N376" s="3" t="s">
        <v>86</v>
      </c>
    </row>
    <row r="377" spans="1:14" x14ac:dyDescent="0.3">
      <c r="A377" s="2">
        <v>44214</v>
      </c>
      <c r="B377" s="2">
        <v>44220</v>
      </c>
      <c r="C377">
        <v>6</v>
      </c>
      <c r="D377" s="3" t="s">
        <v>22</v>
      </c>
      <c r="E377" s="6">
        <v>460</v>
      </c>
      <c r="F377" s="6">
        <v>303.60000000000002</v>
      </c>
      <c r="G377">
        <v>2</v>
      </c>
      <c r="H377" s="6">
        <f>SalesData_2[[#This Row],[Unit Price]]*SalesData_2[[#This Row],[Units Sold]]</f>
        <v>920</v>
      </c>
      <c r="I377" s="6">
        <f>SalesData_2[[#This Row],[Unit Cost]]*SalesData_2[[#This Row],[Units Sold]]</f>
        <v>607.20000000000005</v>
      </c>
      <c r="J377" s="6">
        <f>SalesData_2[[#This Row],[Sales]]-SalesData_2[[#This Row],[COGS]]</f>
        <v>312.79999999999995</v>
      </c>
      <c r="K377" s="21">
        <f>SalesData_2[[#This Row],[Revenue]]/SalesData_2[[#This Row],[Sales]]</f>
        <v>0.33999999999999997</v>
      </c>
      <c r="L377" s="3" t="s">
        <v>32</v>
      </c>
      <c r="M377" s="3" t="s">
        <v>83</v>
      </c>
      <c r="N377" s="3" t="s">
        <v>86</v>
      </c>
    </row>
    <row r="378" spans="1:14" x14ac:dyDescent="0.3">
      <c r="A378" s="2">
        <v>44214</v>
      </c>
      <c r="B378" s="2">
        <v>44215</v>
      </c>
      <c r="C378">
        <v>1</v>
      </c>
      <c r="D378" s="3" t="s">
        <v>21</v>
      </c>
      <c r="E378" s="6">
        <v>355</v>
      </c>
      <c r="F378" s="6">
        <v>252.05</v>
      </c>
      <c r="G378">
        <v>8</v>
      </c>
      <c r="H378" s="6">
        <f>SalesData_2[[#This Row],[Unit Price]]*SalesData_2[[#This Row],[Units Sold]]</f>
        <v>2840</v>
      </c>
      <c r="I378" s="6">
        <f>SalesData_2[[#This Row],[Unit Cost]]*SalesData_2[[#This Row],[Units Sold]]</f>
        <v>2016.4</v>
      </c>
      <c r="J378" s="6">
        <f>SalesData_2[[#This Row],[Sales]]-SalesData_2[[#This Row],[COGS]]</f>
        <v>823.59999999999991</v>
      </c>
      <c r="K378" s="21">
        <f>SalesData_2[[#This Row],[Revenue]]/SalesData_2[[#This Row],[Sales]]</f>
        <v>0.28999999999999998</v>
      </c>
      <c r="L378" s="3" t="s">
        <v>52</v>
      </c>
      <c r="M378" s="3" t="s">
        <v>83</v>
      </c>
      <c r="N378" s="3" t="s">
        <v>85</v>
      </c>
    </row>
    <row r="379" spans="1:14" x14ac:dyDescent="0.3">
      <c r="A379" s="2">
        <v>44217</v>
      </c>
      <c r="B379" s="2">
        <v>44224</v>
      </c>
      <c r="C379">
        <v>7</v>
      </c>
      <c r="D379" s="3" t="s">
        <v>16</v>
      </c>
      <c r="E379" s="6">
        <v>145</v>
      </c>
      <c r="F379" s="6">
        <v>105.85</v>
      </c>
      <c r="G379">
        <v>3</v>
      </c>
      <c r="H379" s="6">
        <f>SalesData_2[[#This Row],[Unit Price]]*SalesData_2[[#This Row],[Units Sold]]</f>
        <v>435</v>
      </c>
      <c r="I379" s="6">
        <f>SalesData_2[[#This Row],[Unit Cost]]*SalesData_2[[#This Row],[Units Sold]]</f>
        <v>317.54999999999995</v>
      </c>
      <c r="J379" s="6">
        <f>SalesData_2[[#This Row],[Sales]]-SalesData_2[[#This Row],[COGS]]</f>
        <v>117.45000000000005</v>
      </c>
      <c r="K379" s="21">
        <f>SalesData_2[[#This Row],[Revenue]]/SalesData_2[[#This Row],[Sales]]</f>
        <v>0.27000000000000013</v>
      </c>
      <c r="L379" s="3" t="s">
        <v>42</v>
      </c>
      <c r="M379" s="3" t="s">
        <v>80</v>
      </c>
      <c r="N379" s="3" t="s">
        <v>85</v>
      </c>
    </row>
    <row r="380" spans="1:14" x14ac:dyDescent="0.3">
      <c r="A380" s="2">
        <v>44217</v>
      </c>
      <c r="B380" s="2">
        <v>44221</v>
      </c>
      <c r="C380">
        <v>4</v>
      </c>
      <c r="D380" s="3" t="s">
        <v>5</v>
      </c>
      <c r="E380" s="6">
        <v>290</v>
      </c>
      <c r="F380" s="6">
        <v>185.6</v>
      </c>
      <c r="G380">
        <v>2</v>
      </c>
      <c r="H380" s="6">
        <f>SalesData_2[[#This Row],[Unit Price]]*SalesData_2[[#This Row],[Units Sold]]</f>
        <v>580</v>
      </c>
      <c r="I380" s="6">
        <f>SalesData_2[[#This Row],[Unit Cost]]*SalesData_2[[#This Row],[Units Sold]]</f>
        <v>371.2</v>
      </c>
      <c r="J380" s="6">
        <f>SalesData_2[[#This Row],[Sales]]-SalesData_2[[#This Row],[COGS]]</f>
        <v>208.8</v>
      </c>
      <c r="K380" s="21">
        <f>SalesData_2[[#This Row],[Revenue]]/SalesData_2[[#This Row],[Sales]]</f>
        <v>0.36000000000000004</v>
      </c>
      <c r="L380" s="3" t="s">
        <v>30</v>
      </c>
      <c r="M380" s="3" t="s">
        <v>83</v>
      </c>
      <c r="N380" s="3" t="s">
        <v>85</v>
      </c>
    </row>
    <row r="381" spans="1:14" x14ac:dyDescent="0.3">
      <c r="A381" s="2">
        <v>44217</v>
      </c>
      <c r="B381" s="2">
        <v>44218</v>
      </c>
      <c r="C381">
        <v>1</v>
      </c>
      <c r="D381" s="3" t="s">
        <v>9</v>
      </c>
      <c r="E381" s="6">
        <v>215</v>
      </c>
      <c r="F381" s="6">
        <v>152.65</v>
      </c>
      <c r="G381">
        <v>5</v>
      </c>
      <c r="H381" s="6">
        <f>SalesData_2[[#This Row],[Unit Price]]*SalesData_2[[#This Row],[Units Sold]]</f>
        <v>1075</v>
      </c>
      <c r="I381" s="6">
        <f>SalesData_2[[#This Row],[Unit Cost]]*SalesData_2[[#This Row],[Units Sold]]</f>
        <v>763.25</v>
      </c>
      <c r="J381" s="6">
        <f>SalesData_2[[#This Row],[Sales]]-SalesData_2[[#This Row],[COGS]]</f>
        <v>311.75</v>
      </c>
      <c r="K381" s="21">
        <f>SalesData_2[[#This Row],[Revenue]]/SalesData_2[[#This Row],[Sales]]</f>
        <v>0.28999999999999998</v>
      </c>
      <c r="L381" s="3" t="s">
        <v>42</v>
      </c>
      <c r="M381" s="3" t="s">
        <v>83</v>
      </c>
      <c r="N381" s="3" t="s">
        <v>86</v>
      </c>
    </row>
    <row r="382" spans="1:14" x14ac:dyDescent="0.3">
      <c r="A382" s="2">
        <v>44218</v>
      </c>
      <c r="B382" s="2">
        <v>44223</v>
      </c>
      <c r="C382">
        <v>5</v>
      </c>
      <c r="D382" s="3" t="s">
        <v>6</v>
      </c>
      <c r="E382" s="6">
        <v>99</v>
      </c>
      <c r="F382" s="6">
        <v>62.37</v>
      </c>
      <c r="G382">
        <v>6</v>
      </c>
      <c r="H382" s="6">
        <f>SalesData_2[[#This Row],[Unit Price]]*SalesData_2[[#This Row],[Units Sold]]</f>
        <v>594</v>
      </c>
      <c r="I382" s="6">
        <f>SalesData_2[[#This Row],[Unit Cost]]*SalesData_2[[#This Row],[Units Sold]]</f>
        <v>374.21999999999997</v>
      </c>
      <c r="J382" s="6">
        <f>SalesData_2[[#This Row],[Sales]]-SalesData_2[[#This Row],[COGS]]</f>
        <v>219.78000000000003</v>
      </c>
      <c r="K382" s="21">
        <f>SalesData_2[[#This Row],[Revenue]]/SalesData_2[[#This Row],[Sales]]</f>
        <v>0.37000000000000005</v>
      </c>
      <c r="L382" s="3" t="s">
        <v>57</v>
      </c>
      <c r="M382" s="3" t="s">
        <v>80</v>
      </c>
      <c r="N382" s="3" t="s">
        <v>85</v>
      </c>
    </row>
    <row r="383" spans="1:14" x14ac:dyDescent="0.3">
      <c r="A383" s="2">
        <v>44220</v>
      </c>
      <c r="B383" s="2">
        <v>44221</v>
      </c>
      <c r="C383">
        <v>1</v>
      </c>
      <c r="D383" s="3" t="s">
        <v>6</v>
      </c>
      <c r="E383" s="6">
        <v>99</v>
      </c>
      <c r="F383" s="6">
        <v>62.37</v>
      </c>
      <c r="G383">
        <v>7</v>
      </c>
      <c r="H383" s="6">
        <f>SalesData_2[[#This Row],[Unit Price]]*SalesData_2[[#This Row],[Units Sold]]</f>
        <v>693</v>
      </c>
      <c r="I383" s="6">
        <f>SalesData_2[[#This Row],[Unit Cost]]*SalesData_2[[#This Row],[Units Sold]]</f>
        <v>436.59</v>
      </c>
      <c r="J383" s="6">
        <f>SalesData_2[[#This Row],[Sales]]-SalesData_2[[#This Row],[COGS]]</f>
        <v>256.41000000000003</v>
      </c>
      <c r="K383" s="21">
        <f>SalesData_2[[#This Row],[Revenue]]/SalesData_2[[#This Row],[Sales]]</f>
        <v>0.37000000000000005</v>
      </c>
      <c r="L383" s="3" t="s">
        <v>66</v>
      </c>
      <c r="M383" s="3" t="s">
        <v>79</v>
      </c>
      <c r="N383" s="3" t="s">
        <v>86</v>
      </c>
    </row>
    <row r="384" spans="1:14" x14ac:dyDescent="0.3">
      <c r="A384" s="2">
        <v>44221</v>
      </c>
      <c r="B384" s="2">
        <v>44227</v>
      </c>
      <c r="C384">
        <v>6</v>
      </c>
      <c r="D384" s="3" t="s">
        <v>9</v>
      </c>
      <c r="E384" s="6">
        <v>215</v>
      </c>
      <c r="F384" s="6">
        <v>152.65</v>
      </c>
      <c r="G384">
        <v>1</v>
      </c>
      <c r="H384" s="6">
        <f>SalesData_2[[#This Row],[Unit Price]]*SalesData_2[[#This Row],[Units Sold]]</f>
        <v>215</v>
      </c>
      <c r="I384" s="6">
        <f>SalesData_2[[#This Row],[Unit Cost]]*SalesData_2[[#This Row],[Units Sold]]</f>
        <v>152.65</v>
      </c>
      <c r="J384" s="6">
        <f>SalesData_2[[#This Row],[Sales]]-SalesData_2[[#This Row],[COGS]]</f>
        <v>62.349999999999994</v>
      </c>
      <c r="K384" s="21">
        <f>SalesData_2[[#This Row],[Revenue]]/SalesData_2[[#This Row],[Sales]]</f>
        <v>0.28999999999999998</v>
      </c>
      <c r="L384" s="3" t="s">
        <v>67</v>
      </c>
      <c r="M384" s="3" t="s">
        <v>82</v>
      </c>
      <c r="N384" s="3" t="s">
        <v>86</v>
      </c>
    </row>
    <row r="385" spans="1:14" x14ac:dyDescent="0.3">
      <c r="A385" s="2">
        <v>44222</v>
      </c>
      <c r="B385" s="2">
        <v>44224</v>
      </c>
      <c r="C385">
        <v>2</v>
      </c>
      <c r="D385" s="3" t="s">
        <v>10</v>
      </c>
      <c r="E385" s="6">
        <v>390</v>
      </c>
      <c r="F385" s="6">
        <v>253.5</v>
      </c>
      <c r="G385">
        <v>1</v>
      </c>
      <c r="H385" s="6">
        <f>SalesData_2[[#This Row],[Unit Price]]*SalesData_2[[#This Row],[Units Sold]]</f>
        <v>390</v>
      </c>
      <c r="I385" s="6">
        <f>SalesData_2[[#This Row],[Unit Cost]]*SalesData_2[[#This Row],[Units Sold]]</f>
        <v>253.5</v>
      </c>
      <c r="J385" s="6">
        <f>SalesData_2[[#This Row],[Sales]]-SalesData_2[[#This Row],[COGS]]</f>
        <v>136.5</v>
      </c>
      <c r="K385" s="21">
        <f>SalesData_2[[#This Row],[Revenue]]/SalesData_2[[#This Row],[Sales]]</f>
        <v>0.35</v>
      </c>
      <c r="L385" s="3" t="s">
        <v>62</v>
      </c>
      <c r="M385" s="3" t="s">
        <v>83</v>
      </c>
      <c r="N385" s="3" t="s">
        <v>86</v>
      </c>
    </row>
    <row r="386" spans="1:14" x14ac:dyDescent="0.3">
      <c r="A386" s="2">
        <v>44223</v>
      </c>
      <c r="B386" s="2">
        <v>44225</v>
      </c>
      <c r="C386">
        <v>2</v>
      </c>
      <c r="D386" s="3" t="s">
        <v>17</v>
      </c>
      <c r="E386" s="6">
        <v>195</v>
      </c>
      <c r="F386" s="6">
        <v>138.44999999999999</v>
      </c>
      <c r="G386">
        <v>5</v>
      </c>
      <c r="H386" s="6">
        <f>SalesData_2[[#This Row],[Unit Price]]*SalesData_2[[#This Row],[Units Sold]]</f>
        <v>975</v>
      </c>
      <c r="I386" s="6">
        <f>SalesData_2[[#This Row],[Unit Cost]]*SalesData_2[[#This Row],[Units Sold]]</f>
        <v>692.25</v>
      </c>
      <c r="J386" s="6">
        <f>SalesData_2[[#This Row],[Sales]]-SalesData_2[[#This Row],[COGS]]</f>
        <v>282.75</v>
      </c>
      <c r="K386" s="21">
        <f>SalesData_2[[#This Row],[Revenue]]/SalesData_2[[#This Row],[Sales]]</f>
        <v>0.28999999999999998</v>
      </c>
      <c r="L386" s="3" t="s">
        <v>33</v>
      </c>
      <c r="M386" s="3" t="s">
        <v>83</v>
      </c>
      <c r="N386" s="3" t="s">
        <v>85</v>
      </c>
    </row>
    <row r="387" spans="1:14" x14ac:dyDescent="0.3">
      <c r="A387" s="2">
        <v>44224</v>
      </c>
      <c r="B387" s="2">
        <v>44230</v>
      </c>
      <c r="C387">
        <v>6</v>
      </c>
      <c r="D387" s="3" t="s">
        <v>5</v>
      </c>
      <c r="E387" s="6">
        <v>290</v>
      </c>
      <c r="F387" s="6">
        <v>185.6</v>
      </c>
      <c r="G387">
        <v>2</v>
      </c>
      <c r="H387" s="6">
        <f>SalesData_2[[#This Row],[Unit Price]]*SalesData_2[[#This Row],[Units Sold]]</f>
        <v>580</v>
      </c>
      <c r="I387" s="6">
        <f>SalesData_2[[#This Row],[Unit Cost]]*SalesData_2[[#This Row],[Units Sold]]</f>
        <v>371.2</v>
      </c>
      <c r="J387" s="6">
        <f>SalesData_2[[#This Row],[Sales]]-SalesData_2[[#This Row],[COGS]]</f>
        <v>208.8</v>
      </c>
      <c r="K387" s="21">
        <f>SalesData_2[[#This Row],[Revenue]]/SalesData_2[[#This Row],[Sales]]</f>
        <v>0.36000000000000004</v>
      </c>
      <c r="L387" s="3" t="s">
        <v>44</v>
      </c>
      <c r="M387" s="3" t="s">
        <v>81</v>
      </c>
      <c r="N387" s="3" t="s">
        <v>86</v>
      </c>
    </row>
    <row r="388" spans="1:14" x14ac:dyDescent="0.3">
      <c r="A388" s="2">
        <v>44225</v>
      </c>
      <c r="B388" s="2">
        <v>44231</v>
      </c>
      <c r="C388">
        <v>6</v>
      </c>
      <c r="D388" s="3" t="s">
        <v>6</v>
      </c>
      <c r="E388" s="6">
        <v>99</v>
      </c>
      <c r="F388" s="6">
        <v>62.37</v>
      </c>
      <c r="G388">
        <v>3</v>
      </c>
      <c r="H388" s="6">
        <f>SalesData_2[[#This Row],[Unit Price]]*SalesData_2[[#This Row],[Units Sold]]</f>
        <v>297</v>
      </c>
      <c r="I388" s="6">
        <f>SalesData_2[[#This Row],[Unit Cost]]*SalesData_2[[#This Row],[Units Sold]]</f>
        <v>187.10999999999999</v>
      </c>
      <c r="J388" s="6">
        <f>SalesData_2[[#This Row],[Sales]]-SalesData_2[[#This Row],[COGS]]</f>
        <v>109.89000000000001</v>
      </c>
      <c r="K388" s="21">
        <f>SalesData_2[[#This Row],[Revenue]]/SalesData_2[[#This Row],[Sales]]</f>
        <v>0.37000000000000005</v>
      </c>
      <c r="L388" s="3" t="s">
        <v>67</v>
      </c>
      <c r="M388" s="3" t="s">
        <v>81</v>
      </c>
      <c r="N388" s="3" t="s">
        <v>86</v>
      </c>
    </row>
    <row r="389" spans="1:14" x14ac:dyDescent="0.3">
      <c r="A389" s="2">
        <v>44225</v>
      </c>
      <c r="B389" s="2">
        <v>44229</v>
      </c>
      <c r="C389">
        <v>4</v>
      </c>
      <c r="D389" s="3" t="s">
        <v>23</v>
      </c>
      <c r="E389" s="6">
        <v>275</v>
      </c>
      <c r="F389" s="6">
        <v>200.75</v>
      </c>
      <c r="G389">
        <v>7</v>
      </c>
      <c r="H389" s="6">
        <f>SalesData_2[[#This Row],[Unit Price]]*SalesData_2[[#This Row],[Units Sold]]</f>
        <v>1925</v>
      </c>
      <c r="I389" s="6">
        <f>SalesData_2[[#This Row],[Unit Cost]]*SalesData_2[[#This Row],[Units Sold]]</f>
        <v>1405.25</v>
      </c>
      <c r="J389" s="6">
        <f>SalesData_2[[#This Row],[Sales]]-SalesData_2[[#This Row],[COGS]]</f>
        <v>519.75</v>
      </c>
      <c r="K389" s="21">
        <f>SalesData_2[[#This Row],[Revenue]]/SalesData_2[[#This Row],[Sales]]</f>
        <v>0.27</v>
      </c>
      <c r="L389" s="3" t="s">
        <v>55</v>
      </c>
      <c r="M389" s="3" t="s">
        <v>83</v>
      </c>
      <c r="N389" s="3" t="s">
        <v>85</v>
      </c>
    </row>
    <row r="390" spans="1:14" x14ac:dyDescent="0.3">
      <c r="A390" s="2">
        <v>44228</v>
      </c>
      <c r="B390" s="2">
        <v>44229</v>
      </c>
      <c r="C390">
        <v>1</v>
      </c>
      <c r="D390" s="3" t="s">
        <v>14</v>
      </c>
      <c r="E390" s="6">
        <v>375</v>
      </c>
      <c r="F390" s="6">
        <v>247.5</v>
      </c>
      <c r="G390">
        <v>4</v>
      </c>
      <c r="H390" s="6">
        <f>SalesData_2[[#This Row],[Unit Price]]*SalesData_2[[#This Row],[Units Sold]]</f>
        <v>1500</v>
      </c>
      <c r="I390" s="6">
        <f>SalesData_2[[#This Row],[Unit Cost]]*SalesData_2[[#This Row],[Units Sold]]</f>
        <v>990</v>
      </c>
      <c r="J390" s="6">
        <f>SalesData_2[[#This Row],[Sales]]-SalesData_2[[#This Row],[COGS]]</f>
        <v>510</v>
      </c>
      <c r="K390" s="21">
        <f>SalesData_2[[#This Row],[Revenue]]/SalesData_2[[#This Row],[Sales]]</f>
        <v>0.34</v>
      </c>
      <c r="L390" s="3" t="s">
        <v>64</v>
      </c>
      <c r="M390" s="3" t="s">
        <v>81</v>
      </c>
      <c r="N390" s="3" t="s">
        <v>86</v>
      </c>
    </row>
    <row r="391" spans="1:14" x14ac:dyDescent="0.3">
      <c r="A391" s="2">
        <v>44230</v>
      </c>
      <c r="B391" s="2">
        <v>44231</v>
      </c>
      <c r="C391">
        <v>1</v>
      </c>
      <c r="D391" s="3" t="s">
        <v>23</v>
      </c>
      <c r="E391" s="6">
        <v>275</v>
      </c>
      <c r="F391" s="6">
        <v>200.75</v>
      </c>
      <c r="G391">
        <v>2</v>
      </c>
      <c r="H391" s="6">
        <f>SalesData_2[[#This Row],[Unit Price]]*SalesData_2[[#This Row],[Units Sold]]</f>
        <v>550</v>
      </c>
      <c r="I391" s="6">
        <f>SalesData_2[[#This Row],[Unit Cost]]*SalesData_2[[#This Row],[Units Sold]]</f>
        <v>401.5</v>
      </c>
      <c r="J391" s="6">
        <f>SalesData_2[[#This Row],[Sales]]-SalesData_2[[#This Row],[COGS]]</f>
        <v>148.5</v>
      </c>
      <c r="K391" s="21">
        <f>SalesData_2[[#This Row],[Revenue]]/SalesData_2[[#This Row],[Sales]]</f>
        <v>0.27</v>
      </c>
      <c r="L391" s="3" t="s">
        <v>40</v>
      </c>
      <c r="M391" s="3" t="s">
        <v>80</v>
      </c>
      <c r="N391" s="3" t="s">
        <v>86</v>
      </c>
    </row>
    <row r="392" spans="1:14" x14ac:dyDescent="0.3">
      <c r="A392" s="2">
        <v>44232</v>
      </c>
      <c r="B392" s="2">
        <v>44239</v>
      </c>
      <c r="C392">
        <v>7</v>
      </c>
      <c r="D392" s="3" t="s">
        <v>22</v>
      </c>
      <c r="E392" s="6">
        <v>460</v>
      </c>
      <c r="F392" s="6">
        <v>303.60000000000002</v>
      </c>
      <c r="G392">
        <v>8</v>
      </c>
      <c r="H392" s="6">
        <f>SalesData_2[[#This Row],[Unit Price]]*SalesData_2[[#This Row],[Units Sold]]</f>
        <v>3680</v>
      </c>
      <c r="I392" s="6">
        <f>SalesData_2[[#This Row],[Unit Cost]]*SalesData_2[[#This Row],[Units Sold]]</f>
        <v>2428.8000000000002</v>
      </c>
      <c r="J392" s="6">
        <f>SalesData_2[[#This Row],[Sales]]-SalesData_2[[#This Row],[COGS]]</f>
        <v>1251.1999999999998</v>
      </c>
      <c r="K392" s="21">
        <f>SalesData_2[[#This Row],[Revenue]]/SalesData_2[[#This Row],[Sales]]</f>
        <v>0.33999999999999997</v>
      </c>
      <c r="L392" s="3" t="s">
        <v>50</v>
      </c>
      <c r="M392" s="3" t="s">
        <v>79</v>
      </c>
      <c r="N392" s="3" t="s">
        <v>86</v>
      </c>
    </row>
    <row r="393" spans="1:14" x14ac:dyDescent="0.3">
      <c r="A393" s="2">
        <v>44235</v>
      </c>
      <c r="B393" s="2">
        <v>44239</v>
      </c>
      <c r="C393">
        <v>4</v>
      </c>
      <c r="D393" s="3" t="s">
        <v>23</v>
      </c>
      <c r="E393" s="6">
        <v>275</v>
      </c>
      <c r="F393" s="6">
        <v>200.75</v>
      </c>
      <c r="G393">
        <v>5</v>
      </c>
      <c r="H393" s="6">
        <f>SalesData_2[[#This Row],[Unit Price]]*SalesData_2[[#This Row],[Units Sold]]</f>
        <v>1375</v>
      </c>
      <c r="I393" s="6">
        <f>SalesData_2[[#This Row],[Unit Cost]]*SalesData_2[[#This Row],[Units Sold]]</f>
        <v>1003.75</v>
      </c>
      <c r="J393" s="6">
        <f>SalesData_2[[#This Row],[Sales]]-SalesData_2[[#This Row],[COGS]]</f>
        <v>371.25</v>
      </c>
      <c r="K393" s="21">
        <f>SalesData_2[[#This Row],[Revenue]]/SalesData_2[[#This Row],[Sales]]</f>
        <v>0.27</v>
      </c>
      <c r="L393" s="3" t="s">
        <v>34</v>
      </c>
      <c r="M393" s="3" t="s">
        <v>80</v>
      </c>
      <c r="N393" s="3" t="s">
        <v>86</v>
      </c>
    </row>
    <row r="394" spans="1:14" x14ac:dyDescent="0.3">
      <c r="A394" s="2">
        <v>44236</v>
      </c>
      <c r="B394" s="2">
        <v>44238</v>
      </c>
      <c r="C394">
        <v>2</v>
      </c>
      <c r="D394" s="3" t="s">
        <v>5</v>
      </c>
      <c r="E394" s="6">
        <v>290</v>
      </c>
      <c r="F394" s="6">
        <v>185.6</v>
      </c>
      <c r="G394">
        <v>4</v>
      </c>
      <c r="H394" s="6">
        <f>SalesData_2[[#This Row],[Unit Price]]*SalesData_2[[#This Row],[Units Sold]]</f>
        <v>1160</v>
      </c>
      <c r="I394" s="6">
        <f>SalesData_2[[#This Row],[Unit Cost]]*SalesData_2[[#This Row],[Units Sold]]</f>
        <v>742.4</v>
      </c>
      <c r="J394" s="6">
        <f>SalesData_2[[#This Row],[Sales]]-SalesData_2[[#This Row],[COGS]]</f>
        <v>417.6</v>
      </c>
      <c r="K394" s="21">
        <f>SalesData_2[[#This Row],[Revenue]]/SalesData_2[[#This Row],[Sales]]</f>
        <v>0.36000000000000004</v>
      </c>
      <c r="L394" s="3" t="s">
        <v>31</v>
      </c>
      <c r="M394" s="3" t="s">
        <v>82</v>
      </c>
      <c r="N394" s="3" t="s">
        <v>86</v>
      </c>
    </row>
    <row r="395" spans="1:14" x14ac:dyDescent="0.3">
      <c r="A395" s="2">
        <v>44236</v>
      </c>
      <c r="B395" s="2">
        <v>44241</v>
      </c>
      <c r="C395">
        <v>5</v>
      </c>
      <c r="D395" s="3" t="s">
        <v>2</v>
      </c>
      <c r="E395" s="6">
        <v>250</v>
      </c>
      <c r="F395" s="6">
        <v>187.5</v>
      </c>
      <c r="G395">
        <v>7</v>
      </c>
      <c r="H395" s="6">
        <f>SalesData_2[[#This Row],[Unit Price]]*SalesData_2[[#This Row],[Units Sold]]</f>
        <v>1750</v>
      </c>
      <c r="I395" s="6">
        <f>SalesData_2[[#This Row],[Unit Cost]]*SalesData_2[[#This Row],[Units Sold]]</f>
        <v>1312.5</v>
      </c>
      <c r="J395" s="6">
        <f>SalesData_2[[#This Row],[Sales]]-SalesData_2[[#This Row],[COGS]]</f>
        <v>437.5</v>
      </c>
      <c r="K395" s="21">
        <f>SalesData_2[[#This Row],[Revenue]]/SalesData_2[[#This Row],[Sales]]</f>
        <v>0.25</v>
      </c>
      <c r="L395" s="3" t="s">
        <v>37</v>
      </c>
      <c r="M395" s="3" t="s">
        <v>83</v>
      </c>
      <c r="N395" s="3" t="s">
        <v>86</v>
      </c>
    </row>
    <row r="396" spans="1:14" x14ac:dyDescent="0.3">
      <c r="A396" s="2">
        <v>44237</v>
      </c>
      <c r="B396" s="2">
        <v>44240</v>
      </c>
      <c r="C396">
        <v>3</v>
      </c>
      <c r="D396" s="3" t="s">
        <v>20</v>
      </c>
      <c r="E396" s="6">
        <v>440</v>
      </c>
      <c r="F396" s="6">
        <v>286</v>
      </c>
      <c r="G396">
        <v>4</v>
      </c>
      <c r="H396" s="6">
        <f>SalesData_2[[#This Row],[Unit Price]]*SalesData_2[[#This Row],[Units Sold]]</f>
        <v>1760</v>
      </c>
      <c r="I396" s="6">
        <f>SalesData_2[[#This Row],[Unit Cost]]*SalesData_2[[#This Row],[Units Sold]]</f>
        <v>1144</v>
      </c>
      <c r="J396" s="6">
        <f>SalesData_2[[#This Row],[Sales]]-SalesData_2[[#This Row],[COGS]]</f>
        <v>616</v>
      </c>
      <c r="K396" s="21">
        <f>SalesData_2[[#This Row],[Revenue]]/SalesData_2[[#This Row],[Sales]]</f>
        <v>0.35</v>
      </c>
      <c r="L396" s="3" t="s">
        <v>57</v>
      </c>
      <c r="M396" s="3" t="s">
        <v>83</v>
      </c>
      <c r="N396" s="3" t="s">
        <v>86</v>
      </c>
    </row>
    <row r="397" spans="1:14" x14ac:dyDescent="0.3">
      <c r="A397" s="2">
        <v>44239</v>
      </c>
      <c r="B397" s="2">
        <v>44240</v>
      </c>
      <c r="C397">
        <v>1</v>
      </c>
      <c r="D397" s="3" t="s">
        <v>3</v>
      </c>
      <c r="E397" s="6">
        <v>95</v>
      </c>
      <c r="F397" s="6">
        <v>60.8</v>
      </c>
      <c r="G397">
        <v>6</v>
      </c>
      <c r="H397" s="6">
        <f>SalesData_2[[#This Row],[Unit Price]]*SalesData_2[[#This Row],[Units Sold]]</f>
        <v>570</v>
      </c>
      <c r="I397" s="6">
        <f>SalesData_2[[#This Row],[Unit Cost]]*SalesData_2[[#This Row],[Units Sold]]</f>
        <v>364.79999999999995</v>
      </c>
      <c r="J397" s="6">
        <f>SalesData_2[[#This Row],[Sales]]-SalesData_2[[#This Row],[COGS]]</f>
        <v>205.20000000000005</v>
      </c>
      <c r="K397" s="21">
        <f>SalesData_2[[#This Row],[Revenue]]/SalesData_2[[#This Row],[Sales]]</f>
        <v>0.3600000000000001</v>
      </c>
      <c r="L397" s="3" t="s">
        <v>42</v>
      </c>
      <c r="M397" s="3" t="s">
        <v>81</v>
      </c>
      <c r="N397" s="3" t="s">
        <v>85</v>
      </c>
    </row>
    <row r="398" spans="1:14" x14ac:dyDescent="0.3">
      <c r="A398" s="2">
        <v>44239</v>
      </c>
      <c r="B398" s="2">
        <v>44241</v>
      </c>
      <c r="C398">
        <v>2</v>
      </c>
      <c r="D398" s="3" t="s">
        <v>9</v>
      </c>
      <c r="E398" s="6">
        <v>215</v>
      </c>
      <c r="F398" s="6">
        <v>152.65</v>
      </c>
      <c r="G398">
        <v>6</v>
      </c>
      <c r="H398" s="6">
        <f>SalesData_2[[#This Row],[Unit Price]]*SalesData_2[[#This Row],[Units Sold]]</f>
        <v>1290</v>
      </c>
      <c r="I398" s="6">
        <f>SalesData_2[[#This Row],[Unit Cost]]*SalesData_2[[#This Row],[Units Sold]]</f>
        <v>915.90000000000009</v>
      </c>
      <c r="J398" s="6">
        <f>SalesData_2[[#This Row],[Sales]]-SalesData_2[[#This Row],[COGS]]</f>
        <v>374.09999999999991</v>
      </c>
      <c r="K398" s="21">
        <f>SalesData_2[[#This Row],[Revenue]]/SalesData_2[[#This Row],[Sales]]</f>
        <v>0.28999999999999992</v>
      </c>
      <c r="L398" s="3" t="s">
        <v>54</v>
      </c>
      <c r="M398" s="3" t="s">
        <v>79</v>
      </c>
      <c r="N398" s="3" t="s">
        <v>85</v>
      </c>
    </row>
    <row r="399" spans="1:14" x14ac:dyDescent="0.3">
      <c r="A399" s="2">
        <v>44240</v>
      </c>
      <c r="B399" s="2">
        <v>44243</v>
      </c>
      <c r="C399">
        <v>3</v>
      </c>
      <c r="D399" s="3" t="s">
        <v>13</v>
      </c>
      <c r="E399" s="6">
        <v>445</v>
      </c>
      <c r="F399" s="6">
        <v>280.35000000000002</v>
      </c>
      <c r="G399">
        <v>6</v>
      </c>
      <c r="H399" s="6">
        <f>SalesData_2[[#This Row],[Unit Price]]*SalesData_2[[#This Row],[Units Sold]]</f>
        <v>2670</v>
      </c>
      <c r="I399" s="6">
        <f>SalesData_2[[#This Row],[Unit Cost]]*SalesData_2[[#This Row],[Units Sold]]</f>
        <v>1682.1000000000001</v>
      </c>
      <c r="J399" s="6">
        <f>SalesData_2[[#This Row],[Sales]]-SalesData_2[[#This Row],[COGS]]</f>
        <v>987.89999999999986</v>
      </c>
      <c r="K399" s="21">
        <f>SalesData_2[[#This Row],[Revenue]]/SalesData_2[[#This Row],[Sales]]</f>
        <v>0.36999999999999994</v>
      </c>
      <c r="L399" s="3" t="s">
        <v>63</v>
      </c>
      <c r="M399" s="3" t="s">
        <v>80</v>
      </c>
      <c r="N399" s="3" t="s">
        <v>86</v>
      </c>
    </row>
    <row r="400" spans="1:14" x14ac:dyDescent="0.3">
      <c r="A400" s="2">
        <v>44241</v>
      </c>
      <c r="B400" s="2">
        <v>44242</v>
      </c>
      <c r="C400">
        <v>1</v>
      </c>
      <c r="D400" s="3" t="s">
        <v>14</v>
      </c>
      <c r="E400" s="6">
        <v>375</v>
      </c>
      <c r="F400" s="6">
        <v>247.5</v>
      </c>
      <c r="G400">
        <v>1</v>
      </c>
      <c r="H400" s="6">
        <f>SalesData_2[[#This Row],[Unit Price]]*SalesData_2[[#This Row],[Units Sold]]</f>
        <v>375</v>
      </c>
      <c r="I400" s="6">
        <f>SalesData_2[[#This Row],[Unit Cost]]*SalesData_2[[#This Row],[Units Sold]]</f>
        <v>247.5</v>
      </c>
      <c r="J400" s="6">
        <f>SalesData_2[[#This Row],[Sales]]-SalesData_2[[#This Row],[COGS]]</f>
        <v>127.5</v>
      </c>
      <c r="K400" s="21">
        <f>SalesData_2[[#This Row],[Revenue]]/SalesData_2[[#This Row],[Sales]]</f>
        <v>0.34</v>
      </c>
      <c r="L400" s="3" t="s">
        <v>50</v>
      </c>
      <c r="M400" s="3" t="s">
        <v>79</v>
      </c>
      <c r="N400" s="3" t="s">
        <v>86</v>
      </c>
    </row>
    <row r="401" spans="1:14" x14ac:dyDescent="0.3">
      <c r="A401" s="2">
        <v>44245</v>
      </c>
      <c r="B401" s="2">
        <v>44248</v>
      </c>
      <c r="C401">
        <v>3</v>
      </c>
      <c r="D401" s="3" t="s">
        <v>17</v>
      </c>
      <c r="E401" s="6">
        <v>195</v>
      </c>
      <c r="F401" s="6">
        <v>138.44999999999999</v>
      </c>
      <c r="G401">
        <v>3</v>
      </c>
      <c r="H401" s="6">
        <f>SalesData_2[[#This Row],[Unit Price]]*SalesData_2[[#This Row],[Units Sold]]</f>
        <v>585</v>
      </c>
      <c r="I401" s="6">
        <f>SalesData_2[[#This Row],[Unit Cost]]*SalesData_2[[#This Row],[Units Sold]]</f>
        <v>415.34999999999997</v>
      </c>
      <c r="J401" s="6">
        <f>SalesData_2[[#This Row],[Sales]]-SalesData_2[[#This Row],[COGS]]</f>
        <v>169.65000000000003</v>
      </c>
      <c r="K401" s="21">
        <f>SalesData_2[[#This Row],[Revenue]]/SalesData_2[[#This Row],[Sales]]</f>
        <v>0.29000000000000004</v>
      </c>
      <c r="L401" s="3" t="s">
        <v>46</v>
      </c>
      <c r="M401" s="3" t="s">
        <v>81</v>
      </c>
      <c r="N401" s="3" t="s">
        <v>86</v>
      </c>
    </row>
    <row r="402" spans="1:14" x14ac:dyDescent="0.3">
      <c r="A402" s="2">
        <v>44246</v>
      </c>
      <c r="B402" s="2">
        <v>44247</v>
      </c>
      <c r="C402">
        <v>1</v>
      </c>
      <c r="D402" s="3" t="s">
        <v>5</v>
      </c>
      <c r="E402" s="6">
        <v>290</v>
      </c>
      <c r="F402" s="6">
        <v>185.6</v>
      </c>
      <c r="G402">
        <v>3</v>
      </c>
      <c r="H402" s="6">
        <f>SalesData_2[[#This Row],[Unit Price]]*SalesData_2[[#This Row],[Units Sold]]</f>
        <v>870</v>
      </c>
      <c r="I402" s="6">
        <f>SalesData_2[[#This Row],[Unit Cost]]*SalesData_2[[#This Row],[Units Sold]]</f>
        <v>556.79999999999995</v>
      </c>
      <c r="J402" s="6">
        <f>SalesData_2[[#This Row],[Sales]]-SalesData_2[[#This Row],[COGS]]</f>
        <v>313.20000000000005</v>
      </c>
      <c r="K402" s="21">
        <f>SalesData_2[[#This Row],[Revenue]]/SalesData_2[[#This Row],[Sales]]</f>
        <v>0.36000000000000004</v>
      </c>
      <c r="L402" s="3" t="s">
        <v>31</v>
      </c>
      <c r="M402" s="3" t="s">
        <v>82</v>
      </c>
      <c r="N402" s="3" t="s">
        <v>85</v>
      </c>
    </row>
    <row r="403" spans="1:14" x14ac:dyDescent="0.3">
      <c r="A403" s="2">
        <v>44247</v>
      </c>
      <c r="B403" s="2">
        <v>44252</v>
      </c>
      <c r="C403">
        <v>5</v>
      </c>
      <c r="D403" s="3" t="s">
        <v>17</v>
      </c>
      <c r="E403" s="6">
        <v>195</v>
      </c>
      <c r="F403" s="6">
        <v>138.44999999999999</v>
      </c>
      <c r="G403">
        <v>3</v>
      </c>
      <c r="H403" s="6">
        <f>SalesData_2[[#This Row],[Unit Price]]*SalesData_2[[#This Row],[Units Sold]]</f>
        <v>585</v>
      </c>
      <c r="I403" s="6">
        <f>SalesData_2[[#This Row],[Unit Cost]]*SalesData_2[[#This Row],[Units Sold]]</f>
        <v>415.34999999999997</v>
      </c>
      <c r="J403" s="6">
        <f>SalesData_2[[#This Row],[Sales]]-SalesData_2[[#This Row],[COGS]]</f>
        <v>169.65000000000003</v>
      </c>
      <c r="K403" s="21">
        <f>SalesData_2[[#This Row],[Revenue]]/SalesData_2[[#This Row],[Sales]]</f>
        <v>0.29000000000000004</v>
      </c>
      <c r="L403" s="3" t="s">
        <v>67</v>
      </c>
      <c r="M403" s="3" t="s">
        <v>79</v>
      </c>
      <c r="N403" s="3" t="s">
        <v>86</v>
      </c>
    </row>
    <row r="404" spans="1:14" x14ac:dyDescent="0.3">
      <c r="A404" s="2">
        <v>44247</v>
      </c>
      <c r="B404" s="2">
        <v>44253</v>
      </c>
      <c r="C404">
        <v>6</v>
      </c>
      <c r="D404" s="3" t="s">
        <v>21</v>
      </c>
      <c r="E404" s="6">
        <v>355</v>
      </c>
      <c r="F404" s="6">
        <v>252.05</v>
      </c>
      <c r="G404">
        <v>7</v>
      </c>
      <c r="H404" s="6">
        <f>SalesData_2[[#This Row],[Unit Price]]*SalesData_2[[#This Row],[Units Sold]]</f>
        <v>2485</v>
      </c>
      <c r="I404" s="6">
        <f>SalesData_2[[#This Row],[Unit Cost]]*SalesData_2[[#This Row],[Units Sold]]</f>
        <v>1764.3500000000001</v>
      </c>
      <c r="J404" s="6">
        <f>SalesData_2[[#This Row],[Sales]]-SalesData_2[[#This Row],[COGS]]</f>
        <v>720.64999999999986</v>
      </c>
      <c r="K404" s="21">
        <f>SalesData_2[[#This Row],[Revenue]]/SalesData_2[[#This Row],[Sales]]</f>
        <v>0.28999999999999992</v>
      </c>
      <c r="L404" s="3" t="s">
        <v>45</v>
      </c>
      <c r="M404" s="3" t="s">
        <v>79</v>
      </c>
      <c r="N404" s="3" t="s">
        <v>86</v>
      </c>
    </row>
    <row r="405" spans="1:14" x14ac:dyDescent="0.3">
      <c r="A405" s="2">
        <v>44249</v>
      </c>
      <c r="B405" s="2">
        <v>44254</v>
      </c>
      <c r="C405">
        <v>5</v>
      </c>
      <c r="D405" s="3" t="s">
        <v>8</v>
      </c>
      <c r="E405" s="6">
        <v>59</v>
      </c>
      <c r="F405" s="6">
        <v>41.3</v>
      </c>
      <c r="G405">
        <v>1</v>
      </c>
      <c r="H405" s="6">
        <f>SalesData_2[[#This Row],[Unit Price]]*SalesData_2[[#This Row],[Units Sold]]</f>
        <v>59</v>
      </c>
      <c r="I405" s="6">
        <f>SalesData_2[[#This Row],[Unit Cost]]*SalesData_2[[#This Row],[Units Sold]]</f>
        <v>41.3</v>
      </c>
      <c r="J405" s="6">
        <f>SalesData_2[[#This Row],[Sales]]-SalesData_2[[#This Row],[COGS]]</f>
        <v>17.700000000000003</v>
      </c>
      <c r="K405" s="21">
        <f>SalesData_2[[#This Row],[Revenue]]/SalesData_2[[#This Row],[Sales]]</f>
        <v>0.30000000000000004</v>
      </c>
      <c r="L405" s="3" t="s">
        <v>42</v>
      </c>
      <c r="M405" s="3" t="s">
        <v>82</v>
      </c>
      <c r="N405" s="3" t="s">
        <v>86</v>
      </c>
    </row>
    <row r="406" spans="1:14" x14ac:dyDescent="0.3">
      <c r="A406" s="2">
        <v>44249</v>
      </c>
      <c r="B406" s="2">
        <v>44252</v>
      </c>
      <c r="C406">
        <v>3</v>
      </c>
      <c r="D406" s="3" t="s">
        <v>12</v>
      </c>
      <c r="E406" s="6">
        <v>320</v>
      </c>
      <c r="F406" s="6">
        <v>233.6</v>
      </c>
      <c r="G406">
        <v>8</v>
      </c>
      <c r="H406" s="6">
        <f>SalesData_2[[#This Row],[Unit Price]]*SalesData_2[[#This Row],[Units Sold]]</f>
        <v>2560</v>
      </c>
      <c r="I406" s="6">
        <f>SalesData_2[[#This Row],[Unit Cost]]*SalesData_2[[#This Row],[Units Sold]]</f>
        <v>1868.8</v>
      </c>
      <c r="J406" s="6">
        <f>SalesData_2[[#This Row],[Sales]]-SalesData_2[[#This Row],[COGS]]</f>
        <v>691.2</v>
      </c>
      <c r="K406" s="21">
        <f>SalesData_2[[#This Row],[Revenue]]/SalesData_2[[#This Row],[Sales]]</f>
        <v>0.27</v>
      </c>
      <c r="L406" s="3" t="s">
        <v>70</v>
      </c>
      <c r="M406" s="3" t="s">
        <v>83</v>
      </c>
      <c r="N406" s="3" t="s">
        <v>86</v>
      </c>
    </row>
    <row r="407" spans="1:14" x14ac:dyDescent="0.3">
      <c r="A407" s="2">
        <v>44249</v>
      </c>
      <c r="B407" s="2">
        <v>44250</v>
      </c>
      <c r="C407">
        <v>1</v>
      </c>
      <c r="D407" s="3" t="s">
        <v>11</v>
      </c>
      <c r="E407" s="6">
        <v>490</v>
      </c>
      <c r="F407" s="6">
        <v>298.89999999999998</v>
      </c>
      <c r="G407">
        <v>5</v>
      </c>
      <c r="H407" s="6">
        <f>SalesData_2[[#This Row],[Unit Price]]*SalesData_2[[#This Row],[Units Sold]]</f>
        <v>2450</v>
      </c>
      <c r="I407" s="6">
        <f>SalesData_2[[#This Row],[Unit Cost]]*SalesData_2[[#This Row],[Units Sold]]</f>
        <v>1494.5</v>
      </c>
      <c r="J407" s="6">
        <f>SalesData_2[[#This Row],[Sales]]-SalesData_2[[#This Row],[COGS]]</f>
        <v>955.5</v>
      </c>
      <c r="K407" s="21">
        <f>SalesData_2[[#This Row],[Revenue]]/SalesData_2[[#This Row],[Sales]]</f>
        <v>0.39</v>
      </c>
      <c r="L407" s="3" t="s">
        <v>42</v>
      </c>
      <c r="M407" s="3" t="s">
        <v>79</v>
      </c>
      <c r="N407" s="3" t="s">
        <v>86</v>
      </c>
    </row>
    <row r="408" spans="1:14" x14ac:dyDescent="0.3">
      <c r="A408" s="2">
        <v>44250</v>
      </c>
      <c r="B408" s="2">
        <v>44256</v>
      </c>
      <c r="C408">
        <v>6</v>
      </c>
      <c r="D408" s="3" t="s">
        <v>5</v>
      </c>
      <c r="E408" s="6">
        <v>290</v>
      </c>
      <c r="F408" s="6">
        <v>185.6</v>
      </c>
      <c r="G408">
        <v>2</v>
      </c>
      <c r="H408" s="6">
        <f>SalesData_2[[#This Row],[Unit Price]]*SalesData_2[[#This Row],[Units Sold]]</f>
        <v>580</v>
      </c>
      <c r="I408" s="6">
        <f>SalesData_2[[#This Row],[Unit Cost]]*SalesData_2[[#This Row],[Units Sold]]</f>
        <v>371.2</v>
      </c>
      <c r="J408" s="6">
        <f>SalesData_2[[#This Row],[Sales]]-SalesData_2[[#This Row],[COGS]]</f>
        <v>208.8</v>
      </c>
      <c r="K408" s="21">
        <f>SalesData_2[[#This Row],[Revenue]]/SalesData_2[[#This Row],[Sales]]</f>
        <v>0.36000000000000004</v>
      </c>
      <c r="L408" s="3" t="s">
        <v>61</v>
      </c>
      <c r="M408" s="3" t="s">
        <v>81</v>
      </c>
      <c r="N408" s="3" t="s">
        <v>85</v>
      </c>
    </row>
    <row r="409" spans="1:14" x14ac:dyDescent="0.3">
      <c r="A409" s="2">
        <v>44251</v>
      </c>
      <c r="B409" s="2">
        <v>44258</v>
      </c>
      <c r="C409">
        <v>7</v>
      </c>
      <c r="D409" s="3" t="s">
        <v>2</v>
      </c>
      <c r="E409" s="6">
        <v>250</v>
      </c>
      <c r="F409" s="6">
        <v>187.5</v>
      </c>
      <c r="G409">
        <v>7</v>
      </c>
      <c r="H409" s="6">
        <f>SalesData_2[[#This Row],[Unit Price]]*SalesData_2[[#This Row],[Units Sold]]</f>
        <v>1750</v>
      </c>
      <c r="I409" s="6">
        <f>SalesData_2[[#This Row],[Unit Cost]]*SalesData_2[[#This Row],[Units Sold]]</f>
        <v>1312.5</v>
      </c>
      <c r="J409" s="6">
        <f>SalesData_2[[#This Row],[Sales]]-SalesData_2[[#This Row],[COGS]]</f>
        <v>437.5</v>
      </c>
      <c r="K409" s="21">
        <f>SalesData_2[[#This Row],[Revenue]]/SalesData_2[[#This Row],[Sales]]</f>
        <v>0.25</v>
      </c>
      <c r="L409" s="3" t="s">
        <v>49</v>
      </c>
      <c r="M409" s="3" t="s">
        <v>83</v>
      </c>
      <c r="N409" s="3" t="s">
        <v>85</v>
      </c>
    </row>
    <row r="410" spans="1:14" x14ac:dyDescent="0.3">
      <c r="A410" s="2">
        <v>44251</v>
      </c>
      <c r="B410" s="2">
        <v>44255</v>
      </c>
      <c r="C410">
        <v>4</v>
      </c>
      <c r="D410" s="3" t="s">
        <v>21</v>
      </c>
      <c r="E410" s="6">
        <v>355</v>
      </c>
      <c r="F410" s="6">
        <v>252.05</v>
      </c>
      <c r="G410">
        <v>4</v>
      </c>
      <c r="H410" s="6">
        <f>SalesData_2[[#This Row],[Unit Price]]*SalesData_2[[#This Row],[Units Sold]]</f>
        <v>1420</v>
      </c>
      <c r="I410" s="6">
        <f>SalesData_2[[#This Row],[Unit Cost]]*SalesData_2[[#This Row],[Units Sold]]</f>
        <v>1008.2</v>
      </c>
      <c r="J410" s="6">
        <f>SalesData_2[[#This Row],[Sales]]-SalesData_2[[#This Row],[COGS]]</f>
        <v>411.79999999999995</v>
      </c>
      <c r="K410" s="21">
        <f>SalesData_2[[#This Row],[Revenue]]/SalesData_2[[#This Row],[Sales]]</f>
        <v>0.28999999999999998</v>
      </c>
      <c r="L410" s="3" t="s">
        <v>30</v>
      </c>
      <c r="M410" s="3" t="s">
        <v>79</v>
      </c>
      <c r="N410" s="3" t="s">
        <v>86</v>
      </c>
    </row>
    <row r="411" spans="1:14" x14ac:dyDescent="0.3">
      <c r="A411" s="2">
        <v>44251</v>
      </c>
      <c r="B411" s="2">
        <v>44256</v>
      </c>
      <c r="C411">
        <v>5</v>
      </c>
      <c r="D411" s="3" t="s">
        <v>11</v>
      </c>
      <c r="E411" s="6">
        <v>490</v>
      </c>
      <c r="F411" s="6">
        <v>298.89999999999998</v>
      </c>
      <c r="G411">
        <v>1</v>
      </c>
      <c r="H411" s="6">
        <f>SalesData_2[[#This Row],[Unit Price]]*SalesData_2[[#This Row],[Units Sold]]</f>
        <v>490</v>
      </c>
      <c r="I411" s="6">
        <f>SalesData_2[[#This Row],[Unit Cost]]*SalesData_2[[#This Row],[Units Sold]]</f>
        <v>298.89999999999998</v>
      </c>
      <c r="J411" s="6">
        <f>SalesData_2[[#This Row],[Sales]]-SalesData_2[[#This Row],[COGS]]</f>
        <v>191.10000000000002</v>
      </c>
      <c r="K411" s="21">
        <f>SalesData_2[[#This Row],[Revenue]]/SalesData_2[[#This Row],[Sales]]</f>
        <v>0.39000000000000007</v>
      </c>
      <c r="L411" s="3" t="s">
        <v>39</v>
      </c>
      <c r="M411" s="3" t="s">
        <v>80</v>
      </c>
      <c r="N411" s="3" t="s">
        <v>85</v>
      </c>
    </row>
    <row r="412" spans="1:14" x14ac:dyDescent="0.3">
      <c r="A412" s="2">
        <v>44253</v>
      </c>
      <c r="B412" s="2">
        <v>44257</v>
      </c>
      <c r="C412">
        <v>4</v>
      </c>
      <c r="D412" s="3" t="s">
        <v>5</v>
      </c>
      <c r="E412" s="6">
        <v>290</v>
      </c>
      <c r="F412" s="6">
        <v>185.6</v>
      </c>
      <c r="G412">
        <v>7</v>
      </c>
      <c r="H412" s="6">
        <f>SalesData_2[[#This Row],[Unit Price]]*SalesData_2[[#This Row],[Units Sold]]</f>
        <v>2030</v>
      </c>
      <c r="I412" s="6">
        <f>SalesData_2[[#This Row],[Unit Cost]]*SalesData_2[[#This Row],[Units Sold]]</f>
        <v>1299.2</v>
      </c>
      <c r="J412" s="6">
        <f>SalesData_2[[#This Row],[Sales]]-SalesData_2[[#This Row],[COGS]]</f>
        <v>730.8</v>
      </c>
      <c r="K412" s="21">
        <f>SalesData_2[[#This Row],[Revenue]]/SalesData_2[[#This Row],[Sales]]</f>
        <v>0.36</v>
      </c>
      <c r="L412" s="3" t="s">
        <v>39</v>
      </c>
      <c r="M412" s="3" t="s">
        <v>80</v>
      </c>
      <c r="N412" s="3" t="s">
        <v>85</v>
      </c>
    </row>
    <row r="413" spans="1:14" x14ac:dyDescent="0.3">
      <c r="A413" s="2">
        <v>44254</v>
      </c>
      <c r="B413" s="2">
        <v>44260</v>
      </c>
      <c r="C413">
        <v>6</v>
      </c>
      <c r="D413" s="3" t="s">
        <v>22</v>
      </c>
      <c r="E413" s="6">
        <v>460</v>
      </c>
      <c r="F413" s="6">
        <v>303.60000000000002</v>
      </c>
      <c r="G413">
        <v>4</v>
      </c>
      <c r="H413" s="6">
        <f>SalesData_2[[#This Row],[Unit Price]]*SalesData_2[[#This Row],[Units Sold]]</f>
        <v>1840</v>
      </c>
      <c r="I413" s="6">
        <f>SalesData_2[[#This Row],[Unit Cost]]*SalesData_2[[#This Row],[Units Sold]]</f>
        <v>1214.4000000000001</v>
      </c>
      <c r="J413" s="6">
        <f>SalesData_2[[#This Row],[Sales]]-SalesData_2[[#This Row],[COGS]]</f>
        <v>625.59999999999991</v>
      </c>
      <c r="K413" s="21">
        <f>SalesData_2[[#This Row],[Revenue]]/SalesData_2[[#This Row],[Sales]]</f>
        <v>0.33999999999999997</v>
      </c>
      <c r="L413" s="3" t="s">
        <v>54</v>
      </c>
      <c r="M413" s="3" t="s">
        <v>80</v>
      </c>
      <c r="N413" s="3" t="s">
        <v>85</v>
      </c>
    </row>
    <row r="414" spans="1:14" x14ac:dyDescent="0.3">
      <c r="A414" s="2">
        <v>44254</v>
      </c>
      <c r="B414" s="2">
        <v>44259</v>
      </c>
      <c r="C414">
        <v>5</v>
      </c>
      <c r="D414" s="3" t="s">
        <v>19</v>
      </c>
      <c r="E414" s="6">
        <v>220</v>
      </c>
      <c r="F414" s="6">
        <v>154</v>
      </c>
      <c r="G414">
        <v>1</v>
      </c>
      <c r="H414" s="6">
        <f>SalesData_2[[#This Row],[Unit Price]]*SalesData_2[[#This Row],[Units Sold]]</f>
        <v>220</v>
      </c>
      <c r="I414" s="6">
        <f>SalesData_2[[#This Row],[Unit Cost]]*SalesData_2[[#This Row],[Units Sold]]</f>
        <v>154</v>
      </c>
      <c r="J414" s="6">
        <f>SalesData_2[[#This Row],[Sales]]-SalesData_2[[#This Row],[COGS]]</f>
        <v>66</v>
      </c>
      <c r="K414" s="21">
        <f>SalesData_2[[#This Row],[Revenue]]/SalesData_2[[#This Row],[Sales]]</f>
        <v>0.3</v>
      </c>
      <c r="L414" s="3" t="s">
        <v>62</v>
      </c>
      <c r="M414" s="3" t="s">
        <v>81</v>
      </c>
      <c r="N414" s="3" t="s">
        <v>85</v>
      </c>
    </row>
    <row r="415" spans="1:14" x14ac:dyDescent="0.3">
      <c r="A415" s="2">
        <v>44255</v>
      </c>
      <c r="B415" s="2">
        <v>44258</v>
      </c>
      <c r="C415">
        <v>3</v>
      </c>
      <c r="D415" s="3" t="s">
        <v>7</v>
      </c>
      <c r="E415" s="6">
        <v>250</v>
      </c>
      <c r="F415" s="6">
        <v>167.5</v>
      </c>
      <c r="G415">
        <v>5</v>
      </c>
      <c r="H415" s="6">
        <f>SalesData_2[[#This Row],[Unit Price]]*SalesData_2[[#This Row],[Units Sold]]</f>
        <v>1250</v>
      </c>
      <c r="I415" s="6">
        <f>SalesData_2[[#This Row],[Unit Cost]]*SalesData_2[[#This Row],[Units Sold]]</f>
        <v>837.5</v>
      </c>
      <c r="J415" s="6">
        <f>SalesData_2[[#This Row],[Sales]]-SalesData_2[[#This Row],[COGS]]</f>
        <v>412.5</v>
      </c>
      <c r="K415" s="21">
        <f>SalesData_2[[#This Row],[Revenue]]/SalesData_2[[#This Row],[Sales]]</f>
        <v>0.33</v>
      </c>
      <c r="L415" s="3" t="s">
        <v>32</v>
      </c>
      <c r="M415" s="3" t="s">
        <v>81</v>
      </c>
      <c r="N415" s="3" t="s">
        <v>85</v>
      </c>
    </row>
    <row r="416" spans="1:14" x14ac:dyDescent="0.3">
      <c r="A416" s="2">
        <v>44255</v>
      </c>
      <c r="B416" s="2">
        <v>44260</v>
      </c>
      <c r="C416">
        <v>5</v>
      </c>
      <c r="D416" s="3" t="s">
        <v>13</v>
      </c>
      <c r="E416" s="6">
        <v>445</v>
      </c>
      <c r="F416" s="6">
        <v>280.35000000000002</v>
      </c>
      <c r="G416">
        <v>1</v>
      </c>
      <c r="H416" s="6">
        <f>SalesData_2[[#This Row],[Unit Price]]*SalesData_2[[#This Row],[Units Sold]]</f>
        <v>445</v>
      </c>
      <c r="I416" s="6">
        <f>SalesData_2[[#This Row],[Unit Cost]]*SalesData_2[[#This Row],[Units Sold]]</f>
        <v>280.35000000000002</v>
      </c>
      <c r="J416" s="6">
        <f>SalesData_2[[#This Row],[Sales]]-SalesData_2[[#This Row],[COGS]]</f>
        <v>164.64999999999998</v>
      </c>
      <c r="K416" s="21">
        <f>SalesData_2[[#This Row],[Revenue]]/SalesData_2[[#This Row],[Sales]]</f>
        <v>0.36999999999999994</v>
      </c>
      <c r="L416" s="3" t="s">
        <v>56</v>
      </c>
      <c r="M416" s="3" t="s">
        <v>81</v>
      </c>
      <c r="N416" s="3" t="s">
        <v>85</v>
      </c>
    </row>
    <row r="417" spans="1:14" x14ac:dyDescent="0.3">
      <c r="A417" s="2">
        <v>44255</v>
      </c>
      <c r="B417" s="2">
        <v>44256</v>
      </c>
      <c r="C417">
        <v>1</v>
      </c>
      <c r="D417" s="3" t="s">
        <v>4</v>
      </c>
      <c r="E417" s="6">
        <v>390</v>
      </c>
      <c r="F417" s="6">
        <v>288.60000000000002</v>
      </c>
      <c r="G417">
        <v>1</v>
      </c>
      <c r="H417" s="6">
        <f>SalesData_2[[#This Row],[Unit Price]]*SalesData_2[[#This Row],[Units Sold]]</f>
        <v>390</v>
      </c>
      <c r="I417" s="6">
        <f>SalesData_2[[#This Row],[Unit Cost]]*SalesData_2[[#This Row],[Units Sold]]</f>
        <v>288.60000000000002</v>
      </c>
      <c r="J417" s="6">
        <f>SalesData_2[[#This Row],[Sales]]-SalesData_2[[#This Row],[COGS]]</f>
        <v>101.39999999999998</v>
      </c>
      <c r="K417" s="21">
        <f>SalesData_2[[#This Row],[Revenue]]/SalesData_2[[#This Row],[Sales]]</f>
        <v>0.25999999999999995</v>
      </c>
      <c r="L417" s="3" t="s">
        <v>37</v>
      </c>
      <c r="M417" s="3" t="s">
        <v>83</v>
      </c>
      <c r="N417" s="3" t="s">
        <v>86</v>
      </c>
    </row>
    <row r="418" spans="1:14" x14ac:dyDescent="0.3">
      <c r="A418" s="2">
        <v>44258</v>
      </c>
      <c r="B418" s="2">
        <v>44261</v>
      </c>
      <c r="C418">
        <v>3</v>
      </c>
      <c r="D418" s="3" t="s">
        <v>9</v>
      </c>
      <c r="E418" s="6">
        <v>215</v>
      </c>
      <c r="F418" s="6">
        <v>152.65</v>
      </c>
      <c r="G418">
        <v>4</v>
      </c>
      <c r="H418" s="6">
        <f>SalesData_2[[#This Row],[Unit Price]]*SalesData_2[[#This Row],[Units Sold]]</f>
        <v>860</v>
      </c>
      <c r="I418" s="6">
        <f>SalesData_2[[#This Row],[Unit Cost]]*SalesData_2[[#This Row],[Units Sold]]</f>
        <v>610.6</v>
      </c>
      <c r="J418" s="6">
        <f>SalesData_2[[#This Row],[Sales]]-SalesData_2[[#This Row],[COGS]]</f>
        <v>249.39999999999998</v>
      </c>
      <c r="K418" s="21">
        <f>SalesData_2[[#This Row],[Revenue]]/SalesData_2[[#This Row],[Sales]]</f>
        <v>0.28999999999999998</v>
      </c>
      <c r="L418" s="3" t="s">
        <v>62</v>
      </c>
      <c r="M418" s="3" t="s">
        <v>79</v>
      </c>
      <c r="N418" s="3" t="s">
        <v>85</v>
      </c>
    </row>
    <row r="419" spans="1:14" x14ac:dyDescent="0.3">
      <c r="A419" s="2">
        <v>44259</v>
      </c>
      <c r="B419" s="2">
        <v>44263</v>
      </c>
      <c r="C419">
        <v>4</v>
      </c>
      <c r="D419" s="3" t="s">
        <v>20</v>
      </c>
      <c r="E419" s="6">
        <v>440</v>
      </c>
      <c r="F419" s="6">
        <v>286</v>
      </c>
      <c r="G419">
        <v>2</v>
      </c>
      <c r="H419" s="6">
        <f>SalesData_2[[#This Row],[Unit Price]]*SalesData_2[[#This Row],[Units Sold]]</f>
        <v>880</v>
      </c>
      <c r="I419" s="6">
        <f>SalesData_2[[#This Row],[Unit Cost]]*SalesData_2[[#This Row],[Units Sold]]</f>
        <v>572</v>
      </c>
      <c r="J419" s="6">
        <f>SalesData_2[[#This Row],[Sales]]-SalesData_2[[#This Row],[COGS]]</f>
        <v>308</v>
      </c>
      <c r="K419" s="21">
        <f>SalesData_2[[#This Row],[Revenue]]/SalesData_2[[#This Row],[Sales]]</f>
        <v>0.35</v>
      </c>
      <c r="L419" s="3" t="s">
        <v>43</v>
      </c>
      <c r="M419" s="3" t="s">
        <v>83</v>
      </c>
      <c r="N419" s="3" t="s">
        <v>85</v>
      </c>
    </row>
    <row r="420" spans="1:14" x14ac:dyDescent="0.3">
      <c r="A420" s="2">
        <v>44265</v>
      </c>
      <c r="B420" s="2">
        <v>44269</v>
      </c>
      <c r="C420">
        <v>4</v>
      </c>
      <c r="D420" s="3" t="s">
        <v>23</v>
      </c>
      <c r="E420" s="6">
        <v>275</v>
      </c>
      <c r="F420" s="6">
        <v>200.75</v>
      </c>
      <c r="G420">
        <v>8</v>
      </c>
      <c r="H420" s="6">
        <f>SalesData_2[[#This Row],[Unit Price]]*SalesData_2[[#This Row],[Units Sold]]</f>
        <v>2200</v>
      </c>
      <c r="I420" s="6">
        <f>SalesData_2[[#This Row],[Unit Cost]]*SalesData_2[[#This Row],[Units Sold]]</f>
        <v>1606</v>
      </c>
      <c r="J420" s="6">
        <f>SalesData_2[[#This Row],[Sales]]-SalesData_2[[#This Row],[COGS]]</f>
        <v>594</v>
      </c>
      <c r="K420" s="21">
        <f>SalesData_2[[#This Row],[Revenue]]/SalesData_2[[#This Row],[Sales]]</f>
        <v>0.27</v>
      </c>
      <c r="L420" s="3" t="s">
        <v>54</v>
      </c>
      <c r="M420" s="3" t="s">
        <v>80</v>
      </c>
      <c r="N420" s="3" t="s">
        <v>85</v>
      </c>
    </row>
    <row r="421" spans="1:14" x14ac:dyDescent="0.3">
      <c r="A421" s="2">
        <v>44266</v>
      </c>
      <c r="B421" s="2">
        <v>44267</v>
      </c>
      <c r="C421">
        <v>1</v>
      </c>
      <c r="D421" s="3" t="s">
        <v>16</v>
      </c>
      <c r="E421" s="6">
        <v>145</v>
      </c>
      <c r="F421" s="6">
        <v>105.85</v>
      </c>
      <c r="G421">
        <v>5</v>
      </c>
      <c r="H421" s="6">
        <f>SalesData_2[[#This Row],[Unit Price]]*SalesData_2[[#This Row],[Units Sold]]</f>
        <v>725</v>
      </c>
      <c r="I421" s="6">
        <f>SalesData_2[[#This Row],[Unit Cost]]*SalesData_2[[#This Row],[Units Sold]]</f>
        <v>529.25</v>
      </c>
      <c r="J421" s="6">
        <f>SalesData_2[[#This Row],[Sales]]-SalesData_2[[#This Row],[COGS]]</f>
        <v>195.75</v>
      </c>
      <c r="K421" s="21">
        <f>SalesData_2[[#This Row],[Revenue]]/SalesData_2[[#This Row],[Sales]]</f>
        <v>0.27</v>
      </c>
      <c r="L421" s="3" t="s">
        <v>50</v>
      </c>
      <c r="M421" s="3" t="s">
        <v>79</v>
      </c>
      <c r="N421" s="3" t="s">
        <v>85</v>
      </c>
    </row>
    <row r="422" spans="1:14" x14ac:dyDescent="0.3">
      <c r="A422" s="2">
        <v>44266</v>
      </c>
      <c r="B422" s="2">
        <v>44270</v>
      </c>
      <c r="C422">
        <v>4</v>
      </c>
      <c r="D422" s="3" t="s">
        <v>18</v>
      </c>
      <c r="E422" s="6">
        <v>80</v>
      </c>
      <c r="F422" s="6">
        <v>48.8</v>
      </c>
      <c r="G422">
        <v>3</v>
      </c>
      <c r="H422" s="6">
        <f>SalesData_2[[#This Row],[Unit Price]]*SalesData_2[[#This Row],[Units Sold]]</f>
        <v>240</v>
      </c>
      <c r="I422" s="6">
        <f>SalesData_2[[#This Row],[Unit Cost]]*SalesData_2[[#This Row],[Units Sold]]</f>
        <v>146.39999999999998</v>
      </c>
      <c r="J422" s="6">
        <f>SalesData_2[[#This Row],[Sales]]-SalesData_2[[#This Row],[COGS]]</f>
        <v>93.600000000000023</v>
      </c>
      <c r="K422" s="21">
        <f>SalesData_2[[#This Row],[Revenue]]/SalesData_2[[#This Row],[Sales]]</f>
        <v>0.39000000000000007</v>
      </c>
      <c r="L422" s="3" t="s">
        <v>34</v>
      </c>
      <c r="M422" s="3" t="s">
        <v>82</v>
      </c>
      <c r="N422" s="3" t="s">
        <v>86</v>
      </c>
    </row>
    <row r="423" spans="1:14" x14ac:dyDescent="0.3">
      <c r="A423" s="2">
        <v>44266</v>
      </c>
      <c r="B423" s="2">
        <v>44270</v>
      </c>
      <c r="C423">
        <v>4</v>
      </c>
      <c r="D423" s="3" t="s">
        <v>15</v>
      </c>
      <c r="E423" s="6">
        <v>110</v>
      </c>
      <c r="F423" s="6">
        <v>78.099999999999994</v>
      </c>
      <c r="G423">
        <v>5</v>
      </c>
      <c r="H423" s="6">
        <f>SalesData_2[[#This Row],[Unit Price]]*SalesData_2[[#This Row],[Units Sold]]</f>
        <v>550</v>
      </c>
      <c r="I423" s="6">
        <f>SalesData_2[[#This Row],[Unit Cost]]*SalesData_2[[#This Row],[Units Sold]]</f>
        <v>390.5</v>
      </c>
      <c r="J423" s="6">
        <f>SalesData_2[[#This Row],[Sales]]-SalesData_2[[#This Row],[COGS]]</f>
        <v>159.5</v>
      </c>
      <c r="K423" s="21">
        <f>SalesData_2[[#This Row],[Revenue]]/SalesData_2[[#This Row],[Sales]]</f>
        <v>0.28999999999999998</v>
      </c>
      <c r="L423" s="3" t="s">
        <v>38</v>
      </c>
      <c r="M423" s="3" t="s">
        <v>83</v>
      </c>
      <c r="N423" s="3" t="s">
        <v>85</v>
      </c>
    </row>
    <row r="424" spans="1:14" x14ac:dyDescent="0.3">
      <c r="A424" s="2">
        <v>44267</v>
      </c>
      <c r="B424" s="2">
        <v>44268</v>
      </c>
      <c r="C424">
        <v>1</v>
      </c>
      <c r="D424" s="3" t="s">
        <v>20</v>
      </c>
      <c r="E424" s="6">
        <v>440</v>
      </c>
      <c r="F424" s="6">
        <v>286</v>
      </c>
      <c r="G424">
        <v>3</v>
      </c>
      <c r="H424" s="6">
        <f>SalesData_2[[#This Row],[Unit Price]]*SalesData_2[[#This Row],[Units Sold]]</f>
        <v>1320</v>
      </c>
      <c r="I424" s="6">
        <f>SalesData_2[[#This Row],[Unit Cost]]*SalesData_2[[#This Row],[Units Sold]]</f>
        <v>858</v>
      </c>
      <c r="J424" s="6">
        <f>SalesData_2[[#This Row],[Sales]]-SalesData_2[[#This Row],[COGS]]</f>
        <v>462</v>
      </c>
      <c r="K424" s="21">
        <f>SalesData_2[[#This Row],[Revenue]]/SalesData_2[[#This Row],[Sales]]</f>
        <v>0.35</v>
      </c>
      <c r="L424" s="3" t="s">
        <v>60</v>
      </c>
      <c r="M424" s="3" t="s">
        <v>82</v>
      </c>
      <c r="N424" s="3" t="s">
        <v>85</v>
      </c>
    </row>
    <row r="425" spans="1:14" x14ac:dyDescent="0.3">
      <c r="A425" s="2">
        <v>44268</v>
      </c>
      <c r="B425" s="2">
        <v>44272</v>
      </c>
      <c r="C425">
        <v>4</v>
      </c>
      <c r="D425" s="3" t="s">
        <v>15</v>
      </c>
      <c r="E425" s="6">
        <v>110</v>
      </c>
      <c r="F425" s="6">
        <v>78.099999999999994</v>
      </c>
      <c r="G425">
        <v>7</v>
      </c>
      <c r="H425" s="6">
        <f>SalesData_2[[#This Row],[Unit Price]]*SalesData_2[[#This Row],[Units Sold]]</f>
        <v>770</v>
      </c>
      <c r="I425" s="6">
        <f>SalesData_2[[#This Row],[Unit Cost]]*SalesData_2[[#This Row],[Units Sold]]</f>
        <v>546.69999999999993</v>
      </c>
      <c r="J425" s="6">
        <f>SalesData_2[[#This Row],[Sales]]-SalesData_2[[#This Row],[COGS]]</f>
        <v>223.30000000000007</v>
      </c>
      <c r="K425" s="21">
        <f>SalesData_2[[#This Row],[Revenue]]/SalesData_2[[#This Row],[Sales]]</f>
        <v>0.29000000000000009</v>
      </c>
      <c r="L425" s="3" t="s">
        <v>39</v>
      </c>
      <c r="M425" s="3" t="s">
        <v>83</v>
      </c>
      <c r="N425" s="3" t="s">
        <v>85</v>
      </c>
    </row>
    <row r="426" spans="1:14" x14ac:dyDescent="0.3">
      <c r="A426" s="2">
        <v>44268</v>
      </c>
      <c r="B426" s="2">
        <v>44271</v>
      </c>
      <c r="C426">
        <v>3</v>
      </c>
      <c r="D426" s="3" t="s">
        <v>3</v>
      </c>
      <c r="E426" s="6">
        <v>95</v>
      </c>
      <c r="F426" s="6">
        <v>60.8</v>
      </c>
      <c r="G426">
        <v>4</v>
      </c>
      <c r="H426" s="6">
        <f>SalesData_2[[#This Row],[Unit Price]]*SalesData_2[[#This Row],[Units Sold]]</f>
        <v>380</v>
      </c>
      <c r="I426" s="6">
        <f>SalesData_2[[#This Row],[Unit Cost]]*SalesData_2[[#This Row],[Units Sold]]</f>
        <v>243.2</v>
      </c>
      <c r="J426" s="6">
        <f>SalesData_2[[#This Row],[Sales]]-SalesData_2[[#This Row],[COGS]]</f>
        <v>136.80000000000001</v>
      </c>
      <c r="K426" s="21">
        <f>SalesData_2[[#This Row],[Revenue]]/SalesData_2[[#This Row],[Sales]]</f>
        <v>0.36000000000000004</v>
      </c>
      <c r="L426" s="3" t="s">
        <v>70</v>
      </c>
      <c r="M426" s="3" t="s">
        <v>79</v>
      </c>
      <c r="N426" s="3" t="s">
        <v>86</v>
      </c>
    </row>
    <row r="427" spans="1:14" x14ac:dyDescent="0.3">
      <c r="A427" s="2">
        <v>44268</v>
      </c>
      <c r="B427" s="2">
        <v>44269</v>
      </c>
      <c r="C427">
        <v>1</v>
      </c>
      <c r="D427" s="3" t="s">
        <v>11</v>
      </c>
      <c r="E427" s="6">
        <v>490</v>
      </c>
      <c r="F427" s="6">
        <v>298.89999999999998</v>
      </c>
      <c r="G427">
        <v>1</v>
      </c>
      <c r="H427" s="6">
        <f>SalesData_2[[#This Row],[Unit Price]]*SalesData_2[[#This Row],[Units Sold]]</f>
        <v>490</v>
      </c>
      <c r="I427" s="6">
        <f>SalesData_2[[#This Row],[Unit Cost]]*SalesData_2[[#This Row],[Units Sold]]</f>
        <v>298.89999999999998</v>
      </c>
      <c r="J427" s="6">
        <f>SalesData_2[[#This Row],[Sales]]-SalesData_2[[#This Row],[COGS]]</f>
        <v>191.10000000000002</v>
      </c>
      <c r="K427" s="21">
        <f>SalesData_2[[#This Row],[Revenue]]/SalesData_2[[#This Row],[Sales]]</f>
        <v>0.39000000000000007</v>
      </c>
      <c r="L427" s="3" t="s">
        <v>53</v>
      </c>
      <c r="M427" s="3" t="s">
        <v>81</v>
      </c>
      <c r="N427" s="3" t="s">
        <v>85</v>
      </c>
    </row>
    <row r="428" spans="1:14" x14ac:dyDescent="0.3">
      <c r="A428" s="2">
        <v>44270</v>
      </c>
      <c r="B428" s="2">
        <v>44271</v>
      </c>
      <c r="C428">
        <v>1</v>
      </c>
      <c r="D428" s="3" t="s">
        <v>16</v>
      </c>
      <c r="E428" s="6">
        <v>145</v>
      </c>
      <c r="F428" s="6">
        <v>105.85</v>
      </c>
      <c r="G428">
        <v>3</v>
      </c>
      <c r="H428" s="6">
        <f>SalesData_2[[#This Row],[Unit Price]]*SalesData_2[[#This Row],[Units Sold]]</f>
        <v>435</v>
      </c>
      <c r="I428" s="6">
        <f>SalesData_2[[#This Row],[Unit Cost]]*SalesData_2[[#This Row],[Units Sold]]</f>
        <v>317.54999999999995</v>
      </c>
      <c r="J428" s="6">
        <f>SalesData_2[[#This Row],[Sales]]-SalesData_2[[#This Row],[COGS]]</f>
        <v>117.45000000000005</v>
      </c>
      <c r="K428" s="21">
        <f>SalesData_2[[#This Row],[Revenue]]/SalesData_2[[#This Row],[Sales]]</f>
        <v>0.27000000000000013</v>
      </c>
      <c r="L428" s="3" t="s">
        <v>68</v>
      </c>
      <c r="M428" s="3" t="s">
        <v>80</v>
      </c>
      <c r="N428" s="3" t="s">
        <v>85</v>
      </c>
    </row>
    <row r="429" spans="1:14" x14ac:dyDescent="0.3">
      <c r="A429" s="2">
        <v>44271</v>
      </c>
      <c r="B429" s="2">
        <v>44274</v>
      </c>
      <c r="C429">
        <v>3</v>
      </c>
      <c r="D429" s="3" t="s">
        <v>20</v>
      </c>
      <c r="E429" s="6">
        <v>440</v>
      </c>
      <c r="F429" s="6">
        <v>286</v>
      </c>
      <c r="G429">
        <v>9</v>
      </c>
      <c r="H429" s="6">
        <f>SalesData_2[[#This Row],[Unit Price]]*SalesData_2[[#This Row],[Units Sold]]</f>
        <v>3960</v>
      </c>
      <c r="I429" s="6">
        <f>SalesData_2[[#This Row],[Unit Cost]]*SalesData_2[[#This Row],[Units Sold]]</f>
        <v>2574</v>
      </c>
      <c r="J429" s="6">
        <f>SalesData_2[[#This Row],[Sales]]-SalesData_2[[#This Row],[COGS]]</f>
        <v>1386</v>
      </c>
      <c r="K429" s="21">
        <f>SalesData_2[[#This Row],[Revenue]]/SalesData_2[[#This Row],[Sales]]</f>
        <v>0.35</v>
      </c>
      <c r="L429" s="3" t="s">
        <v>72</v>
      </c>
      <c r="M429" s="3" t="s">
        <v>83</v>
      </c>
      <c r="N429" s="3" t="s">
        <v>86</v>
      </c>
    </row>
    <row r="430" spans="1:14" x14ac:dyDescent="0.3">
      <c r="A430" s="2">
        <v>44271</v>
      </c>
      <c r="B430" s="2">
        <v>44278</v>
      </c>
      <c r="C430">
        <v>7</v>
      </c>
      <c r="D430" s="3" t="s">
        <v>19</v>
      </c>
      <c r="E430" s="6">
        <v>220</v>
      </c>
      <c r="F430" s="6">
        <v>154</v>
      </c>
      <c r="G430">
        <v>9</v>
      </c>
      <c r="H430" s="6">
        <f>SalesData_2[[#This Row],[Unit Price]]*SalesData_2[[#This Row],[Units Sold]]</f>
        <v>1980</v>
      </c>
      <c r="I430" s="6">
        <f>SalesData_2[[#This Row],[Unit Cost]]*SalesData_2[[#This Row],[Units Sold]]</f>
        <v>1386</v>
      </c>
      <c r="J430" s="6">
        <f>SalesData_2[[#This Row],[Sales]]-SalesData_2[[#This Row],[COGS]]</f>
        <v>594</v>
      </c>
      <c r="K430" s="21">
        <f>SalesData_2[[#This Row],[Revenue]]/SalesData_2[[#This Row],[Sales]]</f>
        <v>0.3</v>
      </c>
      <c r="L430" s="3" t="s">
        <v>53</v>
      </c>
      <c r="M430" s="3" t="s">
        <v>79</v>
      </c>
      <c r="N430" s="3" t="s">
        <v>86</v>
      </c>
    </row>
    <row r="431" spans="1:14" x14ac:dyDescent="0.3">
      <c r="A431" s="2">
        <v>44273</v>
      </c>
      <c r="B431" s="2">
        <v>44280</v>
      </c>
      <c r="C431">
        <v>7</v>
      </c>
      <c r="D431" s="3" t="s">
        <v>7</v>
      </c>
      <c r="E431" s="6">
        <v>250</v>
      </c>
      <c r="F431" s="6">
        <v>167.5</v>
      </c>
      <c r="G431">
        <v>7</v>
      </c>
      <c r="H431" s="6">
        <f>SalesData_2[[#This Row],[Unit Price]]*SalesData_2[[#This Row],[Units Sold]]</f>
        <v>1750</v>
      </c>
      <c r="I431" s="6">
        <f>SalesData_2[[#This Row],[Unit Cost]]*SalesData_2[[#This Row],[Units Sold]]</f>
        <v>1172.5</v>
      </c>
      <c r="J431" s="6">
        <f>SalesData_2[[#This Row],[Sales]]-SalesData_2[[#This Row],[COGS]]</f>
        <v>577.5</v>
      </c>
      <c r="K431" s="21">
        <f>SalesData_2[[#This Row],[Revenue]]/SalesData_2[[#This Row],[Sales]]</f>
        <v>0.33</v>
      </c>
      <c r="L431" s="3" t="s">
        <v>71</v>
      </c>
      <c r="M431" s="3" t="s">
        <v>80</v>
      </c>
      <c r="N431" s="3" t="s">
        <v>85</v>
      </c>
    </row>
    <row r="432" spans="1:14" x14ac:dyDescent="0.3">
      <c r="A432" s="2">
        <v>44274</v>
      </c>
      <c r="B432" s="2">
        <v>44277</v>
      </c>
      <c r="C432">
        <v>3</v>
      </c>
      <c r="D432" s="3" t="s">
        <v>3</v>
      </c>
      <c r="E432" s="6">
        <v>95</v>
      </c>
      <c r="F432" s="6">
        <v>60.8</v>
      </c>
      <c r="G432">
        <v>3</v>
      </c>
      <c r="H432" s="6">
        <f>SalesData_2[[#This Row],[Unit Price]]*SalesData_2[[#This Row],[Units Sold]]</f>
        <v>285</v>
      </c>
      <c r="I432" s="6">
        <f>SalesData_2[[#This Row],[Unit Cost]]*SalesData_2[[#This Row],[Units Sold]]</f>
        <v>182.39999999999998</v>
      </c>
      <c r="J432" s="6">
        <f>SalesData_2[[#This Row],[Sales]]-SalesData_2[[#This Row],[COGS]]</f>
        <v>102.60000000000002</v>
      </c>
      <c r="K432" s="21">
        <f>SalesData_2[[#This Row],[Revenue]]/SalesData_2[[#This Row],[Sales]]</f>
        <v>0.3600000000000001</v>
      </c>
      <c r="L432" s="3" t="s">
        <v>31</v>
      </c>
      <c r="M432" s="3" t="s">
        <v>82</v>
      </c>
      <c r="N432" s="3" t="s">
        <v>85</v>
      </c>
    </row>
    <row r="433" spans="1:14" x14ac:dyDescent="0.3">
      <c r="A433" s="2">
        <v>44275</v>
      </c>
      <c r="B433" s="2">
        <v>44280</v>
      </c>
      <c r="C433">
        <v>5</v>
      </c>
      <c r="D433" s="3" t="s">
        <v>19</v>
      </c>
      <c r="E433" s="6">
        <v>220</v>
      </c>
      <c r="F433" s="6">
        <v>154</v>
      </c>
      <c r="G433">
        <v>3</v>
      </c>
      <c r="H433" s="6">
        <f>SalesData_2[[#This Row],[Unit Price]]*SalesData_2[[#This Row],[Units Sold]]</f>
        <v>660</v>
      </c>
      <c r="I433" s="6">
        <f>SalesData_2[[#This Row],[Unit Cost]]*SalesData_2[[#This Row],[Units Sold]]</f>
        <v>462</v>
      </c>
      <c r="J433" s="6">
        <f>SalesData_2[[#This Row],[Sales]]-SalesData_2[[#This Row],[COGS]]</f>
        <v>198</v>
      </c>
      <c r="K433" s="21">
        <f>SalesData_2[[#This Row],[Revenue]]/SalesData_2[[#This Row],[Sales]]</f>
        <v>0.3</v>
      </c>
      <c r="L433" s="3" t="s">
        <v>66</v>
      </c>
      <c r="M433" s="3" t="s">
        <v>83</v>
      </c>
      <c r="N433" s="3" t="s">
        <v>85</v>
      </c>
    </row>
    <row r="434" spans="1:14" x14ac:dyDescent="0.3">
      <c r="A434" s="2">
        <v>44276</v>
      </c>
      <c r="B434" s="2">
        <v>44278</v>
      </c>
      <c r="C434">
        <v>2</v>
      </c>
      <c r="D434" s="3" t="s">
        <v>10</v>
      </c>
      <c r="E434" s="6">
        <v>390</v>
      </c>
      <c r="F434" s="6">
        <v>253.5</v>
      </c>
      <c r="G434">
        <v>1</v>
      </c>
      <c r="H434" s="6">
        <f>SalesData_2[[#This Row],[Unit Price]]*SalesData_2[[#This Row],[Units Sold]]</f>
        <v>390</v>
      </c>
      <c r="I434" s="6">
        <f>SalesData_2[[#This Row],[Unit Cost]]*SalesData_2[[#This Row],[Units Sold]]</f>
        <v>253.5</v>
      </c>
      <c r="J434" s="6">
        <f>SalesData_2[[#This Row],[Sales]]-SalesData_2[[#This Row],[COGS]]</f>
        <v>136.5</v>
      </c>
      <c r="K434" s="21">
        <f>SalesData_2[[#This Row],[Revenue]]/SalesData_2[[#This Row],[Sales]]</f>
        <v>0.35</v>
      </c>
      <c r="L434" s="3" t="s">
        <v>58</v>
      </c>
      <c r="M434" s="3" t="s">
        <v>82</v>
      </c>
      <c r="N434" s="3" t="s">
        <v>86</v>
      </c>
    </row>
    <row r="435" spans="1:14" x14ac:dyDescent="0.3">
      <c r="A435" s="2">
        <v>44277</v>
      </c>
      <c r="B435" s="2">
        <v>44281</v>
      </c>
      <c r="C435">
        <v>4</v>
      </c>
      <c r="D435" s="3" t="s">
        <v>23</v>
      </c>
      <c r="E435" s="6">
        <v>275</v>
      </c>
      <c r="F435" s="6">
        <v>200.75</v>
      </c>
      <c r="G435">
        <v>8</v>
      </c>
      <c r="H435" s="6">
        <f>SalesData_2[[#This Row],[Unit Price]]*SalesData_2[[#This Row],[Units Sold]]</f>
        <v>2200</v>
      </c>
      <c r="I435" s="6">
        <f>SalesData_2[[#This Row],[Unit Cost]]*SalesData_2[[#This Row],[Units Sold]]</f>
        <v>1606</v>
      </c>
      <c r="J435" s="6">
        <f>SalesData_2[[#This Row],[Sales]]-SalesData_2[[#This Row],[COGS]]</f>
        <v>594</v>
      </c>
      <c r="K435" s="21">
        <f>SalesData_2[[#This Row],[Revenue]]/SalesData_2[[#This Row],[Sales]]</f>
        <v>0.27</v>
      </c>
      <c r="L435" s="3" t="s">
        <v>40</v>
      </c>
      <c r="M435" s="3" t="s">
        <v>82</v>
      </c>
      <c r="N435" s="3" t="s">
        <v>85</v>
      </c>
    </row>
    <row r="436" spans="1:14" x14ac:dyDescent="0.3">
      <c r="A436" s="2">
        <v>44279</v>
      </c>
      <c r="B436" s="2">
        <v>44284</v>
      </c>
      <c r="C436">
        <v>5</v>
      </c>
      <c r="D436" s="3" t="s">
        <v>15</v>
      </c>
      <c r="E436" s="6">
        <v>110</v>
      </c>
      <c r="F436" s="6">
        <v>78.099999999999994</v>
      </c>
      <c r="G436">
        <v>8</v>
      </c>
      <c r="H436" s="6">
        <f>SalesData_2[[#This Row],[Unit Price]]*SalesData_2[[#This Row],[Units Sold]]</f>
        <v>880</v>
      </c>
      <c r="I436" s="6">
        <f>SalesData_2[[#This Row],[Unit Cost]]*SalesData_2[[#This Row],[Units Sold]]</f>
        <v>624.79999999999995</v>
      </c>
      <c r="J436" s="6">
        <f>SalesData_2[[#This Row],[Sales]]-SalesData_2[[#This Row],[COGS]]</f>
        <v>255.20000000000005</v>
      </c>
      <c r="K436" s="21">
        <f>SalesData_2[[#This Row],[Revenue]]/SalesData_2[[#This Row],[Sales]]</f>
        <v>0.29000000000000004</v>
      </c>
      <c r="L436" s="3" t="s">
        <v>66</v>
      </c>
      <c r="M436" s="3" t="s">
        <v>80</v>
      </c>
      <c r="N436" s="3" t="s">
        <v>86</v>
      </c>
    </row>
    <row r="437" spans="1:14" x14ac:dyDescent="0.3">
      <c r="A437" s="2">
        <v>44281</v>
      </c>
      <c r="B437" s="2">
        <v>44288</v>
      </c>
      <c r="C437">
        <v>7</v>
      </c>
      <c r="D437" s="3" t="s">
        <v>21</v>
      </c>
      <c r="E437" s="6">
        <v>355</v>
      </c>
      <c r="F437" s="6">
        <v>252.05</v>
      </c>
      <c r="G437">
        <v>7</v>
      </c>
      <c r="H437" s="6">
        <f>SalesData_2[[#This Row],[Unit Price]]*SalesData_2[[#This Row],[Units Sold]]</f>
        <v>2485</v>
      </c>
      <c r="I437" s="6">
        <f>SalesData_2[[#This Row],[Unit Cost]]*SalesData_2[[#This Row],[Units Sold]]</f>
        <v>1764.3500000000001</v>
      </c>
      <c r="J437" s="6">
        <f>SalesData_2[[#This Row],[Sales]]-SalesData_2[[#This Row],[COGS]]</f>
        <v>720.64999999999986</v>
      </c>
      <c r="K437" s="21">
        <f>SalesData_2[[#This Row],[Revenue]]/SalesData_2[[#This Row],[Sales]]</f>
        <v>0.28999999999999992</v>
      </c>
      <c r="L437" s="3" t="s">
        <v>63</v>
      </c>
      <c r="M437" s="3" t="s">
        <v>82</v>
      </c>
      <c r="N437" s="3" t="s">
        <v>85</v>
      </c>
    </row>
    <row r="438" spans="1:14" x14ac:dyDescent="0.3">
      <c r="A438" s="2">
        <v>44281</v>
      </c>
      <c r="B438" s="2">
        <v>44284</v>
      </c>
      <c r="C438">
        <v>3</v>
      </c>
      <c r="D438" s="3" t="s">
        <v>3</v>
      </c>
      <c r="E438" s="6">
        <v>95</v>
      </c>
      <c r="F438" s="6">
        <v>60.8</v>
      </c>
      <c r="G438">
        <v>4</v>
      </c>
      <c r="H438" s="6">
        <f>SalesData_2[[#This Row],[Unit Price]]*SalesData_2[[#This Row],[Units Sold]]</f>
        <v>380</v>
      </c>
      <c r="I438" s="6">
        <f>SalesData_2[[#This Row],[Unit Cost]]*SalesData_2[[#This Row],[Units Sold]]</f>
        <v>243.2</v>
      </c>
      <c r="J438" s="6">
        <f>SalesData_2[[#This Row],[Sales]]-SalesData_2[[#This Row],[COGS]]</f>
        <v>136.80000000000001</v>
      </c>
      <c r="K438" s="21">
        <f>SalesData_2[[#This Row],[Revenue]]/SalesData_2[[#This Row],[Sales]]</f>
        <v>0.36000000000000004</v>
      </c>
      <c r="L438" s="3" t="s">
        <v>64</v>
      </c>
      <c r="M438" s="3" t="s">
        <v>80</v>
      </c>
      <c r="N438" s="3" t="s">
        <v>86</v>
      </c>
    </row>
    <row r="439" spans="1:14" x14ac:dyDescent="0.3">
      <c r="A439" s="2">
        <v>44282</v>
      </c>
      <c r="B439" s="2">
        <v>44284</v>
      </c>
      <c r="C439">
        <v>2</v>
      </c>
      <c r="D439" s="3" t="s">
        <v>16</v>
      </c>
      <c r="E439" s="6">
        <v>145</v>
      </c>
      <c r="F439" s="6">
        <v>105.85</v>
      </c>
      <c r="G439">
        <v>5</v>
      </c>
      <c r="H439" s="6">
        <f>SalesData_2[[#This Row],[Unit Price]]*SalesData_2[[#This Row],[Units Sold]]</f>
        <v>725</v>
      </c>
      <c r="I439" s="6">
        <f>SalesData_2[[#This Row],[Unit Cost]]*SalesData_2[[#This Row],[Units Sold]]</f>
        <v>529.25</v>
      </c>
      <c r="J439" s="6">
        <f>SalesData_2[[#This Row],[Sales]]-SalesData_2[[#This Row],[COGS]]</f>
        <v>195.75</v>
      </c>
      <c r="K439" s="21">
        <f>SalesData_2[[#This Row],[Revenue]]/SalesData_2[[#This Row],[Sales]]</f>
        <v>0.27</v>
      </c>
      <c r="L439" s="3" t="s">
        <v>63</v>
      </c>
      <c r="M439" s="3" t="s">
        <v>82</v>
      </c>
      <c r="N439" s="3" t="s">
        <v>86</v>
      </c>
    </row>
    <row r="440" spans="1:14" x14ac:dyDescent="0.3">
      <c r="A440" s="2">
        <v>44282</v>
      </c>
      <c r="B440" s="2">
        <v>44289</v>
      </c>
      <c r="C440">
        <v>7</v>
      </c>
      <c r="D440" s="3" t="s">
        <v>3</v>
      </c>
      <c r="E440" s="6">
        <v>95</v>
      </c>
      <c r="F440" s="6">
        <v>60.8</v>
      </c>
      <c r="G440">
        <v>5</v>
      </c>
      <c r="H440" s="6">
        <f>SalesData_2[[#This Row],[Unit Price]]*SalesData_2[[#This Row],[Units Sold]]</f>
        <v>475</v>
      </c>
      <c r="I440" s="6">
        <f>SalesData_2[[#This Row],[Unit Cost]]*SalesData_2[[#This Row],[Units Sold]]</f>
        <v>304</v>
      </c>
      <c r="J440" s="6">
        <f>SalesData_2[[#This Row],[Sales]]-SalesData_2[[#This Row],[COGS]]</f>
        <v>171</v>
      </c>
      <c r="K440" s="21">
        <f>SalesData_2[[#This Row],[Revenue]]/SalesData_2[[#This Row],[Sales]]</f>
        <v>0.36</v>
      </c>
      <c r="L440" s="3" t="s">
        <v>71</v>
      </c>
      <c r="M440" s="3" t="s">
        <v>80</v>
      </c>
      <c r="N440" s="3" t="s">
        <v>86</v>
      </c>
    </row>
    <row r="441" spans="1:14" x14ac:dyDescent="0.3">
      <c r="A441" s="2">
        <v>44282</v>
      </c>
      <c r="B441" s="2">
        <v>44286</v>
      </c>
      <c r="C441">
        <v>4</v>
      </c>
      <c r="D441" s="3" t="s">
        <v>18</v>
      </c>
      <c r="E441" s="6">
        <v>80</v>
      </c>
      <c r="F441" s="6">
        <v>48.8</v>
      </c>
      <c r="G441">
        <v>2</v>
      </c>
      <c r="H441" s="6">
        <f>SalesData_2[[#This Row],[Unit Price]]*SalesData_2[[#This Row],[Units Sold]]</f>
        <v>160</v>
      </c>
      <c r="I441" s="6">
        <f>SalesData_2[[#This Row],[Unit Cost]]*SalesData_2[[#This Row],[Units Sold]]</f>
        <v>97.6</v>
      </c>
      <c r="J441" s="6">
        <f>SalesData_2[[#This Row],[Sales]]-SalesData_2[[#This Row],[COGS]]</f>
        <v>62.400000000000006</v>
      </c>
      <c r="K441" s="21">
        <f>SalesData_2[[#This Row],[Revenue]]/SalesData_2[[#This Row],[Sales]]</f>
        <v>0.39</v>
      </c>
      <c r="L441" s="3" t="s">
        <v>34</v>
      </c>
      <c r="M441" s="3" t="s">
        <v>79</v>
      </c>
      <c r="N441" s="3" t="s">
        <v>85</v>
      </c>
    </row>
    <row r="442" spans="1:14" x14ac:dyDescent="0.3">
      <c r="A442" s="2">
        <v>44284</v>
      </c>
      <c r="B442" s="2">
        <v>44289</v>
      </c>
      <c r="C442">
        <v>5</v>
      </c>
      <c r="D442" s="3" t="s">
        <v>18</v>
      </c>
      <c r="E442" s="6">
        <v>80</v>
      </c>
      <c r="F442" s="6">
        <v>48.8</v>
      </c>
      <c r="G442">
        <v>6</v>
      </c>
      <c r="H442" s="6">
        <f>SalesData_2[[#This Row],[Unit Price]]*SalesData_2[[#This Row],[Units Sold]]</f>
        <v>480</v>
      </c>
      <c r="I442" s="6">
        <f>SalesData_2[[#This Row],[Unit Cost]]*SalesData_2[[#This Row],[Units Sold]]</f>
        <v>292.79999999999995</v>
      </c>
      <c r="J442" s="6">
        <f>SalesData_2[[#This Row],[Sales]]-SalesData_2[[#This Row],[COGS]]</f>
        <v>187.20000000000005</v>
      </c>
      <c r="K442" s="21">
        <f>SalesData_2[[#This Row],[Revenue]]/SalesData_2[[#This Row],[Sales]]</f>
        <v>0.39000000000000007</v>
      </c>
      <c r="L442" s="3" t="s">
        <v>64</v>
      </c>
      <c r="M442" s="3" t="s">
        <v>83</v>
      </c>
      <c r="N442" s="3" t="s">
        <v>85</v>
      </c>
    </row>
    <row r="443" spans="1:14" x14ac:dyDescent="0.3">
      <c r="A443" s="2">
        <v>44284</v>
      </c>
      <c r="B443" s="2">
        <v>44287</v>
      </c>
      <c r="C443">
        <v>3</v>
      </c>
      <c r="D443" s="3" t="s">
        <v>2</v>
      </c>
      <c r="E443" s="6">
        <v>250</v>
      </c>
      <c r="F443" s="6">
        <v>187.5</v>
      </c>
      <c r="G443">
        <v>3</v>
      </c>
      <c r="H443" s="6">
        <f>SalesData_2[[#This Row],[Unit Price]]*SalesData_2[[#This Row],[Units Sold]]</f>
        <v>750</v>
      </c>
      <c r="I443" s="6">
        <f>SalesData_2[[#This Row],[Unit Cost]]*SalesData_2[[#This Row],[Units Sold]]</f>
        <v>562.5</v>
      </c>
      <c r="J443" s="6">
        <f>SalesData_2[[#This Row],[Sales]]-SalesData_2[[#This Row],[COGS]]</f>
        <v>187.5</v>
      </c>
      <c r="K443" s="21">
        <f>SalesData_2[[#This Row],[Revenue]]/SalesData_2[[#This Row],[Sales]]</f>
        <v>0.25</v>
      </c>
      <c r="L443" s="3" t="s">
        <v>62</v>
      </c>
      <c r="M443" s="3" t="s">
        <v>80</v>
      </c>
      <c r="N443" s="3" t="s">
        <v>86</v>
      </c>
    </row>
    <row r="444" spans="1:14" x14ac:dyDescent="0.3">
      <c r="A444" s="2">
        <v>44285</v>
      </c>
      <c r="B444" s="2">
        <v>44287</v>
      </c>
      <c r="C444">
        <v>2</v>
      </c>
      <c r="D444" s="3" t="s">
        <v>7</v>
      </c>
      <c r="E444" s="6">
        <v>250</v>
      </c>
      <c r="F444" s="6">
        <v>167.5</v>
      </c>
      <c r="G444">
        <v>8</v>
      </c>
      <c r="H444" s="6">
        <f>SalesData_2[[#This Row],[Unit Price]]*SalesData_2[[#This Row],[Units Sold]]</f>
        <v>2000</v>
      </c>
      <c r="I444" s="6">
        <f>SalesData_2[[#This Row],[Unit Cost]]*SalesData_2[[#This Row],[Units Sold]]</f>
        <v>1340</v>
      </c>
      <c r="J444" s="6">
        <f>SalesData_2[[#This Row],[Sales]]-SalesData_2[[#This Row],[COGS]]</f>
        <v>660</v>
      </c>
      <c r="K444" s="21">
        <f>SalesData_2[[#This Row],[Revenue]]/SalesData_2[[#This Row],[Sales]]</f>
        <v>0.33</v>
      </c>
      <c r="L444" s="3" t="s">
        <v>68</v>
      </c>
      <c r="M444" s="3" t="s">
        <v>81</v>
      </c>
      <c r="N444" s="3" t="s">
        <v>86</v>
      </c>
    </row>
    <row r="445" spans="1:14" x14ac:dyDescent="0.3">
      <c r="A445" s="2">
        <v>44285</v>
      </c>
      <c r="B445" s="2">
        <v>44292</v>
      </c>
      <c r="C445">
        <v>7</v>
      </c>
      <c r="D445" s="3" t="s">
        <v>6</v>
      </c>
      <c r="E445" s="6">
        <v>99</v>
      </c>
      <c r="F445" s="6">
        <v>62.37</v>
      </c>
      <c r="G445">
        <v>8</v>
      </c>
      <c r="H445" s="6">
        <f>SalesData_2[[#This Row],[Unit Price]]*SalesData_2[[#This Row],[Units Sold]]</f>
        <v>792</v>
      </c>
      <c r="I445" s="6">
        <f>SalesData_2[[#This Row],[Unit Cost]]*SalesData_2[[#This Row],[Units Sold]]</f>
        <v>498.96</v>
      </c>
      <c r="J445" s="6">
        <f>SalesData_2[[#This Row],[Sales]]-SalesData_2[[#This Row],[COGS]]</f>
        <v>293.04000000000002</v>
      </c>
      <c r="K445" s="21">
        <f>SalesData_2[[#This Row],[Revenue]]/SalesData_2[[#This Row],[Sales]]</f>
        <v>0.37000000000000005</v>
      </c>
      <c r="L445" s="3" t="s">
        <v>36</v>
      </c>
      <c r="M445" s="3" t="s">
        <v>81</v>
      </c>
      <c r="N445" s="3" t="s">
        <v>85</v>
      </c>
    </row>
    <row r="446" spans="1:14" x14ac:dyDescent="0.3">
      <c r="A446" s="2">
        <v>44286</v>
      </c>
      <c r="B446" s="2">
        <v>44287</v>
      </c>
      <c r="C446">
        <v>1</v>
      </c>
      <c r="D446" s="3" t="s">
        <v>22</v>
      </c>
      <c r="E446" s="6">
        <v>460</v>
      </c>
      <c r="F446" s="6">
        <v>303.60000000000002</v>
      </c>
      <c r="G446">
        <v>3</v>
      </c>
      <c r="H446" s="6">
        <f>SalesData_2[[#This Row],[Unit Price]]*SalesData_2[[#This Row],[Units Sold]]</f>
        <v>1380</v>
      </c>
      <c r="I446" s="6">
        <f>SalesData_2[[#This Row],[Unit Cost]]*SalesData_2[[#This Row],[Units Sold]]</f>
        <v>910.80000000000007</v>
      </c>
      <c r="J446" s="6">
        <f>SalesData_2[[#This Row],[Sales]]-SalesData_2[[#This Row],[COGS]]</f>
        <v>469.19999999999993</v>
      </c>
      <c r="K446" s="21">
        <f>SalesData_2[[#This Row],[Revenue]]/SalesData_2[[#This Row],[Sales]]</f>
        <v>0.33999999999999997</v>
      </c>
      <c r="L446" s="3" t="s">
        <v>44</v>
      </c>
      <c r="M446" s="3" t="s">
        <v>80</v>
      </c>
      <c r="N446" s="3" t="s">
        <v>86</v>
      </c>
    </row>
    <row r="447" spans="1:14" x14ac:dyDescent="0.3">
      <c r="A447" s="2">
        <v>44286</v>
      </c>
      <c r="B447" s="2">
        <v>44291</v>
      </c>
      <c r="C447">
        <v>5</v>
      </c>
      <c r="D447" s="3" t="s">
        <v>5</v>
      </c>
      <c r="E447" s="6">
        <v>290</v>
      </c>
      <c r="F447" s="6">
        <v>185.6</v>
      </c>
      <c r="G447">
        <v>1</v>
      </c>
      <c r="H447" s="6">
        <f>SalesData_2[[#This Row],[Unit Price]]*SalesData_2[[#This Row],[Units Sold]]</f>
        <v>290</v>
      </c>
      <c r="I447" s="6">
        <f>SalesData_2[[#This Row],[Unit Cost]]*SalesData_2[[#This Row],[Units Sold]]</f>
        <v>185.6</v>
      </c>
      <c r="J447" s="6">
        <f>SalesData_2[[#This Row],[Sales]]-SalesData_2[[#This Row],[COGS]]</f>
        <v>104.4</v>
      </c>
      <c r="K447" s="21">
        <f>SalesData_2[[#This Row],[Revenue]]/SalesData_2[[#This Row],[Sales]]</f>
        <v>0.36000000000000004</v>
      </c>
      <c r="L447" s="3" t="s">
        <v>59</v>
      </c>
      <c r="M447" s="3" t="s">
        <v>82</v>
      </c>
      <c r="N447" s="3" t="s">
        <v>85</v>
      </c>
    </row>
    <row r="448" spans="1:14" x14ac:dyDescent="0.3">
      <c r="A448" s="2">
        <v>44286</v>
      </c>
      <c r="B448" s="2">
        <v>44290</v>
      </c>
      <c r="C448">
        <v>4</v>
      </c>
      <c r="D448" s="3" t="s">
        <v>15</v>
      </c>
      <c r="E448" s="6">
        <v>110</v>
      </c>
      <c r="F448" s="6">
        <v>78.099999999999994</v>
      </c>
      <c r="G448">
        <v>4</v>
      </c>
      <c r="H448" s="6">
        <f>SalesData_2[[#This Row],[Unit Price]]*SalesData_2[[#This Row],[Units Sold]]</f>
        <v>440</v>
      </c>
      <c r="I448" s="6">
        <f>SalesData_2[[#This Row],[Unit Cost]]*SalesData_2[[#This Row],[Units Sold]]</f>
        <v>312.39999999999998</v>
      </c>
      <c r="J448" s="6">
        <f>SalesData_2[[#This Row],[Sales]]-SalesData_2[[#This Row],[COGS]]</f>
        <v>127.60000000000002</v>
      </c>
      <c r="K448" s="21">
        <f>SalesData_2[[#This Row],[Revenue]]/SalesData_2[[#This Row],[Sales]]</f>
        <v>0.29000000000000004</v>
      </c>
      <c r="L448" s="3" t="s">
        <v>42</v>
      </c>
      <c r="M448" s="3" t="s">
        <v>82</v>
      </c>
      <c r="N448" s="3" t="s">
        <v>86</v>
      </c>
    </row>
    <row r="449" spans="1:14" x14ac:dyDescent="0.3">
      <c r="A449" s="2">
        <v>44287</v>
      </c>
      <c r="B449" s="2">
        <v>44290</v>
      </c>
      <c r="C449">
        <v>3</v>
      </c>
      <c r="D449" s="3" t="s">
        <v>15</v>
      </c>
      <c r="E449" s="6">
        <v>110</v>
      </c>
      <c r="F449" s="6">
        <v>78.099999999999994</v>
      </c>
      <c r="G449">
        <v>8</v>
      </c>
      <c r="H449" s="6">
        <f>SalesData_2[[#This Row],[Unit Price]]*SalesData_2[[#This Row],[Units Sold]]</f>
        <v>880</v>
      </c>
      <c r="I449" s="6">
        <f>SalesData_2[[#This Row],[Unit Cost]]*SalesData_2[[#This Row],[Units Sold]]</f>
        <v>624.79999999999995</v>
      </c>
      <c r="J449" s="6">
        <f>SalesData_2[[#This Row],[Sales]]-SalesData_2[[#This Row],[COGS]]</f>
        <v>255.20000000000005</v>
      </c>
      <c r="K449" s="21">
        <f>SalesData_2[[#This Row],[Revenue]]/SalesData_2[[#This Row],[Sales]]</f>
        <v>0.29000000000000004</v>
      </c>
      <c r="L449" s="3" t="s">
        <v>33</v>
      </c>
      <c r="M449" s="3" t="s">
        <v>81</v>
      </c>
      <c r="N449" s="3" t="s">
        <v>85</v>
      </c>
    </row>
    <row r="450" spans="1:14" x14ac:dyDescent="0.3">
      <c r="A450" s="2">
        <v>44288</v>
      </c>
      <c r="B450" s="2">
        <v>44292</v>
      </c>
      <c r="C450">
        <v>4</v>
      </c>
      <c r="D450" s="3" t="s">
        <v>15</v>
      </c>
      <c r="E450" s="6">
        <v>110</v>
      </c>
      <c r="F450" s="6">
        <v>78.099999999999994</v>
      </c>
      <c r="G450">
        <v>7</v>
      </c>
      <c r="H450" s="6">
        <f>SalesData_2[[#This Row],[Unit Price]]*SalesData_2[[#This Row],[Units Sold]]</f>
        <v>770</v>
      </c>
      <c r="I450" s="6">
        <f>SalesData_2[[#This Row],[Unit Cost]]*SalesData_2[[#This Row],[Units Sold]]</f>
        <v>546.69999999999993</v>
      </c>
      <c r="J450" s="6">
        <f>SalesData_2[[#This Row],[Sales]]-SalesData_2[[#This Row],[COGS]]</f>
        <v>223.30000000000007</v>
      </c>
      <c r="K450" s="21">
        <f>SalesData_2[[#This Row],[Revenue]]/SalesData_2[[#This Row],[Sales]]</f>
        <v>0.29000000000000009</v>
      </c>
      <c r="L450" s="3" t="s">
        <v>61</v>
      </c>
      <c r="M450" s="3" t="s">
        <v>82</v>
      </c>
      <c r="N450" s="3" t="s">
        <v>86</v>
      </c>
    </row>
    <row r="451" spans="1:14" x14ac:dyDescent="0.3">
      <c r="A451" s="2">
        <v>44288</v>
      </c>
      <c r="B451" s="2">
        <v>44290</v>
      </c>
      <c r="C451">
        <v>2</v>
      </c>
      <c r="D451" s="3" t="s">
        <v>2</v>
      </c>
      <c r="E451" s="6">
        <v>250</v>
      </c>
      <c r="F451" s="6">
        <v>187.5</v>
      </c>
      <c r="G451">
        <v>8</v>
      </c>
      <c r="H451" s="6">
        <f>SalesData_2[[#This Row],[Unit Price]]*SalesData_2[[#This Row],[Units Sold]]</f>
        <v>2000</v>
      </c>
      <c r="I451" s="6">
        <f>SalesData_2[[#This Row],[Unit Cost]]*SalesData_2[[#This Row],[Units Sold]]</f>
        <v>1500</v>
      </c>
      <c r="J451" s="6">
        <f>SalesData_2[[#This Row],[Sales]]-SalesData_2[[#This Row],[COGS]]</f>
        <v>500</v>
      </c>
      <c r="K451" s="21">
        <f>SalesData_2[[#This Row],[Revenue]]/SalesData_2[[#This Row],[Sales]]</f>
        <v>0.25</v>
      </c>
      <c r="L451" s="3" t="s">
        <v>54</v>
      </c>
      <c r="M451" s="3" t="s">
        <v>83</v>
      </c>
      <c r="N451" s="3" t="s">
        <v>85</v>
      </c>
    </row>
    <row r="452" spans="1:14" x14ac:dyDescent="0.3">
      <c r="A452" s="2">
        <v>44288</v>
      </c>
      <c r="B452" s="2">
        <v>44295</v>
      </c>
      <c r="C452">
        <v>7</v>
      </c>
      <c r="D452" s="3" t="s">
        <v>18</v>
      </c>
      <c r="E452" s="6">
        <v>80</v>
      </c>
      <c r="F452" s="6">
        <v>48.8</v>
      </c>
      <c r="G452">
        <v>5</v>
      </c>
      <c r="H452" s="6">
        <f>SalesData_2[[#This Row],[Unit Price]]*SalesData_2[[#This Row],[Units Sold]]</f>
        <v>400</v>
      </c>
      <c r="I452" s="6">
        <f>SalesData_2[[#This Row],[Unit Cost]]*SalesData_2[[#This Row],[Units Sold]]</f>
        <v>244</v>
      </c>
      <c r="J452" s="6">
        <f>SalesData_2[[#This Row],[Sales]]-SalesData_2[[#This Row],[COGS]]</f>
        <v>156</v>
      </c>
      <c r="K452" s="21">
        <f>SalesData_2[[#This Row],[Revenue]]/SalesData_2[[#This Row],[Sales]]</f>
        <v>0.39</v>
      </c>
      <c r="L452" s="3" t="s">
        <v>59</v>
      </c>
      <c r="M452" s="3" t="s">
        <v>82</v>
      </c>
      <c r="N452" s="3" t="s">
        <v>86</v>
      </c>
    </row>
    <row r="453" spans="1:14" x14ac:dyDescent="0.3">
      <c r="A453" s="2">
        <v>44291</v>
      </c>
      <c r="B453" s="2">
        <v>44295</v>
      </c>
      <c r="C453">
        <v>4</v>
      </c>
      <c r="D453" s="3" t="s">
        <v>3</v>
      </c>
      <c r="E453" s="6">
        <v>95</v>
      </c>
      <c r="F453" s="6">
        <v>60.8</v>
      </c>
      <c r="G453">
        <v>1</v>
      </c>
      <c r="H453" s="6">
        <f>SalesData_2[[#This Row],[Unit Price]]*SalesData_2[[#This Row],[Units Sold]]</f>
        <v>95</v>
      </c>
      <c r="I453" s="6">
        <f>SalesData_2[[#This Row],[Unit Cost]]*SalesData_2[[#This Row],[Units Sold]]</f>
        <v>60.8</v>
      </c>
      <c r="J453" s="6">
        <f>SalesData_2[[#This Row],[Sales]]-SalesData_2[[#This Row],[COGS]]</f>
        <v>34.200000000000003</v>
      </c>
      <c r="K453" s="21">
        <f>SalesData_2[[#This Row],[Revenue]]/SalesData_2[[#This Row],[Sales]]</f>
        <v>0.36000000000000004</v>
      </c>
      <c r="L453" s="3" t="s">
        <v>30</v>
      </c>
      <c r="M453" s="3" t="s">
        <v>79</v>
      </c>
      <c r="N453" s="3" t="s">
        <v>85</v>
      </c>
    </row>
    <row r="454" spans="1:14" x14ac:dyDescent="0.3">
      <c r="A454" s="2">
        <v>44292</v>
      </c>
      <c r="B454" s="2">
        <v>44293</v>
      </c>
      <c r="C454">
        <v>1</v>
      </c>
      <c r="D454" s="3" t="s">
        <v>21</v>
      </c>
      <c r="E454" s="6">
        <v>355</v>
      </c>
      <c r="F454" s="6">
        <v>252.05</v>
      </c>
      <c r="G454">
        <v>1</v>
      </c>
      <c r="H454" s="6">
        <f>SalesData_2[[#This Row],[Unit Price]]*SalesData_2[[#This Row],[Units Sold]]</f>
        <v>355</v>
      </c>
      <c r="I454" s="6">
        <f>SalesData_2[[#This Row],[Unit Cost]]*SalesData_2[[#This Row],[Units Sold]]</f>
        <v>252.05</v>
      </c>
      <c r="J454" s="6">
        <f>SalesData_2[[#This Row],[Sales]]-SalesData_2[[#This Row],[COGS]]</f>
        <v>102.94999999999999</v>
      </c>
      <c r="K454" s="21">
        <f>SalesData_2[[#This Row],[Revenue]]/SalesData_2[[#This Row],[Sales]]</f>
        <v>0.28999999999999998</v>
      </c>
      <c r="L454" s="3" t="s">
        <v>39</v>
      </c>
      <c r="M454" s="3" t="s">
        <v>79</v>
      </c>
      <c r="N454" s="3" t="s">
        <v>85</v>
      </c>
    </row>
    <row r="455" spans="1:14" x14ac:dyDescent="0.3">
      <c r="A455" s="2">
        <v>44293</v>
      </c>
      <c r="B455" s="2">
        <v>44297</v>
      </c>
      <c r="C455">
        <v>4</v>
      </c>
      <c r="D455" s="3" t="s">
        <v>21</v>
      </c>
      <c r="E455" s="6">
        <v>355</v>
      </c>
      <c r="F455" s="6">
        <v>252.05</v>
      </c>
      <c r="G455">
        <v>9</v>
      </c>
      <c r="H455" s="6">
        <f>SalesData_2[[#This Row],[Unit Price]]*SalesData_2[[#This Row],[Units Sold]]</f>
        <v>3195</v>
      </c>
      <c r="I455" s="6">
        <f>SalesData_2[[#This Row],[Unit Cost]]*SalesData_2[[#This Row],[Units Sold]]</f>
        <v>2268.4500000000003</v>
      </c>
      <c r="J455" s="6">
        <f>SalesData_2[[#This Row],[Sales]]-SalesData_2[[#This Row],[COGS]]</f>
        <v>926.54999999999973</v>
      </c>
      <c r="K455" s="21">
        <f>SalesData_2[[#This Row],[Revenue]]/SalesData_2[[#This Row],[Sales]]</f>
        <v>0.28999999999999992</v>
      </c>
      <c r="L455" s="3" t="s">
        <v>44</v>
      </c>
      <c r="M455" s="3" t="s">
        <v>83</v>
      </c>
      <c r="N455" s="3" t="s">
        <v>85</v>
      </c>
    </row>
    <row r="456" spans="1:14" x14ac:dyDescent="0.3">
      <c r="A456" s="2">
        <v>44293</v>
      </c>
      <c r="B456" s="2">
        <v>44297</v>
      </c>
      <c r="C456">
        <v>4</v>
      </c>
      <c r="D456" s="3" t="s">
        <v>9</v>
      </c>
      <c r="E456" s="6">
        <v>215</v>
      </c>
      <c r="F456" s="6">
        <v>152.65</v>
      </c>
      <c r="G456">
        <v>5</v>
      </c>
      <c r="H456" s="6">
        <f>SalesData_2[[#This Row],[Unit Price]]*SalesData_2[[#This Row],[Units Sold]]</f>
        <v>1075</v>
      </c>
      <c r="I456" s="6">
        <f>SalesData_2[[#This Row],[Unit Cost]]*SalesData_2[[#This Row],[Units Sold]]</f>
        <v>763.25</v>
      </c>
      <c r="J456" s="6">
        <f>SalesData_2[[#This Row],[Sales]]-SalesData_2[[#This Row],[COGS]]</f>
        <v>311.75</v>
      </c>
      <c r="K456" s="21">
        <f>SalesData_2[[#This Row],[Revenue]]/SalesData_2[[#This Row],[Sales]]</f>
        <v>0.28999999999999998</v>
      </c>
      <c r="L456" s="3" t="s">
        <v>42</v>
      </c>
      <c r="M456" s="3" t="s">
        <v>83</v>
      </c>
      <c r="N456" s="3" t="s">
        <v>86</v>
      </c>
    </row>
    <row r="457" spans="1:14" x14ac:dyDescent="0.3">
      <c r="A457" s="2">
        <v>44294</v>
      </c>
      <c r="B457" s="2">
        <v>44296</v>
      </c>
      <c r="C457">
        <v>2</v>
      </c>
      <c r="D457" s="3" t="s">
        <v>17</v>
      </c>
      <c r="E457" s="6">
        <v>195</v>
      </c>
      <c r="F457" s="6">
        <v>138.44999999999999</v>
      </c>
      <c r="G457">
        <v>9</v>
      </c>
      <c r="H457" s="6">
        <f>SalesData_2[[#This Row],[Unit Price]]*SalesData_2[[#This Row],[Units Sold]]</f>
        <v>1755</v>
      </c>
      <c r="I457" s="6">
        <f>SalesData_2[[#This Row],[Unit Cost]]*SalesData_2[[#This Row],[Units Sold]]</f>
        <v>1246.05</v>
      </c>
      <c r="J457" s="6">
        <f>SalesData_2[[#This Row],[Sales]]-SalesData_2[[#This Row],[COGS]]</f>
        <v>508.95000000000005</v>
      </c>
      <c r="K457" s="21">
        <f>SalesData_2[[#This Row],[Revenue]]/SalesData_2[[#This Row],[Sales]]</f>
        <v>0.29000000000000004</v>
      </c>
      <c r="L457" s="3" t="s">
        <v>51</v>
      </c>
      <c r="M457" s="3" t="s">
        <v>81</v>
      </c>
      <c r="N457" s="3" t="s">
        <v>86</v>
      </c>
    </row>
    <row r="458" spans="1:14" x14ac:dyDescent="0.3">
      <c r="A458" s="2">
        <v>44297</v>
      </c>
      <c r="B458" s="2">
        <v>44301</v>
      </c>
      <c r="C458">
        <v>4</v>
      </c>
      <c r="D458" s="3" t="s">
        <v>7</v>
      </c>
      <c r="E458" s="6">
        <v>250</v>
      </c>
      <c r="F458" s="6">
        <v>167.5</v>
      </c>
      <c r="G458">
        <v>3</v>
      </c>
      <c r="H458" s="6">
        <f>SalesData_2[[#This Row],[Unit Price]]*SalesData_2[[#This Row],[Units Sold]]</f>
        <v>750</v>
      </c>
      <c r="I458" s="6">
        <f>SalesData_2[[#This Row],[Unit Cost]]*SalesData_2[[#This Row],[Units Sold]]</f>
        <v>502.5</v>
      </c>
      <c r="J458" s="6">
        <f>SalesData_2[[#This Row],[Sales]]-SalesData_2[[#This Row],[COGS]]</f>
        <v>247.5</v>
      </c>
      <c r="K458" s="21">
        <f>SalesData_2[[#This Row],[Revenue]]/SalesData_2[[#This Row],[Sales]]</f>
        <v>0.33</v>
      </c>
      <c r="L458" s="3" t="s">
        <v>57</v>
      </c>
      <c r="M458" s="3" t="s">
        <v>79</v>
      </c>
      <c r="N458" s="3" t="s">
        <v>85</v>
      </c>
    </row>
    <row r="459" spans="1:14" x14ac:dyDescent="0.3">
      <c r="A459" s="2">
        <v>44297</v>
      </c>
      <c r="B459" s="2">
        <v>44302</v>
      </c>
      <c r="C459">
        <v>5</v>
      </c>
      <c r="D459" s="3" t="s">
        <v>21</v>
      </c>
      <c r="E459" s="6">
        <v>355</v>
      </c>
      <c r="F459" s="6">
        <v>252.05</v>
      </c>
      <c r="G459">
        <v>1</v>
      </c>
      <c r="H459" s="6">
        <f>SalesData_2[[#This Row],[Unit Price]]*SalesData_2[[#This Row],[Units Sold]]</f>
        <v>355</v>
      </c>
      <c r="I459" s="6">
        <f>SalesData_2[[#This Row],[Unit Cost]]*SalesData_2[[#This Row],[Units Sold]]</f>
        <v>252.05</v>
      </c>
      <c r="J459" s="6">
        <f>SalesData_2[[#This Row],[Sales]]-SalesData_2[[#This Row],[COGS]]</f>
        <v>102.94999999999999</v>
      </c>
      <c r="K459" s="21">
        <f>SalesData_2[[#This Row],[Revenue]]/SalesData_2[[#This Row],[Sales]]</f>
        <v>0.28999999999999998</v>
      </c>
      <c r="L459" s="3" t="s">
        <v>59</v>
      </c>
      <c r="M459" s="3" t="s">
        <v>79</v>
      </c>
      <c r="N459" s="3" t="s">
        <v>85</v>
      </c>
    </row>
    <row r="460" spans="1:14" x14ac:dyDescent="0.3">
      <c r="A460" s="2">
        <v>44298</v>
      </c>
      <c r="B460" s="2">
        <v>44304</v>
      </c>
      <c r="C460">
        <v>6</v>
      </c>
      <c r="D460" s="3" t="s">
        <v>9</v>
      </c>
      <c r="E460" s="6">
        <v>215</v>
      </c>
      <c r="F460" s="6">
        <v>152.65</v>
      </c>
      <c r="G460">
        <v>8</v>
      </c>
      <c r="H460" s="6">
        <f>SalesData_2[[#This Row],[Unit Price]]*SalesData_2[[#This Row],[Units Sold]]</f>
        <v>1720</v>
      </c>
      <c r="I460" s="6">
        <f>SalesData_2[[#This Row],[Unit Cost]]*SalesData_2[[#This Row],[Units Sold]]</f>
        <v>1221.2</v>
      </c>
      <c r="J460" s="6">
        <f>SalesData_2[[#This Row],[Sales]]-SalesData_2[[#This Row],[COGS]]</f>
        <v>498.79999999999995</v>
      </c>
      <c r="K460" s="21">
        <f>SalesData_2[[#This Row],[Revenue]]/SalesData_2[[#This Row],[Sales]]</f>
        <v>0.28999999999999998</v>
      </c>
      <c r="L460" s="3" t="s">
        <v>30</v>
      </c>
      <c r="M460" s="3" t="s">
        <v>79</v>
      </c>
      <c r="N460" s="3" t="s">
        <v>86</v>
      </c>
    </row>
    <row r="461" spans="1:14" x14ac:dyDescent="0.3">
      <c r="A461" s="2">
        <v>44298</v>
      </c>
      <c r="B461" s="2">
        <v>44303</v>
      </c>
      <c r="C461">
        <v>5</v>
      </c>
      <c r="D461" s="3" t="s">
        <v>20</v>
      </c>
      <c r="E461" s="6">
        <v>440</v>
      </c>
      <c r="F461" s="6">
        <v>286</v>
      </c>
      <c r="G461">
        <v>5</v>
      </c>
      <c r="H461" s="6">
        <f>SalesData_2[[#This Row],[Unit Price]]*SalesData_2[[#This Row],[Units Sold]]</f>
        <v>2200</v>
      </c>
      <c r="I461" s="6">
        <f>SalesData_2[[#This Row],[Unit Cost]]*SalesData_2[[#This Row],[Units Sold]]</f>
        <v>1430</v>
      </c>
      <c r="J461" s="6">
        <f>SalesData_2[[#This Row],[Sales]]-SalesData_2[[#This Row],[COGS]]</f>
        <v>770</v>
      </c>
      <c r="K461" s="21">
        <f>SalesData_2[[#This Row],[Revenue]]/SalesData_2[[#This Row],[Sales]]</f>
        <v>0.35</v>
      </c>
      <c r="L461" s="3" t="s">
        <v>47</v>
      </c>
      <c r="M461" s="3" t="s">
        <v>82</v>
      </c>
      <c r="N461" s="3" t="s">
        <v>85</v>
      </c>
    </row>
    <row r="462" spans="1:14" x14ac:dyDescent="0.3">
      <c r="A462" s="2">
        <v>44301</v>
      </c>
      <c r="B462" s="2">
        <v>44303</v>
      </c>
      <c r="C462">
        <v>2</v>
      </c>
      <c r="D462" s="3" t="s">
        <v>8</v>
      </c>
      <c r="E462" s="6">
        <v>59</v>
      </c>
      <c r="F462" s="6">
        <v>41.3</v>
      </c>
      <c r="G462">
        <v>9</v>
      </c>
      <c r="H462" s="6">
        <f>SalesData_2[[#This Row],[Unit Price]]*SalesData_2[[#This Row],[Units Sold]]</f>
        <v>531</v>
      </c>
      <c r="I462" s="6">
        <f>SalesData_2[[#This Row],[Unit Cost]]*SalesData_2[[#This Row],[Units Sold]]</f>
        <v>371.7</v>
      </c>
      <c r="J462" s="6">
        <f>SalesData_2[[#This Row],[Sales]]-SalesData_2[[#This Row],[COGS]]</f>
        <v>159.30000000000001</v>
      </c>
      <c r="K462" s="21">
        <f>SalesData_2[[#This Row],[Revenue]]/SalesData_2[[#This Row],[Sales]]</f>
        <v>0.30000000000000004</v>
      </c>
      <c r="L462" s="3" t="s">
        <v>51</v>
      </c>
      <c r="M462" s="3" t="s">
        <v>81</v>
      </c>
      <c r="N462" s="3" t="s">
        <v>85</v>
      </c>
    </row>
    <row r="463" spans="1:14" x14ac:dyDescent="0.3">
      <c r="A463" s="2">
        <v>44301</v>
      </c>
      <c r="B463" s="2">
        <v>44302</v>
      </c>
      <c r="C463">
        <v>1</v>
      </c>
      <c r="D463" s="3" t="s">
        <v>9</v>
      </c>
      <c r="E463" s="6">
        <v>215</v>
      </c>
      <c r="F463" s="6">
        <v>152.65</v>
      </c>
      <c r="G463">
        <v>1</v>
      </c>
      <c r="H463" s="6">
        <f>SalesData_2[[#This Row],[Unit Price]]*SalesData_2[[#This Row],[Units Sold]]</f>
        <v>215</v>
      </c>
      <c r="I463" s="6">
        <f>SalesData_2[[#This Row],[Unit Cost]]*SalesData_2[[#This Row],[Units Sold]]</f>
        <v>152.65</v>
      </c>
      <c r="J463" s="6">
        <f>SalesData_2[[#This Row],[Sales]]-SalesData_2[[#This Row],[COGS]]</f>
        <v>62.349999999999994</v>
      </c>
      <c r="K463" s="21">
        <f>SalesData_2[[#This Row],[Revenue]]/SalesData_2[[#This Row],[Sales]]</f>
        <v>0.28999999999999998</v>
      </c>
      <c r="L463" s="3" t="s">
        <v>40</v>
      </c>
      <c r="M463" s="3" t="s">
        <v>83</v>
      </c>
      <c r="N463" s="3" t="s">
        <v>86</v>
      </c>
    </row>
    <row r="464" spans="1:14" x14ac:dyDescent="0.3">
      <c r="A464" s="2">
        <v>44303</v>
      </c>
      <c r="B464" s="2">
        <v>44309</v>
      </c>
      <c r="C464">
        <v>6</v>
      </c>
      <c r="D464" s="3" t="s">
        <v>14</v>
      </c>
      <c r="E464" s="6">
        <v>375</v>
      </c>
      <c r="F464" s="6">
        <v>247.5</v>
      </c>
      <c r="G464">
        <v>7</v>
      </c>
      <c r="H464" s="6">
        <f>SalesData_2[[#This Row],[Unit Price]]*SalesData_2[[#This Row],[Units Sold]]</f>
        <v>2625</v>
      </c>
      <c r="I464" s="6">
        <f>SalesData_2[[#This Row],[Unit Cost]]*SalesData_2[[#This Row],[Units Sold]]</f>
        <v>1732.5</v>
      </c>
      <c r="J464" s="6">
        <f>SalesData_2[[#This Row],[Sales]]-SalesData_2[[#This Row],[COGS]]</f>
        <v>892.5</v>
      </c>
      <c r="K464" s="21">
        <f>SalesData_2[[#This Row],[Revenue]]/SalesData_2[[#This Row],[Sales]]</f>
        <v>0.34</v>
      </c>
      <c r="L464" s="3" t="s">
        <v>76</v>
      </c>
      <c r="M464" s="3" t="s">
        <v>79</v>
      </c>
      <c r="N464" s="3" t="s">
        <v>85</v>
      </c>
    </row>
    <row r="465" spans="1:14" x14ac:dyDescent="0.3">
      <c r="A465" s="2">
        <v>44303</v>
      </c>
      <c r="B465" s="2">
        <v>44309</v>
      </c>
      <c r="C465">
        <v>6</v>
      </c>
      <c r="D465" s="3" t="s">
        <v>15</v>
      </c>
      <c r="E465" s="6">
        <v>110</v>
      </c>
      <c r="F465" s="6">
        <v>78.099999999999994</v>
      </c>
      <c r="G465">
        <v>3</v>
      </c>
      <c r="H465" s="6">
        <f>SalesData_2[[#This Row],[Unit Price]]*SalesData_2[[#This Row],[Units Sold]]</f>
        <v>330</v>
      </c>
      <c r="I465" s="6">
        <f>SalesData_2[[#This Row],[Unit Cost]]*SalesData_2[[#This Row],[Units Sold]]</f>
        <v>234.29999999999998</v>
      </c>
      <c r="J465" s="6">
        <f>SalesData_2[[#This Row],[Sales]]-SalesData_2[[#This Row],[COGS]]</f>
        <v>95.700000000000017</v>
      </c>
      <c r="K465" s="21">
        <f>SalesData_2[[#This Row],[Revenue]]/SalesData_2[[#This Row],[Sales]]</f>
        <v>0.29000000000000004</v>
      </c>
      <c r="L465" s="3" t="s">
        <v>42</v>
      </c>
      <c r="M465" s="3" t="s">
        <v>82</v>
      </c>
      <c r="N465" s="3" t="s">
        <v>86</v>
      </c>
    </row>
    <row r="466" spans="1:14" x14ac:dyDescent="0.3">
      <c r="A466" s="2">
        <v>44303</v>
      </c>
      <c r="B466" s="2">
        <v>44308</v>
      </c>
      <c r="C466">
        <v>5</v>
      </c>
      <c r="D466" s="3" t="s">
        <v>11</v>
      </c>
      <c r="E466" s="6">
        <v>490</v>
      </c>
      <c r="F466" s="6">
        <v>298.89999999999998</v>
      </c>
      <c r="G466">
        <v>9</v>
      </c>
      <c r="H466" s="6">
        <f>SalesData_2[[#This Row],[Unit Price]]*SalesData_2[[#This Row],[Units Sold]]</f>
        <v>4410</v>
      </c>
      <c r="I466" s="6">
        <f>SalesData_2[[#This Row],[Unit Cost]]*SalesData_2[[#This Row],[Units Sold]]</f>
        <v>2690.1</v>
      </c>
      <c r="J466" s="6">
        <f>SalesData_2[[#This Row],[Sales]]-SalesData_2[[#This Row],[COGS]]</f>
        <v>1719.9</v>
      </c>
      <c r="K466" s="21">
        <f>SalesData_2[[#This Row],[Revenue]]/SalesData_2[[#This Row],[Sales]]</f>
        <v>0.39</v>
      </c>
      <c r="L466" s="3" t="s">
        <v>60</v>
      </c>
      <c r="M466" s="3" t="s">
        <v>83</v>
      </c>
      <c r="N466" s="3" t="s">
        <v>85</v>
      </c>
    </row>
    <row r="467" spans="1:14" x14ac:dyDescent="0.3">
      <c r="A467" s="2">
        <v>44306</v>
      </c>
      <c r="B467" s="2">
        <v>44313</v>
      </c>
      <c r="C467">
        <v>7</v>
      </c>
      <c r="D467" s="3" t="s">
        <v>18</v>
      </c>
      <c r="E467" s="6">
        <v>80</v>
      </c>
      <c r="F467" s="6">
        <v>48.8</v>
      </c>
      <c r="G467">
        <v>8</v>
      </c>
      <c r="H467" s="6">
        <f>SalesData_2[[#This Row],[Unit Price]]*SalesData_2[[#This Row],[Units Sold]]</f>
        <v>640</v>
      </c>
      <c r="I467" s="6">
        <f>SalesData_2[[#This Row],[Unit Cost]]*SalesData_2[[#This Row],[Units Sold]]</f>
        <v>390.4</v>
      </c>
      <c r="J467" s="6">
        <f>SalesData_2[[#This Row],[Sales]]-SalesData_2[[#This Row],[COGS]]</f>
        <v>249.60000000000002</v>
      </c>
      <c r="K467" s="21">
        <f>SalesData_2[[#This Row],[Revenue]]/SalesData_2[[#This Row],[Sales]]</f>
        <v>0.39</v>
      </c>
      <c r="L467" s="3" t="s">
        <v>43</v>
      </c>
      <c r="M467" s="3" t="s">
        <v>82</v>
      </c>
      <c r="N467" s="3" t="s">
        <v>85</v>
      </c>
    </row>
    <row r="468" spans="1:14" x14ac:dyDescent="0.3">
      <c r="A468" s="2">
        <v>44306</v>
      </c>
      <c r="B468" s="2">
        <v>44308</v>
      </c>
      <c r="C468">
        <v>2</v>
      </c>
      <c r="D468" s="3" t="s">
        <v>11</v>
      </c>
      <c r="E468" s="6">
        <v>490</v>
      </c>
      <c r="F468" s="6">
        <v>298.89999999999998</v>
      </c>
      <c r="G468">
        <v>2</v>
      </c>
      <c r="H468" s="6">
        <f>SalesData_2[[#This Row],[Unit Price]]*SalesData_2[[#This Row],[Units Sold]]</f>
        <v>980</v>
      </c>
      <c r="I468" s="6">
        <f>SalesData_2[[#This Row],[Unit Cost]]*SalesData_2[[#This Row],[Units Sold]]</f>
        <v>597.79999999999995</v>
      </c>
      <c r="J468" s="6">
        <f>SalesData_2[[#This Row],[Sales]]-SalesData_2[[#This Row],[COGS]]</f>
        <v>382.20000000000005</v>
      </c>
      <c r="K468" s="21">
        <f>SalesData_2[[#This Row],[Revenue]]/SalesData_2[[#This Row],[Sales]]</f>
        <v>0.39000000000000007</v>
      </c>
      <c r="L468" s="3" t="s">
        <v>50</v>
      </c>
      <c r="M468" s="3" t="s">
        <v>79</v>
      </c>
      <c r="N468" s="3" t="s">
        <v>86</v>
      </c>
    </row>
    <row r="469" spans="1:14" x14ac:dyDescent="0.3">
      <c r="A469" s="2">
        <v>44307</v>
      </c>
      <c r="B469" s="2">
        <v>44311</v>
      </c>
      <c r="C469">
        <v>4</v>
      </c>
      <c r="D469" s="3" t="s">
        <v>4</v>
      </c>
      <c r="E469" s="6">
        <v>390</v>
      </c>
      <c r="F469" s="6">
        <v>288.60000000000002</v>
      </c>
      <c r="G469">
        <v>6</v>
      </c>
      <c r="H469" s="6">
        <f>SalesData_2[[#This Row],[Unit Price]]*SalesData_2[[#This Row],[Units Sold]]</f>
        <v>2340</v>
      </c>
      <c r="I469" s="6">
        <f>SalesData_2[[#This Row],[Unit Cost]]*SalesData_2[[#This Row],[Units Sold]]</f>
        <v>1731.6000000000001</v>
      </c>
      <c r="J469" s="6">
        <f>SalesData_2[[#This Row],[Sales]]-SalesData_2[[#This Row],[COGS]]</f>
        <v>608.39999999999986</v>
      </c>
      <c r="K469" s="21">
        <f>SalesData_2[[#This Row],[Revenue]]/SalesData_2[[#This Row],[Sales]]</f>
        <v>0.25999999999999995</v>
      </c>
      <c r="L469" s="3" t="s">
        <v>56</v>
      </c>
      <c r="M469" s="3" t="s">
        <v>79</v>
      </c>
      <c r="N469" s="3" t="s">
        <v>85</v>
      </c>
    </row>
    <row r="470" spans="1:14" x14ac:dyDescent="0.3">
      <c r="A470" s="2">
        <v>44307</v>
      </c>
      <c r="B470" s="2">
        <v>44309</v>
      </c>
      <c r="C470">
        <v>2</v>
      </c>
      <c r="D470" s="3" t="s">
        <v>20</v>
      </c>
      <c r="E470" s="6">
        <v>440</v>
      </c>
      <c r="F470" s="6">
        <v>286</v>
      </c>
      <c r="G470">
        <v>4</v>
      </c>
      <c r="H470" s="6">
        <f>SalesData_2[[#This Row],[Unit Price]]*SalesData_2[[#This Row],[Units Sold]]</f>
        <v>1760</v>
      </c>
      <c r="I470" s="6">
        <f>SalesData_2[[#This Row],[Unit Cost]]*SalesData_2[[#This Row],[Units Sold]]</f>
        <v>1144</v>
      </c>
      <c r="J470" s="6">
        <f>SalesData_2[[#This Row],[Sales]]-SalesData_2[[#This Row],[COGS]]</f>
        <v>616</v>
      </c>
      <c r="K470" s="21">
        <f>SalesData_2[[#This Row],[Revenue]]/SalesData_2[[#This Row],[Sales]]</f>
        <v>0.35</v>
      </c>
      <c r="L470" s="3" t="s">
        <v>29</v>
      </c>
      <c r="M470" s="3" t="s">
        <v>82</v>
      </c>
      <c r="N470" s="3" t="s">
        <v>86</v>
      </c>
    </row>
    <row r="471" spans="1:14" x14ac:dyDescent="0.3">
      <c r="A471" s="2">
        <v>44308</v>
      </c>
      <c r="B471" s="2">
        <v>44315</v>
      </c>
      <c r="C471">
        <v>7</v>
      </c>
      <c r="D471" s="3" t="s">
        <v>7</v>
      </c>
      <c r="E471" s="6">
        <v>250</v>
      </c>
      <c r="F471" s="6">
        <v>167.5</v>
      </c>
      <c r="G471">
        <v>4</v>
      </c>
      <c r="H471" s="6">
        <f>SalesData_2[[#This Row],[Unit Price]]*SalesData_2[[#This Row],[Units Sold]]</f>
        <v>1000</v>
      </c>
      <c r="I471" s="6">
        <f>SalesData_2[[#This Row],[Unit Cost]]*SalesData_2[[#This Row],[Units Sold]]</f>
        <v>670</v>
      </c>
      <c r="J471" s="6">
        <f>SalesData_2[[#This Row],[Sales]]-SalesData_2[[#This Row],[COGS]]</f>
        <v>330</v>
      </c>
      <c r="K471" s="21">
        <f>SalesData_2[[#This Row],[Revenue]]/SalesData_2[[#This Row],[Sales]]</f>
        <v>0.33</v>
      </c>
      <c r="L471" s="3" t="s">
        <v>67</v>
      </c>
      <c r="M471" s="3" t="s">
        <v>83</v>
      </c>
      <c r="N471" s="3" t="s">
        <v>85</v>
      </c>
    </row>
    <row r="472" spans="1:14" x14ac:dyDescent="0.3">
      <c r="A472" s="2">
        <v>44309</v>
      </c>
      <c r="B472" s="2">
        <v>44312</v>
      </c>
      <c r="C472">
        <v>3</v>
      </c>
      <c r="D472" s="3" t="s">
        <v>6</v>
      </c>
      <c r="E472" s="6">
        <v>99</v>
      </c>
      <c r="F472" s="6">
        <v>62.37</v>
      </c>
      <c r="G472">
        <v>4</v>
      </c>
      <c r="H472" s="6">
        <f>SalesData_2[[#This Row],[Unit Price]]*SalesData_2[[#This Row],[Units Sold]]</f>
        <v>396</v>
      </c>
      <c r="I472" s="6">
        <f>SalesData_2[[#This Row],[Unit Cost]]*SalesData_2[[#This Row],[Units Sold]]</f>
        <v>249.48</v>
      </c>
      <c r="J472" s="6">
        <f>SalesData_2[[#This Row],[Sales]]-SalesData_2[[#This Row],[COGS]]</f>
        <v>146.52000000000001</v>
      </c>
      <c r="K472" s="21">
        <f>SalesData_2[[#This Row],[Revenue]]/SalesData_2[[#This Row],[Sales]]</f>
        <v>0.37000000000000005</v>
      </c>
      <c r="L472" s="3" t="s">
        <v>48</v>
      </c>
      <c r="M472" s="3" t="s">
        <v>80</v>
      </c>
      <c r="N472" s="3" t="s">
        <v>85</v>
      </c>
    </row>
    <row r="473" spans="1:14" x14ac:dyDescent="0.3">
      <c r="A473" s="2">
        <v>44309</v>
      </c>
      <c r="B473" s="2">
        <v>44314</v>
      </c>
      <c r="C473">
        <v>5</v>
      </c>
      <c r="D473" s="3" t="s">
        <v>5</v>
      </c>
      <c r="E473" s="6">
        <v>290</v>
      </c>
      <c r="F473" s="6">
        <v>185.6</v>
      </c>
      <c r="G473">
        <v>9</v>
      </c>
      <c r="H473" s="6">
        <f>SalesData_2[[#This Row],[Unit Price]]*SalesData_2[[#This Row],[Units Sold]]</f>
        <v>2610</v>
      </c>
      <c r="I473" s="6">
        <f>SalesData_2[[#This Row],[Unit Cost]]*SalesData_2[[#This Row],[Units Sold]]</f>
        <v>1670.3999999999999</v>
      </c>
      <c r="J473" s="6">
        <f>SalesData_2[[#This Row],[Sales]]-SalesData_2[[#This Row],[COGS]]</f>
        <v>939.60000000000014</v>
      </c>
      <c r="K473" s="21">
        <f>SalesData_2[[#This Row],[Revenue]]/SalesData_2[[#This Row],[Sales]]</f>
        <v>0.36000000000000004</v>
      </c>
      <c r="L473" s="3" t="s">
        <v>33</v>
      </c>
      <c r="M473" s="3" t="s">
        <v>79</v>
      </c>
      <c r="N473" s="3" t="s">
        <v>85</v>
      </c>
    </row>
    <row r="474" spans="1:14" x14ac:dyDescent="0.3">
      <c r="A474" s="2">
        <v>44310</v>
      </c>
      <c r="B474" s="2">
        <v>44312</v>
      </c>
      <c r="C474">
        <v>2</v>
      </c>
      <c r="D474" s="3" t="s">
        <v>20</v>
      </c>
      <c r="E474" s="6">
        <v>440</v>
      </c>
      <c r="F474" s="6">
        <v>286</v>
      </c>
      <c r="G474">
        <v>7</v>
      </c>
      <c r="H474" s="6">
        <f>SalesData_2[[#This Row],[Unit Price]]*SalesData_2[[#This Row],[Units Sold]]</f>
        <v>3080</v>
      </c>
      <c r="I474" s="6">
        <f>SalesData_2[[#This Row],[Unit Cost]]*SalesData_2[[#This Row],[Units Sold]]</f>
        <v>2002</v>
      </c>
      <c r="J474" s="6">
        <f>SalesData_2[[#This Row],[Sales]]-SalesData_2[[#This Row],[COGS]]</f>
        <v>1078</v>
      </c>
      <c r="K474" s="21">
        <f>SalesData_2[[#This Row],[Revenue]]/SalesData_2[[#This Row],[Sales]]</f>
        <v>0.35</v>
      </c>
      <c r="L474" s="3" t="s">
        <v>66</v>
      </c>
      <c r="M474" s="3" t="s">
        <v>79</v>
      </c>
      <c r="N474" s="3" t="s">
        <v>86</v>
      </c>
    </row>
    <row r="475" spans="1:14" x14ac:dyDescent="0.3">
      <c r="A475" s="2">
        <v>44312</v>
      </c>
      <c r="B475" s="2">
        <v>44318</v>
      </c>
      <c r="C475">
        <v>6</v>
      </c>
      <c r="D475" s="3" t="s">
        <v>6</v>
      </c>
      <c r="E475" s="6">
        <v>99</v>
      </c>
      <c r="F475" s="6">
        <v>62.37</v>
      </c>
      <c r="G475">
        <v>2</v>
      </c>
      <c r="H475" s="6">
        <f>SalesData_2[[#This Row],[Unit Price]]*SalesData_2[[#This Row],[Units Sold]]</f>
        <v>198</v>
      </c>
      <c r="I475" s="6">
        <f>SalesData_2[[#This Row],[Unit Cost]]*SalesData_2[[#This Row],[Units Sold]]</f>
        <v>124.74</v>
      </c>
      <c r="J475" s="6">
        <f>SalesData_2[[#This Row],[Sales]]-SalesData_2[[#This Row],[COGS]]</f>
        <v>73.260000000000005</v>
      </c>
      <c r="K475" s="21">
        <f>SalesData_2[[#This Row],[Revenue]]/SalesData_2[[#This Row],[Sales]]</f>
        <v>0.37000000000000005</v>
      </c>
      <c r="L475" s="3" t="s">
        <v>67</v>
      </c>
      <c r="M475" s="3" t="s">
        <v>79</v>
      </c>
      <c r="N475" s="3" t="s">
        <v>86</v>
      </c>
    </row>
    <row r="476" spans="1:14" x14ac:dyDescent="0.3">
      <c r="A476" s="2">
        <v>44312</v>
      </c>
      <c r="B476" s="2">
        <v>44318</v>
      </c>
      <c r="C476">
        <v>6</v>
      </c>
      <c r="D476" s="3" t="s">
        <v>2</v>
      </c>
      <c r="E476" s="6">
        <v>250</v>
      </c>
      <c r="F476" s="6">
        <v>187.5</v>
      </c>
      <c r="G476">
        <v>5</v>
      </c>
      <c r="H476" s="6">
        <f>SalesData_2[[#This Row],[Unit Price]]*SalesData_2[[#This Row],[Units Sold]]</f>
        <v>1250</v>
      </c>
      <c r="I476" s="6">
        <f>SalesData_2[[#This Row],[Unit Cost]]*SalesData_2[[#This Row],[Units Sold]]</f>
        <v>937.5</v>
      </c>
      <c r="J476" s="6">
        <f>SalesData_2[[#This Row],[Sales]]-SalesData_2[[#This Row],[COGS]]</f>
        <v>312.5</v>
      </c>
      <c r="K476" s="21">
        <f>SalesData_2[[#This Row],[Revenue]]/SalesData_2[[#This Row],[Sales]]</f>
        <v>0.25</v>
      </c>
      <c r="L476" s="3" t="s">
        <v>74</v>
      </c>
      <c r="M476" s="3" t="s">
        <v>79</v>
      </c>
      <c r="N476" s="3" t="s">
        <v>85</v>
      </c>
    </row>
    <row r="477" spans="1:14" x14ac:dyDescent="0.3">
      <c r="A477" s="2">
        <v>44314</v>
      </c>
      <c r="B477" s="2">
        <v>44315</v>
      </c>
      <c r="C477">
        <v>1</v>
      </c>
      <c r="D477" s="3" t="s">
        <v>21</v>
      </c>
      <c r="E477" s="6">
        <v>355</v>
      </c>
      <c r="F477" s="6">
        <v>252.05</v>
      </c>
      <c r="G477">
        <v>8</v>
      </c>
      <c r="H477" s="6">
        <f>SalesData_2[[#This Row],[Unit Price]]*SalesData_2[[#This Row],[Units Sold]]</f>
        <v>2840</v>
      </c>
      <c r="I477" s="6">
        <f>SalesData_2[[#This Row],[Unit Cost]]*SalesData_2[[#This Row],[Units Sold]]</f>
        <v>2016.4</v>
      </c>
      <c r="J477" s="6">
        <f>SalesData_2[[#This Row],[Sales]]-SalesData_2[[#This Row],[COGS]]</f>
        <v>823.59999999999991</v>
      </c>
      <c r="K477" s="21">
        <f>SalesData_2[[#This Row],[Revenue]]/SalesData_2[[#This Row],[Sales]]</f>
        <v>0.28999999999999998</v>
      </c>
      <c r="L477" s="3" t="s">
        <v>59</v>
      </c>
      <c r="M477" s="3" t="s">
        <v>83</v>
      </c>
      <c r="N477" s="3" t="s">
        <v>86</v>
      </c>
    </row>
    <row r="478" spans="1:14" x14ac:dyDescent="0.3">
      <c r="A478" s="2">
        <v>44315</v>
      </c>
      <c r="B478" s="2">
        <v>44319</v>
      </c>
      <c r="C478">
        <v>4</v>
      </c>
      <c r="D478" s="3" t="s">
        <v>4</v>
      </c>
      <c r="E478" s="6">
        <v>390</v>
      </c>
      <c r="F478" s="6">
        <v>288.60000000000002</v>
      </c>
      <c r="G478">
        <v>4</v>
      </c>
      <c r="H478" s="6">
        <f>SalesData_2[[#This Row],[Unit Price]]*SalesData_2[[#This Row],[Units Sold]]</f>
        <v>1560</v>
      </c>
      <c r="I478" s="6">
        <f>SalesData_2[[#This Row],[Unit Cost]]*SalesData_2[[#This Row],[Units Sold]]</f>
        <v>1154.4000000000001</v>
      </c>
      <c r="J478" s="6">
        <f>SalesData_2[[#This Row],[Sales]]-SalesData_2[[#This Row],[COGS]]</f>
        <v>405.59999999999991</v>
      </c>
      <c r="K478" s="21">
        <f>SalesData_2[[#This Row],[Revenue]]/SalesData_2[[#This Row],[Sales]]</f>
        <v>0.25999999999999995</v>
      </c>
      <c r="L478" s="3" t="s">
        <v>43</v>
      </c>
      <c r="M478" s="3" t="s">
        <v>83</v>
      </c>
      <c r="N478" s="3" t="s">
        <v>86</v>
      </c>
    </row>
    <row r="479" spans="1:14" x14ac:dyDescent="0.3">
      <c r="A479" s="2">
        <v>44316</v>
      </c>
      <c r="B479" s="2">
        <v>44318</v>
      </c>
      <c r="C479">
        <v>2</v>
      </c>
      <c r="D479" s="3" t="s">
        <v>11</v>
      </c>
      <c r="E479" s="6">
        <v>490</v>
      </c>
      <c r="F479" s="6">
        <v>298.89999999999998</v>
      </c>
      <c r="G479">
        <v>5</v>
      </c>
      <c r="H479" s="6">
        <f>SalesData_2[[#This Row],[Unit Price]]*SalesData_2[[#This Row],[Units Sold]]</f>
        <v>2450</v>
      </c>
      <c r="I479" s="6">
        <f>SalesData_2[[#This Row],[Unit Cost]]*SalesData_2[[#This Row],[Units Sold]]</f>
        <v>1494.5</v>
      </c>
      <c r="J479" s="6">
        <f>SalesData_2[[#This Row],[Sales]]-SalesData_2[[#This Row],[COGS]]</f>
        <v>955.5</v>
      </c>
      <c r="K479" s="21">
        <f>SalesData_2[[#This Row],[Revenue]]/SalesData_2[[#This Row],[Sales]]</f>
        <v>0.39</v>
      </c>
      <c r="L479" s="3" t="s">
        <v>62</v>
      </c>
      <c r="M479" s="3" t="s">
        <v>79</v>
      </c>
      <c r="N479" s="3" t="s">
        <v>85</v>
      </c>
    </row>
    <row r="480" spans="1:14" x14ac:dyDescent="0.3">
      <c r="A480" s="2">
        <v>44318</v>
      </c>
      <c r="B480" s="2">
        <v>44325</v>
      </c>
      <c r="C480">
        <v>7</v>
      </c>
      <c r="D480" s="3" t="s">
        <v>8</v>
      </c>
      <c r="E480" s="6">
        <v>59</v>
      </c>
      <c r="F480" s="6">
        <v>41.3</v>
      </c>
      <c r="G480">
        <v>1</v>
      </c>
      <c r="H480" s="6">
        <f>SalesData_2[[#This Row],[Unit Price]]*SalesData_2[[#This Row],[Units Sold]]</f>
        <v>59</v>
      </c>
      <c r="I480" s="6">
        <f>SalesData_2[[#This Row],[Unit Cost]]*SalesData_2[[#This Row],[Units Sold]]</f>
        <v>41.3</v>
      </c>
      <c r="J480" s="6">
        <f>SalesData_2[[#This Row],[Sales]]-SalesData_2[[#This Row],[COGS]]</f>
        <v>17.700000000000003</v>
      </c>
      <c r="K480" s="21">
        <f>SalesData_2[[#This Row],[Revenue]]/SalesData_2[[#This Row],[Sales]]</f>
        <v>0.30000000000000004</v>
      </c>
      <c r="L480" s="3" t="s">
        <v>46</v>
      </c>
      <c r="M480" s="3" t="s">
        <v>81</v>
      </c>
      <c r="N480" s="3" t="s">
        <v>86</v>
      </c>
    </row>
    <row r="481" spans="1:14" x14ac:dyDescent="0.3">
      <c r="A481" s="2">
        <v>44319</v>
      </c>
      <c r="B481" s="2">
        <v>44324</v>
      </c>
      <c r="C481">
        <v>5</v>
      </c>
      <c r="D481" s="3" t="s">
        <v>10</v>
      </c>
      <c r="E481" s="6">
        <v>390</v>
      </c>
      <c r="F481" s="6">
        <v>253.5</v>
      </c>
      <c r="G481">
        <v>4</v>
      </c>
      <c r="H481" s="6">
        <f>SalesData_2[[#This Row],[Unit Price]]*SalesData_2[[#This Row],[Units Sold]]</f>
        <v>1560</v>
      </c>
      <c r="I481" s="6">
        <f>SalesData_2[[#This Row],[Unit Cost]]*SalesData_2[[#This Row],[Units Sold]]</f>
        <v>1014</v>
      </c>
      <c r="J481" s="6">
        <f>SalesData_2[[#This Row],[Sales]]-SalesData_2[[#This Row],[COGS]]</f>
        <v>546</v>
      </c>
      <c r="K481" s="21">
        <f>SalesData_2[[#This Row],[Revenue]]/SalesData_2[[#This Row],[Sales]]</f>
        <v>0.35</v>
      </c>
      <c r="L481" s="3" t="s">
        <v>49</v>
      </c>
      <c r="M481" s="3" t="s">
        <v>83</v>
      </c>
      <c r="N481" s="3" t="s">
        <v>86</v>
      </c>
    </row>
    <row r="482" spans="1:14" x14ac:dyDescent="0.3">
      <c r="A482" s="2">
        <v>44321</v>
      </c>
      <c r="B482" s="2">
        <v>44328</v>
      </c>
      <c r="C482">
        <v>7</v>
      </c>
      <c r="D482" s="3" t="s">
        <v>9</v>
      </c>
      <c r="E482" s="6">
        <v>215</v>
      </c>
      <c r="F482" s="6">
        <v>152.65</v>
      </c>
      <c r="G482">
        <v>1</v>
      </c>
      <c r="H482" s="6">
        <f>SalesData_2[[#This Row],[Unit Price]]*SalesData_2[[#This Row],[Units Sold]]</f>
        <v>215</v>
      </c>
      <c r="I482" s="6">
        <f>SalesData_2[[#This Row],[Unit Cost]]*SalesData_2[[#This Row],[Units Sold]]</f>
        <v>152.65</v>
      </c>
      <c r="J482" s="6">
        <f>SalesData_2[[#This Row],[Sales]]-SalesData_2[[#This Row],[COGS]]</f>
        <v>62.349999999999994</v>
      </c>
      <c r="K482" s="21">
        <f>SalesData_2[[#This Row],[Revenue]]/SalesData_2[[#This Row],[Sales]]</f>
        <v>0.28999999999999998</v>
      </c>
      <c r="L482" s="3" t="s">
        <v>71</v>
      </c>
      <c r="M482" s="3" t="s">
        <v>80</v>
      </c>
      <c r="N482" s="3" t="s">
        <v>85</v>
      </c>
    </row>
    <row r="483" spans="1:14" x14ac:dyDescent="0.3">
      <c r="A483" s="2">
        <v>44322</v>
      </c>
      <c r="B483" s="2">
        <v>44326</v>
      </c>
      <c r="C483">
        <v>4</v>
      </c>
      <c r="D483" s="3" t="s">
        <v>8</v>
      </c>
      <c r="E483" s="6">
        <v>59</v>
      </c>
      <c r="F483" s="6">
        <v>41.3</v>
      </c>
      <c r="G483">
        <v>5</v>
      </c>
      <c r="H483" s="6">
        <f>SalesData_2[[#This Row],[Unit Price]]*SalesData_2[[#This Row],[Units Sold]]</f>
        <v>295</v>
      </c>
      <c r="I483" s="6">
        <f>SalesData_2[[#This Row],[Unit Cost]]*SalesData_2[[#This Row],[Units Sold]]</f>
        <v>206.5</v>
      </c>
      <c r="J483" s="6">
        <f>SalesData_2[[#This Row],[Sales]]-SalesData_2[[#This Row],[COGS]]</f>
        <v>88.5</v>
      </c>
      <c r="K483" s="21">
        <f>SalesData_2[[#This Row],[Revenue]]/SalesData_2[[#This Row],[Sales]]</f>
        <v>0.3</v>
      </c>
      <c r="L483" s="3" t="s">
        <v>31</v>
      </c>
      <c r="M483" s="3" t="s">
        <v>83</v>
      </c>
      <c r="N483" s="3" t="s">
        <v>86</v>
      </c>
    </row>
    <row r="484" spans="1:14" x14ac:dyDescent="0.3">
      <c r="A484" s="2">
        <v>44324</v>
      </c>
      <c r="B484" s="2">
        <v>44330</v>
      </c>
      <c r="C484">
        <v>6</v>
      </c>
      <c r="D484" s="3" t="s">
        <v>9</v>
      </c>
      <c r="E484" s="6">
        <v>215</v>
      </c>
      <c r="F484" s="6">
        <v>152.65</v>
      </c>
      <c r="G484">
        <v>3</v>
      </c>
      <c r="H484" s="6">
        <f>SalesData_2[[#This Row],[Unit Price]]*SalesData_2[[#This Row],[Units Sold]]</f>
        <v>645</v>
      </c>
      <c r="I484" s="6">
        <f>SalesData_2[[#This Row],[Unit Cost]]*SalesData_2[[#This Row],[Units Sold]]</f>
        <v>457.95000000000005</v>
      </c>
      <c r="J484" s="6">
        <f>SalesData_2[[#This Row],[Sales]]-SalesData_2[[#This Row],[COGS]]</f>
        <v>187.04999999999995</v>
      </c>
      <c r="K484" s="21">
        <f>SalesData_2[[#This Row],[Revenue]]/SalesData_2[[#This Row],[Sales]]</f>
        <v>0.28999999999999992</v>
      </c>
      <c r="L484" s="3" t="s">
        <v>43</v>
      </c>
      <c r="M484" s="3" t="s">
        <v>83</v>
      </c>
      <c r="N484" s="3" t="s">
        <v>86</v>
      </c>
    </row>
    <row r="485" spans="1:14" x14ac:dyDescent="0.3">
      <c r="A485" s="2">
        <v>44326</v>
      </c>
      <c r="B485" s="2">
        <v>44333</v>
      </c>
      <c r="C485">
        <v>7</v>
      </c>
      <c r="D485" s="3" t="s">
        <v>2</v>
      </c>
      <c r="E485" s="6">
        <v>250</v>
      </c>
      <c r="F485" s="6">
        <v>187.5</v>
      </c>
      <c r="G485">
        <v>3</v>
      </c>
      <c r="H485" s="6">
        <f>SalesData_2[[#This Row],[Unit Price]]*SalesData_2[[#This Row],[Units Sold]]</f>
        <v>750</v>
      </c>
      <c r="I485" s="6">
        <f>SalesData_2[[#This Row],[Unit Cost]]*SalesData_2[[#This Row],[Units Sold]]</f>
        <v>562.5</v>
      </c>
      <c r="J485" s="6">
        <f>SalesData_2[[#This Row],[Sales]]-SalesData_2[[#This Row],[COGS]]</f>
        <v>187.5</v>
      </c>
      <c r="K485" s="21">
        <f>SalesData_2[[#This Row],[Revenue]]/SalesData_2[[#This Row],[Sales]]</f>
        <v>0.25</v>
      </c>
      <c r="L485" s="3" t="s">
        <v>33</v>
      </c>
      <c r="M485" s="3" t="s">
        <v>80</v>
      </c>
      <c r="N485" s="3" t="s">
        <v>85</v>
      </c>
    </row>
    <row r="486" spans="1:14" x14ac:dyDescent="0.3">
      <c r="A486" s="2">
        <v>44328</v>
      </c>
      <c r="B486" s="2">
        <v>44335</v>
      </c>
      <c r="C486">
        <v>7</v>
      </c>
      <c r="D486" s="3" t="s">
        <v>5</v>
      </c>
      <c r="E486" s="6">
        <v>290</v>
      </c>
      <c r="F486" s="6">
        <v>185.6</v>
      </c>
      <c r="G486">
        <v>2</v>
      </c>
      <c r="H486" s="6">
        <f>SalesData_2[[#This Row],[Unit Price]]*SalesData_2[[#This Row],[Units Sold]]</f>
        <v>580</v>
      </c>
      <c r="I486" s="6">
        <f>SalesData_2[[#This Row],[Unit Cost]]*SalesData_2[[#This Row],[Units Sold]]</f>
        <v>371.2</v>
      </c>
      <c r="J486" s="6">
        <f>SalesData_2[[#This Row],[Sales]]-SalesData_2[[#This Row],[COGS]]</f>
        <v>208.8</v>
      </c>
      <c r="K486" s="21">
        <f>SalesData_2[[#This Row],[Revenue]]/SalesData_2[[#This Row],[Sales]]</f>
        <v>0.36000000000000004</v>
      </c>
      <c r="L486" s="3" t="s">
        <v>31</v>
      </c>
      <c r="M486" s="3" t="s">
        <v>80</v>
      </c>
      <c r="N486" s="3" t="s">
        <v>85</v>
      </c>
    </row>
    <row r="487" spans="1:14" x14ac:dyDescent="0.3">
      <c r="A487" s="2">
        <v>44329</v>
      </c>
      <c r="B487" s="2">
        <v>44331</v>
      </c>
      <c r="C487">
        <v>2</v>
      </c>
      <c r="D487" s="3" t="s">
        <v>15</v>
      </c>
      <c r="E487" s="6">
        <v>110</v>
      </c>
      <c r="F487" s="6">
        <v>78.099999999999994</v>
      </c>
      <c r="G487">
        <v>1</v>
      </c>
      <c r="H487" s="6">
        <f>SalesData_2[[#This Row],[Unit Price]]*SalesData_2[[#This Row],[Units Sold]]</f>
        <v>110</v>
      </c>
      <c r="I487" s="6">
        <f>SalesData_2[[#This Row],[Unit Cost]]*SalesData_2[[#This Row],[Units Sold]]</f>
        <v>78.099999999999994</v>
      </c>
      <c r="J487" s="6">
        <f>SalesData_2[[#This Row],[Sales]]-SalesData_2[[#This Row],[COGS]]</f>
        <v>31.900000000000006</v>
      </c>
      <c r="K487" s="21">
        <f>SalesData_2[[#This Row],[Revenue]]/SalesData_2[[#This Row],[Sales]]</f>
        <v>0.29000000000000004</v>
      </c>
      <c r="L487" s="3" t="s">
        <v>55</v>
      </c>
      <c r="M487" s="3" t="s">
        <v>79</v>
      </c>
      <c r="N487" s="3" t="s">
        <v>85</v>
      </c>
    </row>
    <row r="488" spans="1:14" x14ac:dyDescent="0.3">
      <c r="A488" s="2">
        <v>44330</v>
      </c>
      <c r="B488" s="2">
        <v>44333</v>
      </c>
      <c r="C488">
        <v>3</v>
      </c>
      <c r="D488" s="3" t="s">
        <v>15</v>
      </c>
      <c r="E488" s="6">
        <v>110</v>
      </c>
      <c r="F488" s="6">
        <v>78.099999999999994</v>
      </c>
      <c r="G488">
        <v>4</v>
      </c>
      <c r="H488" s="6">
        <f>SalesData_2[[#This Row],[Unit Price]]*SalesData_2[[#This Row],[Units Sold]]</f>
        <v>440</v>
      </c>
      <c r="I488" s="6">
        <f>SalesData_2[[#This Row],[Unit Cost]]*SalesData_2[[#This Row],[Units Sold]]</f>
        <v>312.39999999999998</v>
      </c>
      <c r="J488" s="6">
        <f>SalesData_2[[#This Row],[Sales]]-SalesData_2[[#This Row],[COGS]]</f>
        <v>127.60000000000002</v>
      </c>
      <c r="K488" s="21">
        <f>SalesData_2[[#This Row],[Revenue]]/SalesData_2[[#This Row],[Sales]]</f>
        <v>0.29000000000000004</v>
      </c>
      <c r="L488" s="3" t="s">
        <v>75</v>
      </c>
      <c r="M488" s="3" t="s">
        <v>83</v>
      </c>
      <c r="N488" s="3" t="s">
        <v>86</v>
      </c>
    </row>
    <row r="489" spans="1:14" x14ac:dyDescent="0.3">
      <c r="A489" s="2">
        <v>44332</v>
      </c>
      <c r="B489" s="2">
        <v>44339</v>
      </c>
      <c r="C489">
        <v>7</v>
      </c>
      <c r="D489" s="3" t="s">
        <v>18</v>
      </c>
      <c r="E489" s="6">
        <v>80</v>
      </c>
      <c r="F489" s="6">
        <v>48.8</v>
      </c>
      <c r="G489">
        <v>9</v>
      </c>
      <c r="H489" s="6">
        <f>SalesData_2[[#This Row],[Unit Price]]*SalesData_2[[#This Row],[Units Sold]]</f>
        <v>720</v>
      </c>
      <c r="I489" s="6">
        <f>SalesData_2[[#This Row],[Unit Cost]]*SalesData_2[[#This Row],[Units Sold]]</f>
        <v>439.2</v>
      </c>
      <c r="J489" s="6">
        <f>SalesData_2[[#This Row],[Sales]]-SalesData_2[[#This Row],[COGS]]</f>
        <v>280.8</v>
      </c>
      <c r="K489" s="21">
        <f>SalesData_2[[#This Row],[Revenue]]/SalesData_2[[#This Row],[Sales]]</f>
        <v>0.39</v>
      </c>
      <c r="L489" s="3" t="s">
        <v>74</v>
      </c>
      <c r="M489" s="3" t="s">
        <v>81</v>
      </c>
      <c r="N489" s="3" t="s">
        <v>85</v>
      </c>
    </row>
    <row r="490" spans="1:14" x14ac:dyDescent="0.3">
      <c r="A490" s="2">
        <v>44332</v>
      </c>
      <c r="B490" s="2">
        <v>44338</v>
      </c>
      <c r="C490">
        <v>6</v>
      </c>
      <c r="D490" s="3" t="s">
        <v>9</v>
      </c>
      <c r="E490" s="6">
        <v>215</v>
      </c>
      <c r="F490" s="6">
        <v>152.65</v>
      </c>
      <c r="G490">
        <v>1</v>
      </c>
      <c r="H490" s="6">
        <f>SalesData_2[[#This Row],[Unit Price]]*SalesData_2[[#This Row],[Units Sold]]</f>
        <v>215</v>
      </c>
      <c r="I490" s="6">
        <f>SalesData_2[[#This Row],[Unit Cost]]*SalesData_2[[#This Row],[Units Sold]]</f>
        <v>152.65</v>
      </c>
      <c r="J490" s="6">
        <f>SalesData_2[[#This Row],[Sales]]-SalesData_2[[#This Row],[COGS]]</f>
        <v>62.349999999999994</v>
      </c>
      <c r="K490" s="21">
        <f>SalesData_2[[#This Row],[Revenue]]/SalesData_2[[#This Row],[Sales]]</f>
        <v>0.28999999999999998</v>
      </c>
      <c r="L490" s="3" t="s">
        <v>45</v>
      </c>
      <c r="M490" s="3" t="s">
        <v>83</v>
      </c>
      <c r="N490" s="3" t="s">
        <v>86</v>
      </c>
    </row>
    <row r="491" spans="1:14" x14ac:dyDescent="0.3">
      <c r="A491" s="2">
        <v>44332</v>
      </c>
      <c r="B491" s="2">
        <v>44338</v>
      </c>
      <c r="C491">
        <v>6</v>
      </c>
      <c r="D491" s="3" t="s">
        <v>3</v>
      </c>
      <c r="E491" s="6">
        <v>95</v>
      </c>
      <c r="F491" s="6">
        <v>60.8</v>
      </c>
      <c r="G491">
        <v>4</v>
      </c>
      <c r="H491" s="6">
        <f>SalesData_2[[#This Row],[Unit Price]]*SalesData_2[[#This Row],[Units Sold]]</f>
        <v>380</v>
      </c>
      <c r="I491" s="6">
        <f>SalesData_2[[#This Row],[Unit Cost]]*SalesData_2[[#This Row],[Units Sold]]</f>
        <v>243.2</v>
      </c>
      <c r="J491" s="6">
        <f>SalesData_2[[#This Row],[Sales]]-SalesData_2[[#This Row],[COGS]]</f>
        <v>136.80000000000001</v>
      </c>
      <c r="K491" s="21">
        <f>SalesData_2[[#This Row],[Revenue]]/SalesData_2[[#This Row],[Sales]]</f>
        <v>0.36000000000000004</v>
      </c>
      <c r="L491" s="3" t="s">
        <v>58</v>
      </c>
      <c r="M491" s="3" t="s">
        <v>83</v>
      </c>
      <c r="N491" s="3" t="s">
        <v>85</v>
      </c>
    </row>
    <row r="492" spans="1:14" x14ac:dyDescent="0.3">
      <c r="A492" s="2">
        <v>44332</v>
      </c>
      <c r="B492" s="2">
        <v>44339</v>
      </c>
      <c r="C492">
        <v>7</v>
      </c>
      <c r="D492" s="3" t="s">
        <v>16</v>
      </c>
      <c r="E492" s="6">
        <v>145</v>
      </c>
      <c r="F492" s="6">
        <v>105.85</v>
      </c>
      <c r="G492">
        <v>8</v>
      </c>
      <c r="H492" s="6">
        <f>SalesData_2[[#This Row],[Unit Price]]*SalesData_2[[#This Row],[Units Sold]]</f>
        <v>1160</v>
      </c>
      <c r="I492" s="6">
        <f>SalesData_2[[#This Row],[Unit Cost]]*SalesData_2[[#This Row],[Units Sold]]</f>
        <v>846.8</v>
      </c>
      <c r="J492" s="6">
        <f>SalesData_2[[#This Row],[Sales]]-SalesData_2[[#This Row],[COGS]]</f>
        <v>313.20000000000005</v>
      </c>
      <c r="K492" s="21">
        <f>SalesData_2[[#This Row],[Revenue]]/SalesData_2[[#This Row],[Sales]]</f>
        <v>0.27</v>
      </c>
      <c r="L492" s="3" t="s">
        <v>38</v>
      </c>
      <c r="M492" s="3" t="s">
        <v>80</v>
      </c>
      <c r="N492" s="3" t="s">
        <v>85</v>
      </c>
    </row>
    <row r="493" spans="1:14" x14ac:dyDescent="0.3">
      <c r="A493" s="2">
        <v>44332</v>
      </c>
      <c r="B493" s="2">
        <v>44335</v>
      </c>
      <c r="C493">
        <v>3</v>
      </c>
      <c r="D493" s="3" t="s">
        <v>17</v>
      </c>
      <c r="E493" s="6">
        <v>195</v>
      </c>
      <c r="F493" s="6">
        <v>138.44999999999999</v>
      </c>
      <c r="G493">
        <v>1</v>
      </c>
      <c r="H493" s="6">
        <f>SalesData_2[[#This Row],[Unit Price]]*SalesData_2[[#This Row],[Units Sold]]</f>
        <v>195</v>
      </c>
      <c r="I493" s="6">
        <f>SalesData_2[[#This Row],[Unit Cost]]*SalesData_2[[#This Row],[Units Sold]]</f>
        <v>138.44999999999999</v>
      </c>
      <c r="J493" s="6">
        <f>SalesData_2[[#This Row],[Sales]]-SalesData_2[[#This Row],[COGS]]</f>
        <v>56.550000000000011</v>
      </c>
      <c r="K493" s="21">
        <f>SalesData_2[[#This Row],[Revenue]]/SalesData_2[[#This Row],[Sales]]</f>
        <v>0.29000000000000004</v>
      </c>
      <c r="L493" s="3" t="s">
        <v>51</v>
      </c>
      <c r="M493" s="3" t="s">
        <v>83</v>
      </c>
      <c r="N493" s="3" t="s">
        <v>85</v>
      </c>
    </row>
    <row r="494" spans="1:14" x14ac:dyDescent="0.3">
      <c r="A494" s="2">
        <v>44333</v>
      </c>
      <c r="B494" s="2">
        <v>44339</v>
      </c>
      <c r="C494">
        <v>6</v>
      </c>
      <c r="D494" s="3" t="s">
        <v>6</v>
      </c>
      <c r="E494" s="6">
        <v>99</v>
      </c>
      <c r="F494" s="6">
        <v>62.37</v>
      </c>
      <c r="G494">
        <v>5</v>
      </c>
      <c r="H494" s="6">
        <f>SalesData_2[[#This Row],[Unit Price]]*SalesData_2[[#This Row],[Units Sold]]</f>
        <v>495</v>
      </c>
      <c r="I494" s="6">
        <f>SalesData_2[[#This Row],[Unit Cost]]*SalesData_2[[#This Row],[Units Sold]]</f>
        <v>311.84999999999997</v>
      </c>
      <c r="J494" s="6">
        <f>SalesData_2[[#This Row],[Sales]]-SalesData_2[[#This Row],[COGS]]</f>
        <v>183.15000000000003</v>
      </c>
      <c r="K494" s="21">
        <f>SalesData_2[[#This Row],[Revenue]]/SalesData_2[[#This Row],[Sales]]</f>
        <v>0.37000000000000005</v>
      </c>
      <c r="L494" s="3" t="s">
        <v>66</v>
      </c>
      <c r="M494" s="3" t="s">
        <v>79</v>
      </c>
      <c r="N494" s="3" t="s">
        <v>85</v>
      </c>
    </row>
    <row r="495" spans="1:14" x14ac:dyDescent="0.3">
      <c r="A495" s="2">
        <v>44335</v>
      </c>
      <c r="B495" s="2">
        <v>44337</v>
      </c>
      <c r="C495">
        <v>2</v>
      </c>
      <c r="D495" s="3" t="s">
        <v>5</v>
      </c>
      <c r="E495" s="6">
        <v>290</v>
      </c>
      <c r="F495" s="6">
        <v>185.6</v>
      </c>
      <c r="G495">
        <v>1</v>
      </c>
      <c r="H495" s="6">
        <f>SalesData_2[[#This Row],[Unit Price]]*SalesData_2[[#This Row],[Units Sold]]</f>
        <v>290</v>
      </c>
      <c r="I495" s="6">
        <f>SalesData_2[[#This Row],[Unit Cost]]*SalesData_2[[#This Row],[Units Sold]]</f>
        <v>185.6</v>
      </c>
      <c r="J495" s="6">
        <f>SalesData_2[[#This Row],[Sales]]-SalesData_2[[#This Row],[COGS]]</f>
        <v>104.4</v>
      </c>
      <c r="K495" s="21">
        <f>SalesData_2[[#This Row],[Revenue]]/SalesData_2[[#This Row],[Sales]]</f>
        <v>0.36000000000000004</v>
      </c>
      <c r="L495" s="3" t="s">
        <v>73</v>
      </c>
      <c r="M495" s="3" t="s">
        <v>81</v>
      </c>
      <c r="N495" s="3" t="s">
        <v>86</v>
      </c>
    </row>
    <row r="496" spans="1:14" x14ac:dyDescent="0.3">
      <c r="A496" s="2">
        <v>44338</v>
      </c>
      <c r="B496" s="2">
        <v>44343</v>
      </c>
      <c r="C496">
        <v>5</v>
      </c>
      <c r="D496" s="3" t="s">
        <v>15</v>
      </c>
      <c r="E496" s="6">
        <v>110</v>
      </c>
      <c r="F496" s="6">
        <v>78.099999999999994</v>
      </c>
      <c r="G496">
        <v>4</v>
      </c>
      <c r="H496" s="6">
        <f>SalesData_2[[#This Row],[Unit Price]]*SalesData_2[[#This Row],[Units Sold]]</f>
        <v>440</v>
      </c>
      <c r="I496" s="6">
        <f>SalesData_2[[#This Row],[Unit Cost]]*SalesData_2[[#This Row],[Units Sold]]</f>
        <v>312.39999999999998</v>
      </c>
      <c r="J496" s="6">
        <f>SalesData_2[[#This Row],[Sales]]-SalesData_2[[#This Row],[COGS]]</f>
        <v>127.60000000000002</v>
      </c>
      <c r="K496" s="21">
        <f>SalesData_2[[#This Row],[Revenue]]/SalesData_2[[#This Row],[Sales]]</f>
        <v>0.29000000000000004</v>
      </c>
      <c r="L496" s="3" t="s">
        <v>75</v>
      </c>
      <c r="M496" s="3" t="s">
        <v>83</v>
      </c>
      <c r="N496" s="3" t="s">
        <v>85</v>
      </c>
    </row>
    <row r="497" spans="1:14" x14ac:dyDescent="0.3">
      <c r="A497" s="2">
        <v>44338</v>
      </c>
      <c r="B497" s="2">
        <v>44345</v>
      </c>
      <c r="C497">
        <v>7</v>
      </c>
      <c r="D497" s="3" t="s">
        <v>18</v>
      </c>
      <c r="E497" s="6">
        <v>80</v>
      </c>
      <c r="F497" s="6">
        <v>48.8</v>
      </c>
      <c r="G497">
        <v>3</v>
      </c>
      <c r="H497" s="6">
        <f>SalesData_2[[#This Row],[Unit Price]]*SalesData_2[[#This Row],[Units Sold]]</f>
        <v>240</v>
      </c>
      <c r="I497" s="6">
        <f>SalesData_2[[#This Row],[Unit Cost]]*SalesData_2[[#This Row],[Units Sold]]</f>
        <v>146.39999999999998</v>
      </c>
      <c r="J497" s="6">
        <f>SalesData_2[[#This Row],[Sales]]-SalesData_2[[#This Row],[COGS]]</f>
        <v>93.600000000000023</v>
      </c>
      <c r="K497" s="21">
        <f>SalesData_2[[#This Row],[Revenue]]/SalesData_2[[#This Row],[Sales]]</f>
        <v>0.39000000000000007</v>
      </c>
      <c r="L497" s="3" t="s">
        <v>59</v>
      </c>
      <c r="M497" s="3" t="s">
        <v>82</v>
      </c>
      <c r="N497" s="3" t="s">
        <v>85</v>
      </c>
    </row>
    <row r="498" spans="1:14" x14ac:dyDescent="0.3">
      <c r="A498" s="2">
        <v>44340</v>
      </c>
      <c r="B498" s="2">
        <v>44346</v>
      </c>
      <c r="C498">
        <v>6</v>
      </c>
      <c r="D498" s="3" t="s">
        <v>8</v>
      </c>
      <c r="E498" s="6">
        <v>59</v>
      </c>
      <c r="F498" s="6">
        <v>41.3</v>
      </c>
      <c r="G498">
        <v>7</v>
      </c>
      <c r="H498" s="6">
        <f>SalesData_2[[#This Row],[Unit Price]]*SalesData_2[[#This Row],[Units Sold]]</f>
        <v>413</v>
      </c>
      <c r="I498" s="6">
        <f>SalesData_2[[#This Row],[Unit Cost]]*SalesData_2[[#This Row],[Units Sold]]</f>
        <v>289.09999999999997</v>
      </c>
      <c r="J498" s="6">
        <f>SalesData_2[[#This Row],[Sales]]-SalesData_2[[#This Row],[COGS]]</f>
        <v>123.90000000000003</v>
      </c>
      <c r="K498" s="21">
        <f>SalesData_2[[#This Row],[Revenue]]/SalesData_2[[#This Row],[Sales]]</f>
        <v>0.3000000000000001</v>
      </c>
      <c r="L498" s="3" t="s">
        <v>43</v>
      </c>
      <c r="M498" s="3" t="s">
        <v>83</v>
      </c>
      <c r="N498" s="3" t="s">
        <v>85</v>
      </c>
    </row>
    <row r="499" spans="1:14" x14ac:dyDescent="0.3">
      <c r="A499" s="2">
        <v>44341</v>
      </c>
      <c r="B499" s="2">
        <v>44348</v>
      </c>
      <c r="C499">
        <v>7</v>
      </c>
      <c r="D499" s="3" t="s">
        <v>19</v>
      </c>
      <c r="E499" s="6">
        <v>220</v>
      </c>
      <c r="F499" s="6">
        <v>154</v>
      </c>
      <c r="G499">
        <v>9</v>
      </c>
      <c r="H499" s="6">
        <f>SalesData_2[[#This Row],[Unit Price]]*SalesData_2[[#This Row],[Units Sold]]</f>
        <v>1980</v>
      </c>
      <c r="I499" s="6">
        <f>SalesData_2[[#This Row],[Unit Cost]]*SalesData_2[[#This Row],[Units Sold]]</f>
        <v>1386</v>
      </c>
      <c r="J499" s="6">
        <f>SalesData_2[[#This Row],[Sales]]-SalesData_2[[#This Row],[COGS]]</f>
        <v>594</v>
      </c>
      <c r="K499" s="21">
        <f>SalesData_2[[#This Row],[Revenue]]/SalesData_2[[#This Row],[Sales]]</f>
        <v>0.3</v>
      </c>
      <c r="L499" s="3" t="s">
        <v>65</v>
      </c>
      <c r="M499" s="3" t="s">
        <v>83</v>
      </c>
      <c r="N499" s="3" t="s">
        <v>85</v>
      </c>
    </row>
    <row r="500" spans="1:14" x14ac:dyDescent="0.3">
      <c r="A500" s="2">
        <v>44342</v>
      </c>
      <c r="B500" s="2">
        <v>44348</v>
      </c>
      <c r="C500">
        <v>6</v>
      </c>
      <c r="D500" s="3" t="s">
        <v>12</v>
      </c>
      <c r="E500" s="6">
        <v>320</v>
      </c>
      <c r="F500" s="6">
        <v>233.6</v>
      </c>
      <c r="G500">
        <v>4</v>
      </c>
      <c r="H500" s="6">
        <f>SalesData_2[[#This Row],[Unit Price]]*SalesData_2[[#This Row],[Units Sold]]</f>
        <v>1280</v>
      </c>
      <c r="I500" s="6">
        <f>SalesData_2[[#This Row],[Unit Cost]]*SalesData_2[[#This Row],[Units Sold]]</f>
        <v>934.4</v>
      </c>
      <c r="J500" s="6">
        <f>SalesData_2[[#This Row],[Sales]]-SalesData_2[[#This Row],[COGS]]</f>
        <v>345.6</v>
      </c>
      <c r="K500" s="21">
        <f>SalesData_2[[#This Row],[Revenue]]/SalesData_2[[#This Row],[Sales]]</f>
        <v>0.27</v>
      </c>
      <c r="L500" s="3" t="s">
        <v>40</v>
      </c>
      <c r="M500" s="3" t="s">
        <v>80</v>
      </c>
      <c r="N500" s="3" t="s">
        <v>85</v>
      </c>
    </row>
    <row r="501" spans="1:14" x14ac:dyDescent="0.3">
      <c r="A501" s="2">
        <v>44344</v>
      </c>
      <c r="B501" s="2">
        <v>44349</v>
      </c>
      <c r="C501">
        <v>5</v>
      </c>
      <c r="D501" s="3" t="s">
        <v>20</v>
      </c>
      <c r="E501" s="6">
        <v>440</v>
      </c>
      <c r="F501" s="6">
        <v>286</v>
      </c>
      <c r="G501">
        <v>6</v>
      </c>
      <c r="H501" s="6">
        <f>SalesData_2[[#This Row],[Unit Price]]*SalesData_2[[#This Row],[Units Sold]]</f>
        <v>2640</v>
      </c>
      <c r="I501" s="6">
        <f>SalesData_2[[#This Row],[Unit Cost]]*SalesData_2[[#This Row],[Units Sold]]</f>
        <v>1716</v>
      </c>
      <c r="J501" s="6">
        <f>SalesData_2[[#This Row],[Sales]]-SalesData_2[[#This Row],[COGS]]</f>
        <v>924</v>
      </c>
      <c r="K501" s="21">
        <f>SalesData_2[[#This Row],[Revenue]]/SalesData_2[[#This Row],[Sales]]</f>
        <v>0.35</v>
      </c>
      <c r="L501" s="3" t="s">
        <v>73</v>
      </c>
      <c r="M501" s="3" t="s">
        <v>79</v>
      </c>
      <c r="N501" s="3" t="s">
        <v>85</v>
      </c>
    </row>
    <row r="502" spans="1:14" x14ac:dyDescent="0.3">
      <c r="A502" s="2">
        <v>44344</v>
      </c>
      <c r="B502" s="2">
        <v>44349</v>
      </c>
      <c r="C502">
        <v>5</v>
      </c>
      <c r="D502" s="3" t="s">
        <v>14</v>
      </c>
      <c r="E502" s="6">
        <v>375</v>
      </c>
      <c r="F502" s="6">
        <v>247.5</v>
      </c>
      <c r="G502">
        <v>5</v>
      </c>
      <c r="H502" s="6">
        <f>SalesData_2[[#This Row],[Unit Price]]*SalesData_2[[#This Row],[Units Sold]]</f>
        <v>1875</v>
      </c>
      <c r="I502" s="6">
        <f>SalesData_2[[#This Row],[Unit Cost]]*SalesData_2[[#This Row],[Units Sold]]</f>
        <v>1237.5</v>
      </c>
      <c r="J502" s="6">
        <f>SalesData_2[[#This Row],[Sales]]-SalesData_2[[#This Row],[COGS]]</f>
        <v>637.5</v>
      </c>
      <c r="K502" s="21">
        <f>SalesData_2[[#This Row],[Revenue]]/SalesData_2[[#This Row],[Sales]]</f>
        <v>0.34</v>
      </c>
      <c r="L502" s="3" t="s">
        <v>45</v>
      </c>
      <c r="M502" s="3" t="s">
        <v>82</v>
      </c>
      <c r="N502" s="3" t="s">
        <v>85</v>
      </c>
    </row>
    <row r="503" spans="1:14" x14ac:dyDescent="0.3">
      <c r="A503" s="2">
        <v>44344</v>
      </c>
      <c r="B503" s="2">
        <v>44345</v>
      </c>
      <c r="C503">
        <v>1</v>
      </c>
      <c r="D503" s="3" t="s">
        <v>18</v>
      </c>
      <c r="E503" s="6">
        <v>80</v>
      </c>
      <c r="F503" s="6">
        <v>48.8</v>
      </c>
      <c r="G503">
        <v>9</v>
      </c>
      <c r="H503" s="6">
        <f>SalesData_2[[#This Row],[Unit Price]]*SalesData_2[[#This Row],[Units Sold]]</f>
        <v>720</v>
      </c>
      <c r="I503" s="6">
        <f>SalesData_2[[#This Row],[Unit Cost]]*SalesData_2[[#This Row],[Units Sold]]</f>
        <v>439.2</v>
      </c>
      <c r="J503" s="6">
        <f>SalesData_2[[#This Row],[Sales]]-SalesData_2[[#This Row],[COGS]]</f>
        <v>280.8</v>
      </c>
      <c r="K503" s="21">
        <f>SalesData_2[[#This Row],[Revenue]]/SalesData_2[[#This Row],[Sales]]</f>
        <v>0.39</v>
      </c>
      <c r="L503" s="3" t="s">
        <v>71</v>
      </c>
      <c r="M503" s="3" t="s">
        <v>79</v>
      </c>
      <c r="N503" s="3" t="s">
        <v>85</v>
      </c>
    </row>
    <row r="504" spans="1:14" x14ac:dyDescent="0.3">
      <c r="A504" s="2">
        <v>44344</v>
      </c>
      <c r="B504" s="2">
        <v>44347</v>
      </c>
      <c r="C504">
        <v>3</v>
      </c>
      <c r="D504" s="3" t="s">
        <v>16</v>
      </c>
      <c r="E504" s="6">
        <v>145</v>
      </c>
      <c r="F504" s="6">
        <v>105.85</v>
      </c>
      <c r="G504">
        <v>8</v>
      </c>
      <c r="H504" s="6">
        <f>SalesData_2[[#This Row],[Unit Price]]*SalesData_2[[#This Row],[Units Sold]]</f>
        <v>1160</v>
      </c>
      <c r="I504" s="6">
        <f>SalesData_2[[#This Row],[Unit Cost]]*SalesData_2[[#This Row],[Units Sold]]</f>
        <v>846.8</v>
      </c>
      <c r="J504" s="6">
        <f>SalesData_2[[#This Row],[Sales]]-SalesData_2[[#This Row],[COGS]]</f>
        <v>313.20000000000005</v>
      </c>
      <c r="K504" s="21">
        <f>SalesData_2[[#This Row],[Revenue]]/SalesData_2[[#This Row],[Sales]]</f>
        <v>0.27</v>
      </c>
      <c r="L504" s="3" t="s">
        <v>55</v>
      </c>
      <c r="M504" s="3" t="s">
        <v>79</v>
      </c>
      <c r="N504" s="3" t="s">
        <v>86</v>
      </c>
    </row>
    <row r="505" spans="1:14" x14ac:dyDescent="0.3">
      <c r="A505" s="2">
        <v>44345</v>
      </c>
      <c r="B505" s="2">
        <v>44351</v>
      </c>
      <c r="C505">
        <v>6</v>
      </c>
      <c r="D505" s="3" t="s">
        <v>11</v>
      </c>
      <c r="E505" s="6">
        <v>490</v>
      </c>
      <c r="F505" s="6">
        <v>298.89999999999998</v>
      </c>
      <c r="G505">
        <v>2</v>
      </c>
      <c r="H505" s="6">
        <f>SalesData_2[[#This Row],[Unit Price]]*SalesData_2[[#This Row],[Units Sold]]</f>
        <v>980</v>
      </c>
      <c r="I505" s="6">
        <f>SalesData_2[[#This Row],[Unit Cost]]*SalesData_2[[#This Row],[Units Sold]]</f>
        <v>597.79999999999995</v>
      </c>
      <c r="J505" s="6">
        <f>SalesData_2[[#This Row],[Sales]]-SalesData_2[[#This Row],[COGS]]</f>
        <v>382.20000000000005</v>
      </c>
      <c r="K505" s="21">
        <f>SalesData_2[[#This Row],[Revenue]]/SalesData_2[[#This Row],[Sales]]</f>
        <v>0.39000000000000007</v>
      </c>
      <c r="L505" s="3" t="s">
        <v>53</v>
      </c>
      <c r="M505" s="3" t="s">
        <v>82</v>
      </c>
      <c r="N505" s="3" t="s">
        <v>85</v>
      </c>
    </row>
    <row r="506" spans="1:14" x14ac:dyDescent="0.3">
      <c r="A506" s="2">
        <v>44345</v>
      </c>
      <c r="B506" s="2">
        <v>44346</v>
      </c>
      <c r="C506">
        <v>1</v>
      </c>
      <c r="D506" s="3" t="s">
        <v>10</v>
      </c>
      <c r="E506" s="6">
        <v>390</v>
      </c>
      <c r="F506" s="6">
        <v>253.5</v>
      </c>
      <c r="G506">
        <v>6</v>
      </c>
      <c r="H506" s="6">
        <f>SalesData_2[[#This Row],[Unit Price]]*SalesData_2[[#This Row],[Units Sold]]</f>
        <v>2340</v>
      </c>
      <c r="I506" s="6">
        <f>SalesData_2[[#This Row],[Unit Cost]]*SalesData_2[[#This Row],[Units Sold]]</f>
        <v>1521</v>
      </c>
      <c r="J506" s="6">
        <f>SalesData_2[[#This Row],[Sales]]-SalesData_2[[#This Row],[COGS]]</f>
        <v>819</v>
      </c>
      <c r="K506" s="21">
        <f>SalesData_2[[#This Row],[Revenue]]/SalesData_2[[#This Row],[Sales]]</f>
        <v>0.35</v>
      </c>
      <c r="L506" s="3" t="s">
        <v>32</v>
      </c>
      <c r="M506" s="3" t="s">
        <v>79</v>
      </c>
      <c r="N506" s="3" t="s">
        <v>86</v>
      </c>
    </row>
    <row r="507" spans="1:14" x14ac:dyDescent="0.3">
      <c r="A507" s="2">
        <v>44347</v>
      </c>
      <c r="B507" s="2">
        <v>44349</v>
      </c>
      <c r="C507">
        <v>2</v>
      </c>
      <c r="D507" s="3" t="s">
        <v>21</v>
      </c>
      <c r="E507" s="6">
        <v>355</v>
      </c>
      <c r="F507" s="6">
        <v>252.05</v>
      </c>
      <c r="G507">
        <v>3</v>
      </c>
      <c r="H507" s="6">
        <f>SalesData_2[[#This Row],[Unit Price]]*SalesData_2[[#This Row],[Units Sold]]</f>
        <v>1065</v>
      </c>
      <c r="I507" s="6">
        <f>SalesData_2[[#This Row],[Unit Cost]]*SalesData_2[[#This Row],[Units Sold]]</f>
        <v>756.15000000000009</v>
      </c>
      <c r="J507" s="6">
        <f>SalesData_2[[#This Row],[Sales]]-SalesData_2[[#This Row],[COGS]]</f>
        <v>308.84999999999991</v>
      </c>
      <c r="K507" s="21">
        <f>SalesData_2[[#This Row],[Revenue]]/SalesData_2[[#This Row],[Sales]]</f>
        <v>0.28999999999999992</v>
      </c>
      <c r="L507" s="3" t="s">
        <v>74</v>
      </c>
      <c r="M507" s="3" t="s">
        <v>82</v>
      </c>
      <c r="N507" s="3" t="s">
        <v>85</v>
      </c>
    </row>
    <row r="508" spans="1:14" x14ac:dyDescent="0.3">
      <c r="A508" s="2">
        <v>44348</v>
      </c>
      <c r="B508" s="2">
        <v>44350</v>
      </c>
      <c r="C508">
        <v>2</v>
      </c>
      <c r="D508" s="3" t="s">
        <v>5</v>
      </c>
      <c r="E508" s="6">
        <v>290</v>
      </c>
      <c r="F508" s="6">
        <v>185.6</v>
      </c>
      <c r="G508">
        <v>7</v>
      </c>
      <c r="H508" s="6">
        <f>SalesData_2[[#This Row],[Unit Price]]*SalesData_2[[#This Row],[Units Sold]]</f>
        <v>2030</v>
      </c>
      <c r="I508" s="6">
        <f>SalesData_2[[#This Row],[Unit Cost]]*SalesData_2[[#This Row],[Units Sold]]</f>
        <v>1299.2</v>
      </c>
      <c r="J508" s="6">
        <f>SalesData_2[[#This Row],[Sales]]-SalesData_2[[#This Row],[COGS]]</f>
        <v>730.8</v>
      </c>
      <c r="K508" s="21">
        <f>SalesData_2[[#This Row],[Revenue]]/SalesData_2[[#This Row],[Sales]]</f>
        <v>0.36</v>
      </c>
      <c r="L508" s="3" t="s">
        <v>57</v>
      </c>
      <c r="M508" s="3" t="s">
        <v>82</v>
      </c>
      <c r="N508" s="3" t="s">
        <v>86</v>
      </c>
    </row>
    <row r="509" spans="1:14" x14ac:dyDescent="0.3">
      <c r="A509" s="2">
        <v>44352</v>
      </c>
      <c r="B509" s="2">
        <v>44355</v>
      </c>
      <c r="C509">
        <v>3</v>
      </c>
      <c r="D509" s="3" t="s">
        <v>15</v>
      </c>
      <c r="E509" s="6">
        <v>110</v>
      </c>
      <c r="F509" s="6">
        <v>78.099999999999994</v>
      </c>
      <c r="G509">
        <v>5</v>
      </c>
      <c r="H509" s="6">
        <f>SalesData_2[[#This Row],[Unit Price]]*SalesData_2[[#This Row],[Units Sold]]</f>
        <v>550</v>
      </c>
      <c r="I509" s="6">
        <f>SalesData_2[[#This Row],[Unit Cost]]*SalesData_2[[#This Row],[Units Sold]]</f>
        <v>390.5</v>
      </c>
      <c r="J509" s="6">
        <f>SalesData_2[[#This Row],[Sales]]-SalesData_2[[#This Row],[COGS]]</f>
        <v>159.5</v>
      </c>
      <c r="K509" s="21">
        <f>SalesData_2[[#This Row],[Revenue]]/SalesData_2[[#This Row],[Sales]]</f>
        <v>0.28999999999999998</v>
      </c>
      <c r="L509" s="3" t="s">
        <v>74</v>
      </c>
      <c r="M509" s="3" t="s">
        <v>79</v>
      </c>
      <c r="N509" s="3" t="s">
        <v>86</v>
      </c>
    </row>
    <row r="510" spans="1:14" x14ac:dyDescent="0.3">
      <c r="A510" s="2">
        <v>44353</v>
      </c>
      <c r="B510" s="2">
        <v>44358</v>
      </c>
      <c r="C510">
        <v>5</v>
      </c>
      <c r="D510" s="3" t="s">
        <v>13</v>
      </c>
      <c r="E510" s="6">
        <v>445</v>
      </c>
      <c r="F510" s="6">
        <v>280.35000000000002</v>
      </c>
      <c r="G510">
        <v>1</v>
      </c>
      <c r="H510" s="6">
        <f>SalesData_2[[#This Row],[Unit Price]]*SalesData_2[[#This Row],[Units Sold]]</f>
        <v>445</v>
      </c>
      <c r="I510" s="6">
        <f>SalesData_2[[#This Row],[Unit Cost]]*SalesData_2[[#This Row],[Units Sold]]</f>
        <v>280.35000000000002</v>
      </c>
      <c r="J510" s="6">
        <f>SalesData_2[[#This Row],[Sales]]-SalesData_2[[#This Row],[COGS]]</f>
        <v>164.64999999999998</v>
      </c>
      <c r="K510" s="21">
        <f>SalesData_2[[#This Row],[Revenue]]/SalesData_2[[#This Row],[Sales]]</f>
        <v>0.36999999999999994</v>
      </c>
      <c r="L510" s="3" t="s">
        <v>39</v>
      </c>
      <c r="M510" s="3" t="s">
        <v>83</v>
      </c>
      <c r="N510" s="3" t="s">
        <v>85</v>
      </c>
    </row>
    <row r="511" spans="1:14" x14ac:dyDescent="0.3">
      <c r="A511" s="2">
        <v>44353</v>
      </c>
      <c r="B511" s="2">
        <v>44355</v>
      </c>
      <c r="C511">
        <v>2</v>
      </c>
      <c r="D511" s="3" t="s">
        <v>4</v>
      </c>
      <c r="E511" s="6">
        <v>390</v>
      </c>
      <c r="F511" s="6">
        <v>288.60000000000002</v>
      </c>
      <c r="G511">
        <v>1</v>
      </c>
      <c r="H511" s="6">
        <f>SalesData_2[[#This Row],[Unit Price]]*SalesData_2[[#This Row],[Units Sold]]</f>
        <v>390</v>
      </c>
      <c r="I511" s="6">
        <f>SalesData_2[[#This Row],[Unit Cost]]*SalesData_2[[#This Row],[Units Sold]]</f>
        <v>288.60000000000002</v>
      </c>
      <c r="J511" s="6">
        <f>SalesData_2[[#This Row],[Sales]]-SalesData_2[[#This Row],[COGS]]</f>
        <v>101.39999999999998</v>
      </c>
      <c r="K511" s="21">
        <f>SalesData_2[[#This Row],[Revenue]]/SalesData_2[[#This Row],[Sales]]</f>
        <v>0.25999999999999995</v>
      </c>
      <c r="L511" s="3" t="s">
        <v>50</v>
      </c>
      <c r="M511" s="3" t="s">
        <v>83</v>
      </c>
      <c r="N511" s="3" t="s">
        <v>85</v>
      </c>
    </row>
    <row r="512" spans="1:14" x14ac:dyDescent="0.3">
      <c r="A512" s="2">
        <v>44354</v>
      </c>
      <c r="B512" s="2">
        <v>44355</v>
      </c>
      <c r="C512">
        <v>1</v>
      </c>
      <c r="D512" s="3" t="s">
        <v>8</v>
      </c>
      <c r="E512" s="6">
        <v>59</v>
      </c>
      <c r="F512" s="6">
        <v>41.3</v>
      </c>
      <c r="G512">
        <v>8</v>
      </c>
      <c r="H512" s="6">
        <f>SalesData_2[[#This Row],[Unit Price]]*SalesData_2[[#This Row],[Units Sold]]</f>
        <v>472</v>
      </c>
      <c r="I512" s="6">
        <f>SalesData_2[[#This Row],[Unit Cost]]*SalesData_2[[#This Row],[Units Sold]]</f>
        <v>330.4</v>
      </c>
      <c r="J512" s="6">
        <f>SalesData_2[[#This Row],[Sales]]-SalesData_2[[#This Row],[COGS]]</f>
        <v>141.60000000000002</v>
      </c>
      <c r="K512" s="21">
        <f>SalesData_2[[#This Row],[Revenue]]/SalesData_2[[#This Row],[Sales]]</f>
        <v>0.30000000000000004</v>
      </c>
      <c r="L512" s="3" t="s">
        <v>50</v>
      </c>
      <c r="M512" s="3" t="s">
        <v>82</v>
      </c>
      <c r="N512" s="3" t="s">
        <v>85</v>
      </c>
    </row>
    <row r="513" spans="1:14" x14ac:dyDescent="0.3">
      <c r="A513" s="2">
        <v>44354</v>
      </c>
      <c r="B513" s="2">
        <v>44359</v>
      </c>
      <c r="C513">
        <v>5</v>
      </c>
      <c r="D513" s="3" t="s">
        <v>11</v>
      </c>
      <c r="E513" s="6">
        <v>490</v>
      </c>
      <c r="F513" s="6">
        <v>298.89999999999998</v>
      </c>
      <c r="G513">
        <v>1</v>
      </c>
      <c r="H513" s="6">
        <f>SalesData_2[[#This Row],[Unit Price]]*SalesData_2[[#This Row],[Units Sold]]</f>
        <v>490</v>
      </c>
      <c r="I513" s="6">
        <f>SalesData_2[[#This Row],[Unit Cost]]*SalesData_2[[#This Row],[Units Sold]]</f>
        <v>298.89999999999998</v>
      </c>
      <c r="J513" s="6">
        <f>SalesData_2[[#This Row],[Sales]]-SalesData_2[[#This Row],[COGS]]</f>
        <v>191.10000000000002</v>
      </c>
      <c r="K513" s="21">
        <f>SalesData_2[[#This Row],[Revenue]]/SalesData_2[[#This Row],[Sales]]</f>
        <v>0.39000000000000007</v>
      </c>
      <c r="L513" s="3" t="s">
        <v>43</v>
      </c>
      <c r="M513" s="3" t="s">
        <v>80</v>
      </c>
      <c r="N513" s="3" t="s">
        <v>85</v>
      </c>
    </row>
    <row r="514" spans="1:14" x14ac:dyDescent="0.3">
      <c r="A514" s="2">
        <v>44356</v>
      </c>
      <c r="B514" s="2">
        <v>44361</v>
      </c>
      <c r="C514">
        <v>5</v>
      </c>
      <c r="D514" s="3" t="s">
        <v>2</v>
      </c>
      <c r="E514" s="6">
        <v>250</v>
      </c>
      <c r="F514" s="6">
        <v>187.5</v>
      </c>
      <c r="G514">
        <v>1</v>
      </c>
      <c r="H514" s="6">
        <f>SalesData_2[[#This Row],[Unit Price]]*SalesData_2[[#This Row],[Units Sold]]</f>
        <v>250</v>
      </c>
      <c r="I514" s="6">
        <f>SalesData_2[[#This Row],[Unit Cost]]*SalesData_2[[#This Row],[Units Sold]]</f>
        <v>187.5</v>
      </c>
      <c r="J514" s="6">
        <f>SalesData_2[[#This Row],[Sales]]-SalesData_2[[#This Row],[COGS]]</f>
        <v>62.5</v>
      </c>
      <c r="K514" s="21">
        <f>SalesData_2[[#This Row],[Revenue]]/SalesData_2[[#This Row],[Sales]]</f>
        <v>0.25</v>
      </c>
      <c r="L514" s="3" t="s">
        <v>50</v>
      </c>
      <c r="M514" s="3" t="s">
        <v>81</v>
      </c>
      <c r="N514" s="3" t="s">
        <v>86</v>
      </c>
    </row>
    <row r="515" spans="1:14" x14ac:dyDescent="0.3">
      <c r="A515" s="2">
        <v>44357</v>
      </c>
      <c r="B515" s="2">
        <v>44364</v>
      </c>
      <c r="C515">
        <v>7</v>
      </c>
      <c r="D515" s="3" t="s">
        <v>6</v>
      </c>
      <c r="E515" s="6">
        <v>99</v>
      </c>
      <c r="F515" s="6">
        <v>62.37</v>
      </c>
      <c r="G515">
        <v>6</v>
      </c>
      <c r="H515" s="6">
        <f>SalesData_2[[#This Row],[Unit Price]]*SalesData_2[[#This Row],[Units Sold]]</f>
        <v>594</v>
      </c>
      <c r="I515" s="6">
        <f>SalesData_2[[#This Row],[Unit Cost]]*SalesData_2[[#This Row],[Units Sold]]</f>
        <v>374.21999999999997</v>
      </c>
      <c r="J515" s="6">
        <f>SalesData_2[[#This Row],[Sales]]-SalesData_2[[#This Row],[COGS]]</f>
        <v>219.78000000000003</v>
      </c>
      <c r="K515" s="21">
        <f>SalesData_2[[#This Row],[Revenue]]/SalesData_2[[#This Row],[Sales]]</f>
        <v>0.37000000000000005</v>
      </c>
      <c r="L515" s="3" t="s">
        <v>40</v>
      </c>
      <c r="M515" s="3" t="s">
        <v>83</v>
      </c>
      <c r="N515" s="3" t="s">
        <v>86</v>
      </c>
    </row>
    <row r="516" spans="1:14" x14ac:dyDescent="0.3">
      <c r="A516" s="2">
        <v>44357</v>
      </c>
      <c r="B516" s="2">
        <v>44362</v>
      </c>
      <c r="C516">
        <v>5</v>
      </c>
      <c r="D516" s="3" t="s">
        <v>14</v>
      </c>
      <c r="E516" s="6">
        <v>375</v>
      </c>
      <c r="F516" s="6">
        <v>247.5</v>
      </c>
      <c r="G516">
        <v>7</v>
      </c>
      <c r="H516" s="6">
        <f>SalesData_2[[#This Row],[Unit Price]]*SalesData_2[[#This Row],[Units Sold]]</f>
        <v>2625</v>
      </c>
      <c r="I516" s="6">
        <f>SalesData_2[[#This Row],[Unit Cost]]*SalesData_2[[#This Row],[Units Sold]]</f>
        <v>1732.5</v>
      </c>
      <c r="J516" s="6">
        <f>SalesData_2[[#This Row],[Sales]]-SalesData_2[[#This Row],[COGS]]</f>
        <v>892.5</v>
      </c>
      <c r="K516" s="21">
        <f>SalesData_2[[#This Row],[Revenue]]/SalesData_2[[#This Row],[Sales]]</f>
        <v>0.34</v>
      </c>
      <c r="L516" s="3" t="s">
        <v>64</v>
      </c>
      <c r="M516" s="3" t="s">
        <v>81</v>
      </c>
      <c r="N516" s="3" t="s">
        <v>86</v>
      </c>
    </row>
    <row r="517" spans="1:14" x14ac:dyDescent="0.3">
      <c r="A517" s="2">
        <v>44357</v>
      </c>
      <c r="B517" s="2">
        <v>44364</v>
      </c>
      <c r="C517">
        <v>7</v>
      </c>
      <c r="D517" s="3" t="s">
        <v>21</v>
      </c>
      <c r="E517" s="6">
        <v>355</v>
      </c>
      <c r="F517" s="6">
        <v>252.05</v>
      </c>
      <c r="G517">
        <v>7</v>
      </c>
      <c r="H517" s="6">
        <f>SalesData_2[[#This Row],[Unit Price]]*SalesData_2[[#This Row],[Units Sold]]</f>
        <v>2485</v>
      </c>
      <c r="I517" s="6">
        <f>SalesData_2[[#This Row],[Unit Cost]]*SalesData_2[[#This Row],[Units Sold]]</f>
        <v>1764.3500000000001</v>
      </c>
      <c r="J517" s="6">
        <f>SalesData_2[[#This Row],[Sales]]-SalesData_2[[#This Row],[COGS]]</f>
        <v>720.64999999999986</v>
      </c>
      <c r="K517" s="21">
        <f>SalesData_2[[#This Row],[Revenue]]/SalesData_2[[#This Row],[Sales]]</f>
        <v>0.28999999999999992</v>
      </c>
      <c r="L517" s="3" t="s">
        <v>56</v>
      </c>
      <c r="M517" s="3" t="s">
        <v>83</v>
      </c>
      <c r="N517" s="3" t="s">
        <v>86</v>
      </c>
    </row>
    <row r="518" spans="1:14" x14ac:dyDescent="0.3">
      <c r="A518" s="2">
        <v>44357</v>
      </c>
      <c r="B518" s="2">
        <v>44361</v>
      </c>
      <c r="C518">
        <v>4</v>
      </c>
      <c r="D518" s="3" t="s">
        <v>2</v>
      </c>
      <c r="E518" s="6">
        <v>250</v>
      </c>
      <c r="F518" s="6">
        <v>187.5</v>
      </c>
      <c r="G518">
        <v>4</v>
      </c>
      <c r="H518" s="6">
        <f>SalesData_2[[#This Row],[Unit Price]]*SalesData_2[[#This Row],[Units Sold]]</f>
        <v>1000</v>
      </c>
      <c r="I518" s="6">
        <f>SalesData_2[[#This Row],[Unit Cost]]*SalesData_2[[#This Row],[Units Sold]]</f>
        <v>750</v>
      </c>
      <c r="J518" s="6">
        <f>SalesData_2[[#This Row],[Sales]]-SalesData_2[[#This Row],[COGS]]</f>
        <v>250</v>
      </c>
      <c r="K518" s="21">
        <f>SalesData_2[[#This Row],[Revenue]]/SalesData_2[[#This Row],[Sales]]</f>
        <v>0.25</v>
      </c>
      <c r="L518" s="3" t="s">
        <v>46</v>
      </c>
      <c r="M518" s="3" t="s">
        <v>79</v>
      </c>
      <c r="N518" s="3" t="s">
        <v>85</v>
      </c>
    </row>
    <row r="519" spans="1:14" x14ac:dyDescent="0.3">
      <c r="A519" s="2">
        <v>44359</v>
      </c>
      <c r="B519" s="2">
        <v>44361</v>
      </c>
      <c r="C519">
        <v>2</v>
      </c>
      <c r="D519" s="3" t="s">
        <v>10</v>
      </c>
      <c r="E519" s="6">
        <v>390</v>
      </c>
      <c r="F519" s="6">
        <v>253.5</v>
      </c>
      <c r="G519">
        <v>8</v>
      </c>
      <c r="H519" s="6">
        <f>SalesData_2[[#This Row],[Unit Price]]*SalesData_2[[#This Row],[Units Sold]]</f>
        <v>3120</v>
      </c>
      <c r="I519" s="6">
        <f>SalesData_2[[#This Row],[Unit Cost]]*SalesData_2[[#This Row],[Units Sold]]</f>
        <v>2028</v>
      </c>
      <c r="J519" s="6">
        <f>SalesData_2[[#This Row],[Sales]]-SalesData_2[[#This Row],[COGS]]</f>
        <v>1092</v>
      </c>
      <c r="K519" s="21">
        <f>SalesData_2[[#This Row],[Revenue]]/SalesData_2[[#This Row],[Sales]]</f>
        <v>0.35</v>
      </c>
      <c r="L519" s="3" t="s">
        <v>52</v>
      </c>
      <c r="M519" s="3" t="s">
        <v>82</v>
      </c>
      <c r="N519" s="3" t="s">
        <v>85</v>
      </c>
    </row>
    <row r="520" spans="1:14" x14ac:dyDescent="0.3">
      <c r="A520" s="2">
        <v>44360</v>
      </c>
      <c r="B520" s="2">
        <v>44366</v>
      </c>
      <c r="C520">
        <v>6</v>
      </c>
      <c r="D520" s="3" t="s">
        <v>19</v>
      </c>
      <c r="E520" s="6">
        <v>220</v>
      </c>
      <c r="F520" s="6">
        <v>154</v>
      </c>
      <c r="G520">
        <v>1</v>
      </c>
      <c r="H520" s="6">
        <f>SalesData_2[[#This Row],[Unit Price]]*SalesData_2[[#This Row],[Units Sold]]</f>
        <v>220</v>
      </c>
      <c r="I520" s="6">
        <f>SalesData_2[[#This Row],[Unit Cost]]*SalesData_2[[#This Row],[Units Sold]]</f>
        <v>154</v>
      </c>
      <c r="J520" s="6">
        <f>SalesData_2[[#This Row],[Sales]]-SalesData_2[[#This Row],[COGS]]</f>
        <v>66</v>
      </c>
      <c r="K520" s="21">
        <f>SalesData_2[[#This Row],[Revenue]]/SalesData_2[[#This Row],[Sales]]</f>
        <v>0.3</v>
      </c>
      <c r="L520" s="3" t="s">
        <v>58</v>
      </c>
      <c r="M520" s="3" t="s">
        <v>79</v>
      </c>
      <c r="N520" s="3" t="s">
        <v>86</v>
      </c>
    </row>
    <row r="521" spans="1:14" x14ac:dyDescent="0.3">
      <c r="A521" s="2">
        <v>44364</v>
      </c>
      <c r="B521" s="2">
        <v>44367</v>
      </c>
      <c r="C521">
        <v>3</v>
      </c>
      <c r="D521" s="3" t="s">
        <v>4</v>
      </c>
      <c r="E521" s="6">
        <v>390</v>
      </c>
      <c r="F521" s="6">
        <v>288.60000000000002</v>
      </c>
      <c r="G521">
        <v>2</v>
      </c>
      <c r="H521" s="6">
        <f>SalesData_2[[#This Row],[Unit Price]]*SalesData_2[[#This Row],[Units Sold]]</f>
        <v>780</v>
      </c>
      <c r="I521" s="6">
        <f>SalesData_2[[#This Row],[Unit Cost]]*SalesData_2[[#This Row],[Units Sold]]</f>
        <v>577.20000000000005</v>
      </c>
      <c r="J521" s="6">
        <f>SalesData_2[[#This Row],[Sales]]-SalesData_2[[#This Row],[COGS]]</f>
        <v>202.79999999999995</v>
      </c>
      <c r="K521" s="21">
        <f>SalesData_2[[#This Row],[Revenue]]/SalesData_2[[#This Row],[Sales]]</f>
        <v>0.25999999999999995</v>
      </c>
      <c r="L521" s="3" t="s">
        <v>39</v>
      </c>
      <c r="M521" s="3" t="s">
        <v>83</v>
      </c>
      <c r="N521" s="3" t="s">
        <v>86</v>
      </c>
    </row>
    <row r="522" spans="1:14" x14ac:dyDescent="0.3">
      <c r="A522" s="2">
        <v>44364</v>
      </c>
      <c r="B522" s="2">
        <v>44371</v>
      </c>
      <c r="C522">
        <v>7</v>
      </c>
      <c r="D522" s="3" t="s">
        <v>16</v>
      </c>
      <c r="E522" s="6">
        <v>145</v>
      </c>
      <c r="F522" s="6">
        <v>105.85</v>
      </c>
      <c r="G522">
        <v>2</v>
      </c>
      <c r="H522" s="6">
        <f>SalesData_2[[#This Row],[Unit Price]]*SalesData_2[[#This Row],[Units Sold]]</f>
        <v>290</v>
      </c>
      <c r="I522" s="6">
        <f>SalesData_2[[#This Row],[Unit Cost]]*SalesData_2[[#This Row],[Units Sold]]</f>
        <v>211.7</v>
      </c>
      <c r="J522" s="6">
        <f>SalesData_2[[#This Row],[Sales]]-SalesData_2[[#This Row],[COGS]]</f>
        <v>78.300000000000011</v>
      </c>
      <c r="K522" s="21">
        <f>SalesData_2[[#This Row],[Revenue]]/SalesData_2[[#This Row],[Sales]]</f>
        <v>0.27</v>
      </c>
      <c r="L522" s="3" t="s">
        <v>68</v>
      </c>
      <c r="M522" s="3" t="s">
        <v>79</v>
      </c>
      <c r="N522" s="3" t="s">
        <v>86</v>
      </c>
    </row>
    <row r="523" spans="1:14" x14ac:dyDescent="0.3">
      <c r="A523" s="2">
        <v>44365</v>
      </c>
      <c r="B523" s="2">
        <v>44367</v>
      </c>
      <c r="C523">
        <v>2</v>
      </c>
      <c r="D523" s="3" t="s">
        <v>8</v>
      </c>
      <c r="E523" s="6">
        <v>59</v>
      </c>
      <c r="F523" s="6">
        <v>41.3</v>
      </c>
      <c r="G523">
        <v>1</v>
      </c>
      <c r="H523" s="6">
        <f>SalesData_2[[#This Row],[Unit Price]]*SalesData_2[[#This Row],[Units Sold]]</f>
        <v>59</v>
      </c>
      <c r="I523" s="6">
        <f>SalesData_2[[#This Row],[Unit Cost]]*SalesData_2[[#This Row],[Units Sold]]</f>
        <v>41.3</v>
      </c>
      <c r="J523" s="6">
        <f>SalesData_2[[#This Row],[Sales]]-SalesData_2[[#This Row],[COGS]]</f>
        <v>17.700000000000003</v>
      </c>
      <c r="K523" s="21">
        <f>SalesData_2[[#This Row],[Revenue]]/SalesData_2[[#This Row],[Sales]]</f>
        <v>0.30000000000000004</v>
      </c>
      <c r="L523" s="3" t="s">
        <v>32</v>
      </c>
      <c r="M523" s="3" t="s">
        <v>82</v>
      </c>
      <c r="N523" s="3" t="s">
        <v>86</v>
      </c>
    </row>
    <row r="524" spans="1:14" x14ac:dyDescent="0.3">
      <c r="A524" s="2">
        <v>44366</v>
      </c>
      <c r="B524" s="2">
        <v>44367</v>
      </c>
      <c r="C524">
        <v>1</v>
      </c>
      <c r="D524" s="3" t="s">
        <v>18</v>
      </c>
      <c r="E524" s="6">
        <v>80</v>
      </c>
      <c r="F524" s="6">
        <v>48.8</v>
      </c>
      <c r="G524">
        <v>3</v>
      </c>
      <c r="H524" s="6">
        <f>SalesData_2[[#This Row],[Unit Price]]*SalesData_2[[#This Row],[Units Sold]]</f>
        <v>240</v>
      </c>
      <c r="I524" s="6">
        <f>SalesData_2[[#This Row],[Unit Cost]]*SalesData_2[[#This Row],[Units Sold]]</f>
        <v>146.39999999999998</v>
      </c>
      <c r="J524" s="6">
        <f>SalesData_2[[#This Row],[Sales]]-SalesData_2[[#This Row],[COGS]]</f>
        <v>93.600000000000023</v>
      </c>
      <c r="K524" s="21">
        <f>SalesData_2[[#This Row],[Revenue]]/SalesData_2[[#This Row],[Sales]]</f>
        <v>0.39000000000000007</v>
      </c>
      <c r="L524" s="3" t="s">
        <v>42</v>
      </c>
      <c r="M524" s="3" t="s">
        <v>79</v>
      </c>
      <c r="N524" s="3" t="s">
        <v>86</v>
      </c>
    </row>
    <row r="525" spans="1:14" x14ac:dyDescent="0.3">
      <c r="A525" s="2">
        <v>44366</v>
      </c>
      <c r="B525" s="2">
        <v>44367</v>
      </c>
      <c r="C525">
        <v>1</v>
      </c>
      <c r="D525" s="3" t="s">
        <v>17</v>
      </c>
      <c r="E525" s="6">
        <v>195</v>
      </c>
      <c r="F525" s="6">
        <v>138.44999999999999</v>
      </c>
      <c r="G525">
        <v>1</v>
      </c>
      <c r="H525" s="6">
        <f>SalesData_2[[#This Row],[Unit Price]]*SalesData_2[[#This Row],[Units Sold]]</f>
        <v>195</v>
      </c>
      <c r="I525" s="6">
        <f>SalesData_2[[#This Row],[Unit Cost]]*SalesData_2[[#This Row],[Units Sold]]</f>
        <v>138.44999999999999</v>
      </c>
      <c r="J525" s="6">
        <f>SalesData_2[[#This Row],[Sales]]-SalesData_2[[#This Row],[COGS]]</f>
        <v>56.550000000000011</v>
      </c>
      <c r="K525" s="21">
        <f>SalesData_2[[#This Row],[Revenue]]/SalesData_2[[#This Row],[Sales]]</f>
        <v>0.29000000000000004</v>
      </c>
      <c r="L525" s="3" t="s">
        <v>57</v>
      </c>
      <c r="M525" s="3" t="s">
        <v>81</v>
      </c>
      <c r="N525" s="3" t="s">
        <v>85</v>
      </c>
    </row>
    <row r="526" spans="1:14" x14ac:dyDescent="0.3">
      <c r="A526" s="2">
        <v>44367</v>
      </c>
      <c r="B526" s="2">
        <v>44372</v>
      </c>
      <c r="C526">
        <v>5</v>
      </c>
      <c r="D526" s="3" t="s">
        <v>8</v>
      </c>
      <c r="E526" s="6">
        <v>59</v>
      </c>
      <c r="F526" s="6">
        <v>41.3</v>
      </c>
      <c r="G526">
        <v>4</v>
      </c>
      <c r="H526" s="6">
        <f>SalesData_2[[#This Row],[Unit Price]]*SalesData_2[[#This Row],[Units Sold]]</f>
        <v>236</v>
      </c>
      <c r="I526" s="6">
        <f>SalesData_2[[#This Row],[Unit Cost]]*SalesData_2[[#This Row],[Units Sold]]</f>
        <v>165.2</v>
      </c>
      <c r="J526" s="6">
        <f>SalesData_2[[#This Row],[Sales]]-SalesData_2[[#This Row],[COGS]]</f>
        <v>70.800000000000011</v>
      </c>
      <c r="K526" s="21">
        <f>SalesData_2[[#This Row],[Revenue]]/SalesData_2[[#This Row],[Sales]]</f>
        <v>0.30000000000000004</v>
      </c>
      <c r="L526" s="3" t="s">
        <v>75</v>
      </c>
      <c r="M526" s="3" t="s">
        <v>83</v>
      </c>
      <c r="N526" s="3" t="s">
        <v>85</v>
      </c>
    </row>
    <row r="527" spans="1:14" x14ac:dyDescent="0.3">
      <c r="A527" s="2">
        <v>44369</v>
      </c>
      <c r="B527" s="2">
        <v>44375</v>
      </c>
      <c r="C527">
        <v>6</v>
      </c>
      <c r="D527" s="3" t="s">
        <v>6</v>
      </c>
      <c r="E527" s="6">
        <v>99</v>
      </c>
      <c r="F527" s="6">
        <v>62.37</v>
      </c>
      <c r="G527">
        <v>8</v>
      </c>
      <c r="H527" s="6">
        <f>SalesData_2[[#This Row],[Unit Price]]*SalesData_2[[#This Row],[Units Sold]]</f>
        <v>792</v>
      </c>
      <c r="I527" s="6">
        <f>SalesData_2[[#This Row],[Unit Cost]]*SalesData_2[[#This Row],[Units Sold]]</f>
        <v>498.96</v>
      </c>
      <c r="J527" s="6">
        <f>SalesData_2[[#This Row],[Sales]]-SalesData_2[[#This Row],[COGS]]</f>
        <v>293.04000000000002</v>
      </c>
      <c r="K527" s="21">
        <f>SalesData_2[[#This Row],[Revenue]]/SalesData_2[[#This Row],[Sales]]</f>
        <v>0.37000000000000005</v>
      </c>
      <c r="L527" s="3" t="s">
        <v>67</v>
      </c>
      <c r="M527" s="3" t="s">
        <v>81</v>
      </c>
      <c r="N527" s="3" t="s">
        <v>85</v>
      </c>
    </row>
    <row r="528" spans="1:14" x14ac:dyDescent="0.3">
      <c r="A528" s="2">
        <v>44369</v>
      </c>
      <c r="B528" s="2">
        <v>44371</v>
      </c>
      <c r="C528">
        <v>2</v>
      </c>
      <c r="D528" s="3" t="s">
        <v>20</v>
      </c>
      <c r="E528" s="6">
        <v>440</v>
      </c>
      <c r="F528" s="6">
        <v>286</v>
      </c>
      <c r="G528">
        <v>4</v>
      </c>
      <c r="H528" s="6">
        <f>SalesData_2[[#This Row],[Unit Price]]*SalesData_2[[#This Row],[Units Sold]]</f>
        <v>1760</v>
      </c>
      <c r="I528" s="6">
        <f>SalesData_2[[#This Row],[Unit Cost]]*SalesData_2[[#This Row],[Units Sold]]</f>
        <v>1144</v>
      </c>
      <c r="J528" s="6">
        <f>SalesData_2[[#This Row],[Sales]]-SalesData_2[[#This Row],[COGS]]</f>
        <v>616</v>
      </c>
      <c r="K528" s="21">
        <f>SalesData_2[[#This Row],[Revenue]]/SalesData_2[[#This Row],[Sales]]</f>
        <v>0.35</v>
      </c>
      <c r="L528" s="3" t="s">
        <v>37</v>
      </c>
      <c r="M528" s="3" t="s">
        <v>81</v>
      </c>
      <c r="N528" s="3" t="s">
        <v>86</v>
      </c>
    </row>
    <row r="529" spans="1:14" x14ac:dyDescent="0.3">
      <c r="A529" s="2">
        <v>44369</v>
      </c>
      <c r="B529" s="2">
        <v>44372</v>
      </c>
      <c r="C529">
        <v>3</v>
      </c>
      <c r="D529" s="3" t="s">
        <v>10</v>
      </c>
      <c r="E529" s="6">
        <v>390</v>
      </c>
      <c r="F529" s="6">
        <v>253.5</v>
      </c>
      <c r="G529">
        <v>4</v>
      </c>
      <c r="H529" s="6">
        <f>SalesData_2[[#This Row],[Unit Price]]*SalesData_2[[#This Row],[Units Sold]]</f>
        <v>1560</v>
      </c>
      <c r="I529" s="6">
        <f>SalesData_2[[#This Row],[Unit Cost]]*SalesData_2[[#This Row],[Units Sold]]</f>
        <v>1014</v>
      </c>
      <c r="J529" s="6">
        <f>SalesData_2[[#This Row],[Sales]]-SalesData_2[[#This Row],[COGS]]</f>
        <v>546</v>
      </c>
      <c r="K529" s="21">
        <f>SalesData_2[[#This Row],[Revenue]]/SalesData_2[[#This Row],[Sales]]</f>
        <v>0.35</v>
      </c>
      <c r="L529" s="3" t="s">
        <v>47</v>
      </c>
      <c r="M529" s="3" t="s">
        <v>82</v>
      </c>
      <c r="N529" s="3" t="s">
        <v>85</v>
      </c>
    </row>
    <row r="530" spans="1:14" x14ac:dyDescent="0.3">
      <c r="A530" s="2">
        <v>44370</v>
      </c>
      <c r="B530" s="2">
        <v>44375</v>
      </c>
      <c r="C530">
        <v>5</v>
      </c>
      <c r="D530" s="3" t="s">
        <v>4</v>
      </c>
      <c r="E530" s="6">
        <v>390</v>
      </c>
      <c r="F530" s="6">
        <v>288.60000000000002</v>
      </c>
      <c r="G530">
        <v>2</v>
      </c>
      <c r="H530" s="6">
        <f>SalesData_2[[#This Row],[Unit Price]]*SalesData_2[[#This Row],[Units Sold]]</f>
        <v>780</v>
      </c>
      <c r="I530" s="6">
        <f>SalesData_2[[#This Row],[Unit Cost]]*SalesData_2[[#This Row],[Units Sold]]</f>
        <v>577.20000000000005</v>
      </c>
      <c r="J530" s="6">
        <f>SalesData_2[[#This Row],[Sales]]-SalesData_2[[#This Row],[COGS]]</f>
        <v>202.79999999999995</v>
      </c>
      <c r="K530" s="21">
        <f>SalesData_2[[#This Row],[Revenue]]/SalesData_2[[#This Row],[Sales]]</f>
        <v>0.25999999999999995</v>
      </c>
      <c r="L530" s="3" t="s">
        <v>58</v>
      </c>
      <c r="M530" s="3" t="s">
        <v>81</v>
      </c>
      <c r="N530" s="3" t="s">
        <v>85</v>
      </c>
    </row>
    <row r="531" spans="1:14" x14ac:dyDescent="0.3">
      <c r="A531" s="2">
        <v>44371</v>
      </c>
      <c r="B531" s="2">
        <v>44375</v>
      </c>
      <c r="C531">
        <v>4</v>
      </c>
      <c r="D531" s="3" t="s">
        <v>6</v>
      </c>
      <c r="E531" s="6">
        <v>99</v>
      </c>
      <c r="F531" s="6">
        <v>62.37</v>
      </c>
      <c r="G531">
        <v>9</v>
      </c>
      <c r="H531" s="6">
        <f>SalesData_2[[#This Row],[Unit Price]]*SalesData_2[[#This Row],[Units Sold]]</f>
        <v>891</v>
      </c>
      <c r="I531" s="6">
        <f>SalesData_2[[#This Row],[Unit Cost]]*SalesData_2[[#This Row],[Units Sold]]</f>
        <v>561.32999999999993</v>
      </c>
      <c r="J531" s="6">
        <f>SalesData_2[[#This Row],[Sales]]-SalesData_2[[#This Row],[COGS]]</f>
        <v>329.67000000000007</v>
      </c>
      <c r="K531" s="21">
        <f>SalesData_2[[#This Row],[Revenue]]/SalesData_2[[#This Row],[Sales]]</f>
        <v>0.37000000000000011</v>
      </c>
      <c r="L531" s="3" t="s">
        <v>55</v>
      </c>
      <c r="M531" s="3" t="s">
        <v>82</v>
      </c>
      <c r="N531" s="3" t="s">
        <v>86</v>
      </c>
    </row>
    <row r="532" spans="1:14" x14ac:dyDescent="0.3">
      <c r="A532" s="2">
        <v>44372</v>
      </c>
      <c r="B532" s="2">
        <v>44378</v>
      </c>
      <c r="C532">
        <v>6</v>
      </c>
      <c r="D532" s="3" t="s">
        <v>4</v>
      </c>
      <c r="E532" s="6">
        <v>390</v>
      </c>
      <c r="F532" s="6">
        <v>288.60000000000002</v>
      </c>
      <c r="G532">
        <v>3</v>
      </c>
      <c r="H532" s="6">
        <f>SalesData_2[[#This Row],[Unit Price]]*SalesData_2[[#This Row],[Units Sold]]</f>
        <v>1170</v>
      </c>
      <c r="I532" s="6">
        <f>SalesData_2[[#This Row],[Unit Cost]]*SalesData_2[[#This Row],[Units Sold]]</f>
        <v>865.80000000000007</v>
      </c>
      <c r="J532" s="6">
        <f>SalesData_2[[#This Row],[Sales]]-SalesData_2[[#This Row],[COGS]]</f>
        <v>304.19999999999993</v>
      </c>
      <c r="K532" s="21">
        <f>SalesData_2[[#This Row],[Revenue]]/SalesData_2[[#This Row],[Sales]]</f>
        <v>0.25999999999999995</v>
      </c>
      <c r="L532" s="3" t="s">
        <v>61</v>
      </c>
      <c r="M532" s="3" t="s">
        <v>81</v>
      </c>
      <c r="N532" s="3" t="s">
        <v>86</v>
      </c>
    </row>
    <row r="533" spans="1:14" x14ac:dyDescent="0.3">
      <c r="A533" s="2">
        <v>44372</v>
      </c>
      <c r="B533" s="2">
        <v>44376</v>
      </c>
      <c r="C533">
        <v>4</v>
      </c>
      <c r="D533" s="3" t="s">
        <v>16</v>
      </c>
      <c r="E533" s="6">
        <v>145</v>
      </c>
      <c r="F533" s="6">
        <v>105.85</v>
      </c>
      <c r="G533">
        <v>2</v>
      </c>
      <c r="H533" s="6">
        <f>SalesData_2[[#This Row],[Unit Price]]*SalesData_2[[#This Row],[Units Sold]]</f>
        <v>290</v>
      </c>
      <c r="I533" s="6">
        <f>SalesData_2[[#This Row],[Unit Cost]]*SalesData_2[[#This Row],[Units Sold]]</f>
        <v>211.7</v>
      </c>
      <c r="J533" s="6">
        <f>SalesData_2[[#This Row],[Sales]]-SalesData_2[[#This Row],[COGS]]</f>
        <v>78.300000000000011</v>
      </c>
      <c r="K533" s="21">
        <f>SalesData_2[[#This Row],[Revenue]]/SalesData_2[[#This Row],[Sales]]</f>
        <v>0.27</v>
      </c>
      <c r="L533" s="3" t="s">
        <v>29</v>
      </c>
      <c r="M533" s="3" t="s">
        <v>83</v>
      </c>
      <c r="N533" s="3" t="s">
        <v>86</v>
      </c>
    </row>
    <row r="534" spans="1:14" x14ac:dyDescent="0.3">
      <c r="A534" s="2">
        <v>44373</v>
      </c>
      <c r="B534" s="2">
        <v>44377</v>
      </c>
      <c r="C534">
        <v>4</v>
      </c>
      <c r="D534" s="3" t="s">
        <v>10</v>
      </c>
      <c r="E534" s="6">
        <v>390</v>
      </c>
      <c r="F534" s="6">
        <v>253.5</v>
      </c>
      <c r="G534">
        <v>9</v>
      </c>
      <c r="H534" s="6">
        <f>SalesData_2[[#This Row],[Unit Price]]*SalesData_2[[#This Row],[Units Sold]]</f>
        <v>3510</v>
      </c>
      <c r="I534" s="6">
        <f>SalesData_2[[#This Row],[Unit Cost]]*SalesData_2[[#This Row],[Units Sold]]</f>
        <v>2281.5</v>
      </c>
      <c r="J534" s="6">
        <f>SalesData_2[[#This Row],[Sales]]-SalesData_2[[#This Row],[COGS]]</f>
        <v>1228.5</v>
      </c>
      <c r="K534" s="21">
        <f>SalesData_2[[#This Row],[Revenue]]/SalesData_2[[#This Row],[Sales]]</f>
        <v>0.35</v>
      </c>
      <c r="L534" s="3" t="s">
        <v>44</v>
      </c>
      <c r="M534" s="3" t="s">
        <v>80</v>
      </c>
      <c r="N534" s="3" t="s">
        <v>85</v>
      </c>
    </row>
    <row r="535" spans="1:14" x14ac:dyDescent="0.3">
      <c r="A535" s="2">
        <v>44375</v>
      </c>
      <c r="B535" s="2">
        <v>44377</v>
      </c>
      <c r="C535">
        <v>2</v>
      </c>
      <c r="D535" s="3" t="s">
        <v>10</v>
      </c>
      <c r="E535" s="6">
        <v>390</v>
      </c>
      <c r="F535" s="6">
        <v>253.5</v>
      </c>
      <c r="G535">
        <v>9</v>
      </c>
      <c r="H535" s="6">
        <f>SalesData_2[[#This Row],[Unit Price]]*SalesData_2[[#This Row],[Units Sold]]</f>
        <v>3510</v>
      </c>
      <c r="I535" s="6">
        <f>SalesData_2[[#This Row],[Unit Cost]]*SalesData_2[[#This Row],[Units Sold]]</f>
        <v>2281.5</v>
      </c>
      <c r="J535" s="6">
        <f>SalesData_2[[#This Row],[Sales]]-SalesData_2[[#This Row],[COGS]]</f>
        <v>1228.5</v>
      </c>
      <c r="K535" s="21">
        <f>SalesData_2[[#This Row],[Revenue]]/SalesData_2[[#This Row],[Sales]]</f>
        <v>0.35</v>
      </c>
      <c r="L535" s="3" t="s">
        <v>39</v>
      </c>
      <c r="M535" s="3" t="s">
        <v>83</v>
      </c>
      <c r="N535" s="3" t="s">
        <v>86</v>
      </c>
    </row>
    <row r="536" spans="1:14" x14ac:dyDescent="0.3">
      <c r="A536" s="2">
        <v>44376</v>
      </c>
      <c r="B536" s="2">
        <v>44378</v>
      </c>
      <c r="C536">
        <v>2</v>
      </c>
      <c r="D536" s="3" t="s">
        <v>20</v>
      </c>
      <c r="E536" s="6">
        <v>440</v>
      </c>
      <c r="F536" s="6">
        <v>286</v>
      </c>
      <c r="G536">
        <v>1</v>
      </c>
      <c r="H536" s="6">
        <f>SalesData_2[[#This Row],[Unit Price]]*SalesData_2[[#This Row],[Units Sold]]</f>
        <v>440</v>
      </c>
      <c r="I536" s="6">
        <f>SalesData_2[[#This Row],[Unit Cost]]*SalesData_2[[#This Row],[Units Sold]]</f>
        <v>286</v>
      </c>
      <c r="J536" s="6">
        <f>SalesData_2[[#This Row],[Sales]]-SalesData_2[[#This Row],[COGS]]</f>
        <v>154</v>
      </c>
      <c r="K536" s="21">
        <f>SalesData_2[[#This Row],[Revenue]]/SalesData_2[[#This Row],[Sales]]</f>
        <v>0.35</v>
      </c>
      <c r="L536" s="3" t="s">
        <v>31</v>
      </c>
      <c r="M536" s="3" t="s">
        <v>80</v>
      </c>
      <c r="N536" s="3" t="s">
        <v>86</v>
      </c>
    </row>
    <row r="537" spans="1:14" x14ac:dyDescent="0.3">
      <c r="A537" s="2">
        <v>44377</v>
      </c>
      <c r="B537" s="2">
        <v>44380</v>
      </c>
      <c r="C537">
        <v>3</v>
      </c>
      <c r="D537" s="3" t="s">
        <v>22</v>
      </c>
      <c r="E537" s="6">
        <v>460</v>
      </c>
      <c r="F537" s="6">
        <v>303.60000000000002</v>
      </c>
      <c r="G537">
        <v>6</v>
      </c>
      <c r="H537" s="6">
        <f>SalesData_2[[#This Row],[Unit Price]]*SalesData_2[[#This Row],[Units Sold]]</f>
        <v>2760</v>
      </c>
      <c r="I537" s="6">
        <f>SalesData_2[[#This Row],[Unit Cost]]*SalesData_2[[#This Row],[Units Sold]]</f>
        <v>1821.6000000000001</v>
      </c>
      <c r="J537" s="6">
        <f>SalesData_2[[#This Row],[Sales]]-SalesData_2[[#This Row],[COGS]]</f>
        <v>938.39999999999986</v>
      </c>
      <c r="K537" s="21">
        <f>SalesData_2[[#This Row],[Revenue]]/SalesData_2[[#This Row],[Sales]]</f>
        <v>0.33999999999999997</v>
      </c>
      <c r="L537" s="3" t="s">
        <v>53</v>
      </c>
      <c r="M537" s="3" t="s">
        <v>82</v>
      </c>
      <c r="N537" s="3" t="s">
        <v>85</v>
      </c>
    </row>
    <row r="538" spans="1:14" x14ac:dyDescent="0.3">
      <c r="A538" s="2">
        <v>44377</v>
      </c>
      <c r="B538" s="2">
        <v>44380</v>
      </c>
      <c r="C538">
        <v>3</v>
      </c>
      <c r="D538" s="3" t="s">
        <v>11</v>
      </c>
      <c r="E538" s="6">
        <v>490</v>
      </c>
      <c r="F538" s="6">
        <v>298.89999999999998</v>
      </c>
      <c r="G538">
        <v>8</v>
      </c>
      <c r="H538" s="6">
        <f>SalesData_2[[#This Row],[Unit Price]]*SalesData_2[[#This Row],[Units Sold]]</f>
        <v>3920</v>
      </c>
      <c r="I538" s="6">
        <f>SalesData_2[[#This Row],[Unit Cost]]*SalesData_2[[#This Row],[Units Sold]]</f>
        <v>2391.1999999999998</v>
      </c>
      <c r="J538" s="6">
        <f>SalesData_2[[#This Row],[Sales]]-SalesData_2[[#This Row],[COGS]]</f>
        <v>1528.8000000000002</v>
      </c>
      <c r="K538" s="21">
        <f>SalesData_2[[#This Row],[Revenue]]/SalesData_2[[#This Row],[Sales]]</f>
        <v>0.39000000000000007</v>
      </c>
      <c r="L538" s="3" t="s">
        <v>43</v>
      </c>
      <c r="M538" s="3" t="s">
        <v>79</v>
      </c>
      <c r="N538" s="3" t="s">
        <v>85</v>
      </c>
    </row>
    <row r="539" spans="1:14" x14ac:dyDescent="0.3">
      <c r="A539" s="2">
        <v>44384</v>
      </c>
      <c r="B539" s="2">
        <v>44386</v>
      </c>
      <c r="C539">
        <v>2</v>
      </c>
      <c r="D539" s="3" t="s">
        <v>17</v>
      </c>
      <c r="E539" s="6">
        <v>195</v>
      </c>
      <c r="F539" s="6">
        <v>138.44999999999999</v>
      </c>
      <c r="G539">
        <v>8</v>
      </c>
      <c r="H539" s="6">
        <f>SalesData_2[[#This Row],[Unit Price]]*SalesData_2[[#This Row],[Units Sold]]</f>
        <v>1560</v>
      </c>
      <c r="I539" s="6">
        <f>SalesData_2[[#This Row],[Unit Cost]]*SalesData_2[[#This Row],[Units Sold]]</f>
        <v>1107.5999999999999</v>
      </c>
      <c r="J539" s="6">
        <f>SalesData_2[[#This Row],[Sales]]-SalesData_2[[#This Row],[COGS]]</f>
        <v>452.40000000000009</v>
      </c>
      <c r="K539" s="21">
        <f>SalesData_2[[#This Row],[Revenue]]/SalesData_2[[#This Row],[Sales]]</f>
        <v>0.29000000000000004</v>
      </c>
      <c r="L539" s="3" t="s">
        <v>63</v>
      </c>
      <c r="M539" s="3" t="s">
        <v>81</v>
      </c>
      <c r="N539" s="3" t="s">
        <v>85</v>
      </c>
    </row>
    <row r="540" spans="1:14" x14ac:dyDescent="0.3">
      <c r="A540" s="2">
        <v>44386</v>
      </c>
      <c r="B540" s="2">
        <v>44389</v>
      </c>
      <c r="C540">
        <v>3</v>
      </c>
      <c r="D540" s="3" t="s">
        <v>13</v>
      </c>
      <c r="E540" s="6">
        <v>445</v>
      </c>
      <c r="F540" s="6">
        <v>280.35000000000002</v>
      </c>
      <c r="G540">
        <v>7</v>
      </c>
      <c r="H540" s="6">
        <f>SalesData_2[[#This Row],[Unit Price]]*SalesData_2[[#This Row],[Units Sold]]</f>
        <v>3115</v>
      </c>
      <c r="I540" s="6">
        <f>SalesData_2[[#This Row],[Unit Cost]]*SalesData_2[[#This Row],[Units Sold]]</f>
        <v>1962.4500000000003</v>
      </c>
      <c r="J540" s="6">
        <f>SalesData_2[[#This Row],[Sales]]-SalesData_2[[#This Row],[COGS]]</f>
        <v>1152.5499999999997</v>
      </c>
      <c r="K540" s="21">
        <f>SalesData_2[[#This Row],[Revenue]]/SalesData_2[[#This Row],[Sales]]</f>
        <v>0.36999999999999994</v>
      </c>
      <c r="L540" s="3" t="s">
        <v>55</v>
      </c>
      <c r="M540" s="3" t="s">
        <v>80</v>
      </c>
      <c r="N540" s="3" t="s">
        <v>86</v>
      </c>
    </row>
    <row r="541" spans="1:14" x14ac:dyDescent="0.3">
      <c r="A541" s="2">
        <v>44387</v>
      </c>
      <c r="B541" s="2">
        <v>44393</v>
      </c>
      <c r="C541">
        <v>6</v>
      </c>
      <c r="D541" s="3" t="s">
        <v>4</v>
      </c>
      <c r="E541" s="6">
        <v>390</v>
      </c>
      <c r="F541" s="6">
        <v>288.60000000000002</v>
      </c>
      <c r="G541">
        <v>8</v>
      </c>
      <c r="H541" s="6">
        <f>SalesData_2[[#This Row],[Unit Price]]*SalesData_2[[#This Row],[Units Sold]]</f>
        <v>3120</v>
      </c>
      <c r="I541" s="6">
        <f>SalesData_2[[#This Row],[Unit Cost]]*SalesData_2[[#This Row],[Units Sold]]</f>
        <v>2308.8000000000002</v>
      </c>
      <c r="J541" s="6">
        <f>SalesData_2[[#This Row],[Sales]]-SalesData_2[[#This Row],[COGS]]</f>
        <v>811.19999999999982</v>
      </c>
      <c r="K541" s="21">
        <f>SalesData_2[[#This Row],[Revenue]]/SalesData_2[[#This Row],[Sales]]</f>
        <v>0.25999999999999995</v>
      </c>
      <c r="L541" s="3" t="s">
        <v>75</v>
      </c>
      <c r="M541" s="3" t="s">
        <v>79</v>
      </c>
      <c r="N541" s="3" t="s">
        <v>86</v>
      </c>
    </row>
    <row r="542" spans="1:14" x14ac:dyDescent="0.3">
      <c r="A542" s="2">
        <v>44388</v>
      </c>
      <c r="B542" s="2">
        <v>44393</v>
      </c>
      <c r="C542">
        <v>5</v>
      </c>
      <c r="D542" s="3" t="s">
        <v>23</v>
      </c>
      <c r="E542" s="6">
        <v>275</v>
      </c>
      <c r="F542" s="6">
        <v>200.75</v>
      </c>
      <c r="G542">
        <v>3</v>
      </c>
      <c r="H542" s="6">
        <f>SalesData_2[[#This Row],[Unit Price]]*SalesData_2[[#This Row],[Units Sold]]</f>
        <v>825</v>
      </c>
      <c r="I542" s="6">
        <f>SalesData_2[[#This Row],[Unit Cost]]*SalesData_2[[#This Row],[Units Sold]]</f>
        <v>602.25</v>
      </c>
      <c r="J542" s="6">
        <f>SalesData_2[[#This Row],[Sales]]-SalesData_2[[#This Row],[COGS]]</f>
        <v>222.75</v>
      </c>
      <c r="K542" s="21">
        <f>SalesData_2[[#This Row],[Revenue]]/SalesData_2[[#This Row],[Sales]]</f>
        <v>0.27</v>
      </c>
      <c r="L542" s="3" t="s">
        <v>42</v>
      </c>
      <c r="M542" s="3" t="s">
        <v>83</v>
      </c>
      <c r="N542" s="3" t="s">
        <v>85</v>
      </c>
    </row>
    <row r="543" spans="1:14" x14ac:dyDescent="0.3">
      <c r="A543" s="2">
        <v>44391</v>
      </c>
      <c r="B543" s="2">
        <v>44395</v>
      </c>
      <c r="C543">
        <v>4</v>
      </c>
      <c r="D543" s="3" t="s">
        <v>13</v>
      </c>
      <c r="E543" s="6">
        <v>445</v>
      </c>
      <c r="F543" s="6">
        <v>280.35000000000002</v>
      </c>
      <c r="G543">
        <v>2</v>
      </c>
      <c r="H543" s="6">
        <f>SalesData_2[[#This Row],[Unit Price]]*SalesData_2[[#This Row],[Units Sold]]</f>
        <v>890</v>
      </c>
      <c r="I543" s="6">
        <f>SalesData_2[[#This Row],[Unit Cost]]*SalesData_2[[#This Row],[Units Sold]]</f>
        <v>560.70000000000005</v>
      </c>
      <c r="J543" s="6">
        <f>SalesData_2[[#This Row],[Sales]]-SalesData_2[[#This Row],[COGS]]</f>
        <v>329.29999999999995</v>
      </c>
      <c r="K543" s="21">
        <f>SalesData_2[[#This Row],[Revenue]]/SalesData_2[[#This Row],[Sales]]</f>
        <v>0.36999999999999994</v>
      </c>
      <c r="L543" s="3" t="s">
        <v>70</v>
      </c>
      <c r="M543" s="3" t="s">
        <v>83</v>
      </c>
      <c r="N543" s="3" t="s">
        <v>85</v>
      </c>
    </row>
    <row r="544" spans="1:14" x14ac:dyDescent="0.3">
      <c r="A544" s="2">
        <v>44392</v>
      </c>
      <c r="B544" s="2">
        <v>44397</v>
      </c>
      <c r="C544">
        <v>5</v>
      </c>
      <c r="D544" s="3" t="s">
        <v>11</v>
      </c>
      <c r="E544" s="6">
        <v>490</v>
      </c>
      <c r="F544" s="6">
        <v>298.89999999999998</v>
      </c>
      <c r="G544">
        <v>1</v>
      </c>
      <c r="H544" s="6">
        <f>SalesData_2[[#This Row],[Unit Price]]*SalesData_2[[#This Row],[Units Sold]]</f>
        <v>490</v>
      </c>
      <c r="I544" s="6">
        <f>SalesData_2[[#This Row],[Unit Cost]]*SalesData_2[[#This Row],[Units Sold]]</f>
        <v>298.89999999999998</v>
      </c>
      <c r="J544" s="6">
        <f>SalesData_2[[#This Row],[Sales]]-SalesData_2[[#This Row],[COGS]]</f>
        <v>191.10000000000002</v>
      </c>
      <c r="K544" s="21">
        <f>SalesData_2[[#This Row],[Revenue]]/SalesData_2[[#This Row],[Sales]]</f>
        <v>0.39000000000000007</v>
      </c>
      <c r="L544" s="3" t="s">
        <v>66</v>
      </c>
      <c r="M544" s="3" t="s">
        <v>81</v>
      </c>
      <c r="N544" s="3" t="s">
        <v>86</v>
      </c>
    </row>
    <row r="545" spans="1:14" x14ac:dyDescent="0.3">
      <c r="A545" s="2">
        <v>44394</v>
      </c>
      <c r="B545" s="2">
        <v>44400</v>
      </c>
      <c r="C545">
        <v>6</v>
      </c>
      <c r="D545" s="3" t="s">
        <v>12</v>
      </c>
      <c r="E545" s="6">
        <v>320</v>
      </c>
      <c r="F545" s="6">
        <v>233.6</v>
      </c>
      <c r="G545">
        <v>8</v>
      </c>
      <c r="H545" s="6">
        <f>SalesData_2[[#This Row],[Unit Price]]*SalesData_2[[#This Row],[Units Sold]]</f>
        <v>2560</v>
      </c>
      <c r="I545" s="6">
        <f>SalesData_2[[#This Row],[Unit Cost]]*SalesData_2[[#This Row],[Units Sold]]</f>
        <v>1868.8</v>
      </c>
      <c r="J545" s="6">
        <f>SalesData_2[[#This Row],[Sales]]-SalesData_2[[#This Row],[COGS]]</f>
        <v>691.2</v>
      </c>
      <c r="K545" s="21">
        <f>SalesData_2[[#This Row],[Revenue]]/SalesData_2[[#This Row],[Sales]]</f>
        <v>0.27</v>
      </c>
      <c r="L545" s="3" t="s">
        <v>52</v>
      </c>
      <c r="M545" s="3" t="s">
        <v>79</v>
      </c>
      <c r="N545" s="3" t="s">
        <v>86</v>
      </c>
    </row>
    <row r="546" spans="1:14" x14ac:dyDescent="0.3">
      <c r="A546" s="2">
        <v>44394</v>
      </c>
      <c r="B546" s="2">
        <v>44400</v>
      </c>
      <c r="C546">
        <v>6</v>
      </c>
      <c r="D546" s="3" t="s">
        <v>9</v>
      </c>
      <c r="E546" s="6">
        <v>215</v>
      </c>
      <c r="F546" s="6">
        <v>152.65</v>
      </c>
      <c r="G546">
        <v>4</v>
      </c>
      <c r="H546" s="6">
        <f>SalesData_2[[#This Row],[Unit Price]]*SalesData_2[[#This Row],[Units Sold]]</f>
        <v>860</v>
      </c>
      <c r="I546" s="6">
        <f>SalesData_2[[#This Row],[Unit Cost]]*SalesData_2[[#This Row],[Units Sold]]</f>
        <v>610.6</v>
      </c>
      <c r="J546" s="6">
        <f>SalesData_2[[#This Row],[Sales]]-SalesData_2[[#This Row],[COGS]]</f>
        <v>249.39999999999998</v>
      </c>
      <c r="K546" s="21">
        <f>SalesData_2[[#This Row],[Revenue]]/SalesData_2[[#This Row],[Sales]]</f>
        <v>0.28999999999999998</v>
      </c>
      <c r="L546" s="3" t="s">
        <v>46</v>
      </c>
      <c r="M546" s="3" t="s">
        <v>80</v>
      </c>
      <c r="N546" s="3" t="s">
        <v>86</v>
      </c>
    </row>
    <row r="547" spans="1:14" x14ac:dyDescent="0.3">
      <c r="A547" s="2">
        <v>44395</v>
      </c>
      <c r="B547" s="2">
        <v>44399</v>
      </c>
      <c r="C547">
        <v>4</v>
      </c>
      <c r="D547" s="3" t="s">
        <v>14</v>
      </c>
      <c r="E547" s="6">
        <v>375</v>
      </c>
      <c r="F547" s="6">
        <v>247.5</v>
      </c>
      <c r="G547">
        <v>2</v>
      </c>
      <c r="H547" s="6">
        <f>SalesData_2[[#This Row],[Unit Price]]*SalesData_2[[#This Row],[Units Sold]]</f>
        <v>750</v>
      </c>
      <c r="I547" s="6">
        <f>SalesData_2[[#This Row],[Unit Cost]]*SalesData_2[[#This Row],[Units Sold]]</f>
        <v>495</v>
      </c>
      <c r="J547" s="6">
        <f>SalesData_2[[#This Row],[Sales]]-SalesData_2[[#This Row],[COGS]]</f>
        <v>255</v>
      </c>
      <c r="K547" s="21">
        <f>SalesData_2[[#This Row],[Revenue]]/SalesData_2[[#This Row],[Sales]]</f>
        <v>0.34</v>
      </c>
      <c r="L547" s="3" t="s">
        <v>54</v>
      </c>
      <c r="M547" s="3" t="s">
        <v>82</v>
      </c>
      <c r="N547" s="3" t="s">
        <v>86</v>
      </c>
    </row>
    <row r="548" spans="1:14" x14ac:dyDescent="0.3">
      <c r="A548" s="2">
        <v>44398</v>
      </c>
      <c r="B548" s="2">
        <v>44402</v>
      </c>
      <c r="C548">
        <v>4</v>
      </c>
      <c r="D548" s="3" t="s">
        <v>8</v>
      </c>
      <c r="E548" s="6">
        <v>59</v>
      </c>
      <c r="F548" s="6">
        <v>41.3</v>
      </c>
      <c r="G548">
        <v>7</v>
      </c>
      <c r="H548" s="6">
        <f>SalesData_2[[#This Row],[Unit Price]]*SalesData_2[[#This Row],[Units Sold]]</f>
        <v>413</v>
      </c>
      <c r="I548" s="6">
        <f>SalesData_2[[#This Row],[Unit Cost]]*SalesData_2[[#This Row],[Units Sold]]</f>
        <v>289.09999999999997</v>
      </c>
      <c r="J548" s="6">
        <f>SalesData_2[[#This Row],[Sales]]-SalesData_2[[#This Row],[COGS]]</f>
        <v>123.90000000000003</v>
      </c>
      <c r="K548" s="21">
        <f>SalesData_2[[#This Row],[Revenue]]/SalesData_2[[#This Row],[Sales]]</f>
        <v>0.3000000000000001</v>
      </c>
      <c r="L548" s="3" t="s">
        <v>64</v>
      </c>
      <c r="M548" s="3" t="s">
        <v>83</v>
      </c>
      <c r="N548" s="3" t="s">
        <v>85</v>
      </c>
    </row>
    <row r="549" spans="1:14" x14ac:dyDescent="0.3">
      <c r="A549" s="2">
        <v>44401</v>
      </c>
      <c r="B549" s="2">
        <v>44407</v>
      </c>
      <c r="C549">
        <v>6</v>
      </c>
      <c r="D549" s="3" t="s">
        <v>6</v>
      </c>
      <c r="E549" s="6">
        <v>99</v>
      </c>
      <c r="F549" s="6">
        <v>62.37</v>
      </c>
      <c r="G549">
        <v>6</v>
      </c>
      <c r="H549" s="6">
        <f>SalesData_2[[#This Row],[Unit Price]]*SalesData_2[[#This Row],[Units Sold]]</f>
        <v>594</v>
      </c>
      <c r="I549" s="6">
        <f>SalesData_2[[#This Row],[Unit Cost]]*SalesData_2[[#This Row],[Units Sold]]</f>
        <v>374.21999999999997</v>
      </c>
      <c r="J549" s="6">
        <f>SalesData_2[[#This Row],[Sales]]-SalesData_2[[#This Row],[COGS]]</f>
        <v>219.78000000000003</v>
      </c>
      <c r="K549" s="21">
        <f>SalesData_2[[#This Row],[Revenue]]/SalesData_2[[#This Row],[Sales]]</f>
        <v>0.37000000000000005</v>
      </c>
      <c r="L549" s="3" t="s">
        <v>53</v>
      </c>
      <c r="M549" s="3" t="s">
        <v>79</v>
      </c>
      <c r="N549" s="3" t="s">
        <v>86</v>
      </c>
    </row>
    <row r="550" spans="1:14" x14ac:dyDescent="0.3">
      <c r="A550" s="2">
        <v>44403</v>
      </c>
      <c r="B550" s="2">
        <v>44407</v>
      </c>
      <c r="C550">
        <v>4</v>
      </c>
      <c r="D550" s="3" t="s">
        <v>11</v>
      </c>
      <c r="E550" s="6">
        <v>490</v>
      </c>
      <c r="F550" s="6">
        <v>298.89999999999998</v>
      </c>
      <c r="G550">
        <v>1</v>
      </c>
      <c r="H550" s="6">
        <f>SalesData_2[[#This Row],[Unit Price]]*SalesData_2[[#This Row],[Units Sold]]</f>
        <v>490</v>
      </c>
      <c r="I550" s="6">
        <f>SalesData_2[[#This Row],[Unit Cost]]*SalesData_2[[#This Row],[Units Sold]]</f>
        <v>298.89999999999998</v>
      </c>
      <c r="J550" s="6">
        <f>SalesData_2[[#This Row],[Sales]]-SalesData_2[[#This Row],[COGS]]</f>
        <v>191.10000000000002</v>
      </c>
      <c r="K550" s="21">
        <f>SalesData_2[[#This Row],[Revenue]]/SalesData_2[[#This Row],[Sales]]</f>
        <v>0.39000000000000007</v>
      </c>
      <c r="L550" s="3" t="s">
        <v>55</v>
      </c>
      <c r="M550" s="3" t="s">
        <v>82</v>
      </c>
      <c r="N550" s="3" t="s">
        <v>86</v>
      </c>
    </row>
    <row r="551" spans="1:14" x14ac:dyDescent="0.3">
      <c r="A551" s="2">
        <v>44403</v>
      </c>
      <c r="B551" s="2">
        <v>44406</v>
      </c>
      <c r="C551">
        <v>3</v>
      </c>
      <c r="D551" s="3" t="s">
        <v>5</v>
      </c>
      <c r="E551" s="6">
        <v>290</v>
      </c>
      <c r="F551" s="6">
        <v>185.6</v>
      </c>
      <c r="G551">
        <v>3</v>
      </c>
      <c r="H551" s="6">
        <f>SalesData_2[[#This Row],[Unit Price]]*SalesData_2[[#This Row],[Units Sold]]</f>
        <v>870</v>
      </c>
      <c r="I551" s="6">
        <f>SalesData_2[[#This Row],[Unit Cost]]*SalesData_2[[#This Row],[Units Sold]]</f>
        <v>556.79999999999995</v>
      </c>
      <c r="J551" s="6">
        <f>SalesData_2[[#This Row],[Sales]]-SalesData_2[[#This Row],[COGS]]</f>
        <v>313.20000000000005</v>
      </c>
      <c r="K551" s="21">
        <f>SalesData_2[[#This Row],[Revenue]]/SalesData_2[[#This Row],[Sales]]</f>
        <v>0.36000000000000004</v>
      </c>
      <c r="L551" s="3" t="s">
        <v>31</v>
      </c>
      <c r="M551" s="3" t="s">
        <v>82</v>
      </c>
      <c r="N551" s="3" t="s">
        <v>85</v>
      </c>
    </row>
    <row r="552" spans="1:14" x14ac:dyDescent="0.3">
      <c r="A552" s="2">
        <v>44403</v>
      </c>
      <c r="B552" s="2">
        <v>44409</v>
      </c>
      <c r="C552">
        <v>6</v>
      </c>
      <c r="D552" s="3" t="s">
        <v>7</v>
      </c>
      <c r="E552" s="6">
        <v>250</v>
      </c>
      <c r="F552" s="6">
        <v>167.5</v>
      </c>
      <c r="G552">
        <v>5</v>
      </c>
      <c r="H552" s="6">
        <f>SalesData_2[[#This Row],[Unit Price]]*SalesData_2[[#This Row],[Units Sold]]</f>
        <v>1250</v>
      </c>
      <c r="I552" s="6">
        <f>SalesData_2[[#This Row],[Unit Cost]]*SalesData_2[[#This Row],[Units Sold]]</f>
        <v>837.5</v>
      </c>
      <c r="J552" s="6">
        <f>SalesData_2[[#This Row],[Sales]]-SalesData_2[[#This Row],[COGS]]</f>
        <v>412.5</v>
      </c>
      <c r="K552" s="21">
        <f>SalesData_2[[#This Row],[Revenue]]/SalesData_2[[#This Row],[Sales]]</f>
        <v>0.33</v>
      </c>
      <c r="L552" s="3" t="s">
        <v>59</v>
      </c>
      <c r="M552" s="3" t="s">
        <v>83</v>
      </c>
      <c r="N552" s="3" t="s">
        <v>86</v>
      </c>
    </row>
    <row r="553" spans="1:14" x14ac:dyDescent="0.3">
      <c r="A553" s="2">
        <v>44403</v>
      </c>
      <c r="B553" s="2">
        <v>44410</v>
      </c>
      <c r="C553">
        <v>7</v>
      </c>
      <c r="D553" s="3" t="s">
        <v>4</v>
      </c>
      <c r="E553" s="6">
        <v>390</v>
      </c>
      <c r="F553" s="6">
        <v>288.60000000000002</v>
      </c>
      <c r="G553">
        <v>6</v>
      </c>
      <c r="H553" s="6">
        <f>SalesData_2[[#This Row],[Unit Price]]*SalesData_2[[#This Row],[Units Sold]]</f>
        <v>2340</v>
      </c>
      <c r="I553" s="6">
        <f>SalesData_2[[#This Row],[Unit Cost]]*SalesData_2[[#This Row],[Units Sold]]</f>
        <v>1731.6000000000001</v>
      </c>
      <c r="J553" s="6">
        <f>SalesData_2[[#This Row],[Sales]]-SalesData_2[[#This Row],[COGS]]</f>
        <v>608.39999999999986</v>
      </c>
      <c r="K553" s="21">
        <f>SalesData_2[[#This Row],[Revenue]]/SalesData_2[[#This Row],[Sales]]</f>
        <v>0.25999999999999995</v>
      </c>
      <c r="L553" s="3" t="s">
        <v>32</v>
      </c>
      <c r="M553" s="3" t="s">
        <v>81</v>
      </c>
      <c r="N553" s="3" t="s">
        <v>86</v>
      </c>
    </row>
    <row r="554" spans="1:14" x14ac:dyDescent="0.3">
      <c r="A554" s="2">
        <v>44406</v>
      </c>
      <c r="B554" s="2">
        <v>44409</v>
      </c>
      <c r="C554">
        <v>3</v>
      </c>
      <c r="D554" s="3" t="s">
        <v>22</v>
      </c>
      <c r="E554" s="6">
        <v>460</v>
      </c>
      <c r="F554" s="6">
        <v>303.60000000000002</v>
      </c>
      <c r="G554">
        <v>8</v>
      </c>
      <c r="H554" s="6">
        <f>SalesData_2[[#This Row],[Unit Price]]*SalesData_2[[#This Row],[Units Sold]]</f>
        <v>3680</v>
      </c>
      <c r="I554" s="6">
        <f>SalesData_2[[#This Row],[Unit Cost]]*SalesData_2[[#This Row],[Units Sold]]</f>
        <v>2428.8000000000002</v>
      </c>
      <c r="J554" s="6">
        <f>SalesData_2[[#This Row],[Sales]]-SalesData_2[[#This Row],[COGS]]</f>
        <v>1251.1999999999998</v>
      </c>
      <c r="K554" s="21">
        <f>SalesData_2[[#This Row],[Revenue]]/SalesData_2[[#This Row],[Sales]]</f>
        <v>0.33999999999999997</v>
      </c>
      <c r="L554" s="3" t="s">
        <v>54</v>
      </c>
      <c r="M554" s="3" t="s">
        <v>81</v>
      </c>
      <c r="N554" s="3" t="s">
        <v>86</v>
      </c>
    </row>
    <row r="555" spans="1:14" x14ac:dyDescent="0.3">
      <c r="A555" s="2">
        <v>44407</v>
      </c>
      <c r="B555" s="2">
        <v>44411</v>
      </c>
      <c r="C555">
        <v>4</v>
      </c>
      <c r="D555" s="3" t="s">
        <v>13</v>
      </c>
      <c r="E555" s="6">
        <v>445</v>
      </c>
      <c r="F555" s="6">
        <v>280.35000000000002</v>
      </c>
      <c r="G555">
        <v>3</v>
      </c>
      <c r="H555" s="6">
        <f>SalesData_2[[#This Row],[Unit Price]]*SalesData_2[[#This Row],[Units Sold]]</f>
        <v>1335</v>
      </c>
      <c r="I555" s="6">
        <f>SalesData_2[[#This Row],[Unit Cost]]*SalesData_2[[#This Row],[Units Sold]]</f>
        <v>841.05000000000007</v>
      </c>
      <c r="J555" s="6">
        <f>SalesData_2[[#This Row],[Sales]]-SalesData_2[[#This Row],[COGS]]</f>
        <v>493.94999999999993</v>
      </c>
      <c r="K555" s="21">
        <f>SalesData_2[[#This Row],[Revenue]]/SalesData_2[[#This Row],[Sales]]</f>
        <v>0.36999999999999994</v>
      </c>
      <c r="L555" s="3" t="s">
        <v>37</v>
      </c>
      <c r="M555" s="3" t="s">
        <v>83</v>
      </c>
      <c r="N555" s="3" t="s">
        <v>85</v>
      </c>
    </row>
    <row r="556" spans="1:14" x14ac:dyDescent="0.3">
      <c r="A556" s="2">
        <v>44407</v>
      </c>
      <c r="B556" s="2">
        <v>44412</v>
      </c>
      <c r="C556">
        <v>5</v>
      </c>
      <c r="D556" s="3" t="s">
        <v>16</v>
      </c>
      <c r="E556" s="6">
        <v>145</v>
      </c>
      <c r="F556" s="6">
        <v>105.85</v>
      </c>
      <c r="G556">
        <v>6</v>
      </c>
      <c r="H556" s="6">
        <f>SalesData_2[[#This Row],[Unit Price]]*SalesData_2[[#This Row],[Units Sold]]</f>
        <v>870</v>
      </c>
      <c r="I556" s="6">
        <f>SalesData_2[[#This Row],[Unit Cost]]*SalesData_2[[#This Row],[Units Sold]]</f>
        <v>635.09999999999991</v>
      </c>
      <c r="J556" s="6">
        <f>SalesData_2[[#This Row],[Sales]]-SalesData_2[[#This Row],[COGS]]</f>
        <v>234.90000000000009</v>
      </c>
      <c r="K556" s="21">
        <f>SalesData_2[[#This Row],[Revenue]]/SalesData_2[[#This Row],[Sales]]</f>
        <v>0.27000000000000013</v>
      </c>
      <c r="L556" s="3" t="s">
        <v>57</v>
      </c>
      <c r="M556" s="3" t="s">
        <v>80</v>
      </c>
      <c r="N556" s="3" t="s">
        <v>85</v>
      </c>
    </row>
    <row r="557" spans="1:14" x14ac:dyDescent="0.3">
      <c r="A557" s="2">
        <v>44408</v>
      </c>
      <c r="B557" s="2">
        <v>44412</v>
      </c>
      <c r="C557">
        <v>4</v>
      </c>
      <c r="D557" s="3" t="s">
        <v>14</v>
      </c>
      <c r="E557" s="6">
        <v>375</v>
      </c>
      <c r="F557" s="6">
        <v>247.5</v>
      </c>
      <c r="G557">
        <v>2</v>
      </c>
      <c r="H557" s="6">
        <f>SalesData_2[[#This Row],[Unit Price]]*SalesData_2[[#This Row],[Units Sold]]</f>
        <v>750</v>
      </c>
      <c r="I557" s="6">
        <f>SalesData_2[[#This Row],[Unit Cost]]*SalesData_2[[#This Row],[Units Sold]]</f>
        <v>495</v>
      </c>
      <c r="J557" s="6">
        <f>SalesData_2[[#This Row],[Sales]]-SalesData_2[[#This Row],[COGS]]</f>
        <v>255</v>
      </c>
      <c r="K557" s="21">
        <f>SalesData_2[[#This Row],[Revenue]]/SalesData_2[[#This Row],[Sales]]</f>
        <v>0.34</v>
      </c>
      <c r="L557" s="3" t="s">
        <v>31</v>
      </c>
      <c r="M557" s="3" t="s">
        <v>79</v>
      </c>
      <c r="N557" s="3" t="s">
        <v>86</v>
      </c>
    </row>
    <row r="558" spans="1:14" x14ac:dyDescent="0.3">
      <c r="A558" s="2">
        <v>44408</v>
      </c>
      <c r="B558" s="2">
        <v>44409</v>
      </c>
      <c r="C558">
        <v>1</v>
      </c>
      <c r="D558" s="3" t="s">
        <v>18</v>
      </c>
      <c r="E558" s="6">
        <v>80</v>
      </c>
      <c r="F558" s="6">
        <v>48.8</v>
      </c>
      <c r="G558">
        <v>6</v>
      </c>
      <c r="H558" s="6">
        <f>SalesData_2[[#This Row],[Unit Price]]*SalesData_2[[#This Row],[Units Sold]]</f>
        <v>480</v>
      </c>
      <c r="I558" s="6">
        <f>SalesData_2[[#This Row],[Unit Cost]]*SalesData_2[[#This Row],[Units Sold]]</f>
        <v>292.79999999999995</v>
      </c>
      <c r="J558" s="6">
        <f>SalesData_2[[#This Row],[Sales]]-SalesData_2[[#This Row],[COGS]]</f>
        <v>187.20000000000005</v>
      </c>
      <c r="K558" s="21">
        <f>SalesData_2[[#This Row],[Revenue]]/SalesData_2[[#This Row],[Sales]]</f>
        <v>0.39000000000000007</v>
      </c>
      <c r="L558" s="3" t="s">
        <v>55</v>
      </c>
      <c r="M558" s="3" t="s">
        <v>79</v>
      </c>
      <c r="N558" s="3" t="s">
        <v>86</v>
      </c>
    </row>
    <row r="559" spans="1:14" x14ac:dyDescent="0.3">
      <c r="A559" s="2">
        <v>44409</v>
      </c>
      <c r="B559" s="2">
        <v>44416</v>
      </c>
      <c r="C559">
        <v>7</v>
      </c>
      <c r="D559" s="3" t="s">
        <v>7</v>
      </c>
      <c r="E559" s="6">
        <v>250</v>
      </c>
      <c r="F559" s="6">
        <v>167.5</v>
      </c>
      <c r="G559">
        <v>8</v>
      </c>
      <c r="H559" s="6">
        <f>SalesData_2[[#This Row],[Unit Price]]*SalesData_2[[#This Row],[Units Sold]]</f>
        <v>2000</v>
      </c>
      <c r="I559" s="6">
        <f>SalesData_2[[#This Row],[Unit Cost]]*SalesData_2[[#This Row],[Units Sold]]</f>
        <v>1340</v>
      </c>
      <c r="J559" s="6">
        <f>SalesData_2[[#This Row],[Sales]]-SalesData_2[[#This Row],[COGS]]</f>
        <v>660</v>
      </c>
      <c r="K559" s="21">
        <f>SalesData_2[[#This Row],[Revenue]]/SalesData_2[[#This Row],[Sales]]</f>
        <v>0.33</v>
      </c>
      <c r="L559" s="3" t="s">
        <v>70</v>
      </c>
      <c r="M559" s="3" t="s">
        <v>82</v>
      </c>
      <c r="N559" s="3" t="s">
        <v>86</v>
      </c>
    </row>
    <row r="560" spans="1:14" x14ac:dyDescent="0.3">
      <c r="A560" s="2">
        <v>44409</v>
      </c>
      <c r="B560" s="2">
        <v>44415</v>
      </c>
      <c r="C560">
        <v>6</v>
      </c>
      <c r="D560" s="3" t="s">
        <v>20</v>
      </c>
      <c r="E560" s="6">
        <v>440</v>
      </c>
      <c r="F560" s="6">
        <v>286</v>
      </c>
      <c r="G560">
        <v>3</v>
      </c>
      <c r="H560" s="6">
        <f>SalesData_2[[#This Row],[Unit Price]]*SalesData_2[[#This Row],[Units Sold]]</f>
        <v>1320</v>
      </c>
      <c r="I560" s="6">
        <f>SalesData_2[[#This Row],[Unit Cost]]*SalesData_2[[#This Row],[Units Sold]]</f>
        <v>858</v>
      </c>
      <c r="J560" s="6">
        <f>SalesData_2[[#This Row],[Sales]]-SalesData_2[[#This Row],[COGS]]</f>
        <v>462</v>
      </c>
      <c r="K560" s="21">
        <f>SalesData_2[[#This Row],[Revenue]]/SalesData_2[[#This Row],[Sales]]</f>
        <v>0.35</v>
      </c>
      <c r="L560" s="3" t="s">
        <v>58</v>
      </c>
      <c r="M560" s="3" t="s">
        <v>80</v>
      </c>
      <c r="N560" s="3" t="s">
        <v>86</v>
      </c>
    </row>
    <row r="561" spans="1:14" x14ac:dyDescent="0.3">
      <c r="A561" s="2">
        <v>44410</v>
      </c>
      <c r="B561" s="2">
        <v>44416</v>
      </c>
      <c r="C561">
        <v>6</v>
      </c>
      <c r="D561" s="3" t="s">
        <v>14</v>
      </c>
      <c r="E561" s="6">
        <v>375</v>
      </c>
      <c r="F561" s="6">
        <v>247.5</v>
      </c>
      <c r="G561">
        <v>1</v>
      </c>
      <c r="H561" s="6">
        <f>SalesData_2[[#This Row],[Unit Price]]*SalesData_2[[#This Row],[Units Sold]]</f>
        <v>375</v>
      </c>
      <c r="I561" s="6">
        <f>SalesData_2[[#This Row],[Unit Cost]]*SalesData_2[[#This Row],[Units Sold]]</f>
        <v>247.5</v>
      </c>
      <c r="J561" s="6">
        <f>SalesData_2[[#This Row],[Sales]]-SalesData_2[[#This Row],[COGS]]</f>
        <v>127.5</v>
      </c>
      <c r="K561" s="21">
        <f>SalesData_2[[#This Row],[Revenue]]/SalesData_2[[#This Row],[Sales]]</f>
        <v>0.34</v>
      </c>
      <c r="L561" s="3" t="s">
        <v>55</v>
      </c>
      <c r="M561" s="3" t="s">
        <v>79</v>
      </c>
      <c r="N561" s="3" t="s">
        <v>86</v>
      </c>
    </row>
    <row r="562" spans="1:14" x14ac:dyDescent="0.3">
      <c r="A562" s="2">
        <v>44410</v>
      </c>
      <c r="B562" s="2">
        <v>44413</v>
      </c>
      <c r="C562">
        <v>3</v>
      </c>
      <c r="D562" s="3" t="s">
        <v>6</v>
      </c>
      <c r="E562" s="6">
        <v>99</v>
      </c>
      <c r="F562" s="6">
        <v>62.37</v>
      </c>
      <c r="G562">
        <v>2</v>
      </c>
      <c r="H562" s="6">
        <f>SalesData_2[[#This Row],[Unit Price]]*SalesData_2[[#This Row],[Units Sold]]</f>
        <v>198</v>
      </c>
      <c r="I562" s="6">
        <f>SalesData_2[[#This Row],[Unit Cost]]*SalesData_2[[#This Row],[Units Sold]]</f>
        <v>124.74</v>
      </c>
      <c r="J562" s="6">
        <f>SalesData_2[[#This Row],[Sales]]-SalesData_2[[#This Row],[COGS]]</f>
        <v>73.260000000000005</v>
      </c>
      <c r="K562" s="21">
        <f>SalesData_2[[#This Row],[Revenue]]/SalesData_2[[#This Row],[Sales]]</f>
        <v>0.37000000000000005</v>
      </c>
      <c r="L562" s="3" t="s">
        <v>41</v>
      </c>
      <c r="M562" s="3" t="s">
        <v>80</v>
      </c>
      <c r="N562" s="3" t="s">
        <v>85</v>
      </c>
    </row>
    <row r="563" spans="1:14" x14ac:dyDescent="0.3">
      <c r="A563" s="2">
        <v>44414</v>
      </c>
      <c r="B563" s="2">
        <v>44420</v>
      </c>
      <c r="C563">
        <v>6</v>
      </c>
      <c r="D563" s="3" t="s">
        <v>2</v>
      </c>
      <c r="E563" s="6">
        <v>250</v>
      </c>
      <c r="F563" s="6">
        <v>187.5</v>
      </c>
      <c r="G563">
        <v>9</v>
      </c>
      <c r="H563" s="6">
        <f>SalesData_2[[#This Row],[Unit Price]]*SalesData_2[[#This Row],[Units Sold]]</f>
        <v>2250</v>
      </c>
      <c r="I563" s="6">
        <f>SalesData_2[[#This Row],[Unit Cost]]*SalesData_2[[#This Row],[Units Sold]]</f>
        <v>1687.5</v>
      </c>
      <c r="J563" s="6">
        <f>SalesData_2[[#This Row],[Sales]]-SalesData_2[[#This Row],[COGS]]</f>
        <v>562.5</v>
      </c>
      <c r="K563" s="21">
        <f>SalesData_2[[#This Row],[Revenue]]/SalesData_2[[#This Row],[Sales]]</f>
        <v>0.25</v>
      </c>
      <c r="L563" s="3" t="s">
        <v>50</v>
      </c>
      <c r="M563" s="3" t="s">
        <v>82</v>
      </c>
      <c r="N563" s="3" t="s">
        <v>85</v>
      </c>
    </row>
    <row r="564" spans="1:14" x14ac:dyDescent="0.3">
      <c r="A564" s="2">
        <v>44414</v>
      </c>
      <c r="B564" s="2">
        <v>44419</v>
      </c>
      <c r="C564">
        <v>5</v>
      </c>
      <c r="D564" s="3" t="s">
        <v>22</v>
      </c>
      <c r="E564" s="6">
        <v>460</v>
      </c>
      <c r="F564" s="6">
        <v>303.60000000000002</v>
      </c>
      <c r="G564">
        <v>4</v>
      </c>
      <c r="H564" s="6">
        <f>SalesData_2[[#This Row],[Unit Price]]*SalesData_2[[#This Row],[Units Sold]]</f>
        <v>1840</v>
      </c>
      <c r="I564" s="6">
        <f>SalesData_2[[#This Row],[Unit Cost]]*SalesData_2[[#This Row],[Units Sold]]</f>
        <v>1214.4000000000001</v>
      </c>
      <c r="J564" s="6">
        <f>SalesData_2[[#This Row],[Sales]]-SalesData_2[[#This Row],[COGS]]</f>
        <v>625.59999999999991</v>
      </c>
      <c r="K564" s="21">
        <f>SalesData_2[[#This Row],[Revenue]]/SalesData_2[[#This Row],[Sales]]</f>
        <v>0.33999999999999997</v>
      </c>
      <c r="L564" s="3" t="s">
        <v>60</v>
      </c>
      <c r="M564" s="3" t="s">
        <v>81</v>
      </c>
      <c r="N564" s="3" t="s">
        <v>85</v>
      </c>
    </row>
    <row r="565" spans="1:14" x14ac:dyDescent="0.3">
      <c r="A565" s="2">
        <v>44415</v>
      </c>
      <c r="B565" s="2">
        <v>44422</v>
      </c>
      <c r="C565">
        <v>7</v>
      </c>
      <c r="D565" s="3" t="s">
        <v>10</v>
      </c>
      <c r="E565" s="6">
        <v>390</v>
      </c>
      <c r="F565" s="6">
        <v>253.5</v>
      </c>
      <c r="G565">
        <v>7</v>
      </c>
      <c r="H565" s="6">
        <f>SalesData_2[[#This Row],[Unit Price]]*SalesData_2[[#This Row],[Units Sold]]</f>
        <v>2730</v>
      </c>
      <c r="I565" s="6">
        <f>SalesData_2[[#This Row],[Unit Cost]]*SalesData_2[[#This Row],[Units Sold]]</f>
        <v>1774.5</v>
      </c>
      <c r="J565" s="6">
        <f>SalesData_2[[#This Row],[Sales]]-SalesData_2[[#This Row],[COGS]]</f>
        <v>955.5</v>
      </c>
      <c r="K565" s="21">
        <f>SalesData_2[[#This Row],[Revenue]]/SalesData_2[[#This Row],[Sales]]</f>
        <v>0.35</v>
      </c>
      <c r="L565" s="3" t="s">
        <v>33</v>
      </c>
      <c r="M565" s="3" t="s">
        <v>80</v>
      </c>
      <c r="N565" s="3" t="s">
        <v>86</v>
      </c>
    </row>
    <row r="566" spans="1:14" x14ac:dyDescent="0.3">
      <c r="A566" s="2">
        <v>44416</v>
      </c>
      <c r="B566" s="2">
        <v>44420</v>
      </c>
      <c r="C566">
        <v>4</v>
      </c>
      <c r="D566" s="3" t="s">
        <v>3</v>
      </c>
      <c r="E566" s="6">
        <v>95</v>
      </c>
      <c r="F566" s="6">
        <v>60.8</v>
      </c>
      <c r="G566">
        <v>3</v>
      </c>
      <c r="H566" s="6">
        <f>SalesData_2[[#This Row],[Unit Price]]*SalesData_2[[#This Row],[Units Sold]]</f>
        <v>285</v>
      </c>
      <c r="I566" s="6">
        <f>SalesData_2[[#This Row],[Unit Cost]]*SalesData_2[[#This Row],[Units Sold]]</f>
        <v>182.39999999999998</v>
      </c>
      <c r="J566" s="6">
        <f>SalesData_2[[#This Row],[Sales]]-SalesData_2[[#This Row],[COGS]]</f>
        <v>102.60000000000002</v>
      </c>
      <c r="K566" s="21">
        <f>SalesData_2[[#This Row],[Revenue]]/SalesData_2[[#This Row],[Sales]]</f>
        <v>0.3600000000000001</v>
      </c>
      <c r="L566" s="3" t="s">
        <v>48</v>
      </c>
      <c r="M566" s="3" t="s">
        <v>82</v>
      </c>
      <c r="N566" s="3" t="s">
        <v>86</v>
      </c>
    </row>
    <row r="567" spans="1:14" x14ac:dyDescent="0.3">
      <c r="A567" s="2">
        <v>44416</v>
      </c>
      <c r="B567" s="2">
        <v>44419</v>
      </c>
      <c r="C567">
        <v>3</v>
      </c>
      <c r="D567" s="3" t="s">
        <v>14</v>
      </c>
      <c r="E567" s="6">
        <v>375</v>
      </c>
      <c r="F567" s="6">
        <v>247.5</v>
      </c>
      <c r="G567">
        <v>5</v>
      </c>
      <c r="H567" s="6">
        <f>SalesData_2[[#This Row],[Unit Price]]*SalesData_2[[#This Row],[Units Sold]]</f>
        <v>1875</v>
      </c>
      <c r="I567" s="6">
        <f>SalesData_2[[#This Row],[Unit Cost]]*SalesData_2[[#This Row],[Units Sold]]</f>
        <v>1237.5</v>
      </c>
      <c r="J567" s="6">
        <f>SalesData_2[[#This Row],[Sales]]-SalesData_2[[#This Row],[COGS]]</f>
        <v>637.5</v>
      </c>
      <c r="K567" s="21">
        <f>SalesData_2[[#This Row],[Revenue]]/SalesData_2[[#This Row],[Sales]]</f>
        <v>0.34</v>
      </c>
      <c r="L567" s="3" t="s">
        <v>65</v>
      </c>
      <c r="M567" s="3" t="s">
        <v>80</v>
      </c>
      <c r="N567" s="3" t="s">
        <v>85</v>
      </c>
    </row>
    <row r="568" spans="1:14" x14ac:dyDescent="0.3">
      <c r="A568" s="2">
        <v>44416</v>
      </c>
      <c r="B568" s="2">
        <v>44420</v>
      </c>
      <c r="C568">
        <v>4</v>
      </c>
      <c r="D568" s="3" t="s">
        <v>4</v>
      </c>
      <c r="E568" s="6">
        <v>390</v>
      </c>
      <c r="F568" s="6">
        <v>288.60000000000002</v>
      </c>
      <c r="G568">
        <v>3</v>
      </c>
      <c r="H568" s="6">
        <f>SalesData_2[[#This Row],[Unit Price]]*SalesData_2[[#This Row],[Units Sold]]</f>
        <v>1170</v>
      </c>
      <c r="I568" s="6">
        <f>SalesData_2[[#This Row],[Unit Cost]]*SalesData_2[[#This Row],[Units Sold]]</f>
        <v>865.80000000000007</v>
      </c>
      <c r="J568" s="6">
        <f>SalesData_2[[#This Row],[Sales]]-SalesData_2[[#This Row],[COGS]]</f>
        <v>304.19999999999993</v>
      </c>
      <c r="K568" s="21">
        <f>SalesData_2[[#This Row],[Revenue]]/SalesData_2[[#This Row],[Sales]]</f>
        <v>0.25999999999999995</v>
      </c>
      <c r="L568" s="3" t="s">
        <v>55</v>
      </c>
      <c r="M568" s="3" t="s">
        <v>79</v>
      </c>
      <c r="N568" s="3" t="s">
        <v>85</v>
      </c>
    </row>
    <row r="569" spans="1:14" x14ac:dyDescent="0.3">
      <c r="A569" s="2">
        <v>44417</v>
      </c>
      <c r="B569" s="2">
        <v>44424</v>
      </c>
      <c r="C569">
        <v>7</v>
      </c>
      <c r="D569" s="3" t="s">
        <v>8</v>
      </c>
      <c r="E569" s="6">
        <v>59</v>
      </c>
      <c r="F569" s="6">
        <v>41.3</v>
      </c>
      <c r="G569">
        <v>3</v>
      </c>
      <c r="H569" s="6">
        <f>SalesData_2[[#This Row],[Unit Price]]*SalesData_2[[#This Row],[Units Sold]]</f>
        <v>177</v>
      </c>
      <c r="I569" s="6">
        <f>SalesData_2[[#This Row],[Unit Cost]]*SalesData_2[[#This Row],[Units Sold]]</f>
        <v>123.89999999999999</v>
      </c>
      <c r="J569" s="6">
        <f>SalesData_2[[#This Row],[Sales]]-SalesData_2[[#This Row],[COGS]]</f>
        <v>53.100000000000009</v>
      </c>
      <c r="K569" s="21">
        <f>SalesData_2[[#This Row],[Revenue]]/SalesData_2[[#This Row],[Sales]]</f>
        <v>0.30000000000000004</v>
      </c>
      <c r="L569" s="3" t="s">
        <v>33</v>
      </c>
      <c r="M569" s="3" t="s">
        <v>79</v>
      </c>
      <c r="N569" s="3" t="s">
        <v>86</v>
      </c>
    </row>
    <row r="570" spans="1:14" x14ac:dyDescent="0.3">
      <c r="A570" s="2">
        <v>44423</v>
      </c>
      <c r="B570" s="2">
        <v>44427</v>
      </c>
      <c r="C570">
        <v>4</v>
      </c>
      <c r="D570" s="3" t="s">
        <v>5</v>
      </c>
      <c r="E570" s="6">
        <v>290</v>
      </c>
      <c r="F570" s="6">
        <v>185.6</v>
      </c>
      <c r="G570">
        <v>6</v>
      </c>
      <c r="H570" s="6">
        <f>SalesData_2[[#This Row],[Unit Price]]*SalesData_2[[#This Row],[Units Sold]]</f>
        <v>1740</v>
      </c>
      <c r="I570" s="6">
        <f>SalesData_2[[#This Row],[Unit Cost]]*SalesData_2[[#This Row],[Units Sold]]</f>
        <v>1113.5999999999999</v>
      </c>
      <c r="J570" s="6">
        <f>SalesData_2[[#This Row],[Sales]]-SalesData_2[[#This Row],[COGS]]</f>
        <v>626.40000000000009</v>
      </c>
      <c r="K570" s="21">
        <f>SalesData_2[[#This Row],[Revenue]]/SalesData_2[[#This Row],[Sales]]</f>
        <v>0.36000000000000004</v>
      </c>
      <c r="L570" s="3" t="s">
        <v>37</v>
      </c>
      <c r="M570" s="3" t="s">
        <v>82</v>
      </c>
      <c r="N570" s="3" t="s">
        <v>85</v>
      </c>
    </row>
    <row r="571" spans="1:14" x14ac:dyDescent="0.3">
      <c r="A571" s="2">
        <v>44423</v>
      </c>
      <c r="B571" s="2">
        <v>44426</v>
      </c>
      <c r="C571">
        <v>3</v>
      </c>
      <c r="D571" s="3" t="s">
        <v>2</v>
      </c>
      <c r="E571" s="6">
        <v>250</v>
      </c>
      <c r="F571" s="6">
        <v>187.5</v>
      </c>
      <c r="G571">
        <v>4</v>
      </c>
      <c r="H571" s="6">
        <f>SalesData_2[[#This Row],[Unit Price]]*SalesData_2[[#This Row],[Units Sold]]</f>
        <v>1000</v>
      </c>
      <c r="I571" s="6">
        <f>SalesData_2[[#This Row],[Unit Cost]]*SalesData_2[[#This Row],[Units Sold]]</f>
        <v>750</v>
      </c>
      <c r="J571" s="6">
        <f>SalesData_2[[#This Row],[Sales]]-SalesData_2[[#This Row],[COGS]]</f>
        <v>250</v>
      </c>
      <c r="K571" s="21">
        <f>SalesData_2[[#This Row],[Revenue]]/SalesData_2[[#This Row],[Sales]]</f>
        <v>0.25</v>
      </c>
      <c r="L571" s="3" t="s">
        <v>29</v>
      </c>
      <c r="M571" s="3" t="s">
        <v>81</v>
      </c>
      <c r="N571" s="3" t="s">
        <v>85</v>
      </c>
    </row>
    <row r="572" spans="1:14" x14ac:dyDescent="0.3">
      <c r="A572" s="2">
        <v>44423</v>
      </c>
      <c r="B572" s="2">
        <v>44427</v>
      </c>
      <c r="C572">
        <v>4</v>
      </c>
      <c r="D572" s="3" t="s">
        <v>9</v>
      </c>
      <c r="E572" s="6">
        <v>215</v>
      </c>
      <c r="F572" s="6">
        <v>152.65</v>
      </c>
      <c r="G572">
        <v>7</v>
      </c>
      <c r="H572" s="6">
        <f>SalesData_2[[#This Row],[Unit Price]]*SalesData_2[[#This Row],[Units Sold]]</f>
        <v>1505</v>
      </c>
      <c r="I572" s="6">
        <f>SalesData_2[[#This Row],[Unit Cost]]*SalesData_2[[#This Row],[Units Sold]]</f>
        <v>1068.55</v>
      </c>
      <c r="J572" s="6">
        <f>SalesData_2[[#This Row],[Sales]]-SalesData_2[[#This Row],[COGS]]</f>
        <v>436.45000000000005</v>
      </c>
      <c r="K572" s="21">
        <f>SalesData_2[[#This Row],[Revenue]]/SalesData_2[[#This Row],[Sales]]</f>
        <v>0.29000000000000004</v>
      </c>
      <c r="L572" s="3" t="s">
        <v>55</v>
      </c>
      <c r="M572" s="3" t="s">
        <v>80</v>
      </c>
      <c r="N572" s="3" t="s">
        <v>86</v>
      </c>
    </row>
    <row r="573" spans="1:14" x14ac:dyDescent="0.3">
      <c r="A573" s="2">
        <v>44424</v>
      </c>
      <c r="B573" s="2">
        <v>44429</v>
      </c>
      <c r="C573">
        <v>5</v>
      </c>
      <c r="D573" s="3" t="s">
        <v>11</v>
      </c>
      <c r="E573" s="6">
        <v>490</v>
      </c>
      <c r="F573" s="6">
        <v>298.89999999999998</v>
      </c>
      <c r="G573">
        <v>3</v>
      </c>
      <c r="H573" s="6">
        <f>SalesData_2[[#This Row],[Unit Price]]*SalesData_2[[#This Row],[Units Sold]]</f>
        <v>1470</v>
      </c>
      <c r="I573" s="6">
        <f>SalesData_2[[#This Row],[Unit Cost]]*SalesData_2[[#This Row],[Units Sold]]</f>
        <v>896.69999999999993</v>
      </c>
      <c r="J573" s="6">
        <f>SalesData_2[[#This Row],[Sales]]-SalesData_2[[#This Row],[COGS]]</f>
        <v>573.30000000000007</v>
      </c>
      <c r="K573" s="21">
        <f>SalesData_2[[#This Row],[Revenue]]/SalesData_2[[#This Row],[Sales]]</f>
        <v>0.39000000000000007</v>
      </c>
      <c r="L573" s="3" t="s">
        <v>52</v>
      </c>
      <c r="M573" s="3" t="s">
        <v>82</v>
      </c>
      <c r="N573" s="3" t="s">
        <v>86</v>
      </c>
    </row>
    <row r="574" spans="1:14" x14ac:dyDescent="0.3">
      <c r="A574" s="2">
        <v>44424</v>
      </c>
      <c r="B574" s="2">
        <v>44429</v>
      </c>
      <c r="C574">
        <v>5</v>
      </c>
      <c r="D574" s="3" t="s">
        <v>11</v>
      </c>
      <c r="E574" s="6">
        <v>490</v>
      </c>
      <c r="F574" s="6">
        <v>298.89999999999998</v>
      </c>
      <c r="G574">
        <v>9</v>
      </c>
      <c r="H574" s="6">
        <f>SalesData_2[[#This Row],[Unit Price]]*SalesData_2[[#This Row],[Units Sold]]</f>
        <v>4410</v>
      </c>
      <c r="I574" s="6">
        <f>SalesData_2[[#This Row],[Unit Cost]]*SalesData_2[[#This Row],[Units Sold]]</f>
        <v>2690.1</v>
      </c>
      <c r="J574" s="6">
        <f>SalesData_2[[#This Row],[Sales]]-SalesData_2[[#This Row],[COGS]]</f>
        <v>1719.9</v>
      </c>
      <c r="K574" s="21">
        <f>SalesData_2[[#This Row],[Revenue]]/SalesData_2[[#This Row],[Sales]]</f>
        <v>0.39</v>
      </c>
      <c r="L574" s="3" t="s">
        <v>62</v>
      </c>
      <c r="M574" s="3" t="s">
        <v>83</v>
      </c>
      <c r="N574" s="3" t="s">
        <v>85</v>
      </c>
    </row>
    <row r="575" spans="1:14" x14ac:dyDescent="0.3">
      <c r="A575" s="2">
        <v>44425</v>
      </c>
      <c r="B575" s="2">
        <v>44427</v>
      </c>
      <c r="C575">
        <v>2</v>
      </c>
      <c r="D575" s="3" t="s">
        <v>16</v>
      </c>
      <c r="E575" s="6">
        <v>145</v>
      </c>
      <c r="F575" s="6">
        <v>105.85</v>
      </c>
      <c r="G575">
        <v>8</v>
      </c>
      <c r="H575" s="6">
        <f>SalesData_2[[#This Row],[Unit Price]]*SalesData_2[[#This Row],[Units Sold]]</f>
        <v>1160</v>
      </c>
      <c r="I575" s="6">
        <f>SalesData_2[[#This Row],[Unit Cost]]*SalesData_2[[#This Row],[Units Sold]]</f>
        <v>846.8</v>
      </c>
      <c r="J575" s="6">
        <f>SalesData_2[[#This Row],[Sales]]-SalesData_2[[#This Row],[COGS]]</f>
        <v>313.20000000000005</v>
      </c>
      <c r="K575" s="21">
        <f>SalesData_2[[#This Row],[Revenue]]/SalesData_2[[#This Row],[Sales]]</f>
        <v>0.27</v>
      </c>
      <c r="L575" s="3" t="s">
        <v>70</v>
      </c>
      <c r="M575" s="3" t="s">
        <v>80</v>
      </c>
      <c r="N575" s="3" t="s">
        <v>86</v>
      </c>
    </row>
    <row r="576" spans="1:14" x14ac:dyDescent="0.3">
      <c r="A576" s="2">
        <v>44426</v>
      </c>
      <c r="B576" s="2">
        <v>44430</v>
      </c>
      <c r="C576">
        <v>4</v>
      </c>
      <c r="D576" s="3" t="s">
        <v>3</v>
      </c>
      <c r="E576" s="6">
        <v>95</v>
      </c>
      <c r="F576" s="6">
        <v>60.8</v>
      </c>
      <c r="G576">
        <v>3</v>
      </c>
      <c r="H576" s="6">
        <f>SalesData_2[[#This Row],[Unit Price]]*SalesData_2[[#This Row],[Units Sold]]</f>
        <v>285</v>
      </c>
      <c r="I576" s="6">
        <f>SalesData_2[[#This Row],[Unit Cost]]*SalesData_2[[#This Row],[Units Sold]]</f>
        <v>182.39999999999998</v>
      </c>
      <c r="J576" s="6">
        <f>SalesData_2[[#This Row],[Sales]]-SalesData_2[[#This Row],[COGS]]</f>
        <v>102.60000000000002</v>
      </c>
      <c r="K576" s="21">
        <f>SalesData_2[[#This Row],[Revenue]]/SalesData_2[[#This Row],[Sales]]</f>
        <v>0.3600000000000001</v>
      </c>
      <c r="L576" s="3" t="s">
        <v>40</v>
      </c>
      <c r="M576" s="3" t="s">
        <v>79</v>
      </c>
      <c r="N576" s="3" t="s">
        <v>86</v>
      </c>
    </row>
    <row r="577" spans="1:14" x14ac:dyDescent="0.3">
      <c r="A577" s="2">
        <v>44430</v>
      </c>
      <c r="B577" s="2">
        <v>44433</v>
      </c>
      <c r="C577">
        <v>3</v>
      </c>
      <c r="D577" s="3" t="s">
        <v>23</v>
      </c>
      <c r="E577" s="6">
        <v>275</v>
      </c>
      <c r="F577" s="6">
        <v>200.75</v>
      </c>
      <c r="G577">
        <v>9</v>
      </c>
      <c r="H577" s="6">
        <f>SalesData_2[[#This Row],[Unit Price]]*SalesData_2[[#This Row],[Units Sold]]</f>
        <v>2475</v>
      </c>
      <c r="I577" s="6">
        <f>SalesData_2[[#This Row],[Unit Cost]]*SalesData_2[[#This Row],[Units Sold]]</f>
        <v>1806.75</v>
      </c>
      <c r="J577" s="6">
        <f>SalesData_2[[#This Row],[Sales]]-SalesData_2[[#This Row],[COGS]]</f>
        <v>668.25</v>
      </c>
      <c r="K577" s="21">
        <f>SalesData_2[[#This Row],[Revenue]]/SalesData_2[[#This Row],[Sales]]</f>
        <v>0.27</v>
      </c>
      <c r="L577" s="3" t="s">
        <v>74</v>
      </c>
      <c r="M577" s="3" t="s">
        <v>83</v>
      </c>
      <c r="N577" s="3" t="s">
        <v>86</v>
      </c>
    </row>
    <row r="578" spans="1:14" x14ac:dyDescent="0.3">
      <c r="A578" s="2">
        <v>44430</v>
      </c>
      <c r="B578" s="2">
        <v>44436</v>
      </c>
      <c r="C578">
        <v>6</v>
      </c>
      <c r="D578" s="3" t="s">
        <v>18</v>
      </c>
      <c r="E578" s="6">
        <v>80</v>
      </c>
      <c r="F578" s="6">
        <v>48.8</v>
      </c>
      <c r="G578">
        <v>9</v>
      </c>
      <c r="H578" s="6">
        <f>SalesData_2[[#This Row],[Unit Price]]*SalesData_2[[#This Row],[Units Sold]]</f>
        <v>720</v>
      </c>
      <c r="I578" s="6">
        <f>SalesData_2[[#This Row],[Unit Cost]]*SalesData_2[[#This Row],[Units Sold]]</f>
        <v>439.2</v>
      </c>
      <c r="J578" s="6">
        <f>SalesData_2[[#This Row],[Sales]]-SalesData_2[[#This Row],[COGS]]</f>
        <v>280.8</v>
      </c>
      <c r="K578" s="21">
        <f>SalesData_2[[#This Row],[Revenue]]/SalesData_2[[#This Row],[Sales]]</f>
        <v>0.39</v>
      </c>
      <c r="L578" s="3" t="s">
        <v>73</v>
      </c>
      <c r="M578" s="3" t="s">
        <v>79</v>
      </c>
      <c r="N578" s="3" t="s">
        <v>85</v>
      </c>
    </row>
    <row r="579" spans="1:14" x14ac:dyDescent="0.3">
      <c r="A579" s="2">
        <v>44430</v>
      </c>
      <c r="B579" s="2">
        <v>44437</v>
      </c>
      <c r="C579">
        <v>7</v>
      </c>
      <c r="D579" s="3" t="s">
        <v>23</v>
      </c>
      <c r="E579" s="6">
        <v>275</v>
      </c>
      <c r="F579" s="6">
        <v>200.75</v>
      </c>
      <c r="G579">
        <v>4</v>
      </c>
      <c r="H579" s="6">
        <f>SalesData_2[[#This Row],[Unit Price]]*SalesData_2[[#This Row],[Units Sold]]</f>
        <v>1100</v>
      </c>
      <c r="I579" s="6">
        <f>SalesData_2[[#This Row],[Unit Cost]]*SalesData_2[[#This Row],[Units Sold]]</f>
        <v>803</v>
      </c>
      <c r="J579" s="6">
        <f>SalesData_2[[#This Row],[Sales]]-SalesData_2[[#This Row],[COGS]]</f>
        <v>297</v>
      </c>
      <c r="K579" s="21">
        <f>SalesData_2[[#This Row],[Revenue]]/SalesData_2[[#This Row],[Sales]]</f>
        <v>0.27</v>
      </c>
      <c r="L579" s="3" t="s">
        <v>53</v>
      </c>
      <c r="M579" s="3" t="s">
        <v>82</v>
      </c>
      <c r="N579" s="3" t="s">
        <v>86</v>
      </c>
    </row>
    <row r="580" spans="1:14" x14ac:dyDescent="0.3">
      <c r="A580" s="2">
        <v>44432</v>
      </c>
      <c r="B580" s="2">
        <v>44433</v>
      </c>
      <c r="C580">
        <v>1</v>
      </c>
      <c r="D580" s="3" t="s">
        <v>11</v>
      </c>
      <c r="E580" s="6">
        <v>490</v>
      </c>
      <c r="F580" s="6">
        <v>298.89999999999998</v>
      </c>
      <c r="G580">
        <v>7</v>
      </c>
      <c r="H580" s="6">
        <f>SalesData_2[[#This Row],[Unit Price]]*SalesData_2[[#This Row],[Units Sold]]</f>
        <v>3430</v>
      </c>
      <c r="I580" s="6">
        <f>SalesData_2[[#This Row],[Unit Cost]]*SalesData_2[[#This Row],[Units Sold]]</f>
        <v>2092.2999999999997</v>
      </c>
      <c r="J580" s="6">
        <f>SalesData_2[[#This Row],[Sales]]-SalesData_2[[#This Row],[COGS]]</f>
        <v>1337.7000000000003</v>
      </c>
      <c r="K580" s="21">
        <f>SalesData_2[[#This Row],[Revenue]]/SalesData_2[[#This Row],[Sales]]</f>
        <v>0.39000000000000007</v>
      </c>
      <c r="L580" s="3" t="s">
        <v>39</v>
      </c>
      <c r="M580" s="3" t="s">
        <v>83</v>
      </c>
      <c r="N580" s="3" t="s">
        <v>85</v>
      </c>
    </row>
    <row r="581" spans="1:14" x14ac:dyDescent="0.3">
      <c r="A581" s="2">
        <v>44432</v>
      </c>
      <c r="B581" s="2">
        <v>44437</v>
      </c>
      <c r="C581">
        <v>5</v>
      </c>
      <c r="D581" s="3" t="s">
        <v>3</v>
      </c>
      <c r="E581" s="6">
        <v>95</v>
      </c>
      <c r="F581" s="6">
        <v>60.8</v>
      </c>
      <c r="G581">
        <v>5</v>
      </c>
      <c r="H581" s="6">
        <f>SalesData_2[[#This Row],[Unit Price]]*SalesData_2[[#This Row],[Units Sold]]</f>
        <v>475</v>
      </c>
      <c r="I581" s="6">
        <f>SalesData_2[[#This Row],[Unit Cost]]*SalesData_2[[#This Row],[Units Sold]]</f>
        <v>304</v>
      </c>
      <c r="J581" s="6">
        <f>SalesData_2[[#This Row],[Sales]]-SalesData_2[[#This Row],[COGS]]</f>
        <v>171</v>
      </c>
      <c r="K581" s="21">
        <f>SalesData_2[[#This Row],[Revenue]]/SalesData_2[[#This Row],[Sales]]</f>
        <v>0.36</v>
      </c>
      <c r="L581" s="3" t="s">
        <v>45</v>
      </c>
      <c r="M581" s="3" t="s">
        <v>80</v>
      </c>
      <c r="N581" s="3" t="s">
        <v>85</v>
      </c>
    </row>
    <row r="582" spans="1:14" x14ac:dyDescent="0.3">
      <c r="A582" s="2">
        <v>44433</v>
      </c>
      <c r="B582" s="2">
        <v>44440</v>
      </c>
      <c r="C582">
        <v>7</v>
      </c>
      <c r="D582" s="3" t="s">
        <v>20</v>
      </c>
      <c r="E582" s="6">
        <v>440</v>
      </c>
      <c r="F582" s="6">
        <v>286</v>
      </c>
      <c r="G582">
        <v>8</v>
      </c>
      <c r="H582" s="6">
        <f>SalesData_2[[#This Row],[Unit Price]]*SalesData_2[[#This Row],[Units Sold]]</f>
        <v>3520</v>
      </c>
      <c r="I582" s="6">
        <f>SalesData_2[[#This Row],[Unit Cost]]*SalesData_2[[#This Row],[Units Sold]]</f>
        <v>2288</v>
      </c>
      <c r="J582" s="6">
        <f>SalesData_2[[#This Row],[Sales]]-SalesData_2[[#This Row],[COGS]]</f>
        <v>1232</v>
      </c>
      <c r="K582" s="21">
        <f>SalesData_2[[#This Row],[Revenue]]/SalesData_2[[#This Row],[Sales]]</f>
        <v>0.35</v>
      </c>
      <c r="L582" s="3" t="s">
        <v>58</v>
      </c>
      <c r="M582" s="3" t="s">
        <v>80</v>
      </c>
      <c r="N582" s="3" t="s">
        <v>86</v>
      </c>
    </row>
    <row r="583" spans="1:14" x14ac:dyDescent="0.3">
      <c r="A583" s="2">
        <v>44434</v>
      </c>
      <c r="B583" s="2">
        <v>44436</v>
      </c>
      <c r="C583">
        <v>2</v>
      </c>
      <c r="D583" s="3" t="s">
        <v>19</v>
      </c>
      <c r="E583" s="6">
        <v>220</v>
      </c>
      <c r="F583" s="6">
        <v>154</v>
      </c>
      <c r="G583">
        <v>8</v>
      </c>
      <c r="H583" s="6">
        <f>SalesData_2[[#This Row],[Unit Price]]*SalesData_2[[#This Row],[Units Sold]]</f>
        <v>1760</v>
      </c>
      <c r="I583" s="6">
        <f>SalesData_2[[#This Row],[Unit Cost]]*SalesData_2[[#This Row],[Units Sold]]</f>
        <v>1232</v>
      </c>
      <c r="J583" s="6">
        <f>SalesData_2[[#This Row],[Sales]]-SalesData_2[[#This Row],[COGS]]</f>
        <v>528</v>
      </c>
      <c r="K583" s="21">
        <f>SalesData_2[[#This Row],[Revenue]]/SalesData_2[[#This Row],[Sales]]</f>
        <v>0.3</v>
      </c>
      <c r="L583" s="3" t="s">
        <v>75</v>
      </c>
      <c r="M583" s="3" t="s">
        <v>82</v>
      </c>
      <c r="N583" s="3" t="s">
        <v>86</v>
      </c>
    </row>
    <row r="584" spans="1:14" x14ac:dyDescent="0.3">
      <c r="A584" s="2">
        <v>44435</v>
      </c>
      <c r="B584" s="2">
        <v>44442</v>
      </c>
      <c r="C584">
        <v>7</v>
      </c>
      <c r="D584" s="3" t="s">
        <v>2</v>
      </c>
      <c r="E584" s="6">
        <v>250</v>
      </c>
      <c r="F584" s="6">
        <v>187.5</v>
      </c>
      <c r="G584">
        <v>3</v>
      </c>
      <c r="H584" s="6">
        <f>SalesData_2[[#This Row],[Unit Price]]*SalesData_2[[#This Row],[Units Sold]]</f>
        <v>750</v>
      </c>
      <c r="I584" s="6">
        <f>SalesData_2[[#This Row],[Unit Cost]]*SalesData_2[[#This Row],[Units Sold]]</f>
        <v>562.5</v>
      </c>
      <c r="J584" s="6">
        <f>SalesData_2[[#This Row],[Sales]]-SalesData_2[[#This Row],[COGS]]</f>
        <v>187.5</v>
      </c>
      <c r="K584" s="21">
        <f>SalesData_2[[#This Row],[Revenue]]/SalesData_2[[#This Row],[Sales]]</f>
        <v>0.25</v>
      </c>
      <c r="L584" s="3" t="s">
        <v>59</v>
      </c>
      <c r="M584" s="3" t="s">
        <v>81</v>
      </c>
      <c r="N584" s="3" t="s">
        <v>85</v>
      </c>
    </row>
    <row r="585" spans="1:14" x14ac:dyDescent="0.3">
      <c r="A585" s="2">
        <v>44435</v>
      </c>
      <c r="B585" s="2">
        <v>44440</v>
      </c>
      <c r="C585">
        <v>5</v>
      </c>
      <c r="D585" s="3" t="s">
        <v>9</v>
      </c>
      <c r="E585" s="6">
        <v>215</v>
      </c>
      <c r="F585" s="6">
        <v>152.65</v>
      </c>
      <c r="G585">
        <v>4</v>
      </c>
      <c r="H585" s="6">
        <f>SalesData_2[[#This Row],[Unit Price]]*SalesData_2[[#This Row],[Units Sold]]</f>
        <v>860</v>
      </c>
      <c r="I585" s="6">
        <f>SalesData_2[[#This Row],[Unit Cost]]*SalesData_2[[#This Row],[Units Sold]]</f>
        <v>610.6</v>
      </c>
      <c r="J585" s="6">
        <f>SalesData_2[[#This Row],[Sales]]-SalesData_2[[#This Row],[COGS]]</f>
        <v>249.39999999999998</v>
      </c>
      <c r="K585" s="21">
        <f>SalesData_2[[#This Row],[Revenue]]/SalesData_2[[#This Row],[Sales]]</f>
        <v>0.28999999999999998</v>
      </c>
      <c r="L585" s="3" t="s">
        <v>47</v>
      </c>
      <c r="M585" s="3" t="s">
        <v>83</v>
      </c>
      <c r="N585" s="3" t="s">
        <v>85</v>
      </c>
    </row>
    <row r="586" spans="1:14" x14ac:dyDescent="0.3">
      <c r="A586" s="2">
        <v>44436</v>
      </c>
      <c r="B586" s="2">
        <v>44441</v>
      </c>
      <c r="C586">
        <v>5</v>
      </c>
      <c r="D586" s="3" t="s">
        <v>12</v>
      </c>
      <c r="E586" s="6">
        <v>320</v>
      </c>
      <c r="F586" s="6">
        <v>233.6</v>
      </c>
      <c r="G586">
        <v>2</v>
      </c>
      <c r="H586" s="6">
        <f>SalesData_2[[#This Row],[Unit Price]]*SalesData_2[[#This Row],[Units Sold]]</f>
        <v>640</v>
      </c>
      <c r="I586" s="6">
        <f>SalesData_2[[#This Row],[Unit Cost]]*SalesData_2[[#This Row],[Units Sold]]</f>
        <v>467.2</v>
      </c>
      <c r="J586" s="6">
        <f>SalesData_2[[#This Row],[Sales]]-SalesData_2[[#This Row],[COGS]]</f>
        <v>172.8</v>
      </c>
      <c r="K586" s="21">
        <f>SalesData_2[[#This Row],[Revenue]]/SalesData_2[[#This Row],[Sales]]</f>
        <v>0.27</v>
      </c>
      <c r="L586" s="3" t="s">
        <v>37</v>
      </c>
      <c r="M586" s="3" t="s">
        <v>79</v>
      </c>
      <c r="N586" s="3" t="s">
        <v>86</v>
      </c>
    </row>
    <row r="587" spans="1:14" x14ac:dyDescent="0.3">
      <c r="A587" s="2">
        <v>44436</v>
      </c>
      <c r="B587" s="2">
        <v>44440</v>
      </c>
      <c r="C587">
        <v>4</v>
      </c>
      <c r="D587" s="3" t="s">
        <v>17</v>
      </c>
      <c r="E587" s="6">
        <v>195</v>
      </c>
      <c r="F587" s="6">
        <v>138.44999999999999</v>
      </c>
      <c r="G587">
        <v>6</v>
      </c>
      <c r="H587" s="6">
        <f>SalesData_2[[#This Row],[Unit Price]]*SalesData_2[[#This Row],[Units Sold]]</f>
        <v>1170</v>
      </c>
      <c r="I587" s="6">
        <f>SalesData_2[[#This Row],[Unit Cost]]*SalesData_2[[#This Row],[Units Sold]]</f>
        <v>830.69999999999993</v>
      </c>
      <c r="J587" s="6">
        <f>SalesData_2[[#This Row],[Sales]]-SalesData_2[[#This Row],[COGS]]</f>
        <v>339.30000000000007</v>
      </c>
      <c r="K587" s="21">
        <f>SalesData_2[[#This Row],[Revenue]]/SalesData_2[[#This Row],[Sales]]</f>
        <v>0.29000000000000004</v>
      </c>
      <c r="L587" s="3" t="s">
        <v>70</v>
      </c>
      <c r="M587" s="3" t="s">
        <v>82</v>
      </c>
      <c r="N587" s="3" t="s">
        <v>85</v>
      </c>
    </row>
    <row r="588" spans="1:14" x14ac:dyDescent="0.3">
      <c r="A588" s="2">
        <v>44437</v>
      </c>
      <c r="B588" s="2">
        <v>44438</v>
      </c>
      <c r="C588">
        <v>1</v>
      </c>
      <c r="D588" s="3" t="s">
        <v>10</v>
      </c>
      <c r="E588" s="6">
        <v>390</v>
      </c>
      <c r="F588" s="6">
        <v>253.5</v>
      </c>
      <c r="G588">
        <v>3</v>
      </c>
      <c r="H588" s="6">
        <f>SalesData_2[[#This Row],[Unit Price]]*SalesData_2[[#This Row],[Units Sold]]</f>
        <v>1170</v>
      </c>
      <c r="I588" s="6">
        <f>SalesData_2[[#This Row],[Unit Cost]]*SalesData_2[[#This Row],[Units Sold]]</f>
        <v>760.5</v>
      </c>
      <c r="J588" s="6">
        <f>SalesData_2[[#This Row],[Sales]]-SalesData_2[[#This Row],[COGS]]</f>
        <v>409.5</v>
      </c>
      <c r="K588" s="21">
        <f>SalesData_2[[#This Row],[Revenue]]/SalesData_2[[#This Row],[Sales]]</f>
        <v>0.35</v>
      </c>
      <c r="L588" s="3" t="s">
        <v>34</v>
      </c>
      <c r="M588" s="3" t="s">
        <v>80</v>
      </c>
      <c r="N588" s="3" t="s">
        <v>86</v>
      </c>
    </row>
    <row r="589" spans="1:14" x14ac:dyDescent="0.3">
      <c r="A589" s="2">
        <v>44437</v>
      </c>
      <c r="B589" s="2">
        <v>44444</v>
      </c>
      <c r="C589">
        <v>7</v>
      </c>
      <c r="D589" s="3" t="s">
        <v>7</v>
      </c>
      <c r="E589" s="6">
        <v>250</v>
      </c>
      <c r="F589" s="6">
        <v>167.5</v>
      </c>
      <c r="G589">
        <v>8</v>
      </c>
      <c r="H589" s="6">
        <f>SalesData_2[[#This Row],[Unit Price]]*SalesData_2[[#This Row],[Units Sold]]</f>
        <v>2000</v>
      </c>
      <c r="I589" s="6">
        <f>SalesData_2[[#This Row],[Unit Cost]]*SalesData_2[[#This Row],[Units Sold]]</f>
        <v>1340</v>
      </c>
      <c r="J589" s="6">
        <f>SalesData_2[[#This Row],[Sales]]-SalesData_2[[#This Row],[COGS]]</f>
        <v>660</v>
      </c>
      <c r="K589" s="21">
        <f>SalesData_2[[#This Row],[Revenue]]/SalesData_2[[#This Row],[Sales]]</f>
        <v>0.33</v>
      </c>
      <c r="L589" s="3" t="s">
        <v>73</v>
      </c>
      <c r="M589" s="3" t="s">
        <v>80</v>
      </c>
      <c r="N589" s="3" t="s">
        <v>85</v>
      </c>
    </row>
    <row r="590" spans="1:14" x14ac:dyDescent="0.3">
      <c r="A590" s="2">
        <v>44439</v>
      </c>
      <c r="B590" s="2">
        <v>44444</v>
      </c>
      <c r="C590">
        <v>5</v>
      </c>
      <c r="D590" s="3" t="s">
        <v>19</v>
      </c>
      <c r="E590" s="6">
        <v>220</v>
      </c>
      <c r="F590" s="6">
        <v>154</v>
      </c>
      <c r="G590">
        <v>1</v>
      </c>
      <c r="H590" s="6">
        <f>SalesData_2[[#This Row],[Unit Price]]*SalesData_2[[#This Row],[Units Sold]]</f>
        <v>220</v>
      </c>
      <c r="I590" s="6">
        <f>SalesData_2[[#This Row],[Unit Cost]]*SalesData_2[[#This Row],[Units Sold]]</f>
        <v>154</v>
      </c>
      <c r="J590" s="6">
        <f>SalesData_2[[#This Row],[Sales]]-SalesData_2[[#This Row],[COGS]]</f>
        <v>66</v>
      </c>
      <c r="K590" s="21">
        <f>SalesData_2[[#This Row],[Revenue]]/SalesData_2[[#This Row],[Sales]]</f>
        <v>0.3</v>
      </c>
      <c r="L590" s="3" t="s">
        <v>35</v>
      </c>
      <c r="M590" s="3" t="s">
        <v>83</v>
      </c>
      <c r="N590" s="3" t="s">
        <v>85</v>
      </c>
    </row>
    <row r="591" spans="1:14" x14ac:dyDescent="0.3">
      <c r="A591" s="2">
        <v>44440</v>
      </c>
      <c r="B591" s="2">
        <v>44447</v>
      </c>
      <c r="C591">
        <v>7</v>
      </c>
      <c r="D591" s="3" t="s">
        <v>20</v>
      </c>
      <c r="E591" s="6">
        <v>440</v>
      </c>
      <c r="F591" s="6">
        <v>286</v>
      </c>
      <c r="G591">
        <v>7</v>
      </c>
      <c r="H591" s="6">
        <f>SalesData_2[[#This Row],[Unit Price]]*SalesData_2[[#This Row],[Units Sold]]</f>
        <v>3080</v>
      </c>
      <c r="I591" s="6">
        <f>SalesData_2[[#This Row],[Unit Cost]]*SalesData_2[[#This Row],[Units Sold]]</f>
        <v>2002</v>
      </c>
      <c r="J591" s="6">
        <f>SalesData_2[[#This Row],[Sales]]-SalesData_2[[#This Row],[COGS]]</f>
        <v>1078</v>
      </c>
      <c r="K591" s="21">
        <f>SalesData_2[[#This Row],[Revenue]]/SalesData_2[[#This Row],[Sales]]</f>
        <v>0.35</v>
      </c>
      <c r="L591" s="3" t="s">
        <v>49</v>
      </c>
      <c r="M591" s="3" t="s">
        <v>83</v>
      </c>
      <c r="N591" s="3" t="s">
        <v>85</v>
      </c>
    </row>
    <row r="592" spans="1:14" x14ac:dyDescent="0.3">
      <c r="A592" s="2">
        <v>44440</v>
      </c>
      <c r="B592" s="2">
        <v>44445</v>
      </c>
      <c r="C592">
        <v>5</v>
      </c>
      <c r="D592" s="3" t="s">
        <v>7</v>
      </c>
      <c r="E592" s="6">
        <v>250</v>
      </c>
      <c r="F592" s="6">
        <v>167.5</v>
      </c>
      <c r="G592">
        <v>8</v>
      </c>
      <c r="H592" s="6">
        <f>SalesData_2[[#This Row],[Unit Price]]*SalesData_2[[#This Row],[Units Sold]]</f>
        <v>2000</v>
      </c>
      <c r="I592" s="6">
        <f>SalesData_2[[#This Row],[Unit Cost]]*SalesData_2[[#This Row],[Units Sold]]</f>
        <v>1340</v>
      </c>
      <c r="J592" s="6">
        <f>SalesData_2[[#This Row],[Sales]]-SalesData_2[[#This Row],[COGS]]</f>
        <v>660</v>
      </c>
      <c r="K592" s="21">
        <f>SalesData_2[[#This Row],[Revenue]]/SalesData_2[[#This Row],[Sales]]</f>
        <v>0.33</v>
      </c>
      <c r="L592" s="3" t="s">
        <v>67</v>
      </c>
      <c r="M592" s="3" t="s">
        <v>82</v>
      </c>
      <c r="N592" s="3" t="s">
        <v>85</v>
      </c>
    </row>
    <row r="593" spans="1:14" x14ac:dyDescent="0.3">
      <c r="A593" s="2">
        <v>44442</v>
      </c>
      <c r="B593" s="2">
        <v>44448</v>
      </c>
      <c r="C593">
        <v>6</v>
      </c>
      <c r="D593" s="3" t="s">
        <v>16</v>
      </c>
      <c r="E593" s="6">
        <v>145</v>
      </c>
      <c r="F593" s="6">
        <v>105.85</v>
      </c>
      <c r="G593">
        <v>5</v>
      </c>
      <c r="H593" s="6">
        <f>SalesData_2[[#This Row],[Unit Price]]*SalesData_2[[#This Row],[Units Sold]]</f>
        <v>725</v>
      </c>
      <c r="I593" s="6">
        <f>SalesData_2[[#This Row],[Unit Cost]]*SalesData_2[[#This Row],[Units Sold]]</f>
        <v>529.25</v>
      </c>
      <c r="J593" s="6">
        <f>SalesData_2[[#This Row],[Sales]]-SalesData_2[[#This Row],[COGS]]</f>
        <v>195.75</v>
      </c>
      <c r="K593" s="21">
        <f>SalesData_2[[#This Row],[Revenue]]/SalesData_2[[#This Row],[Sales]]</f>
        <v>0.27</v>
      </c>
      <c r="L593" s="3" t="s">
        <v>65</v>
      </c>
      <c r="M593" s="3" t="s">
        <v>79</v>
      </c>
      <c r="N593" s="3" t="s">
        <v>86</v>
      </c>
    </row>
    <row r="594" spans="1:14" x14ac:dyDescent="0.3">
      <c r="A594" s="2">
        <v>44444</v>
      </c>
      <c r="B594" s="2">
        <v>44447</v>
      </c>
      <c r="C594">
        <v>3</v>
      </c>
      <c r="D594" s="3" t="s">
        <v>4</v>
      </c>
      <c r="E594" s="6">
        <v>390</v>
      </c>
      <c r="F594" s="6">
        <v>288.60000000000002</v>
      </c>
      <c r="G594">
        <v>8</v>
      </c>
      <c r="H594" s="6">
        <f>SalesData_2[[#This Row],[Unit Price]]*SalesData_2[[#This Row],[Units Sold]]</f>
        <v>3120</v>
      </c>
      <c r="I594" s="6">
        <f>SalesData_2[[#This Row],[Unit Cost]]*SalesData_2[[#This Row],[Units Sold]]</f>
        <v>2308.8000000000002</v>
      </c>
      <c r="J594" s="6">
        <f>SalesData_2[[#This Row],[Sales]]-SalesData_2[[#This Row],[COGS]]</f>
        <v>811.19999999999982</v>
      </c>
      <c r="K594" s="21">
        <f>SalesData_2[[#This Row],[Revenue]]/SalesData_2[[#This Row],[Sales]]</f>
        <v>0.25999999999999995</v>
      </c>
      <c r="L594" s="3" t="s">
        <v>71</v>
      </c>
      <c r="M594" s="3" t="s">
        <v>81</v>
      </c>
      <c r="N594" s="3" t="s">
        <v>85</v>
      </c>
    </row>
    <row r="595" spans="1:14" x14ac:dyDescent="0.3">
      <c r="A595" s="2">
        <v>44447</v>
      </c>
      <c r="B595" s="2">
        <v>44450</v>
      </c>
      <c r="C595">
        <v>3</v>
      </c>
      <c r="D595" s="3" t="s">
        <v>12</v>
      </c>
      <c r="E595" s="6">
        <v>320</v>
      </c>
      <c r="F595" s="6">
        <v>233.6</v>
      </c>
      <c r="G595">
        <v>1</v>
      </c>
      <c r="H595" s="6">
        <f>SalesData_2[[#This Row],[Unit Price]]*SalesData_2[[#This Row],[Units Sold]]</f>
        <v>320</v>
      </c>
      <c r="I595" s="6">
        <f>SalesData_2[[#This Row],[Unit Cost]]*SalesData_2[[#This Row],[Units Sold]]</f>
        <v>233.6</v>
      </c>
      <c r="J595" s="6">
        <f>SalesData_2[[#This Row],[Sales]]-SalesData_2[[#This Row],[COGS]]</f>
        <v>86.4</v>
      </c>
      <c r="K595" s="21">
        <f>SalesData_2[[#This Row],[Revenue]]/SalesData_2[[#This Row],[Sales]]</f>
        <v>0.27</v>
      </c>
      <c r="L595" s="3" t="s">
        <v>32</v>
      </c>
      <c r="M595" s="3" t="s">
        <v>80</v>
      </c>
      <c r="N595" s="3" t="s">
        <v>85</v>
      </c>
    </row>
    <row r="596" spans="1:14" x14ac:dyDescent="0.3">
      <c r="A596" s="2">
        <v>44447</v>
      </c>
      <c r="B596" s="2">
        <v>44454</v>
      </c>
      <c r="C596">
        <v>7</v>
      </c>
      <c r="D596" s="3" t="s">
        <v>11</v>
      </c>
      <c r="E596" s="6">
        <v>490</v>
      </c>
      <c r="F596" s="6">
        <v>298.89999999999998</v>
      </c>
      <c r="G596">
        <v>8</v>
      </c>
      <c r="H596" s="6">
        <f>SalesData_2[[#This Row],[Unit Price]]*SalesData_2[[#This Row],[Units Sold]]</f>
        <v>3920</v>
      </c>
      <c r="I596" s="6">
        <f>SalesData_2[[#This Row],[Unit Cost]]*SalesData_2[[#This Row],[Units Sold]]</f>
        <v>2391.1999999999998</v>
      </c>
      <c r="J596" s="6">
        <f>SalesData_2[[#This Row],[Sales]]-SalesData_2[[#This Row],[COGS]]</f>
        <v>1528.8000000000002</v>
      </c>
      <c r="K596" s="21">
        <f>SalesData_2[[#This Row],[Revenue]]/SalesData_2[[#This Row],[Sales]]</f>
        <v>0.39000000000000007</v>
      </c>
      <c r="L596" s="3" t="s">
        <v>75</v>
      </c>
      <c r="M596" s="3" t="s">
        <v>79</v>
      </c>
      <c r="N596" s="3" t="s">
        <v>86</v>
      </c>
    </row>
    <row r="597" spans="1:14" x14ac:dyDescent="0.3">
      <c r="A597" s="2">
        <v>44447</v>
      </c>
      <c r="B597" s="2">
        <v>44450</v>
      </c>
      <c r="C597">
        <v>3</v>
      </c>
      <c r="D597" s="3" t="s">
        <v>15</v>
      </c>
      <c r="E597" s="6">
        <v>110</v>
      </c>
      <c r="F597" s="6">
        <v>78.099999999999994</v>
      </c>
      <c r="G597">
        <v>4</v>
      </c>
      <c r="H597" s="6">
        <f>SalesData_2[[#This Row],[Unit Price]]*SalesData_2[[#This Row],[Units Sold]]</f>
        <v>440</v>
      </c>
      <c r="I597" s="6">
        <f>SalesData_2[[#This Row],[Unit Cost]]*SalesData_2[[#This Row],[Units Sold]]</f>
        <v>312.39999999999998</v>
      </c>
      <c r="J597" s="6">
        <f>SalesData_2[[#This Row],[Sales]]-SalesData_2[[#This Row],[COGS]]</f>
        <v>127.60000000000002</v>
      </c>
      <c r="K597" s="21">
        <f>SalesData_2[[#This Row],[Revenue]]/SalesData_2[[#This Row],[Sales]]</f>
        <v>0.29000000000000004</v>
      </c>
      <c r="L597" s="3" t="s">
        <v>67</v>
      </c>
      <c r="M597" s="3" t="s">
        <v>83</v>
      </c>
      <c r="N597" s="3" t="s">
        <v>86</v>
      </c>
    </row>
    <row r="598" spans="1:14" x14ac:dyDescent="0.3">
      <c r="A598" s="2">
        <v>44449</v>
      </c>
      <c r="B598" s="2">
        <v>44452</v>
      </c>
      <c r="C598">
        <v>3</v>
      </c>
      <c r="D598" s="3" t="s">
        <v>19</v>
      </c>
      <c r="E598" s="6">
        <v>220</v>
      </c>
      <c r="F598" s="6">
        <v>154</v>
      </c>
      <c r="G598">
        <v>2</v>
      </c>
      <c r="H598" s="6">
        <f>SalesData_2[[#This Row],[Unit Price]]*SalesData_2[[#This Row],[Units Sold]]</f>
        <v>440</v>
      </c>
      <c r="I598" s="6">
        <f>SalesData_2[[#This Row],[Unit Cost]]*SalesData_2[[#This Row],[Units Sold]]</f>
        <v>308</v>
      </c>
      <c r="J598" s="6">
        <f>SalesData_2[[#This Row],[Sales]]-SalesData_2[[#This Row],[COGS]]</f>
        <v>132</v>
      </c>
      <c r="K598" s="21">
        <f>SalesData_2[[#This Row],[Revenue]]/SalesData_2[[#This Row],[Sales]]</f>
        <v>0.3</v>
      </c>
      <c r="L598" s="3" t="s">
        <v>73</v>
      </c>
      <c r="M598" s="3" t="s">
        <v>79</v>
      </c>
      <c r="N598" s="3" t="s">
        <v>85</v>
      </c>
    </row>
    <row r="599" spans="1:14" x14ac:dyDescent="0.3">
      <c r="A599" s="2">
        <v>44450</v>
      </c>
      <c r="B599" s="2">
        <v>44457</v>
      </c>
      <c r="C599">
        <v>7</v>
      </c>
      <c r="D599" s="3" t="s">
        <v>21</v>
      </c>
      <c r="E599" s="6">
        <v>355</v>
      </c>
      <c r="F599" s="6">
        <v>252.05</v>
      </c>
      <c r="G599">
        <v>4</v>
      </c>
      <c r="H599" s="6">
        <f>SalesData_2[[#This Row],[Unit Price]]*SalesData_2[[#This Row],[Units Sold]]</f>
        <v>1420</v>
      </c>
      <c r="I599" s="6">
        <f>SalesData_2[[#This Row],[Unit Cost]]*SalesData_2[[#This Row],[Units Sold]]</f>
        <v>1008.2</v>
      </c>
      <c r="J599" s="6">
        <f>SalesData_2[[#This Row],[Sales]]-SalesData_2[[#This Row],[COGS]]</f>
        <v>411.79999999999995</v>
      </c>
      <c r="K599" s="21">
        <f>SalesData_2[[#This Row],[Revenue]]/SalesData_2[[#This Row],[Sales]]</f>
        <v>0.28999999999999998</v>
      </c>
      <c r="L599" s="3" t="s">
        <v>41</v>
      </c>
      <c r="M599" s="3" t="s">
        <v>83</v>
      </c>
      <c r="N599" s="3" t="s">
        <v>85</v>
      </c>
    </row>
    <row r="600" spans="1:14" x14ac:dyDescent="0.3">
      <c r="A600" s="2">
        <v>44450</v>
      </c>
      <c r="B600" s="2">
        <v>44452</v>
      </c>
      <c r="C600">
        <v>2</v>
      </c>
      <c r="D600" s="3" t="s">
        <v>3</v>
      </c>
      <c r="E600" s="6">
        <v>95</v>
      </c>
      <c r="F600" s="6">
        <v>60.8</v>
      </c>
      <c r="G600">
        <v>4</v>
      </c>
      <c r="H600" s="6">
        <f>SalesData_2[[#This Row],[Unit Price]]*SalesData_2[[#This Row],[Units Sold]]</f>
        <v>380</v>
      </c>
      <c r="I600" s="6">
        <f>SalesData_2[[#This Row],[Unit Cost]]*SalesData_2[[#This Row],[Units Sold]]</f>
        <v>243.2</v>
      </c>
      <c r="J600" s="6">
        <f>SalesData_2[[#This Row],[Sales]]-SalesData_2[[#This Row],[COGS]]</f>
        <v>136.80000000000001</v>
      </c>
      <c r="K600" s="21">
        <f>SalesData_2[[#This Row],[Revenue]]/SalesData_2[[#This Row],[Sales]]</f>
        <v>0.36000000000000004</v>
      </c>
      <c r="L600" s="3" t="s">
        <v>38</v>
      </c>
      <c r="M600" s="3" t="s">
        <v>80</v>
      </c>
      <c r="N600" s="3" t="s">
        <v>85</v>
      </c>
    </row>
    <row r="601" spans="1:14" x14ac:dyDescent="0.3">
      <c r="A601" s="2">
        <v>44453</v>
      </c>
      <c r="B601" s="2">
        <v>44455</v>
      </c>
      <c r="C601">
        <v>2</v>
      </c>
      <c r="D601" s="3" t="s">
        <v>20</v>
      </c>
      <c r="E601" s="6">
        <v>440</v>
      </c>
      <c r="F601" s="6">
        <v>286</v>
      </c>
      <c r="G601">
        <v>6</v>
      </c>
      <c r="H601" s="6">
        <f>SalesData_2[[#This Row],[Unit Price]]*SalesData_2[[#This Row],[Units Sold]]</f>
        <v>2640</v>
      </c>
      <c r="I601" s="6">
        <f>SalesData_2[[#This Row],[Unit Cost]]*SalesData_2[[#This Row],[Units Sold]]</f>
        <v>1716</v>
      </c>
      <c r="J601" s="6">
        <f>SalesData_2[[#This Row],[Sales]]-SalesData_2[[#This Row],[COGS]]</f>
        <v>924</v>
      </c>
      <c r="K601" s="21">
        <f>SalesData_2[[#This Row],[Revenue]]/SalesData_2[[#This Row],[Sales]]</f>
        <v>0.35</v>
      </c>
      <c r="L601" s="3" t="s">
        <v>66</v>
      </c>
      <c r="M601" s="3" t="s">
        <v>79</v>
      </c>
      <c r="N601" s="3" t="s">
        <v>85</v>
      </c>
    </row>
    <row r="602" spans="1:14" x14ac:dyDescent="0.3">
      <c r="A602" s="2">
        <v>44453</v>
      </c>
      <c r="B602" s="2">
        <v>44456</v>
      </c>
      <c r="C602">
        <v>3</v>
      </c>
      <c r="D602" s="3" t="s">
        <v>23</v>
      </c>
      <c r="E602" s="6">
        <v>275</v>
      </c>
      <c r="F602" s="6">
        <v>200.75</v>
      </c>
      <c r="G602">
        <v>4</v>
      </c>
      <c r="H602" s="6">
        <f>SalesData_2[[#This Row],[Unit Price]]*SalesData_2[[#This Row],[Units Sold]]</f>
        <v>1100</v>
      </c>
      <c r="I602" s="6">
        <f>SalesData_2[[#This Row],[Unit Cost]]*SalesData_2[[#This Row],[Units Sold]]</f>
        <v>803</v>
      </c>
      <c r="J602" s="6">
        <f>SalesData_2[[#This Row],[Sales]]-SalesData_2[[#This Row],[COGS]]</f>
        <v>297</v>
      </c>
      <c r="K602" s="21">
        <f>SalesData_2[[#This Row],[Revenue]]/SalesData_2[[#This Row],[Sales]]</f>
        <v>0.27</v>
      </c>
      <c r="L602" s="3" t="s">
        <v>30</v>
      </c>
      <c r="M602" s="3" t="s">
        <v>81</v>
      </c>
      <c r="N602" s="3" t="s">
        <v>86</v>
      </c>
    </row>
    <row r="603" spans="1:14" x14ac:dyDescent="0.3">
      <c r="A603" s="2">
        <v>44455</v>
      </c>
      <c r="B603" s="2">
        <v>44462</v>
      </c>
      <c r="C603">
        <v>7</v>
      </c>
      <c r="D603" s="3" t="s">
        <v>23</v>
      </c>
      <c r="E603" s="6">
        <v>275</v>
      </c>
      <c r="F603" s="6">
        <v>200.75</v>
      </c>
      <c r="G603">
        <v>5</v>
      </c>
      <c r="H603" s="6">
        <f>SalesData_2[[#This Row],[Unit Price]]*SalesData_2[[#This Row],[Units Sold]]</f>
        <v>1375</v>
      </c>
      <c r="I603" s="6">
        <f>SalesData_2[[#This Row],[Unit Cost]]*SalesData_2[[#This Row],[Units Sold]]</f>
        <v>1003.75</v>
      </c>
      <c r="J603" s="6">
        <f>SalesData_2[[#This Row],[Sales]]-SalesData_2[[#This Row],[COGS]]</f>
        <v>371.25</v>
      </c>
      <c r="K603" s="21">
        <f>SalesData_2[[#This Row],[Revenue]]/SalesData_2[[#This Row],[Sales]]</f>
        <v>0.27</v>
      </c>
      <c r="L603" s="3" t="s">
        <v>66</v>
      </c>
      <c r="M603" s="3" t="s">
        <v>81</v>
      </c>
      <c r="N603" s="3" t="s">
        <v>85</v>
      </c>
    </row>
    <row r="604" spans="1:14" x14ac:dyDescent="0.3">
      <c r="A604" s="2">
        <v>44456</v>
      </c>
      <c r="B604" s="2">
        <v>44463</v>
      </c>
      <c r="C604">
        <v>7</v>
      </c>
      <c r="D604" s="3" t="s">
        <v>23</v>
      </c>
      <c r="E604" s="6">
        <v>275</v>
      </c>
      <c r="F604" s="6">
        <v>200.75</v>
      </c>
      <c r="G604">
        <v>1</v>
      </c>
      <c r="H604" s="6">
        <f>SalesData_2[[#This Row],[Unit Price]]*SalesData_2[[#This Row],[Units Sold]]</f>
        <v>275</v>
      </c>
      <c r="I604" s="6">
        <f>SalesData_2[[#This Row],[Unit Cost]]*SalesData_2[[#This Row],[Units Sold]]</f>
        <v>200.75</v>
      </c>
      <c r="J604" s="6">
        <f>SalesData_2[[#This Row],[Sales]]-SalesData_2[[#This Row],[COGS]]</f>
        <v>74.25</v>
      </c>
      <c r="K604" s="21">
        <f>SalesData_2[[#This Row],[Revenue]]/SalesData_2[[#This Row],[Sales]]</f>
        <v>0.27</v>
      </c>
      <c r="L604" s="3" t="s">
        <v>41</v>
      </c>
      <c r="M604" s="3" t="s">
        <v>80</v>
      </c>
      <c r="N604" s="3" t="s">
        <v>85</v>
      </c>
    </row>
    <row r="605" spans="1:14" x14ac:dyDescent="0.3">
      <c r="A605" s="2">
        <v>44456</v>
      </c>
      <c r="B605" s="2">
        <v>44459</v>
      </c>
      <c r="C605">
        <v>3</v>
      </c>
      <c r="D605" s="3" t="s">
        <v>18</v>
      </c>
      <c r="E605" s="6">
        <v>80</v>
      </c>
      <c r="F605" s="6">
        <v>48.8</v>
      </c>
      <c r="G605">
        <v>2</v>
      </c>
      <c r="H605" s="6">
        <f>SalesData_2[[#This Row],[Unit Price]]*SalesData_2[[#This Row],[Units Sold]]</f>
        <v>160</v>
      </c>
      <c r="I605" s="6">
        <f>SalesData_2[[#This Row],[Unit Cost]]*SalesData_2[[#This Row],[Units Sold]]</f>
        <v>97.6</v>
      </c>
      <c r="J605" s="6">
        <f>SalesData_2[[#This Row],[Sales]]-SalesData_2[[#This Row],[COGS]]</f>
        <v>62.400000000000006</v>
      </c>
      <c r="K605" s="21">
        <f>SalesData_2[[#This Row],[Revenue]]/SalesData_2[[#This Row],[Sales]]</f>
        <v>0.39</v>
      </c>
      <c r="L605" s="3" t="s">
        <v>31</v>
      </c>
      <c r="M605" s="3" t="s">
        <v>82</v>
      </c>
      <c r="N605" s="3" t="s">
        <v>86</v>
      </c>
    </row>
    <row r="606" spans="1:14" x14ac:dyDescent="0.3">
      <c r="A606" s="2">
        <v>44456</v>
      </c>
      <c r="B606" s="2">
        <v>44463</v>
      </c>
      <c r="C606">
        <v>7</v>
      </c>
      <c r="D606" s="3" t="s">
        <v>15</v>
      </c>
      <c r="E606" s="6">
        <v>110</v>
      </c>
      <c r="F606" s="6">
        <v>78.099999999999994</v>
      </c>
      <c r="G606">
        <v>4</v>
      </c>
      <c r="H606" s="6">
        <f>SalesData_2[[#This Row],[Unit Price]]*SalesData_2[[#This Row],[Units Sold]]</f>
        <v>440</v>
      </c>
      <c r="I606" s="6">
        <f>SalesData_2[[#This Row],[Unit Cost]]*SalesData_2[[#This Row],[Units Sold]]</f>
        <v>312.39999999999998</v>
      </c>
      <c r="J606" s="6">
        <f>SalesData_2[[#This Row],[Sales]]-SalesData_2[[#This Row],[COGS]]</f>
        <v>127.60000000000002</v>
      </c>
      <c r="K606" s="21">
        <f>SalesData_2[[#This Row],[Revenue]]/SalesData_2[[#This Row],[Sales]]</f>
        <v>0.29000000000000004</v>
      </c>
      <c r="L606" s="3" t="s">
        <v>34</v>
      </c>
      <c r="M606" s="3" t="s">
        <v>79</v>
      </c>
      <c r="N606" s="3" t="s">
        <v>85</v>
      </c>
    </row>
    <row r="607" spans="1:14" x14ac:dyDescent="0.3">
      <c r="A607" s="2">
        <v>44456</v>
      </c>
      <c r="B607" s="2">
        <v>44462</v>
      </c>
      <c r="C607">
        <v>6</v>
      </c>
      <c r="D607" s="3" t="s">
        <v>21</v>
      </c>
      <c r="E607" s="6">
        <v>355</v>
      </c>
      <c r="F607" s="6">
        <v>252.05</v>
      </c>
      <c r="G607">
        <v>7</v>
      </c>
      <c r="H607" s="6">
        <f>SalesData_2[[#This Row],[Unit Price]]*SalesData_2[[#This Row],[Units Sold]]</f>
        <v>2485</v>
      </c>
      <c r="I607" s="6">
        <f>SalesData_2[[#This Row],[Unit Cost]]*SalesData_2[[#This Row],[Units Sold]]</f>
        <v>1764.3500000000001</v>
      </c>
      <c r="J607" s="6">
        <f>SalesData_2[[#This Row],[Sales]]-SalesData_2[[#This Row],[COGS]]</f>
        <v>720.64999999999986</v>
      </c>
      <c r="K607" s="21">
        <f>SalesData_2[[#This Row],[Revenue]]/SalesData_2[[#This Row],[Sales]]</f>
        <v>0.28999999999999992</v>
      </c>
      <c r="L607" s="3" t="s">
        <v>64</v>
      </c>
      <c r="M607" s="3" t="s">
        <v>82</v>
      </c>
      <c r="N607" s="3" t="s">
        <v>85</v>
      </c>
    </row>
    <row r="608" spans="1:14" x14ac:dyDescent="0.3">
      <c r="A608" s="2">
        <v>44459</v>
      </c>
      <c r="B608" s="2">
        <v>44461</v>
      </c>
      <c r="C608">
        <v>2</v>
      </c>
      <c r="D608" s="3" t="s">
        <v>12</v>
      </c>
      <c r="E608" s="6">
        <v>320</v>
      </c>
      <c r="F608" s="6">
        <v>233.6</v>
      </c>
      <c r="G608">
        <v>7</v>
      </c>
      <c r="H608" s="6">
        <f>SalesData_2[[#This Row],[Unit Price]]*SalesData_2[[#This Row],[Units Sold]]</f>
        <v>2240</v>
      </c>
      <c r="I608" s="6">
        <f>SalesData_2[[#This Row],[Unit Cost]]*SalesData_2[[#This Row],[Units Sold]]</f>
        <v>1635.2</v>
      </c>
      <c r="J608" s="6">
        <f>SalesData_2[[#This Row],[Sales]]-SalesData_2[[#This Row],[COGS]]</f>
        <v>604.79999999999995</v>
      </c>
      <c r="K608" s="21">
        <f>SalesData_2[[#This Row],[Revenue]]/SalesData_2[[#This Row],[Sales]]</f>
        <v>0.26999999999999996</v>
      </c>
      <c r="L608" s="3" t="s">
        <v>53</v>
      </c>
      <c r="M608" s="3" t="s">
        <v>79</v>
      </c>
      <c r="N608" s="3" t="s">
        <v>85</v>
      </c>
    </row>
    <row r="609" spans="1:14" x14ac:dyDescent="0.3">
      <c r="A609" s="2">
        <v>44460</v>
      </c>
      <c r="B609" s="2">
        <v>44462</v>
      </c>
      <c r="C609">
        <v>2</v>
      </c>
      <c r="D609" s="3" t="s">
        <v>19</v>
      </c>
      <c r="E609" s="6">
        <v>220</v>
      </c>
      <c r="F609" s="6">
        <v>154</v>
      </c>
      <c r="G609">
        <v>4</v>
      </c>
      <c r="H609" s="6">
        <f>SalesData_2[[#This Row],[Unit Price]]*SalesData_2[[#This Row],[Units Sold]]</f>
        <v>880</v>
      </c>
      <c r="I609" s="6">
        <f>SalesData_2[[#This Row],[Unit Cost]]*SalesData_2[[#This Row],[Units Sold]]</f>
        <v>616</v>
      </c>
      <c r="J609" s="6">
        <f>SalesData_2[[#This Row],[Sales]]-SalesData_2[[#This Row],[COGS]]</f>
        <v>264</v>
      </c>
      <c r="K609" s="21">
        <f>SalesData_2[[#This Row],[Revenue]]/SalesData_2[[#This Row],[Sales]]</f>
        <v>0.3</v>
      </c>
      <c r="L609" s="3" t="s">
        <v>65</v>
      </c>
      <c r="M609" s="3" t="s">
        <v>83</v>
      </c>
      <c r="N609" s="3" t="s">
        <v>86</v>
      </c>
    </row>
    <row r="610" spans="1:14" x14ac:dyDescent="0.3">
      <c r="A610" s="2">
        <v>44461</v>
      </c>
      <c r="B610" s="2">
        <v>44462</v>
      </c>
      <c r="C610">
        <v>1</v>
      </c>
      <c r="D610" s="3" t="s">
        <v>5</v>
      </c>
      <c r="E610" s="6">
        <v>290</v>
      </c>
      <c r="F610" s="6">
        <v>185.6</v>
      </c>
      <c r="G610">
        <v>2</v>
      </c>
      <c r="H610" s="6">
        <f>SalesData_2[[#This Row],[Unit Price]]*SalesData_2[[#This Row],[Units Sold]]</f>
        <v>580</v>
      </c>
      <c r="I610" s="6">
        <f>SalesData_2[[#This Row],[Unit Cost]]*SalesData_2[[#This Row],[Units Sold]]</f>
        <v>371.2</v>
      </c>
      <c r="J610" s="6">
        <f>SalesData_2[[#This Row],[Sales]]-SalesData_2[[#This Row],[COGS]]</f>
        <v>208.8</v>
      </c>
      <c r="K610" s="21">
        <f>SalesData_2[[#This Row],[Revenue]]/SalesData_2[[#This Row],[Sales]]</f>
        <v>0.36000000000000004</v>
      </c>
      <c r="L610" s="3" t="s">
        <v>76</v>
      </c>
      <c r="M610" s="3" t="s">
        <v>79</v>
      </c>
      <c r="N610" s="3" t="s">
        <v>85</v>
      </c>
    </row>
    <row r="611" spans="1:14" x14ac:dyDescent="0.3">
      <c r="A611" s="2">
        <v>44462</v>
      </c>
      <c r="B611" s="2">
        <v>44467</v>
      </c>
      <c r="C611">
        <v>5</v>
      </c>
      <c r="D611" s="3" t="s">
        <v>7</v>
      </c>
      <c r="E611" s="6">
        <v>250</v>
      </c>
      <c r="F611" s="6">
        <v>167.5</v>
      </c>
      <c r="G611">
        <v>1</v>
      </c>
      <c r="H611" s="6">
        <f>SalesData_2[[#This Row],[Unit Price]]*SalesData_2[[#This Row],[Units Sold]]</f>
        <v>250</v>
      </c>
      <c r="I611" s="6">
        <f>SalesData_2[[#This Row],[Unit Cost]]*SalesData_2[[#This Row],[Units Sold]]</f>
        <v>167.5</v>
      </c>
      <c r="J611" s="6">
        <f>SalesData_2[[#This Row],[Sales]]-SalesData_2[[#This Row],[COGS]]</f>
        <v>82.5</v>
      </c>
      <c r="K611" s="21">
        <f>SalesData_2[[#This Row],[Revenue]]/SalesData_2[[#This Row],[Sales]]</f>
        <v>0.33</v>
      </c>
      <c r="L611" s="3" t="s">
        <v>62</v>
      </c>
      <c r="M611" s="3" t="s">
        <v>83</v>
      </c>
      <c r="N611" s="3" t="s">
        <v>86</v>
      </c>
    </row>
    <row r="612" spans="1:14" x14ac:dyDescent="0.3">
      <c r="A612" s="2">
        <v>44463</v>
      </c>
      <c r="B612" s="2">
        <v>44465</v>
      </c>
      <c r="C612">
        <v>2</v>
      </c>
      <c r="D612" s="3" t="s">
        <v>14</v>
      </c>
      <c r="E612" s="6">
        <v>375</v>
      </c>
      <c r="F612" s="6">
        <v>247.5</v>
      </c>
      <c r="G612">
        <v>4</v>
      </c>
      <c r="H612" s="6">
        <f>SalesData_2[[#This Row],[Unit Price]]*SalesData_2[[#This Row],[Units Sold]]</f>
        <v>1500</v>
      </c>
      <c r="I612" s="6">
        <f>SalesData_2[[#This Row],[Unit Cost]]*SalesData_2[[#This Row],[Units Sold]]</f>
        <v>990</v>
      </c>
      <c r="J612" s="6">
        <f>SalesData_2[[#This Row],[Sales]]-SalesData_2[[#This Row],[COGS]]</f>
        <v>510</v>
      </c>
      <c r="K612" s="21">
        <f>SalesData_2[[#This Row],[Revenue]]/SalesData_2[[#This Row],[Sales]]</f>
        <v>0.34</v>
      </c>
      <c r="L612" s="3" t="s">
        <v>35</v>
      </c>
      <c r="M612" s="3" t="s">
        <v>80</v>
      </c>
      <c r="N612" s="3" t="s">
        <v>85</v>
      </c>
    </row>
    <row r="613" spans="1:14" x14ac:dyDescent="0.3">
      <c r="A613" s="2">
        <v>44464</v>
      </c>
      <c r="B613" s="2">
        <v>44468</v>
      </c>
      <c r="C613">
        <v>4</v>
      </c>
      <c r="D613" s="3" t="s">
        <v>2</v>
      </c>
      <c r="E613" s="6">
        <v>250</v>
      </c>
      <c r="F613" s="6">
        <v>187.5</v>
      </c>
      <c r="G613">
        <v>3</v>
      </c>
      <c r="H613" s="6">
        <f>SalesData_2[[#This Row],[Unit Price]]*SalesData_2[[#This Row],[Units Sold]]</f>
        <v>750</v>
      </c>
      <c r="I613" s="6">
        <f>SalesData_2[[#This Row],[Unit Cost]]*SalesData_2[[#This Row],[Units Sold]]</f>
        <v>562.5</v>
      </c>
      <c r="J613" s="6">
        <f>SalesData_2[[#This Row],[Sales]]-SalesData_2[[#This Row],[COGS]]</f>
        <v>187.5</v>
      </c>
      <c r="K613" s="21">
        <f>SalesData_2[[#This Row],[Revenue]]/SalesData_2[[#This Row],[Sales]]</f>
        <v>0.25</v>
      </c>
      <c r="L613" s="3" t="s">
        <v>71</v>
      </c>
      <c r="M613" s="3" t="s">
        <v>83</v>
      </c>
      <c r="N613" s="3" t="s">
        <v>86</v>
      </c>
    </row>
    <row r="614" spans="1:14" x14ac:dyDescent="0.3">
      <c r="A614" s="2">
        <v>44464</v>
      </c>
      <c r="B614" s="2">
        <v>44471</v>
      </c>
      <c r="C614">
        <v>7</v>
      </c>
      <c r="D614" s="3" t="s">
        <v>17</v>
      </c>
      <c r="E614" s="6">
        <v>195</v>
      </c>
      <c r="F614" s="6">
        <v>138.44999999999999</v>
      </c>
      <c r="G614">
        <v>8</v>
      </c>
      <c r="H614" s="6">
        <f>SalesData_2[[#This Row],[Unit Price]]*SalesData_2[[#This Row],[Units Sold]]</f>
        <v>1560</v>
      </c>
      <c r="I614" s="6">
        <f>SalesData_2[[#This Row],[Unit Cost]]*SalesData_2[[#This Row],[Units Sold]]</f>
        <v>1107.5999999999999</v>
      </c>
      <c r="J614" s="6">
        <f>SalesData_2[[#This Row],[Sales]]-SalesData_2[[#This Row],[COGS]]</f>
        <v>452.40000000000009</v>
      </c>
      <c r="K614" s="21">
        <f>SalesData_2[[#This Row],[Revenue]]/SalesData_2[[#This Row],[Sales]]</f>
        <v>0.29000000000000004</v>
      </c>
      <c r="L614" s="3" t="s">
        <v>67</v>
      </c>
      <c r="M614" s="3" t="s">
        <v>82</v>
      </c>
      <c r="N614" s="3" t="s">
        <v>85</v>
      </c>
    </row>
    <row r="615" spans="1:14" x14ac:dyDescent="0.3">
      <c r="A615" s="2">
        <v>44465</v>
      </c>
      <c r="B615" s="2">
        <v>44466</v>
      </c>
      <c r="C615">
        <v>1</v>
      </c>
      <c r="D615" s="3" t="s">
        <v>5</v>
      </c>
      <c r="E615" s="6">
        <v>290</v>
      </c>
      <c r="F615" s="6">
        <v>185.6</v>
      </c>
      <c r="G615">
        <v>3</v>
      </c>
      <c r="H615" s="6">
        <f>SalesData_2[[#This Row],[Unit Price]]*SalesData_2[[#This Row],[Units Sold]]</f>
        <v>870</v>
      </c>
      <c r="I615" s="6">
        <f>SalesData_2[[#This Row],[Unit Cost]]*SalesData_2[[#This Row],[Units Sold]]</f>
        <v>556.79999999999995</v>
      </c>
      <c r="J615" s="6">
        <f>SalesData_2[[#This Row],[Sales]]-SalesData_2[[#This Row],[COGS]]</f>
        <v>313.20000000000005</v>
      </c>
      <c r="K615" s="21">
        <f>SalesData_2[[#This Row],[Revenue]]/SalesData_2[[#This Row],[Sales]]</f>
        <v>0.36000000000000004</v>
      </c>
      <c r="L615" s="3" t="s">
        <v>51</v>
      </c>
      <c r="M615" s="3" t="s">
        <v>82</v>
      </c>
      <c r="N615" s="3" t="s">
        <v>86</v>
      </c>
    </row>
    <row r="616" spans="1:14" x14ac:dyDescent="0.3">
      <c r="A616" s="2">
        <v>44466</v>
      </c>
      <c r="B616" s="2">
        <v>44469</v>
      </c>
      <c r="C616">
        <v>3</v>
      </c>
      <c r="D616" s="3" t="s">
        <v>21</v>
      </c>
      <c r="E616" s="6">
        <v>355</v>
      </c>
      <c r="F616" s="6">
        <v>252.05</v>
      </c>
      <c r="G616">
        <v>1</v>
      </c>
      <c r="H616" s="6">
        <f>SalesData_2[[#This Row],[Unit Price]]*SalesData_2[[#This Row],[Units Sold]]</f>
        <v>355</v>
      </c>
      <c r="I616" s="6">
        <f>SalesData_2[[#This Row],[Unit Cost]]*SalesData_2[[#This Row],[Units Sold]]</f>
        <v>252.05</v>
      </c>
      <c r="J616" s="6">
        <f>SalesData_2[[#This Row],[Sales]]-SalesData_2[[#This Row],[COGS]]</f>
        <v>102.94999999999999</v>
      </c>
      <c r="K616" s="21">
        <f>SalesData_2[[#This Row],[Revenue]]/SalesData_2[[#This Row],[Sales]]</f>
        <v>0.28999999999999998</v>
      </c>
      <c r="L616" s="3" t="s">
        <v>68</v>
      </c>
      <c r="M616" s="3" t="s">
        <v>81</v>
      </c>
      <c r="N616" s="3" t="s">
        <v>85</v>
      </c>
    </row>
    <row r="617" spans="1:14" x14ac:dyDescent="0.3">
      <c r="A617" s="2">
        <v>44466</v>
      </c>
      <c r="B617" s="2">
        <v>44468</v>
      </c>
      <c r="C617">
        <v>2</v>
      </c>
      <c r="D617" s="3" t="s">
        <v>11</v>
      </c>
      <c r="E617" s="6">
        <v>490</v>
      </c>
      <c r="F617" s="6">
        <v>298.89999999999998</v>
      </c>
      <c r="G617">
        <v>6</v>
      </c>
      <c r="H617" s="6">
        <f>SalesData_2[[#This Row],[Unit Price]]*SalesData_2[[#This Row],[Units Sold]]</f>
        <v>2940</v>
      </c>
      <c r="I617" s="6">
        <f>SalesData_2[[#This Row],[Unit Cost]]*SalesData_2[[#This Row],[Units Sold]]</f>
        <v>1793.3999999999999</v>
      </c>
      <c r="J617" s="6">
        <f>SalesData_2[[#This Row],[Sales]]-SalesData_2[[#This Row],[COGS]]</f>
        <v>1146.6000000000001</v>
      </c>
      <c r="K617" s="21">
        <f>SalesData_2[[#This Row],[Revenue]]/SalesData_2[[#This Row],[Sales]]</f>
        <v>0.39000000000000007</v>
      </c>
      <c r="L617" s="3" t="s">
        <v>75</v>
      </c>
      <c r="M617" s="3" t="s">
        <v>81</v>
      </c>
      <c r="N617" s="3" t="s">
        <v>86</v>
      </c>
    </row>
    <row r="618" spans="1:14" x14ac:dyDescent="0.3">
      <c r="A618" s="2">
        <v>44467</v>
      </c>
      <c r="B618" s="2">
        <v>44468</v>
      </c>
      <c r="C618">
        <v>1</v>
      </c>
      <c r="D618" s="3" t="s">
        <v>21</v>
      </c>
      <c r="E618" s="6">
        <v>355</v>
      </c>
      <c r="F618" s="6">
        <v>252.05</v>
      </c>
      <c r="G618">
        <v>4</v>
      </c>
      <c r="H618" s="6">
        <f>SalesData_2[[#This Row],[Unit Price]]*SalesData_2[[#This Row],[Units Sold]]</f>
        <v>1420</v>
      </c>
      <c r="I618" s="6">
        <f>SalesData_2[[#This Row],[Unit Cost]]*SalesData_2[[#This Row],[Units Sold]]</f>
        <v>1008.2</v>
      </c>
      <c r="J618" s="6">
        <f>SalesData_2[[#This Row],[Sales]]-SalesData_2[[#This Row],[COGS]]</f>
        <v>411.79999999999995</v>
      </c>
      <c r="K618" s="21">
        <f>SalesData_2[[#This Row],[Revenue]]/SalesData_2[[#This Row],[Sales]]</f>
        <v>0.28999999999999998</v>
      </c>
      <c r="L618" s="3" t="s">
        <v>76</v>
      </c>
      <c r="M618" s="3" t="s">
        <v>79</v>
      </c>
      <c r="N618" s="3" t="s">
        <v>86</v>
      </c>
    </row>
    <row r="619" spans="1:14" x14ac:dyDescent="0.3">
      <c r="A619" s="2">
        <v>44471</v>
      </c>
      <c r="B619" s="2">
        <v>44475</v>
      </c>
      <c r="C619">
        <v>4</v>
      </c>
      <c r="D619" s="3" t="s">
        <v>14</v>
      </c>
      <c r="E619" s="6">
        <v>375</v>
      </c>
      <c r="F619" s="6">
        <v>247.5</v>
      </c>
      <c r="G619">
        <v>3</v>
      </c>
      <c r="H619" s="6">
        <f>SalesData_2[[#This Row],[Unit Price]]*SalesData_2[[#This Row],[Units Sold]]</f>
        <v>1125</v>
      </c>
      <c r="I619" s="6">
        <f>SalesData_2[[#This Row],[Unit Cost]]*SalesData_2[[#This Row],[Units Sold]]</f>
        <v>742.5</v>
      </c>
      <c r="J619" s="6">
        <f>SalesData_2[[#This Row],[Sales]]-SalesData_2[[#This Row],[COGS]]</f>
        <v>382.5</v>
      </c>
      <c r="K619" s="21">
        <f>SalesData_2[[#This Row],[Revenue]]/SalesData_2[[#This Row],[Sales]]</f>
        <v>0.34</v>
      </c>
      <c r="L619" s="3" t="s">
        <v>71</v>
      </c>
      <c r="M619" s="3" t="s">
        <v>81</v>
      </c>
      <c r="N619" s="3" t="s">
        <v>86</v>
      </c>
    </row>
    <row r="620" spans="1:14" x14ac:dyDescent="0.3">
      <c r="A620" s="2">
        <v>44472</v>
      </c>
      <c r="B620" s="2">
        <v>44478</v>
      </c>
      <c r="C620">
        <v>6</v>
      </c>
      <c r="D620" s="3" t="s">
        <v>16</v>
      </c>
      <c r="E620" s="6">
        <v>145</v>
      </c>
      <c r="F620" s="6">
        <v>105.85</v>
      </c>
      <c r="G620">
        <v>6</v>
      </c>
      <c r="H620" s="6">
        <f>SalesData_2[[#This Row],[Unit Price]]*SalesData_2[[#This Row],[Units Sold]]</f>
        <v>870</v>
      </c>
      <c r="I620" s="6">
        <f>SalesData_2[[#This Row],[Unit Cost]]*SalesData_2[[#This Row],[Units Sold]]</f>
        <v>635.09999999999991</v>
      </c>
      <c r="J620" s="6">
        <f>SalesData_2[[#This Row],[Sales]]-SalesData_2[[#This Row],[COGS]]</f>
        <v>234.90000000000009</v>
      </c>
      <c r="K620" s="21">
        <f>SalesData_2[[#This Row],[Revenue]]/SalesData_2[[#This Row],[Sales]]</f>
        <v>0.27000000000000013</v>
      </c>
      <c r="L620" s="3" t="s">
        <v>52</v>
      </c>
      <c r="M620" s="3" t="s">
        <v>80</v>
      </c>
      <c r="N620" s="3" t="s">
        <v>86</v>
      </c>
    </row>
    <row r="621" spans="1:14" x14ac:dyDescent="0.3">
      <c r="A621" s="2">
        <v>44472</v>
      </c>
      <c r="B621" s="2">
        <v>44476</v>
      </c>
      <c r="C621">
        <v>4</v>
      </c>
      <c r="D621" s="3" t="s">
        <v>11</v>
      </c>
      <c r="E621" s="6">
        <v>490</v>
      </c>
      <c r="F621" s="6">
        <v>298.89999999999998</v>
      </c>
      <c r="G621">
        <v>9</v>
      </c>
      <c r="H621" s="6">
        <f>SalesData_2[[#This Row],[Unit Price]]*SalesData_2[[#This Row],[Units Sold]]</f>
        <v>4410</v>
      </c>
      <c r="I621" s="6">
        <f>SalesData_2[[#This Row],[Unit Cost]]*SalesData_2[[#This Row],[Units Sold]]</f>
        <v>2690.1</v>
      </c>
      <c r="J621" s="6">
        <f>SalesData_2[[#This Row],[Sales]]-SalesData_2[[#This Row],[COGS]]</f>
        <v>1719.9</v>
      </c>
      <c r="K621" s="21">
        <f>SalesData_2[[#This Row],[Revenue]]/SalesData_2[[#This Row],[Sales]]</f>
        <v>0.39</v>
      </c>
      <c r="L621" s="3" t="s">
        <v>35</v>
      </c>
      <c r="M621" s="3" t="s">
        <v>80</v>
      </c>
      <c r="N621" s="3" t="s">
        <v>85</v>
      </c>
    </row>
    <row r="622" spans="1:14" x14ac:dyDescent="0.3">
      <c r="A622" s="2">
        <v>44477</v>
      </c>
      <c r="B622" s="2">
        <v>44481</v>
      </c>
      <c r="C622">
        <v>4</v>
      </c>
      <c r="D622" s="3" t="s">
        <v>21</v>
      </c>
      <c r="E622" s="6">
        <v>355</v>
      </c>
      <c r="F622" s="6">
        <v>252.05</v>
      </c>
      <c r="G622">
        <v>4</v>
      </c>
      <c r="H622" s="6">
        <f>SalesData_2[[#This Row],[Unit Price]]*SalesData_2[[#This Row],[Units Sold]]</f>
        <v>1420</v>
      </c>
      <c r="I622" s="6">
        <f>SalesData_2[[#This Row],[Unit Cost]]*SalesData_2[[#This Row],[Units Sold]]</f>
        <v>1008.2</v>
      </c>
      <c r="J622" s="6">
        <f>SalesData_2[[#This Row],[Sales]]-SalesData_2[[#This Row],[COGS]]</f>
        <v>411.79999999999995</v>
      </c>
      <c r="K622" s="21">
        <f>SalesData_2[[#This Row],[Revenue]]/SalesData_2[[#This Row],[Sales]]</f>
        <v>0.28999999999999998</v>
      </c>
      <c r="L622" s="3" t="s">
        <v>64</v>
      </c>
      <c r="M622" s="3" t="s">
        <v>81</v>
      </c>
      <c r="N622" s="3" t="s">
        <v>86</v>
      </c>
    </row>
    <row r="623" spans="1:14" x14ac:dyDescent="0.3">
      <c r="A623" s="2">
        <v>44478</v>
      </c>
      <c r="B623" s="2">
        <v>44484</v>
      </c>
      <c r="C623">
        <v>6</v>
      </c>
      <c r="D623" s="3" t="s">
        <v>5</v>
      </c>
      <c r="E623" s="6">
        <v>290</v>
      </c>
      <c r="F623" s="6">
        <v>185.6</v>
      </c>
      <c r="G623">
        <v>1</v>
      </c>
      <c r="H623" s="6">
        <f>SalesData_2[[#This Row],[Unit Price]]*SalesData_2[[#This Row],[Units Sold]]</f>
        <v>290</v>
      </c>
      <c r="I623" s="6">
        <f>SalesData_2[[#This Row],[Unit Cost]]*SalesData_2[[#This Row],[Units Sold]]</f>
        <v>185.6</v>
      </c>
      <c r="J623" s="6">
        <f>SalesData_2[[#This Row],[Sales]]-SalesData_2[[#This Row],[COGS]]</f>
        <v>104.4</v>
      </c>
      <c r="K623" s="21">
        <f>SalesData_2[[#This Row],[Revenue]]/SalesData_2[[#This Row],[Sales]]</f>
        <v>0.36000000000000004</v>
      </c>
      <c r="L623" s="3" t="s">
        <v>58</v>
      </c>
      <c r="M623" s="3" t="s">
        <v>81</v>
      </c>
      <c r="N623" s="3" t="s">
        <v>85</v>
      </c>
    </row>
    <row r="624" spans="1:14" x14ac:dyDescent="0.3">
      <c r="A624" s="2">
        <v>44479</v>
      </c>
      <c r="B624" s="2">
        <v>44484</v>
      </c>
      <c r="C624">
        <v>5</v>
      </c>
      <c r="D624" s="3" t="s">
        <v>10</v>
      </c>
      <c r="E624" s="6">
        <v>390</v>
      </c>
      <c r="F624" s="6">
        <v>253.5</v>
      </c>
      <c r="G624">
        <v>1</v>
      </c>
      <c r="H624" s="6">
        <f>SalesData_2[[#This Row],[Unit Price]]*SalesData_2[[#This Row],[Units Sold]]</f>
        <v>390</v>
      </c>
      <c r="I624" s="6">
        <f>SalesData_2[[#This Row],[Unit Cost]]*SalesData_2[[#This Row],[Units Sold]]</f>
        <v>253.5</v>
      </c>
      <c r="J624" s="6">
        <f>SalesData_2[[#This Row],[Sales]]-SalesData_2[[#This Row],[COGS]]</f>
        <v>136.5</v>
      </c>
      <c r="K624" s="21">
        <f>SalesData_2[[#This Row],[Revenue]]/SalesData_2[[#This Row],[Sales]]</f>
        <v>0.35</v>
      </c>
      <c r="L624" s="3" t="s">
        <v>52</v>
      </c>
      <c r="M624" s="3" t="s">
        <v>79</v>
      </c>
      <c r="N624" s="3" t="s">
        <v>85</v>
      </c>
    </row>
    <row r="625" spans="1:14" x14ac:dyDescent="0.3">
      <c r="A625" s="2">
        <v>44480</v>
      </c>
      <c r="B625" s="2">
        <v>44485</v>
      </c>
      <c r="C625">
        <v>5</v>
      </c>
      <c r="D625" s="3" t="s">
        <v>18</v>
      </c>
      <c r="E625" s="6">
        <v>80</v>
      </c>
      <c r="F625" s="6">
        <v>48.8</v>
      </c>
      <c r="G625">
        <v>5</v>
      </c>
      <c r="H625" s="6">
        <f>SalesData_2[[#This Row],[Unit Price]]*SalesData_2[[#This Row],[Units Sold]]</f>
        <v>400</v>
      </c>
      <c r="I625" s="6">
        <f>SalesData_2[[#This Row],[Unit Cost]]*SalesData_2[[#This Row],[Units Sold]]</f>
        <v>244</v>
      </c>
      <c r="J625" s="6">
        <f>SalesData_2[[#This Row],[Sales]]-SalesData_2[[#This Row],[COGS]]</f>
        <v>156</v>
      </c>
      <c r="K625" s="21">
        <f>SalesData_2[[#This Row],[Revenue]]/SalesData_2[[#This Row],[Sales]]</f>
        <v>0.39</v>
      </c>
      <c r="L625" s="3" t="s">
        <v>65</v>
      </c>
      <c r="M625" s="3" t="s">
        <v>82</v>
      </c>
      <c r="N625" s="3" t="s">
        <v>86</v>
      </c>
    </row>
    <row r="626" spans="1:14" x14ac:dyDescent="0.3">
      <c r="A626" s="2">
        <v>44480</v>
      </c>
      <c r="B626" s="2">
        <v>44482</v>
      </c>
      <c r="C626">
        <v>2</v>
      </c>
      <c r="D626" s="3" t="s">
        <v>15</v>
      </c>
      <c r="E626" s="6">
        <v>110</v>
      </c>
      <c r="F626" s="6">
        <v>78.099999999999994</v>
      </c>
      <c r="G626">
        <v>6</v>
      </c>
      <c r="H626" s="6">
        <f>SalesData_2[[#This Row],[Unit Price]]*SalesData_2[[#This Row],[Units Sold]]</f>
        <v>660</v>
      </c>
      <c r="I626" s="6">
        <f>SalesData_2[[#This Row],[Unit Cost]]*SalesData_2[[#This Row],[Units Sold]]</f>
        <v>468.59999999999997</v>
      </c>
      <c r="J626" s="6">
        <f>SalesData_2[[#This Row],[Sales]]-SalesData_2[[#This Row],[COGS]]</f>
        <v>191.40000000000003</v>
      </c>
      <c r="K626" s="21">
        <f>SalesData_2[[#This Row],[Revenue]]/SalesData_2[[#This Row],[Sales]]</f>
        <v>0.29000000000000004</v>
      </c>
      <c r="L626" s="3" t="s">
        <v>36</v>
      </c>
      <c r="M626" s="3" t="s">
        <v>80</v>
      </c>
      <c r="N626" s="3" t="s">
        <v>86</v>
      </c>
    </row>
    <row r="627" spans="1:14" x14ac:dyDescent="0.3">
      <c r="A627" s="2">
        <v>44481</v>
      </c>
      <c r="B627" s="2">
        <v>44484</v>
      </c>
      <c r="C627">
        <v>3</v>
      </c>
      <c r="D627" s="3" t="s">
        <v>10</v>
      </c>
      <c r="E627" s="6">
        <v>390</v>
      </c>
      <c r="F627" s="6">
        <v>253.5</v>
      </c>
      <c r="G627">
        <v>8</v>
      </c>
      <c r="H627" s="6">
        <f>SalesData_2[[#This Row],[Unit Price]]*SalesData_2[[#This Row],[Units Sold]]</f>
        <v>3120</v>
      </c>
      <c r="I627" s="6">
        <f>SalesData_2[[#This Row],[Unit Cost]]*SalesData_2[[#This Row],[Units Sold]]</f>
        <v>2028</v>
      </c>
      <c r="J627" s="6">
        <f>SalesData_2[[#This Row],[Sales]]-SalesData_2[[#This Row],[COGS]]</f>
        <v>1092</v>
      </c>
      <c r="K627" s="21">
        <f>SalesData_2[[#This Row],[Revenue]]/SalesData_2[[#This Row],[Sales]]</f>
        <v>0.35</v>
      </c>
      <c r="L627" s="3" t="s">
        <v>54</v>
      </c>
      <c r="M627" s="3" t="s">
        <v>79</v>
      </c>
      <c r="N627" s="3" t="s">
        <v>85</v>
      </c>
    </row>
    <row r="628" spans="1:14" x14ac:dyDescent="0.3">
      <c r="A628" s="2">
        <v>44481</v>
      </c>
      <c r="B628" s="2">
        <v>44486</v>
      </c>
      <c r="C628">
        <v>5</v>
      </c>
      <c r="D628" s="3" t="s">
        <v>11</v>
      </c>
      <c r="E628" s="6">
        <v>490</v>
      </c>
      <c r="F628" s="6">
        <v>298.89999999999998</v>
      </c>
      <c r="G628">
        <v>5</v>
      </c>
      <c r="H628" s="6">
        <f>SalesData_2[[#This Row],[Unit Price]]*SalesData_2[[#This Row],[Units Sold]]</f>
        <v>2450</v>
      </c>
      <c r="I628" s="6">
        <f>SalesData_2[[#This Row],[Unit Cost]]*SalesData_2[[#This Row],[Units Sold]]</f>
        <v>1494.5</v>
      </c>
      <c r="J628" s="6">
        <f>SalesData_2[[#This Row],[Sales]]-SalesData_2[[#This Row],[COGS]]</f>
        <v>955.5</v>
      </c>
      <c r="K628" s="21">
        <f>SalesData_2[[#This Row],[Revenue]]/SalesData_2[[#This Row],[Sales]]</f>
        <v>0.39</v>
      </c>
      <c r="L628" s="3" t="s">
        <v>44</v>
      </c>
      <c r="M628" s="3" t="s">
        <v>80</v>
      </c>
      <c r="N628" s="3" t="s">
        <v>85</v>
      </c>
    </row>
    <row r="629" spans="1:14" x14ac:dyDescent="0.3">
      <c r="A629" s="2">
        <v>44481</v>
      </c>
      <c r="B629" s="2">
        <v>44485</v>
      </c>
      <c r="C629">
        <v>4</v>
      </c>
      <c r="D629" s="3" t="s">
        <v>4</v>
      </c>
      <c r="E629" s="6">
        <v>390</v>
      </c>
      <c r="F629" s="6">
        <v>288.60000000000002</v>
      </c>
      <c r="G629">
        <v>3</v>
      </c>
      <c r="H629" s="6">
        <f>SalesData_2[[#This Row],[Unit Price]]*SalesData_2[[#This Row],[Units Sold]]</f>
        <v>1170</v>
      </c>
      <c r="I629" s="6">
        <f>SalesData_2[[#This Row],[Unit Cost]]*SalesData_2[[#This Row],[Units Sold]]</f>
        <v>865.80000000000007</v>
      </c>
      <c r="J629" s="6">
        <f>SalesData_2[[#This Row],[Sales]]-SalesData_2[[#This Row],[COGS]]</f>
        <v>304.19999999999993</v>
      </c>
      <c r="K629" s="21">
        <f>SalesData_2[[#This Row],[Revenue]]/SalesData_2[[#This Row],[Sales]]</f>
        <v>0.25999999999999995</v>
      </c>
      <c r="L629" s="3" t="s">
        <v>50</v>
      </c>
      <c r="M629" s="3" t="s">
        <v>81</v>
      </c>
      <c r="N629" s="3" t="s">
        <v>86</v>
      </c>
    </row>
    <row r="630" spans="1:14" x14ac:dyDescent="0.3">
      <c r="A630" s="2">
        <v>44482</v>
      </c>
      <c r="B630" s="2">
        <v>44489</v>
      </c>
      <c r="C630">
        <v>7</v>
      </c>
      <c r="D630" s="3" t="s">
        <v>7</v>
      </c>
      <c r="E630" s="6">
        <v>250</v>
      </c>
      <c r="F630" s="6">
        <v>167.5</v>
      </c>
      <c r="G630">
        <v>7</v>
      </c>
      <c r="H630" s="6">
        <f>SalesData_2[[#This Row],[Unit Price]]*SalesData_2[[#This Row],[Units Sold]]</f>
        <v>1750</v>
      </c>
      <c r="I630" s="6">
        <f>SalesData_2[[#This Row],[Unit Cost]]*SalesData_2[[#This Row],[Units Sold]]</f>
        <v>1172.5</v>
      </c>
      <c r="J630" s="6">
        <f>SalesData_2[[#This Row],[Sales]]-SalesData_2[[#This Row],[COGS]]</f>
        <v>577.5</v>
      </c>
      <c r="K630" s="21">
        <f>SalesData_2[[#This Row],[Revenue]]/SalesData_2[[#This Row],[Sales]]</f>
        <v>0.33</v>
      </c>
      <c r="L630" s="3" t="s">
        <v>36</v>
      </c>
      <c r="M630" s="3" t="s">
        <v>79</v>
      </c>
      <c r="N630" s="3" t="s">
        <v>86</v>
      </c>
    </row>
    <row r="631" spans="1:14" x14ac:dyDescent="0.3">
      <c r="A631" s="2">
        <v>44483</v>
      </c>
      <c r="B631" s="2">
        <v>44490</v>
      </c>
      <c r="C631">
        <v>7</v>
      </c>
      <c r="D631" s="3" t="s">
        <v>15</v>
      </c>
      <c r="E631" s="6">
        <v>110</v>
      </c>
      <c r="F631" s="6">
        <v>78.099999999999994</v>
      </c>
      <c r="G631">
        <v>2</v>
      </c>
      <c r="H631" s="6">
        <f>SalesData_2[[#This Row],[Unit Price]]*SalesData_2[[#This Row],[Units Sold]]</f>
        <v>220</v>
      </c>
      <c r="I631" s="6">
        <f>SalesData_2[[#This Row],[Unit Cost]]*SalesData_2[[#This Row],[Units Sold]]</f>
        <v>156.19999999999999</v>
      </c>
      <c r="J631" s="6">
        <f>SalesData_2[[#This Row],[Sales]]-SalesData_2[[#This Row],[COGS]]</f>
        <v>63.800000000000011</v>
      </c>
      <c r="K631" s="21">
        <f>SalesData_2[[#This Row],[Revenue]]/SalesData_2[[#This Row],[Sales]]</f>
        <v>0.29000000000000004</v>
      </c>
      <c r="L631" s="3" t="s">
        <v>72</v>
      </c>
      <c r="M631" s="3" t="s">
        <v>83</v>
      </c>
      <c r="N631" s="3" t="s">
        <v>85</v>
      </c>
    </row>
    <row r="632" spans="1:14" x14ac:dyDescent="0.3">
      <c r="A632" s="2">
        <v>44483</v>
      </c>
      <c r="B632" s="2">
        <v>44484</v>
      </c>
      <c r="C632">
        <v>1</v>
      </c>
      <c r="D632" s="3" t="s">
        <v>2</v>
      </c>
      <c r="E632" s="6">
        <v>250</v>
      </c>
      <c r="F632" s="6">
        <v>187.5</v>
      </c>
      <c r="G632">
        <v>7</v>
      </c>
      <c r="H632" s="6">
        <f>SalesData_2[[#This Row],[Unit Price]]*SalesData_2[[#This Row],[Units Sold]]</f>
        <v>1750</v>
      </c>
      <c r="I632" s="6">
        <f>SalesData_2[[#This Row],[Unit Cost]]*SalesData_2[[#This Row],[Units Sold]]</f>
        <v>1312.5</v>
      </c>
      <c r="J632" s="6">
        <f>SalesData_2[[#This Row],[Sales]]-SalesData_2[[#This Row],[COGS]]</f>
        <v>437.5</v>
      </c>
      <c r="K632" s="21">
        <f>SalesData_2[[#This Row],[Revenue]]/SalesData_2[[#This Row],[Sales]]</f>
        <v>0.25</v>
      </c>
      <c r="L632" s="3" t="s">
        <v>38</v>
      </c>
      <c r="M632" s="3" t="s">
        <v>80</v>
      </c>
      <c r="N632" s="3" t="s">
        <v>85</v>
      </c>
    </row>
    <row r="633" spans="1:14" x14ac:dyDescent="0.3">
      <c r="A633" s="2">
        <v>44486</v>
      </c>
      <c r="B633" s="2">
        <v>44491</v>
      </c>
      <c r="C633">
        <v>5</v>
      </c>
      <c r="D633" s="3" t="s">
        <v>21</v>
      </c>
      <c r="E633" s="6">
        <v>355</v>
      </c>
      <c r="F633" s="6">
        <v>252.05</v>
      </c>
      <c r="G633">
        <v>3</v>
      </c>
      <c r="H633" s="6">
        <f>SalesData_2[[#This Row],[Unit Price]]*SalesData_2[[#This Row],[Units Sold]]</f>
        <v>1065</v>
      </c>
      <c r="I633" s="6">
        <f>SalesData_2[[#This Row],[Unit Cost]]*SalesData_2[[#This Row],[Units Sold]]</f>
        <v>756.15000000000009</v>
      </c>
      <c r="J633" s="6">
        <f>SalesData_2[[#This Row],[Sales]]-SalesData_2[[#This Row],[COGS]]</f>
        <v>308.84999999999991</v>
      </c>
      <c r="K633" s="21">
        <f>SalesData_2[[#This Row],[Revenue]]/SalesData_2[[#This Row],[Sales]]</f>
        <v>0.28999999999999992</v>
      </c>
      <c r="L633" s="3" t="s">
        <v>51</v>
      </c>
      <c r="M633" s="3" t="s">
        <v>82</v>
      </c>
      <c r="N633" s="3" t="s">
        <v>86</v>
      </c>
    </row>
    <row r="634" spans="1:14" x14ac:dyDescent="0.3">
      <c r="A634" s="2">
        <v>44486</v>
      </c>
      <c r="B634" s="2">
        <v>44492</v>
      </c>
      <c r="C634">
        <v>6</v>
      </c>
      <c r="D634" s="3" t="s">
        <v>15</v>
      </c>
      <c r="E634" s="6">
        <v>110</v>
      </c>
      <c r="F634" s="6">
        <v>78.099999999999994</v>
      </c>
      <c r="G634">
        <v>5</v>
      </c>
      <c r="H634" s="6">
        <f>SalesData_2[[#This Row],[Unit Price]]*SalesData_2[[#This Row],[Units Sold]]</f>
        <v>550</v>
      </c>
      <c r="I634" s="6">
        <f>SalesData_2[[#This Row],[Unit Cost]]*SalesData_2[[#This Row],[Units Sold]]</f>
        <v>390.5</v>
      </c>
      <c r="J634" s="6">
        <f>SalesData_2[[#This Row],[Sales]]-SalesData_2[[#This Row],[COGS]]</f>
        <v>159.5</v>
      </c>
      <c r="K634" s="21">
        <f>SalesData_2[[#This Row],[Revenue]]/SalesData_2[[#This Row],[Sales]]</f>
        <v>0.28999999999999998</v>
      </c>
      <c r="L634" s="3" t="s">
        <v>65</v>
      </c>
      <c r="M634" s="3" t="s">
        <v>83</v>
      </c>
      <c r="N634" s="3" t="s">
        <v>85</v>
      </c>
    </row>
    <row r="635" spans="1:14" x14ac:dyDescent="0.3">
      <c r="A635" s="2">
        <v>44487</v>
      </c>
      <c r="B635" s="2">
        <v>44490</v>
      </c>
      <c r="C635">
        <v>3</v>
      </c>
      <c r="D635" s="3" t="s">
        <v>11</v>
      </c>
      <c r="E635" s="6">
        <v>490</v>
      </c>
      <c r="F635" s="6">
        <v>298.89999999999998</v>
      </c>
      <c r="G635">
        <v>3</v>
      </c>
      <c r="H635" s="6">
        <f>SalesData_2[[#This Row],[Unit Price]]*SalesData_2[[#This Row],[Units Sold]]</f>
        <v>1470</v>
      </c>
      <c r="I635" s="6">
        <f>SalesData_2[[#This Row],[Unit Cost]]*SalesData_2[[#This Row],[Units Sold]]</f>
        <v>896.69999999999993</v>
      </c>
      <c r="J635" s="6">
        <f>SalesData_2[[#This Row],[Sales]]-SalesData_2[[#This Row],[COGS]]</f>
        <v>573.30000000000007</v>
      </c>
      <c r="K635" s="21">
        <f>SalesData_2[[#This Row],[Revenue]]/SalesData_2[[#This Row],[Sales]]</f>
        <v>0.39000000000000007</v>
      </c>
      <c r="L635" s="3" t="s">
        <v>29</v>
      </c>
      <c r="M635" s="3" t="s">
        <v>81</v>
      </c>
      <c r="N635" s="3" t="s">
        <v>85</v>
      </c>
    </row>
    <row r="636" spans="1:14" x14ac:dyDescent="0.3">
      <c r="A636" s="2">
        <v>44488</v>
      </c>
      <c r="B636" s="2">
        <v>44495</v>
      </c>
      <c r="C636">
        <v>7</v>
      </c>
      <c r="D636" s="3" t="s">
        <v>15</v>
      </c>
      <c r="E636" s="6">
        <v>110</v>
      </c>
      <c r="F636" s="6">
        <v>78.099999999999994</v>
      </c>
      <c r="G636">
        <v>3</v>
      </c>
      <c r="H636" s="6">
        <f>SalesData_2[[#This Row],[Unit Price]]*SalesData_2[[#This Row],[Units Sold]]</f>
        <v>330</v>
      </c>
      <c r="I636" s="6">
        <f>SalesData_2[[#This Row],[Unit Cost]]*SalesData_2[[#This Row],[Units Sold]]</f>
        <v>234.29999999999998</v>
      </c>
      <c r="J636" s="6">
        <f>SalesData_2[[#This Row],[Sales]]-SalesData_2[[#This Row],[COGS]]</f>
        <v>95.700000000000017</v>
      </c>
      <c r="K636" s="21">
        <f>SalesData_2[[#This Row],[Revenue]]/SalesData_2[[#This Row],[Sales]]</f>
        <v>0.29000000000000004</v>
      </c>
      <c r="L636" s="3" t="s">
        <v>69</v>
      </c>
      <c r="M636" s="3" t="s">
        <v>82</v>
      </c>
      <c r="N636" s="3" t="s">
        <v>85</v>
      </c>
    </row>
    <row r="637" spans="1:14" x14ac:dyDescent="0.3">
      <c r="A637" s="2">
        <v>44493</v>
      </c>
      <c r="B637" s="2">
        <v>44494</v>
      </c>
      <c r="C637">
        <v>1</v>
      </c>
      <c r="D637" s="3" t="s">
        <v>12</v>
      </c>
      <c r="E637" s="6">
        <v>320</v>
      </c>
      <c r="F637" s="6">
        <v>233.6</v>
      </c>
      <c r="G637">
        <v>9</v>
      </c>
      <c r="H637" s="6">
        <f>SalesData_2[[#This Row],[Unit Price]]*SalesData_2[[#This Row],[Units Sold]]</f>
        <v>2880</v>
      </c>
      <c r="I637" s="6">
        <f>SalesData_2[[#This Row],[Unit Cost]]*SalesData_2[[#This Row],[Units Sold]]</f>
        <v>2102.4</v>
      </c>
      <c r="J637" s="6">
        <f>SalesData_2[[#This Row],[Sales]]-SalesData_2[[#This Row],[COGS]]</f>
        <v>777.59999999999991</v>
      </c>
      <c r="K637" s="21">
        <f>SalesData_2[[#This Row],[Revenue]]/SalesData_2[[#This Row],[Sales]]</f>
        <v>0.26999999999999996</v>
      </c>
      <c r="L637" s="3" t="s">
        <v>73</v>
      </c>
      <c r="M637" s="3" t="s">
        <v>82</v>
      </c>
      <c r="N637" s="3" t="s">
        <v>85</v>
      </c>
    </row>
    <row r="638" spans="1:14" x14ac:dyDescent="0.3">
      <c r="A638" s="2">
        <v>44497</v>
      </c>
      <c r="B638" s="2">
        <v>44499</v>
      </c>
      <c r="C638">
        <v>2</v>
      </c>
      <c r="D638" s="3" t="s">
        <v>14</v>
      </c>
      <c r="E638" s="6">
        <v>375</v>
      </c>
      <c r="F638" s="6">
        <v>247.5</v>
      </c>
      <c r="G638">
        <v>5</v>
      </c>
      <c r="H638" s="6">
        <f>SalesData_2[[#This Row],[Unit Price]]*SalesData_2[[#This Row],[Units Sold]]</f>
        <v>1875</v>
      </c>
      <c r="I638" s="6">
        <f>SalesData_2[[#This Row],[Unit Cost]]*SalesData_2[[#This Row],[Units Sold]]</f>
        <v>1237.5</v>
      </c>
      <c r="J638" s="6">
        <f>SalesData_2[[#This Row],[Sales]]-SalesData_2[[#This Row],[COGS]]</f>
        <v>637.5</v>
      </c>
      <c r="K638" s="21">
        <f>SalesData_2[[#This Row],[Revenue]]/SalesData_2[[#This Row],[Sales]]</f>
        <v>0.34</v>
      </c>
      <c r="L638" s="3" t="s">
        <v>48</v>
      </c>
      <c r="M638" s="3" t="s">
        <v>79</v>
      </c>
      <c r="N638" s="3" t="s">
        <v>86</v>
      </c>
    </row>
    <row r="639" spans="1:14" x14ac:dyDescent="0.3">
      <c r="A639" s="2">
        <v>44498</v>
      </c>
      <c r="B639" s="2">
        <v>44505</v>
      </c>
      <c r="C639">
        <v>7</v>
      </c>
      <c r="D639" s="3" t="s">
        <v>6</v>
      </c>
      <c r="E639" s="6">
        <v>99</v>
      </c>
      <c r="F639" s="6">
        <v>62.37</v>
      </c>
      <c r="G639">
        <v>9</v>
      </c>
      <c r="H639" s="6">
        <f>SalesData_2[[#This Row],[Unit Price]]*SalesData_2[[#This Row],[Units Sold]]</f>
        <v>891</v>
      </c>
      <c r="I639" s="6">
        <f>SalesData_2[[#This Row],[Unit Cost]]*SalesData_2[[#This Row],[Units Sold]]</f>
        <v>561.32999999999993</v>
      </c>
      <c r="J639" s="6">
        <f>SalesData_2[[#This Row],[Sales]]-SalesData_2[[#This Row],[COGS]]</f>
        <v>329.67000000000007</v>
      </c>
      <c r="K639" s="21">
        <f>SalesData_2[[#This Row],[Revenue]]/SalesData_2[[#This Row],[Sales]]</f>
        <v>0.37000000000000011</v>
      </c>
      <c r="L639" s="3" t="s">
        <v>60</v>
      </c>
      <c r="M639" s="3" t="s">
        <v>79</v>
      </c>
      <c r="N639" s="3" t="s">
        <v>86</v>
      </c>
    </row>
    <row r="640" spans="1:14" x14ac:dyDescent="0.3">
      <c r="A640" s="2">
        <v>44498</v>
      </c>
      <c r="B640" s="2">
        <v>44503</v>
      </c>
      <c r="C640">
        <v>5</v>
      </c>
      <c r="D640" s="3" t="s">
        <v>23</v>
      </c>
      <c r="E640" s="6">
        <v>275</v>
      </c>
      <c r="F640" s="6">
        <v>200.75</v>
      </c>
      <c r="G640">
        <v>1</v>
      </c>
      <c r="H640" s="6">
        <f>SalesData_2[[#This Row],[Unit Price]]*SalesData_2[[#This Row],[Units Sold]]</f>
        <v>275</v>
      </c>
      <c r="I640" s="6">
        <f>SalesData_2[[#This Row],[Unit Cost]]*SalesData_2[[#This Row],[Units Sold]]</f>
        <v>200.75</v>
      </c>
      <c r="J640" s="6">
        <f>SalesData_2[[#This Row],[Sales]]-SalesData_2[[#This Row],[COGS]]</f>
        <v>74.25</v>
      </c>
      <c r="K640" s="21">
        <f>SalesData_2[[#This Row],[Revenue]]/SalesData_2[[#This Row],[Sales]]</f>
        <v>0.27</v>
      </c>
      <c r="L640" s="3" t="s">
        <v>65</v>
      </c>
      <c r="M640" s="3" t="s">
        <v>81</v>
      </c>
      <c r="N640" s="3" t="s">
        <v>85</v>
      </c>
    </row>
    <row r="641" spans="1:14" x14ac:dyDescent="0.3">
      <c r="A641" s="2">
        <v>44501</v>
      </c>
      <c r="B641" s="2">
        <v>44505</v>
      </c>
      <c r="C641">
        <v>4</v>
      </c>
      <c r="D641" s="3" t="s">
        <v>8</v>
      </c>
      <c r="E641" s="6">
        <v>59</v>
      </c>
      <c r="F641" s="6">
        <v>41.3</v>
      </c>
      <c r="G641">
        <v>4</v>
      </c>
      <c r="H641" s="6">
        <f>SalesData_2[[#This Row],[Unit Price]]*SalesData_2[[#This Row],[Units Sold]]</f>
        <v>236</v>
      </c>
      <c r="I641" s="6">
        <f>SalesData_2[[#This Row],[Unit Cost]]*SalesData_2[[#This Row],[Units Sold]]</f>
        <v>165.2</v>
      </c>
      <c r="J641" s="6">
        <f>SalesData_2[[#This Row],[Sales]]-SalesData_2[[#This Row],[COGS]]</f>
        <v>70.800000000000011</v>
      </c>
      <c r="K641" s="21">
        <f>SalesData_2[[#This Row],[Revenue]]/SalesData_2[[#This Row],[Sales]]</f>
        <v>0.30000000000000004</v>
      </c>
      <c r="L641" s="3" t="s">
        <v>58</v>
      </c>
      <c r="M641" s="3" t="s">
        <v>82</v>
      </c>
      <c r="N641" s="3" t="s">
        <v>85</v>
      </c>
    </row>
    <row r="642" spans="1:14" x14ac:dyDescent="0.3">
      <c r="A642" s="2">
        <v>44501</v>
      </c>
      <c r="B642" s="2">
        <v>44505</v>
      </c>
      <c r="C642">
        <v>4</v>
      </c>
      <c r="D642" s="3" t="s">
        <v>2</v>
      </c>
      <c r="E642" s="6">
        <v>250</v>
      </c>
      <c r="F642" s="6">
        <v>187.5</v>
      </c>
      <c r="G642">
        <v>5</v>
      </c>
      <c r="H642" s="6">
        <f>SalesData_2[[#This Row],[Unit Price]]*SalesData_2[[#This Row],[Units Sold]]</f>
        <v>1250</v>
      </c>
      <c r="I642" s="6">
        <f>SalesData_2[[#This Row],[Unit Cost]]*SalesData_2[[#This Row],[Units Sold]]</f>
        <v>937.5</v>
      </c>
      <c r="J642" s="6">
        <f>SalesData_2[[#This Row],[Sales]]-SalesData_2[[#This Row],[COGS]]</f>
        <v>312.5</v>
      </c>
      <c r="K642" s="21">
        <f>SalesData_2[[#This Row],[Revenue]]/SalesData_2[[#This Row],[Sales]]</f>
        <v>0.25</v>
      </c>
      <c r="L642" s="3" t="s">
        <v>48</v>
      </c>
      <c r="M642" s="3" t="s">
        <v>79</v>
      </c>
      <c r="N642" s="3" t="s">
        <v>85</v>
      </c>
    </row>
    <row r="643" spans="1:14" x14ac:dyDescent="0.3">
      <c r="A643" s="2">
        <v>44501</v>
      </c>
      <c r="B643" s="2">
        <v>44507</v>
      </c>
      <c r="C643">
        <v>6</v>
      </c>
      <c r="D643" s="3" t="s">
        <v>9</v>
      </c>
      <c r="E643" s="6">
        <v>215</v>
      </c>
      <c r="F643" s="6">
        <v>152.65</v>
      </c>
      <c r="G643">
        <v>8</v>
      </c>
      <c r="H643" s="6">
        <f>SalesData_2[[#This Row],[Unit Price]]*SalesData_2[[#This Row],[Units Sold]]</f>
        <v>1720</v>
      </c>
      <c r="I643" s="6">
        <f>SalesData_2[[#This Row],[Unit Cost]]*SalesData_2[[#This Row],[Units Sold]]</f>
        <v>1221.2</v>
      </c>
      <c r="J643" s="6">
        <f>SalesData_2[[#This Row],[Sales]]-SalesData_2[[#This Row],[COGS]]</f>
        <v>498.79999999999995</v>
      </c>
      <c r="K643" s="21">
        <f>SalesData_2[[#This Row],[Revenue]]/SalesData_2[[#This Row],[Sales]]</f>
        <v>0.28999999999999998</v>
      </c>
      <c r="L643" s="3" t="s">
        <v>72</v>
      </c>
      <c r="M643" s="3" t="s">
        <v>80</v>
      </c>
      <c r="N643" s="3" t="s">
        <v>86</v>
      </c>
    </row>
    <row r="644" spans="1:14" x14ac:dyDescent="0.3">
      <c r="A644" s="2">
        <v>44501</v>
      </c>
      <c r="B644" s="2">
        <v>44505</v>
      </c>
      <c r="C644">
        <v>4</v>
      </c>
      <c r="D644" s="3" t="s">
        <v>22</v>
      </c>
      <c r="E644" s="6">
        <v>460</v>
      </c>
      <c r="F644" s="6">
        <v>303.60000000000002</v>
      </c>
      <c r="G644">
        <v>1</v>
      </c>
      <c r="H644" s="6">
        <f>SalesData_2[[#This Row],[Unit Price]]*SalesData_2[[#This Row],[Units Sold]]</f>
        <v>460</v>
      </c>
      <c r="I644" s="6">
        <f>SalesData_2[[#This Row],[Unit Cost]]*SalesData_2[[#This Row],[Units Sold]]</f>
        <v>303.60000000000002</v>
      </c>
      <c r="J644" s="6">
        <f>SalesData_2[[#This Row],[Sales]]-SalesData_2[[#This Row],[COGS]]</f>
        <v>156.39999999999998</v>
      </c>
      <c r="K644" s="21">
        <f>SalesData_2[[#This Row],[Revenue]]/SalesData_2[[#This Row],[Sales]]</f>
        <v>0.33999999999999997</v>
      </c>
      <c r="L644" s="3" t="s">
        <v>61</v>
      </c>
      <c r="M644" s="3" t="s">
        <v>81</v>
      </c>
      <c r="N644" s="3" t="s">
        <v>85</v>
      </c>
    </row>
    <row r="645" spans="1:14" x14ac:dyDescent="0.3">
      <c r="A645" s="2">
        <v>44506</v>
      </c>
      <c r="B645" s="2">
        <v>44510</v>
      </c>
      <c r="C645">
        <v>4</v>
      </c>
      <c r="D645" s="3" t="s">
        <v>21</v>
      </c>
      <c r="E645" s="6">
        <v>355</v>
      </c>
      <c r="F645" s="6">
        <v>252.05</v>
      </c>
      <c r="G645">
        <v>8</v>
      </c>
      <c r="H645" s="6">
        <f>SalesData_2[[#This Row],[Unit Price]]*SalesData_2[[#This Row],[Units Sold]]</f>
        <v>2840</v>
      </c>
      <c r="I645" s="6">
        <f>SalesData_2[[#This Row],[Unit Cost]]*SalesData_2[[#This Row],[Units Sold]]</f>
        <v>2016.4</v>
      </c>
      <c r="J645" s="6">
        <f>SalesData_2[[#This Row],[Sales]]-SalesData_2[[#This Row],[COGS]]</f>
        <v>823.59999999999991</v>
      </c>
      <c r="K645" s="21">
        <f>SalesData_2[[#This Row],[Revenue]]/SalesData_2[[#This Row],[Sales]]</f>
        <v>0.28999999999999998</v>
      </c>
      <c r="L645" s="3" t="s">
        <v>35</v>
      </c>
      <c r="M645" s="3" t="s">
        <v>82</v>
      </c>
      <c r="N645" s="3" t="s">
        <v>85</v>
      </c>
    </row>
    <row r="646" spans="1:14" x14ac:dyDescent="0.3">
      <c r="A646" s="2">
        <v>44509</v>
      </c>
      <c r="B646" s="2">
        <v>44514</v>
      </c>
      <c r="C646">
        <v>5</v>
      </c>
      <c r="D646" s="3" t="s">
        <v>20</v>
      </c>
      <c r="E646" s="6">
        <v>440</v>
      </c>
      <c r="F646" s="6">
        <v>286</v>
      </c>
      <c r="G646">
        <v>8</v>
      </c>
      <c r="H646" s="6">
        <f>SalesData_2[[#This Row],[Unit Price]]*SalesData_2[[#This Row],[Units Sold]]</f>
        <v>3520</v>
      </c>
      <c r="I646" s="6">
        <f>SalesData_2[[#This Row],[Unit Cost]]*SalesData_2[[#This Row],[Units Sold]]</f>
        <v>2288</v>
      </c>
      <c r="J646" s="6">
        <f>SalesData_2[[#This Row],[Sales]]-SalesData_2[[#This Row],[COGS]]</f>
        <v>1232</v>
      </c>
      <c r="K646" s="21">
        <f>SalesData_2[[#This Row],[Revenue]]/SalesData_2[[#This Row],[Sales]]</f>
        <v>0.35</v>
      </c>
      <c r="L646" s="3" t="s">
        <v>68</v>
      </c>
      <c r="M646" s="3" t="s">
        <v>79</v>
      </c>
      <c r="N646" s="3" t="s">
        <v>86</v>
      </c>
    </row>
    <row r="647" spans="1:14" x14ac:dyDescent="0.3">
      <c r="A647" s="2">
        <v>44510</v>
      </c>
      <c r="B647" s="2">
        <v>44516</v>
      </c>
      <c r="C647">
        <v>6</v>
      </c>
      <c r="D647" s="3" t="s">
        <v>18</v>
      </c>
      <c r="E647" s="6">
        <v>80</v>
      </c>
      <c r="F647" s="6">
        <v>48.8</v>
      </c>
      <c r="G647">
        <v>4</v>
      </c>
      <c r="H647" s="6">
        <f>SalesData_2[[#This Row],[Unit Price]]*SalesData_2[[#This Row],[Units Sold]]</f>
        <v>320</v>
      </c>
      <c r="I647" s="6">
        <f>SalesData_2[[#This Row],[Unit Cost]]*SalesData_2[[#This Row],[Units Sold]]</f>
        <v>195.2</v>
      </c>
      <c r="J647" s="6">
        <f>SalesData_2[[#This Row],[Sales]]-SalesData_2[[#This Row],[COGS]]</f>
        <v>124.80000000000001</v>
      </c>
      <c r="K647" s="21">
        <f>SalesData_2[[#This Row],[Revenue]]/SalesData_2[[#This Row],[Sales]]</f>
        <v>0.39</v>
      </c>
      <c r="L647" s="3" t="s">
        <v>60</v>
      </c>
      <c r="M647" s="3" t="s">
        <v>82</v>
      </c>
      <c r="N647" s="3" t="s">
        <v>86</v>
      </c>
    </row>
    <row r="648" spans="1:14" x14ac:dyDescent="0.3">
      <c r="A648" s="2">
        <v>44511</v>
      </c>
      <c r="B648" s="2">
        <v>44515</v>
      </c>
      <c r="C648">
        <v>4</v>
      </c>
      <c r="D648" s="3" t="s">
        <v>22</v>
      </c>
      <c r="E648" s="6">
        <v>460</v>
      </c>
      <c r="F648" s="6">
        <v>303.60000000000002</v>
      </c>
      <c r="G648">
        <v>5</v>
      </c>
      <c r="H648" s="6">
        <f>SalesData_2[[#This Row],[Unit Price]]*SalesData_2[[#This Row],[Units Sold]]</f>
        <v>2300</v>
      </c>
      <c r="I648" s="6">
        <f>SalesData_2[[#This Row],[Unit Cost]]*SalesData_2[[#This Row],[Units Sold]]</f>
        <v>1518</v>
      </c>
      <c r="J648" s="6">
        <f>SalesData_2[[#This Row],[Sales]]-SalesData_2[[#This Row],[COGS]]</f>
        <v>782</v>
      </c>
      <c r="K648" s="21">
        <f>SalesData_2[[#This Row],[Revenue]]/SalesData_2[[#This Row],[Sales]]</f>
        <v>0.34</v>
      </c>
      <c r="L648" s="3" t="s">
        <v>52</v>
      </c>
      <c r="M648" s="3" t="s">
        <v>81</v>
      </c>
      <c r="N648" s="3" t="s">
        <v>85</v>
      </c>
    </row>
    <row r="649" spans="1:14" x14ac:dyDescent="0.3">
      <c r="A649" s="2">
        <v>44512</v>
      </c>
      <c r="B649" s="2">
        <v>44519</v>
      </c>
      <c r="C649">
        <v>7</v>
      </c>
      <c r="D649" s="3" t="s">
        <v>16</v>
      </c>
      <c r="E649" s="6">
        <v>145</v>
      </c>
      <c r="F649" s="6">
        <v>105.85</v>
      </c>
      <c r="G649">
        <v>4</v>
      </c>
      <c r="H649" s="6">
        <f>SalesData_2[[#This Row],[Unit Price]]*SalesData_2[[#This Row],[Units Sold]]</f>
        <v>580</v>
      </c>
      <c r="I649" s="6">
        <f>SalesData_2[[#This Row],[Unit Cost]]*SalesData_2[[#This Row],[Units Sold]]</f>
        <v>423.4</v>
      </c>
      <c r="J649" s="6">
        <f>SalesData_2[[#This Row],[Sales]]-SalesData_2[[#This Row],[COGS]]</f>
        <v>156.60000000000002</v>
      </c>
      <c r="K649" s="21">
        <f>SalesData_2[[#This Row],[Revenue]]/SalesData_2[[#This Row],[Sales]]</f>
        <v>0.27</v>
      </c>
      <c r="L649" s="3" t="s">
        <v>36</v>
      </c>
      <c r="M649" s="3" t="s">
        <v>79</v>
      </c>
      <c r="N649" s="3" t="s">
        <v>85</v>
      </c>
    </row>
    <row r="650" spans="1:14" x14ac:dyDescent="0.3">
      <c r="A650" s="2">
        <v>44512</v>
      </c>
      <c r="B650" s="2">
        <v>44516</v>
      </c>
      <c r="C650">
        <v>4</v>
      </c>
      <c r="D650" s="3" t="s">
        <v>12</v>
      </c>
      <c r="E650" s="6">
        <v>320</v>
      </c>
      <c r="F650" s="6">
        <v>233.6</v>
      </c>
      <c r="G650">
        <v>5</v>
      </c>
      <c r="H650" s="6">
        <f>SalesData_2[[#This Row],[Unit Price]]*SalesData_2[[#This Row],[Units Sold]]</f>
        <v>1600</v>
      </c>
      <c r="I650" s="6">
        <f>SalesData_2[[#This Row],[Unit Cost]]*SalesData_2[[#This Row],[Units Sold]]</f>
        <v>1168</v>
      </c>
      <c r="J650" s="6">
        <f>SalesData_2[[#This Row],[Sales]]-SalesData_2[[#This Row],[COGS]]</f>
        <v>432</v>
      </c>
      <c r="K650" s="21">
        <f>SalesData_2[[#This Row],[Revenue]]/SalesData_2[[#This Row],[Sales]]</f>
        <v>0.27</v>
      </c>
      <c r="L650" s="3" t="s">
        <v>72</v>
      </c>
      <c r="M650" s="3" t="s">
        <v>82</v>
      </c>
      <c r="N650" s="3" t="s">
        <v>86</v>
      </c>
    </row>
    <row r="651" spans="1:14" x14ac:dyDescent="0.3">
      <c r="A651" s="2">
        <v>44514</v>
      </c>
      <c r="B651" s="2">
        <v>44516</v>
      </c>
      <c r="C651">
        <v>2</v>
      </c>
      <c r="D651" s="3" t="s">
        <v>20</v>
      </c>
      <c r="E651" s="6">
        <v>440</v>
      </c>
      <c r="F651" s="6">
        <v>286</v>
      </c>
      <c r="G651">
        <v>6</v>
      </c>
      <c r="H651" s="6">
        <f>SalesData_2[[#This Row],[Unit Price]]*SalesData_2[[#This Row],[Units Sold]]</f>
        <v>2640</v>
      </c>
      <c r="I651" s="6">
        <f>SalesData_2[[#This Row],[Unit Cost]]*SalesData_2[[#This Row],[Units Sold]]</f>
        <v>1716</v>
      </c>
      <c r="J651" s="6">
        <f>SalesData_2[[#This Row],[Sales]]-SalesData_2[[#This Row],[COGS]]</f>
        <v>924</v>
      </c>
      <c r="K651" s="21">
        <f>SalesData_2[[#This Row],[Revenue]]/SalesData_2[[#This Row],[Sales]]</f>
        <v>0.35</v>
      </c>
      <c r="L651" s="3" t="s">
        <v>31</v>
      </c>
      <c r="M651" s="3" t="s">
        <v>81</v>
      </c>
      <c r="N651" s="3" t="s">
        <v>85</v>
      </c>
    </row>
    <row r="652" spans="1:14" x14ac:dyDescent="0.3">
      <c r="A652" s="2">
        <v>44514</v>
      </c>
      <c r="B652" s="2">
        <v>44521</v>
      </c>
      <c r="C652">
        <v>7</v>
      </c>
      <c r="D652" s="3" t="s">
        <v>17</v>
      </c>
      <c r="E652" s="6">
        <v>195</v>
      </c>
      <c r="F652" s="6">
        <v>138.44999999999999</v>
      </c>
      <c r="G652">
        <v>3</v>
      </c>
      <c r="H652" s="6">
        <f>SalesData_2[[#This Row],[Unit Price]]*SalesData_2[[#This Row],[Units Sold]]</f>
        <v>585</v>
      </c>
      <c r="I652" s="6">
        <f>SalesData_2[[#This Row],[Unit Cost]]*SalesData_2[[#This Row],[Units Sold]]</f>
        <v>415.34999999999997</v>
      </c>
      <c r="J652" s="6">
        <f>SalesData_2[[#This Row],[Sales]]-SalesData_2[[#This Row],[COGS]]</f>
        <v>169.65000000000003</v>
      </c>
      <c r="K652" s="21">
        <f>SalesData_2[[#This Row],[Revenue]]/SalesData_2[[#This Row],[Sales]]</f>
        <v>0.29000000000000004</v>
      </c>
      <c r="L652" s="3" t="s">
        <v>64</v>
      </c>
      <c r="M652" s="3" t="s">
        <v>79</v>
      </c>
      <c r="N652" s="3" t="s">
        <v>85</v>
      </c>
    </row>
    <row r="653" spans="1:14" x14ac:dyDescent="0.3">
      <c r="A653" s="2">
        <v>44517</v>
      </c>
      <c r="B653" s="2">
        <v>44519</v>
      </c>
      <c r="C653">
        <v>2</v>
      </c>
      <c r="D653" s="3" t="s">
        <v>2</v>
      </c>
      <c r="E653" s="6">
        <v>250</v>
      </c>
      <c r="F653" s="6">
        <v>187.5</v>
      </c>
      <c r="G653">
        <v>6</v>
      </c>
      <c r="H653" s="6">
        <f>SalesData_2[[#This Row],[Unit Price]]*SalesData_2[[#This Row],[Units Sold]]</f>
        <v>1500</v>
      </c>
      <c r="I653" s="6">
        <f>SalesData_2[[#This Row],[Unit Cost]]*SalesData_2[[#This Row],[Units Sold]]</f>
        <v>1125</v>
      </c>
      <c r="J653" s="6">
        <f>SalesData_2[[#This Row],[Sales]]-SalesData_2[[#This Row],[COGS]]</f>
        <v>375</v>
      </c>
      <c r="K653" s="21">
        <f>SalesData_2[[#This Row],[Revenue]]/SalesData_2[[#This Row],[Sales]]</f>
        <v>0.25</v>
      </c>
      <c r="L653" s="3" t="s">
        <v>37</v>
      </c>
      <c r="M653" s="3" t="s">
        <v>81</v>
      </c>
      <c r="N653" s="3" t="s">
        <v>85</v>
      </c>
    </row>
    <row r="654" spans="1:14" x14ac:dyDescent="0.3">
      <c r="A654" s="2">
        <v>44518</v>
      </c>
      <c r="B654" s="2">
        <v>44522</v>
      </c>
      <c r="C654">
        <v>4</v>
      </c>
      <c r="D654" s="3" t="s">
        <v>17</v>
      </c>
      <c r="E654" s="6">
        <v>195</v>
      </c>
      <c r="F654" s="6">
        <v>138.44999999999999</v>
      </c>
      <c r="G654">
        <v>2</v>
      </c>
      <c r="H654" s="6">
        <f>SalesData_2[[#This Row],[Unit Price]]*SalesData_2[[#This Row],[Units Sold]]</f>
        <v>390</v>
      </c>
      <c r="I654" s="6">
        <f>SalesData_2[[#This Row],[Unit Cost]]*SalesData_2[[#This Row],[Units Sold]]</f>
        <v>276.89999999999998</v>
      </c>
      <c r="J654" s="6">
        <f>SalesData_2[[#This Row],[Sales]]-SalesData_2[[#This Row],[COGS]]</f>
        <v>113.10000000000002</v>
      </c>
      <c r="K654" s="21">
        <f>SalesData_2[[#This Row],[Revenue]]/SalesData_2[[#This Row],[Sales]]</f>
        <v>0.29000000000000004</v>
      </c>
      <c r="L654" s="3" t="s">
        <v>57</v>
      </c>
      <c r="M654" s="3" t="s">
        <v>79</v>
      </c>
      <c r="N654" s="3" t="s">
        <v>86</v>
      </c>
    </row>
    <row r="655" spans="1:14" x14ac:dyDescent="0.3">
      <c r="A655" s="2">
        <v>44519</v>
      </c>
      <c r="B655" s="2">
        <v>44523</v>
      </c>
      <c r="C655">
        <v>4</v>
      </c>
      <c r="D655" s="3" t="s">
        <v>9</v>
      </c>
      <c r="E655" s="6">
        <v>215</v>
      </c>
      <c r="F655" s="6">
        <v>152.65</v>
      </c>
      <c r="G655">
        <v>7</v>
      </c>
      <c r="H655" s="6">
        <f>SalesData_2[[#This Row],[Unit Price]]*SalesData_2[[#This Row],[Units Sold]]</f>
        <v>1505</v>
      </c>
      <c r="I655" s="6">
        <f>SalesData_2[[#This Row],[Unit Cost]]*SalesData_2[[#This Row],[Units Sold]]</f>
        <v>1068.55</v>
      </c>
      <c r="J655" s="6">
        <f>SalesData_2[[#This Row],[Sales]]-SalesData_2[[#This Row],[COGS]]</f>
        <v>436.45000000000005</v>
      </c>
      <c r="K655" s="21">
        <f>SalesData_2[[#This Row],[Revenue]]/SalesData_2[[#This Row],[Sales]]</f>
        <v>0.29000000000000004</v>
      </c>
      <c r="L655" s="3" t="s">
        <v>42</v>
      </c>
      <c r="M655" s="3" t="s">
        <v>82</v>
      </c>
      <c r="N655" s="3" t="s">
        <v>85</v>
      </c>
    </row>
    <row r="656" spans="1:14" x14ac:dyDescent="0.3">
      <c r="A656" s="2">
        <v>44519</v>
      </c>
      <c r="B656" s="2">
        <v>44524</v>
      </c>
      <c r="C656">
        <v>5</v>
      </c>
      <c r="D656" s="3" t="s">
        <v>21</v>
      </c>
      <c r="E656" s="6">
        <v>355</v>
      </c>
      <c r="F656" s="6">
        <v>252.05</v>
      </c>
      <c r="G656">
        <v>2</v>
      </c>
      <c r="H656" s="6">
        <f>SalesData_2[[#This Row],[Unit Price]]*SalesData_2[[#This Row],[Units Sold]]</f>
        <v>710</v>
      </c>
      <c r="I656" s="6">
        <f>SalesData_2[[#This Row],[Unit Cost]]*SalesData_2[[#This Row],[Units Sold]]</f>
        <v>504.1</v>
      </c>
      <c r="J656" s="6">
        <f>SalesData_2[[#This Row],[Sales]]-SalesData_2[[#This Row],[COGS]]</f>
        <v>205.89999999999998</v>
      </c>
      <c r="K656" s="21">
        <f>SalesData_2[[#This Row],[Revenue]]/SalesData_2[[#This Row],[Sales]]</f>
        <v>0.28999999999999998</v>
      </c>
      <c r="L656" s="3" t="s">
        <v>48</v>
      </c>
      <c r="M656" s="3" t="s">
        <v>80</v>
      </c>
      <c r="N656" s="3" t="s">
        <v>86</v>
      </c>
    </row>
    <row r="657" spans="1:14" x14ac:dyDescent="0.3">
      <c r="A657" s="2">
        <v>44522</v>
      </c>
      <c r="B657" s="2">
        <v>44529</v>
      </c>
      <c r="C657">
        <v>7</v>
      </c>
      <c r="D657" s="3" t="s">
        <v>12</v>
      </c>
      <c r="E657" s="6">
        <v>320</v>
      </c>
      <c r="F657" s="6">
        <v>233.6</v>
      </c>
      <c r="G657">
        <v>9</v>
      </c>
      <c r="H657" s="6">
        <f>SalesData_2[[#This Row],[Unit Price]]*SalesData_2[[#This Row],[Units Sold]]</f>
        <v>2880</v>
      </c>
      <c r="I657" s="6">
        <f>SalesData_2[[#This Row],[Unit Cost]]*SalesData_2[[#This Row],[Units Sold]]</f>
        <v>2102.4</v>
      </c>
      <c r="J657" s="6">
        <f>SalesData_2[[#This Row],[Sales]]-SalesData_2[[#This Row],[COGS]]</f>
        <v>777.59999999999991</v>
      </c>
      <c r="K657" s="21">
        <f>SalesData_2[[#This Row],[Revenue]]/SalesData_2[[#This Row],[Sales]]</f>
        <v>0.26999999999999996</v>
      </c>
      <c r="L657" s="3" t="s">
        <v>70</v>
      </c>
      <c r="M657" s="3" t="s">
        <v>80</v>
      </c>
      <c r="N657" s="3" t="s">
        <v>86</v>
      </c>
    </row>
    <row r="658" spans="1:14" x14ac:dyDescent="0.3">
      <c r="A658" s="2">
        <v>44522</v>
      </c>
      <c r="B658" s="2">
        <v>44525</v>
      </c>
      <c r="C658">
        <v>3</v>
      </c>
      <c r="D658" s="3" t="s">
        <v>11</v>
      </c>
      <c r="E658" s="6">
        <v>490</v>
      </c>
      <c r="F658" s="6">
        <v>298.89999999999998</v>
      </c>
      <c r="G658">
        <v>1</v>
      </c>
      <c r="H658" s="6">
        <f>SalesData_2[[#This Row],[Unit Price]]*SalesData_2[[#This Row],[Units Sold]]</f>
        <v>490</v>
      </c>
      <c r="I658" s="6">
        <f>SalesData_2[[#This Row],[Unit Cost]]*SalesData_2[[#This Row],[Units Sold]]</f>
        <v>298.89999999999998</v>
      </c>
      <c r="J658" s="6">
        <f>SalesData_2[[#This Row],[Sales]]-SalesData_2[[#This Row],[COGS]]</f>
        <v>191.10000000000002</v>
      </c>
      <c r="K658" s="21">
        <f>SalesData_2[[#This Row],[Revenue]]/SalesData_2[[#This Row],[Sales]]</f>
        <v>0.39000000000000007</v>
      </c>
      <c r="L658" s="3" t="s">
        <v>73</v>
      </c>
      <c r="M658" s="3" t="s">
        <v>80</v>
      </c>
      <c r="N658" s="3" t="s">
        <v>85</v>
      </c>
    </row>
    <row r="659" spans="1:14" x14ac:dyDescent="0.3">
      <c r="A659" s="2">
        <v>44523</v>
      </c>
      <c r="B659" s="2">
        <v>44527</v>
      </c>
      <c r="C659">
        <v>4</v>
      </c>
      <c r="D659" s="3" t="s">
        <v>13</v>
      </c>
      <c r="E659" s="6">
        <v>445</v>
      </c>
      <c r="F659" s="6">
        <v>280.35000000000002</v>
      </c>
      <c r="G659">
        <v>3</v>
      </c>
      <c r="H659" s="6">
        <f>SalesData_2[[#This Row],[Unit Price]]*SalesData_2[[#This Row],[Units Sold]]</f>
        <v>1335</v>
      </c>
      <c r="I659" s="6">
        <f>SalesData_2[[#This Row],[Unit Cost]]*SalesData_2[[#This Row],[Units Sold]]</f>
        <v>841.05000000000007</v>
      </c>
      <c r="J659" s="6">
        <f>SalesData_2[[#This Row],[Sales]]-SalesData_2[[#This Row],[COGS]]</f>
        <v>493.94999999999993</v>
      </c>
      <c r="K659" s="21">
        <f>SalesData_2[[#This Row],[Revenue]]/SalesData_2[[#This Row],[Sales]]</f>
        <v>0.36999999999999994</v>
      </c>
      <c r="L659" s="3" t="s">
        <v>38</v>
      </c>
      <c r="M659" s="3" t="s">
        <v>82</v>
      </c>
      <c r="N659" s="3" t="s">
        <v>86</v>
      </c>
    </row>
    <row r="660" spans="1:14" x14ac:dyDescent="0.3">
      <c r="A660" s="2">
        <v>44523</v>
      </c>
      <c r="B660" s="2">
        <v>44529</v>
      </c>
      <c r="C660">
        <v>6</v>
      </c>
      <c r="D660" s="3" t="s">
        <v>18</v>
      </c>
      <c r="E660" s="6">
        <v>80</v>
      </c>
      <c r="F660" s="6">
        <v>48.8</v>
      </c>
      <c r="G660">
        <v>4</v>
      </c>
      <c r="H660" s="6">
        <f>SalesData_2[[#This Row],[Unit Price]]*SalesData_2[[#This Row],[Units Sold]]</f>
        <v>320</v>
      </c>
      <c r="I660" s="6">
        <f>SalesData_2[[#This Row],[Unit Cost]]*SalesData_2[[#This Row],[Units Sold]]</f>
        <v>195.2</v>
      </c>
      <c r="J660" s="6">
        <f>SalesData_2[[#This Row],[Sales]]-SalesData_2[[#This Row],[COGS]]</f>
        <v>124.80000000000001</v>
      </c>
      <c r="K660" s="21">
        <f>SalesData_2[[#This Row],[Revenue]]/SalesData_2[[#This Row],[Sales]]</f>
        <v>0.39</v>
      </c>
      <c r="L660" s="3" t="s">
        <v>60</v>
      </c>
      <c r="M660" s="3" t="s">
        <v>79</v>
      </c>
      <c r="N660" s="3" t="s">
        <v>86</v>
      </c>
    </row>
    <row r="661" spans="1:14" x14ac:dyDescent="0.3">
      <c r="A661" s="2">
        <v>44524</v>
      </c>
      <c r="B661" s="2">
        <v>44526</v>
      </c>
      <c r="C661">
        <v>2</v>
      </c>
      <c r="D661" s="3" t="s">
        <v>23</v>
      </c>
      <c r="E661" s="6">
        <v>275</v>
      </c>
      <c r="F661" s="6">
        <v>200.75</v>
      </c>
      <c r="G661">
        <v>6</v>
      </c>
      <c r="H661" s="6">
        <f>SalesData_2[[#This Row],[Unit Price]]*SalesData_2[[#This Row],[Units Sold]]</f>
        <v>1650</v>
      </c>
      <c r="I661" s="6">
        <f>SalesData_2[[#This Row],[Unit Cost]]*SalesData_2[[#This Row],[Units Sold]]</f>
        <v>1204.5</v>
      </c>
      <c r="J661" s="6">
        <f>SalesData_2[[#This Row],[Sales]]-SalesData_2[[#This Row],[COGS]]</f>
        <v>445.5</v>
      </c>
      <c r="K661" s="21">
        <f>SalesData_2[[#This Row],[Revenue]]/SalesData_2[[#This Row],[Sales]]</f>
        <v>0.27</v>
      </c>
      <c r="L661" s="3" t="s">
        <v>59</v>
      </c>
      <c r="M661" s="3" t="s">
        <v>82</v>
      </c>
      <c r="N661" s="3" t="s">
        <v>86</v>
      </c>
    </row>
    <row r="662" spans="1:14" x14ac:dyDescent="0.3">
      <c r="A662" s="2">
        <v>44526</v>
      </c>
      <c r="B662" s="2">
        <v>44527</v>
      </c>
      <c r="C662">
        <v>1</v>
      </c>
      <c r="D662" s="3" t="s">
        <v>15</v>
      </c>
      <c r="E662" s="6">
        <v>110</v>
      </c>
      <c r="F662" s="6">
        <v>78.099999999999994</v>
      </c>
      <c r="G662">
        <v>1</v>
      </c>
      <c r="H662" s="6">
        <f>SalesData_2[[#This Row],[Unit Price]]*SalesData_2[[#This Row],[Units Sold]]</f>
        <v>110</v>
      </c>
      <c r="I662" s="6">
        <f>SalesData_2[[#This Row],[Unit Cost]]*SalesData_2[[#This Row],[Units Sold]]</f>
        <v>78.099999999999994</v>
      </c>
      <c r="J662" s="6">
        <f>SalesData_2[[#This Row],[Sales]]-SalesData_2[[#This Row],[COGS]]</f>
        <v>31.900000000000006</v>
      </c>
      <c r="K662" s="21">
        <f>SalesData_2[[#This Row],[Revenue]]/SalesData_2[[#This Row],[Sales]]</f>
        <v>0.29000000000000004</v>
      </c>
      <c r="L662" s="3" t="s">
        <v>57</v>
      </c>
      <c r="M662" s="3" t="s">
        <v>81</v>
      </c>
      <c r="N662" s="3" t="s">
        <v>86</v>
      </c>
    </row>
    <row r="663" spans="1:14" x14ac:dyDescent="0.3">
      <c r="A663" s="2">
        <v>44527</v>
      </c>
      <c r="B663" s="2">
        <v>44530</v>
      </c>
      <c r="C663">
        <v>3</v>
      </c>
      <c r="D663" s="3" t="s">
        <v>9</v>
      </c>
      <c r="E663" s="6">
        <v>215</v>
      </c>
      <c r="F663" s="6">
        <v>152.65</v>
      </c>
      <c r="G663">
        <v>8</v>
      </c>
      <c r="H663" s="6">
        <f>SalesData_2[[#This Row],[Unit Price]]*SalesData_2[[#This Row],[Units Sold]]</f>
        <v>1720</v>
      </c>
      <c r="I663" s="6">
        <f>SalesData_2[[#This Row],[Unit Cost]]*SalesData_2[[#This Row],[Units Sold]]</f>
        <v>1221.2</v>
      </c>
      <c r="J663" s="6">
        <f>SalesData_2[[#This Row],[Sales]]-SalesData_2[[#This Row],[COGS]]</f>
        <v>498.79999999999995</v>
      </c>
      <c r="K663" s="21">
        <f>SalesData_2[[#This Row],[Revenue]]/SalesData_2[[#This Row],[Sales]]</f>
        <v>0.28999999999999998</v>
      </c>
      <c r="L663" s="3" t="s">
        <v>53</v>
      </c>
      <c r="M663" s="3" t="s">
        <v>83</v>
      </c>
      <c r="N663" s="3" t="s">
        <v>85</v>
      </c>
    </row>
    <row r="664" spans="1:14" x14ac:dyDescent="0.3">
      <c r="A664" s="2">
        <v>44527</v>
      </c>
      <c r="B664" s="2">
        <v>44533</v>
      </c>
      <c r="C664">
        <v>6</v>
      </c>
      <c r="D664" s="3" t="s">
        <v>22</v>
      </c>
      <c r="E664" s="6">
        <v>460</v>
      </c>
      <c r="F664" s="6">
        <v>303.60000000000002</v>
      </c>
      <c r="G664">
        <v>6</v>
      </c>
      <c r="H664" s="6">
        <f>SalesData_2[[#This Row],[Unit Price]]*SalesData_2[[#This Row],[Units Sold]]</f>
        <v>2760</v>
      </c>
      <c r="I664" s="6">
        <f>SalesData_2[[#This Row],[Unit Cost]]*SalesData_2[[#This Row],[Units Sold]]</f>
        <v>1821.6000000000001</v>
      </c>
      <c r="J664" s="6">
        <f>SalesData_2[[#This Row],[Sales]]-SalesData_2[[#This Row],[COGS]]</f>
        <v>938.39999999999986</v>
      </c>
      <c r="K664" s="21">
        <f>SalesData_2[[#This Row],[Revenue]]/SalesData_2[[#This Row],[Sales]]</f>
        <v>0.33999999999999997</v>
      </c>
      <c r="L664" s="3" t="s">
        <v>51</v>
      </c>
      <c r="M664" s="3" t="s">
        <v>79</v>
      </c>
      <c r="N664" s="3" t="s">
        <v>86</v>
      </c>
    </row>
    <row r="665" spans="1:14" x14ac:dyDescent="0.3">
      <c r="A665" s="2">
        <v>44527</v>
      </c>
      <c r="B665" s="2">
        <v>44529</v>
      </c>
      <c r="C665">
        <v>2</v>
      </c>
      <c r="D665" s="3" t="s">
        <v>19</v>
      </c>
      <c r="E665" s="6">
        <v>220</v>
      </c>
      <c r="F665" s="6">
        <v>154</v>
      </c>
      <c r="G665">
        <v>3</v>
      </c>
      <c r="H665" s="6">
        <f>SalesData_2[[#This Row],[Unit Price]]*SalesData_2[[#This Row],[Units Sold]]</f>
        <v>660</v>
      </c>
      <c r="I665" s="6">
        <f>SalesData_2[[#This Row],[Unit Cost]]*SalesData_2[[#This Row],[Units Sold]]</f>
        <v>462</v>
      </c>
      <c r="J665" s="6">
        <f>SalesData_2[[#This Row],[Sales]]-SalesData_2[[#This Row],[COGS]]</f>
        <v>198</v>
      </c>
      <c r="K665" s="21">
        <f>SalesData_2[[#This Row],[Revenue]]/SalesData_2[[#This Row],[Sales]]</f>
        <v>0.3</v>
      </c>
      <c r="L665" s="3" t="s">
        <v>72</v>
      </c>
      <c r="M665" s="3" t="s">
        <v>79</v>
      </c>
      <c r="N665" s="3" t="s">
        <v>86</v>
      </c>
    </row>
    <row r="666" spans="1:14" x14ac:dyDescent="0.3">
      <c r="A666" s="2">
        <v>44529</v>
      </c>
      <c r="B666" s="2">
        <v>44535</v>
      </c>
      <c r="C666">
        <v>6</v>
      </c>
      <c r="D666" s="3" t="s">
        <v>23</v>
      </c>
      <c r="E666" s="6">
        <v>275</v>
      </c>
      <c r="F666" s="6">
        <v>200.75</v>
      </c>
      <c r="G666">
        <v>3</v>
      </c>
      <c r="H666" s="6">
        <f>SalesData_2[[#This Row],[Unit Price]]*SalesData_2[[#This Row],[Units Sold]]</f>
        <v>825</v>
      </c>
      <c r="I666" s="6">
        <f>SalesData_2[[#This Row],[Unit Cost]]*SalesData_2[[#This Row],[Units Sold]]</f>
        <v>602.25</v>
      </c>
      <c r="J666" s="6">
        <f>SalesData_2[[#This Row],[Sales]]-SalesData_2[[#This Row],[COGS]]</f>
        <v>222.75</v>
      </c>
      <c r="K666" s="21">
        <f>SalesData_2[[#This Row],[Revenue]]/SalesData_2[[#This Row],[Sales]]</f>
        <v>0.27</v>
      </c>
      <c r="L666" s="3" t="s">
        <v>35</v>
      </c>
      <c r="M666" s="3" t="s">
        <v>83</v>
      </c>
      <c r="N666" s="3" t="s">
        <v>85</v>
      </c>
    </row>
    <row r="667" spans="1:14" x14ac:dyDescent="0.3">
      <c r="A667" s="2">
        <v>44529</v>
      </c>
      <c r="B667" s="2">
        <v>44532</v>
      </c>
      <c r="C667">
        <v>3</v>
      </c>
      <c r="D667" s="3" t="s">
        <v>9</v>
      </c>
      <c r="E667" s="6">
        <v>215</v>
      </c>
      <c r="F667" s="6">
        <v>152.65</v>
      </c>
      <c r="G667">
        <v>6</v>
      </c>
      <c r="H667" s="6">
        <f>SalesData_2[[#This Row],[Unit Price]]*SalesData_2[[#This Row],[Units Sold]]</f>
        <v>1290</v>
      </c>
      <c r="I667" s="6">
        <f>SalesData_2[[#This Row],[Unit Cost]]*SalesData_2[[#This Row],[Units Sold]]</f>
        <v>915.90000000000009</v>
      </c>
      <c r="J667" s="6">
        <f>SalesData_2[[#This Row],[Sales]]-SalesData_2[[#This Row],[COGS]]</f>
        <v>374.09999999999991</v>
      </c>
      <c r="K667" s="21">
        <f>SalesData_2[[#This Row],[Revenue]]/SalesData_2[[#This Row],[Sales]]</f>
        <v>0.28999999999999992</v>
      </c>
      <c r="L667" s="3" t="s">
        <v>57</v>
      </c>
      <c r="M667" s="3" t="s">
        <v>83</v>
      </c>
      <c r="N667" s="3" t="s">
        <v>85</v>
      </c>
    </row>
    <row r="668" spans="1:14" x14ac:dyDescent="0.3">
      <c r="A668" s="2">
        <v>44529</v>
      </c>
      <c r="B668" s="2">
        <v>44535</v>
      </c>
      <c r="C668">
        <v>6</v>
      </c>
      <c r="D668" s="3" t="s">
        <v>20</v>
      </c>
      <c r="E668" s="6">
        <v>440</v>
      </c>
      <c r="F668" s="6">
        <v>286</v>
      </c>
      <c r="G668">
        <v>3</v>
      </c>
      <c r="H668" s="6">
        <f>SalesData_2[[#This Row],[Unit Price]]*SalesData_2[[#This Row],[Units Sold]]</f>
        <v>1320</v>
      </c>
      <c r="I668" s="6">
        <f>SalesData_2[[#This Row],[Unit Cost]]*SalesData_2[[#This Row],[Units Sold]]</f>
        <v>858</v>
      </c>
      <c r="J668" s="6">
        <f>SalesData_2[[#This Row],[Sales]]-SalesData_2[[#This Row],[COGS]]</f>
        <v>462</v>
      </c>
      <c r="K668" s="21">
        <f>SalesData_2[[#This Row],[Revenue]]/SalesData_2[[#This Row],[Sales]]</f>
        <v>0.35</v>
      </c>
      <c r="L668" s="3" t="s">
        <v>49</v>
      </c>
      <c r="M668" s="3" t="s">
        <v>79</v>
      </c>
      <c r="N668" s="3" t="s">
        <v>86</v>
      </c>
    </row>
    <row r="669" spans="1:14" x14ac:dyDescent="0.3">
      <c r="A669" s="2">
        <v>44530</v>
      </c>
      <c r="B669" s="2">
        <v>44531</v>
      </c>
      <c r="C669">
        <v>1</v>
      </c>
      <c r="D669" s="3" t="s">
        <v>7</v>
      </c>
      <c r="E669" s="6">
        <v>250</v>
      </c>
      <c r="F669" s="6">
        <v>167.5</v>
      </c>
      <c r="G669">
        <v>4</v>
      </c>
      <c r="H669" s="6">
        <f>SalesData_2[[#This Row],[Unit Price]]*SalesData_2[[#This Row],[Units Sold]]</f>
        <v>1000</v>
      </c>
      <c r="I669" s="6">
        <f>SalesData_2[[#This Row],[Unit Cost]]*SalesData_2[[#This Row],[Units Sold]]</f>
        <v>670</v>
      </c>
      <c r="J669" s="6">
        <f>SalesData_2[[#This Row],[Sales]]-SalesData_2[[#This Row],[COGS]]</f>
        <v>330</v>
      </c>
      <c r="K669" s="21">
        <f>SalesData_2[[#This Row],[Revenue]]/SalesData_2[[#This Row],[Sales]]</f>
        <v>0.33</v>
      </c>
      <c r="L669" s="3" t="s">
        <v>61</v>
      </c>
      <c r="M669" s="3" t="s">
        <v>83</v>
      </c>
      <c r="N669" s="3" t="s">
        <v>85</v>
      </c>
    </row>
    <row r="670" spans="1:14" x14ac:dyDescent="0.3">
      <c r="A670" s="2">
        <v>44530</v>
      </c>
      <c r="B670" s="2">
        <v>44537</v>
      </c>
      <c r="C670">
        <v>7</v>
      </c>
      <c r="D670" s="3" t="s">
        <v>12</v>
      </c>
      <c r="E670" s="6">
        <v>320</v>
      </c>
      <c r="F670" s="6">
        <v>233.6</v>
      </c>
      <c r="G670">
        <v>4</v>
      </c>
      <c r="H670" s="6">
        <f>SalesData_2[[#This Row],[Unit Price]]*SalesData_2[[#This Row],[Units Sold]]</f>
        <v>1280</v>
      </c>
      <c r="I670" s="6">
        <f>SalesData_2[[#This Row],[Unit Cost]]*SalesData_2[[#This Row],[Units Sold]]</f>
        <v>934.4</v>
      </c>
      <c r="J670" s="6">
        <f>SalesData_2[[#This Row],[Sales]]-SalesData_2[[#This Row],[COGS]]</f>
        <v>345.6</v>
      </c>
      <c r="K670" s="21">
        <f>SalesData_2[[#This Row],[Revenue]]/SalesData_2[[#This Row],[Sales]]</f>
        <v>0.27</v>
      </c>
      <c r="L670" s="3" t="s">
        <v>40</v>
      </c>
      <c r="M670" s="3" t="s">
        <v>83</v>
      </c>
      <c r="N670" s="3" t="s">
        <v>86</v>
      </c>
    </row>
    <row r="671" spans="1:14" x14ac:dyDescent="0.3">
      <c r="A671" s="2">
        <v>44531</v>
      </c>
      <c r="B671" s="2">
        <v>44534</v>
      </c>
      <c r="C671">
        <v>3</v>
      </c>
      <c r="D671" s="3" t="s">
        <v>23</v>
      </c>
      <c r="E671" s="6">
        <v>275</v>
      </c>
      <c r="F671" s="6">
        <v>200.75</v>
      </c>
      <c r="G671">
        <v>3</v>
      </c>
      <c r="H671" s="6">
        <f>SalesData_2[[#This Row],[Unit Price]]*SalesData_2[[#This Row],[Units Sold]]</f>
        <v>825</v>
      </c>
      <c r="I671" s="6">
        <f>SalesData_2[[#This Row],[Unit Cost]]*SalesData_2[[#This Row],[Units Sold]]</f>
        <v>602.25</v>
      </c>
      <c r="J671" s="6">
        <f>SalesData_2[[#This Row],[Sales]]-SalesData_2[[#This Row],[COGS]]</f>
        <v>222.75</v>
      </c>
      <c r="K671" s="21">
        <f>SalesData_2[[#This Row],[Revenue]]/SalesData_2[[#This Row],[Sales]]</f>
        <v>0.27</v>
      </c>
      <c r="L671" s="3" t="s">
        <v>55</v>
      </c>
      <c r="M671" s="3" t="s">
        <v>83</v>
      </c>
      <c r="N671" s="3" t="s">
        <v>86</v>
      </c>
    </row>
    <row r="672" spans="1:14" x14ac:dyDescent="0.3">
      <c r="A672" s="2">
        <v>44531</v>
      </c>
      <c r="B672" s="2">
        <v>44537</v>
      </c>
      <c r="C672">
        <v>6</v>
      </c>
      <c r="D672" s="3" t="s">
        <v>6</v>
      </c>
      <c r="E672" s="6">
        <v>99</v>
      </c>
      <c r="F672" s="6">
        <v>62.37</v>
      </c>
      <c r="G672">
        <v>5</v>
      </c>
      <c r="H672" s="6">
        <f>SalesData_2[[#This Row],[Unit Price]]*SalesData_2[[#This Row],[Units Sold]]</f>
        <v>495</v>
      </c>
      <c r="I672" s="6">
        <f>SalesData_2[[#This Row],[Unit Cost]]*SalesData_2[[#This Row],[Units Sold]]</f>
        <v>311.84999999999997</v>
      </c>
      <c r="J672" s="6">
        <f>SalesData_2[[#This Row],[Sales]]-SalesData_2[[#This Row],[COGS]]</f>
        <v>183.15000000000003</v>
      </c>
      <c r="K672" s="21">
        <f>SalesData_2[[#This Row],[Revenue]]/SalesData_2[[#This Row],[Sales]]</f>
        <v>0.37000000000000005</v>
      </c>
      <c r="L672" s="3" t="s">
        <v>48</v>
      </c>
      <c r="M672" s="3" t="s">
        <v>80</v>
      </c>
      <c r="N672" s="3" t="s">
        <v>85</v>
      </c>
    </row>
    <row r="673" spans="1:14" x14ac:dyDescent="0.3">
      <c r="A673" s="2">
        <v>44532</v>
      </c>
      <c r="B673" s="2">
        <v>44536</v>
      </c>
      <c r="C673">
        <v>4</v>
      </c>
      <c r="D673" s="3" t="s">
        <v>23</v>
      </c>
      <c r="E673" s="6">
        <v>275</v>
      </c>
      <c r="F673" s="6">
        <v>200.75</v>
      </c>
      <c r="G673">
        <v>7</v>
      </c>
      <c r="H673" s="6">
        <f>SalesData_2[[#This Row],[Unit Price]]*SalesData_2[[#This Row],[Units Sold]]</f>
        <v>1925</v>
      </c>
      <c r="I673" s="6">
        <f>SalesData_2[[#This Row],[Unit Cost]]*SalesData_2[[#This Row],[Units Sold]]</f>
        <v>1405.25</v>
      </c>
      <c r="J673" s="6">
        <f>SalesData_2[[#This Row],[Sales]]-SalesData_2[[#This Row],[COGS]]</f>
        <v>519.75</v>
      </c>
      <c r="K673" s="21">
        <f>SalesData_2[[#This Row],[Revenue]]/SalesData_2[[#This Row],[Sales]]</f>
        <v>0.27</v>
      </c>
      <c r="L673" s="3" t="s">
        <v>53</v>
      </c>
      <c r="M673" s="3" t="s">
        <v>81</v>
      </c>
      <c r="N673" s="3" t="s">
        <v>86</v>
      </c>
    </row>
    <row r="674" spans="1:14" x14ac:dyDescent="0.3">
      <c r="A674" s="2">
        <v>44533</v>
      </c>
      <c r="B674" s="2">
        <v>44536</v>
      </c>
      <c r="C674">
        <v>3</v>
      </c>
      <c r="D674" s="3" t="s">
        <v>9</v>
      </c>
      <c r="E674" s="6">
        <v>215</v>
      </c>
      <c r="F674" s="6">
        <v>152.65</v>
      </c>
      <c r="G674">
        <v>2</v>
      </c>
      <c r="H674" s="6">
        <f>SalesData_2[[#This Row],[Unit Price]]*SalesData_2[[#This Row],[Units Sold]]</f>
        <v>430</v>
      </c>
      <c r="I674" s="6">
        <f>SalesData_2[[#This Row],[Unit Cost]]*SalesData_2[[#This Row],[Units Sold]]</f>
        <v>305.3</v>
      </c>
      <c r="J674" s="6">
        <f>SalesData_2[[#This Row],[Sales]]-SalesData_2[[#This Row],[COGS]]</f>
        <v>124.69999999999999</v>
      </c>
      <c r="K674" s="21">
        <f>SalesData_2[[#This Row],[Revenue]]/SalesData_2[[#This Row],[Sales]]</f>
        <v>0.28999999999999998</v>
      </c>
      <c r="L674" s="3" t="s">
        <v>35</v>
      </c>
      <c r="M674" s="3" t="s">
        <v>81</v>
      </c>
      <c r="N674" s="3" t="s">
        <v>85</v>
      </c>
    </row>
    <row r="675" spans="1:14" x14ac:dyDescent="0.3">
      <c r="A675" s="2">
        <v>44533</v>
      </c>
      <c r="B675" s="2">
        <v>44539</v>
      </c>
      <c r="C675">
        <v>6</v>
      </c>
      <c r="D675" s="3" t="s">
        <v>17</v>
      </c>
      <c r="E675" s="6">
        <v>195</v>
      </c>
      <c r="F675" s="6">
        <v>138.44999999999999</v>
      </c>
      <c r="G675">
        <v>2</v>
      </c>
      <c r="H675" s="6">
        <f>SalesData_2[[#This Row],[Unit Price]]*SalesData_2[[#This Row],[Units Sold]]</f>
        <v>390</v>
      </c>
      <c r="I675" s="6">
        <f>SalesData_2[[#This Row],[Unit Cost]]*SalesData_2[[#This Row],[Units Sold]]</f>
        <v>276.89999999999998</v>
      </c>
      <c r="J675" s="6">
        <f>SalesData_2[[#This Row],[Sales]]-SalesData_2[[#This Row],[COGS]]</f>
        <v>113.10000000000002</v>
      </c>
      <c r="K675" s="21">
        <f>SalesData_2[[#This Row],[Revenue]]/SalesData_2[[#This Row],[Sales]]</f>
        <v>0.29000000000000004</v>
      </c>
      <c r="L675" s="3" t="s">
        <v>63</v>
      </c>
      <c r="M675" s="3" t="s">
        <v>82</v>
      </c>
      <c r="N675" s="3" t="s">
        <v>85</v>
      </c>
    </row>
    <row r="676" spans="1:14" x14ac:dyDescent="0.3">
      <c r="A676" s="2">
        <v>44534</v>
      </c>
      <c r="B676" s="2">
        <v>44538</v>
      </c>
      <c r="C676">
        <v>4</v>
      </c>
      <c r="D676" s="3" t="s">
        <v>14</v>
      </c>
      <c r="E676" s="6">
        <v>375</v>
      </c>
      <c r="F676" s="6">
        <v>247.5</v>
      </c>
      <c r="G676">
        <v>5</v>
      </c>
      <c r="H676" s="6">
        <f>SalesData_2[[#This Row],[Unit Price]]*SalesData_2[[#This Row],[Units Sold]]</f>
        <v>1875</v>
      </c>
      <c r="I676" s="6">
        <f>SalesData_2[[#This Row],[Unit Cost]]*SalesData_2[[#This Row],[Units Sold]]</f>
        <v>1237.5</v>
      </c>
      <c r="J676" s="6">
        <f>SalesData_2[[#This Row],[Sales]]-SalesData_2[[#This Row],[COGS]]</f>
        <v>637.5</v>
      </c>
      <c r="K676" s="21">
        <f>SalesData_2[[#This Row],[Revenue]]/SalesData_2[[#This Row],[Sales]]</f>
        <v>0.34</v>
      </c>
      <c r="L676" s="3" t="s">
        <v>42</v>
      </c>
      <c r="M676" s="3" t="s">
        <v>82</v>
      </c>
      <c r="N676" s="3" t="s">
        <v>86</v>
      </c>
    </row>
    <row r="677" spans="1:14" x14ac:dyDescent="0.3">
      <c r="A677" s="2">
        <v>44534</v>
      </c>
      <c r="B677" s="2">
        <v>44535</v>
      </c>
      <c r="C677">
        <v>1</v>
      </c>
      <c r="D677" s="3" t="s">
        <v>2</v>
      </c>
      <c r="E677" s="6">
        <v>250</v>
      </c>
      <c r="F677" s="6">
        <v>187.5</v>
      </c>
      <c r="G677">
        <v>6</v>
      </c>
      <c r="H677" s="6">
        <f>SalesData_2[[#This Row],[Unit Price]]*SalesData_2[[#This Row],[Units Sold]]</f>
        <v>1500</v>
      </c>
      <c r="I677" s="6">
        <f>SalesData_2[[#This Row],[Unit Cost]]*SalesData_2[[#This Row],[Units Sold]]</f>
        <v>1125</v>
      </c>
      <c r="J677" s="6">
        <f>SalesData_2[[#This Row],[Sales]]-SalesData_2[[#This Row],[COGS]]</f>
        <v>375</v>
      </c>
      <c r="K677" s="21">
        <f>SalesData_2[[#This Row],[Revenue]]/SalesData_2[[#This Row],[Sales]]</f>
        <v>0.25</v>
      </c>
      <c r="L677" s="3" t="s">
        <v>41</v>
      </c>
      <c r="M677" s="3" t="s">
        <v>80</v>
      </c>
      <c r="N677" s="3" t="s">
        <v>85</v>
      </c>
    </row>
    <row r="678" spans="1:14" x14ac:dyDescent="0.3">
      <c r="A678" s="2">
        <v>44535</v>
      </c>
      <c r="B678" s="2">
        <v>44541</v>
      </c>
      <c r="C678">
        <v>6</v>
      </c>
      <c r="D678" s="3" t="s">
        <v>16</v>
      </c>
      <c r="E678" s="6">
        <v>145</v>
      </c>
      <c r="F678" s="6">
        <v>105.85</v>
      </c>
      <c r="G678">
        <v>7</v>
      </c>
      <c r="H678" s="6">
        <f>SalesData_2[[#This Row],[Unit Price]]*SalesData_2[[#This Row],[Units Sold]]</f>
        <v>1015</v>
      </c>
      <c r="I678" s="6">
        <f>SalesData_2[[#This Row],[Unit Cost]]*SalesData_2[[#This Row],[Units Sold]]</f>
        <v>740.94999999999993</v>
      </c>
      <c r="J678" s="6">
        <f>SalesData_2[[#This Row],[Sales]]-SalesData_2[[#This Row],[COGS]]</f>
        <v>274.05000000000007</v>
      </c>
      <c r="K678" s="21">
        <f>SalesData_2[[#This Row],[Revenue]]/SalesData_2[[#This Row],[Sales]]</f>
        <v>0.27000000000000007</v>
      </c>
      <c r="L678" s="3" t="s">
        <v>46</v>
      </c>
      <c r="M678" s="3" t="s">
        <v>82</v>
      </c>
      <c r="N678" s="3" t="s">
        <v>86</v>
      </c>
    </row>
    <row r="679" spans="1:14" x14ac:dyDescent="0.3">
      <c r="A679" s="2">
        <v>44536</v>
      </c>
      <c r="B679" s="2">
        <v>44543</v>
      </c>
      <c r="C679">
        <v>7</v>
      </c>
      <c r="D679" s="3" t="s">
        <v>13</v>
      </c>
      <c r="E679" s="6">
        <v>445</v>
      </c>
      <c r="F679" s="6">
        <v>280.35000000000002</v>
      </c>
      <c r="G679">
        <v>9</v>
      </c>
      <c r="H679" s="6">
        <f>SalesData_2[[#This Row],[Unit Price]]*SalesData_2[[#This Row],[Units Sold]]</f>
        <v>4005</v>
      </c>
      <c r="I679" s="6">
        <f>SalesData_2[[#This Row],[Unit Cost]]*SalesData_2[[#This Row],[Units Sold]]</f>
        <v>2523.15</v>
      </c>
      <c r="J679" s="6">
        <f>SalesData_2[[#This Row],[Sales]]-SalesData_2[[#This Row],[COGS]]</f>
        <v>1481.85</v>
      </c>
      <c r="K679" s="21">
        <f>SalesData_2[[#This Row],[Revenue]]/SalesData_2[[#This Row],[Sales]]</f>
        <v>0.37</v>
      </c>
      <c r="L679" s="3" t="s">
        <v>50</v>
      </c>
      <c r="M679" s="3" t="s">
        <v>82</v>
      </c>
      <c r="N679" s="3" t="s">
        <v>86</v>
      </c>
    </row>
    <row r="680" spans="1:14" x14ac:dyDescent="0.3">
      <c r="A680" s="2">
        <v>44538</v>
      </c>
      <c r="B680" s="2">
        <v>44544</v>
      </c>
      <c r="C680">
        <v>6</v>
      </c>
      <c r="D680" s="3" t="s">
        <v>11</v>
      </c>
      <c r="E680" s="6">
        <v>490</v>
      </c>
      <c r="F680" s="6">
        <v>298.89999999999998</v>
      </c>
      <c r="G680">
        <v>2</v>
      </c>
      <c r="H680" s="6">
        <f>SalesData_2[[#This Row],[Unit Price]]*SalesData_2[[#This Row],[Units Sold]]</f>
        <v>980</v>
      </c>
      <c r="I680" s="6">
        <f>SalesData_2[[#This Row],[Unit Cost]]*SalesData_2[[#This Row],[Units Sold]]</f>
        <v>597.79999999999995</v>
      </c>
      <c r="J680" s="6">
        <f>SalesData_2[[#This Row],[Sales]]-SalesData_2[[#This Row],[COGS]]</f>
        <v>382.20000000000005</v>
      </c>
      <c r="K680" s="21">
        <f>SalesData_2[[#This Row],[Revenue]]/SalesData_2[[#This Row],[Sales]]</f>
        <v>0.39000000000000007</v>
      </c>
      <c r="L680" s="3" t="s">
        <v>47</v>
      </c>
      <c r="M680" s="3" t="s">
        <v>81</v>
      </c>
      <c r="N680" s="3" t="s">
        <v>85</v>
      </c>
    </row>
    <row r="681" spans="1:14" x14ac:dyDescent="0.3">
      <c r="A681" s="2">
        <v>44540</v>
      </c>
      <c r="B681" s="2">
        <v>44542</v>
      </c>
      <c r="C681">
        <v>2</v>
      </c>
      <c r="D681" s="3" t="s">
        <v>20</v>
      </c>
      <c r="E681" s="6">
        <v>440</v>
      </c>
      <c r="F681" s="6">
        <v>286</v>
      </c>
      <c r="G681">
        <v>6</v>
      </c>
      <c r="H681" s="6">
        <f>SalesData_2[[#This Row],[Unit Price]]*SalesData_2[[#This Row],[Units Sold]]</f>
        <v>2640</v>
      </c>
      <c r="I681" s="6">
        <f>SalesData_2[[#This Row],[Unit Cost]]*SalesData_2[[#This Row],[Units Sold]]</f>
        <v>1716</v>
      </c>
      <c r="J681" s="6">
        <f>SalesData_2[[#This Row],[Sales]]-SalesData_2[[#This Row],[COGS]]</f>
        <v>924</v>
      </c>
      <c r="K681" s="21">
        <f>SalesData_2[[#This Row],[Revenue]]/SalesData_2[[#This Row],[Sales]]</f>
        <v>0.35</v>
      </c>
      <c r="L681" s="3" t="s">
        <v>65</v>
      </c>
      <c r="M681" s="3" t="s">
        <v>83</v>
      </c>
      <c r="N681" s="3" t="s">
        <v>85</v>
      </c>
    </row>
    <row r="682" spans="1:14" x14ac:dyDescent="0.3">
      <c r="A682" s="2">
        <v>44541</v>
      </c>
      <c r="B682" s="2">
        <v>44544</v>
      </c>
      <c r="C682">
        <v>3</v>
      </c>
      <c r="D682" s="3" t="s">
        <v>14</v>
      </c>
      <c r="E682" s="6">
        <v>375</v>
      </c>
      <c r="F682" s="6">
        <v>247.5</v>
      </c>
      <c r="G682">
        <v>1</v>
      </c>
      <c r="H682" s="6">
        <f>SalesData_2[[#This Row],[Unit Price]]*SalesData_2[[#This Row],[Units Sold]]</f>
        <v>375</v>
      </c>
      <c r="I682" s="6">
        <f>SalesData_2[[#This Row],[Unit Cost]]*SalesData_2[[#This Row],[Units Sold]]</f>
        <v>247.5</v>
      </c>
      <c r="J682" s="6">
        <f>SalesData_2[[#This Row],[Sales]]-SalesData_2[[#This Row],[COGS]]</f>
        <v>127.5</v>
      </c>
      <c r="K682" s="21">
        <f>SalesData_2[[#This Row],[Revenue]]/SalesData_2[[#This Row],[Sales]]</f>
        <v>0.34</v>
      </c>
      <c r="L682" s="3" t="s">
        <v>62</v>
      </c>
      <c r="M682" s="3" t="s">
        <v>83</v>
      </c>
      <c r="N682" s="3" t="s">
        <v>85</v>
      </c>
    </row>
    <row r="683" spans="1:14" x14ac:dyDescent="0.3">
      <c r="A683" s="2">
        <v>44541</v>
      </c>
      <c r="B683" s="2">
        <v>44548</v>
      </c>
      <c r="C683">
        <v>7</v>
      </c>
      <c r="D683" s="3" t="s">
        <v>21</v>
      </c>
      <c r="E683" s="6">
        <v>355</v>
      </c>
      <c r="F683" s="6">
        <v>252.05</v>
      </c>
      <c r="G683">
        <v>7</v>
      </c>
      <c r="H683" s="6">
        <f>SalesData_2[[#This Row],[Unit Price]]*SalesData_2[[#This Row],[Units Sold]]</f>
        <v>2485</v>
      </c>
      <c r="I683" s="6">
        <f>SalesData_2[[#This Row],[Unit Cost]]*SalesData_2[[#This Row],[Units Sold]]</f>
        <v>1764.3500000000001</v>
      </c>
      <c r="J683" s="6">
        <f>SalesData_2[[#This Row],[Sales]]-SalesData_2[[#This Row],[COGS]]</f>
        <v>720.64999999999986</v>
      </c>
      <c r="K683" s="21">
        <f>SalesData_2[[#This Row],[Revenue]]/SalesData_2[[#This Row],[Sales]]</f>
        <v>0.28999999999999992</v>
      </c>
      <c r="L683" s="3" t="s">
        <v>43</v>
      </c>
      <c r="M683" s="3" t="s">
        <v>79</v>
      </c>
      <c r="N683" s="3" t="s">
        <v>85</v>
      </c>
    </row>
    <row r="684" spans="1:14" x14ac:dyDescent="0.3">
      <c r="A684" s="2">
        <v>44543</v>
      </c>
      <c r="B684" s="2">
        <v>44545</v>
      </c>
      <c r="C684">
        <v>2</v>
      </c>
      <c r="D684" s="3" t="s">
        <v>7</v>
      </c>
      <c r="E684" s="6">
        <v>250</v>
      </c>
      <c r="F684" s="6">
        <v>167.5</v>
      </c>
      <c r="G684">
        <v>3</v>
      </c>
      <c r="H684" s="6">
        <f>SalesData_2[[#This Row],[Unit Price]]*SalesData_2[[#This Row],[Units Sold]]</f>
        <v>750</v>
      </c>
      <c r="I684" s="6">
        <f>SalesData_2[[#This Row],[Unit Cost]]*SalesData_2[[#This Row],[Units Sold]]</f>
        <v>502.5</v>
      </c>
      <c r="J684" s="6">
        <f>SalesData_2[[#This Row],[Sales]]-SalesData_2[[#This Row],[COGS]]</f>
        <v>247.5</v>
      </c>
      <c r="K684" s="21">
        <f>SalesData_2[[#This Row],[Revenue]]/SalesData_2[[#This Row],[Sales]]</f>
        <v>0.33</v>
      </c>
      <c r="L684" s="3" t="s">
        <v>33</v>
      </c>
      <c r="M684" s="3" t="s">
        <v>81</v>
      </c>
      <c r="N684" s="3" t="s">
        <v>86</v>
      </c>
    </row>
    <row r="685" spans="1:14" x14ac:dyDescent="0.3">
      <c r="A685" s="2">
        <v>44543</v>
      </c>
      <c r="B685" s="2">
        <v>44548</v>
      </c>
      <c r="C685">
        <v>5</v>
      </c>
      <c r="D685" s="3" t="s">
        <v>15</v>
      </c>
      <c r="E685" s="6">
        <v>110</v>
      </c>
      <c r="F685" s="6">
        <v>78.099999999999994</v>
      </c>
      <c r="G685">
        <v>5</v>
      </c>
      <c r="H685" s="6">
        <f>SalesData_2[[#This Row],[Unit Price]]*SalesData_2[[#This Row],[Units Sold]]</f>
        <v>550</v>
      </c>
      <c r="I685" s="6">
        <f>SalesData_2[[#This Row],[Unit Cost]]*SalesData_2[[#This Row],[Units Sold]]</f>
        <v>390.5</v>
      </c>
      <c r="J685" s="6">
        <f>SalesData_2[[#This Row],[Sales]]-SalesData_2[[#This Row],[COGS]]</f>
        <v>159.5</v>
      </c>
      <c r="K685" s="21">
        <f>SalesData_2[[#This Row],[Revenue]]/SalesData_2[[#This Row],[Sales]]</f>
        <v>0.28999999999999998</v>
      </c>
      <c r="L685" s="3" t="s">
        <v>37</v>
      </c>
      <c r="M685" s="3" t="s">
        <v>82</v>
      </c>
      <c r="N685" s="3" t="s">
        <v>85</v>
      </c>
    </row>
    <row r="686" spans="1:14" x14ac:dyDescent="0.3">
      <c r="A686" s="2">
        <v>44543</v>
      </c>
      <c r="B686" s="2">
        <v>44547</v>
      </c>
      <c r="C686">
        <v>4</v>
      </c>
      <c r="D686" s="3" t="s">
        <v>12</v>
      </c>
      <c r="E686" s="6">
        <v>320</v>
      </c>
      <c r="F686" s="6">
        <v>233.6</v>
      </c>
      <c r="G686">
        <v>6</v>
      </c>
      <c r="H686" s="6">
        <f>SalesData_2[[#This Row],[Unit Price]]*SalesData_2[[#This Row],[Units Sold]]</f>
        <v>1920</v>
      </c>
      <c r="I686" s="6">
        <f>SalesData_2[[#This Row],[Unit Cost]]*SalesData_2[[#This Row],[Units Sold]]</f>
        <v>1401.6</v>
      </c>
      <c r="J686" s="6">
        <f>SalesData_2[[#This Row],[Sales]]-SalesData_2[[#This Row],[COGS]]</f>
        <v>518.40000000000009</v>
      </c>
      <c r="K686" s="21">
        <f>SalesData_2[[#This Row],[Revenue]]/SalesData_2[[#This Row],[Sales]]</f>
        <v>0.27000000000000007</v>
      </c>
      <c r="L686" s="3" t="s">
        <v>36</v>
      </c>
      <c r="M686" s="3" t="s">
        <v>83</v>
      </c>
      <c r="N686" s="3" t="s">
        <v>86</v>
      </c>
    </row>
    <row r="687" spans="1:14" x14ac:dyDescent="0.3">
      <c r="A687" s="2">
        <v>44544</v>
      </c>
      <c r="B687" s="2">
        <v>44549</v>
      </c>
      <c r="C687">
        <v>5</v>
      </c>
      <c r="D687" s="3" t="s">
        <v>10</v>
      </c>
      <c r="E687" s="6">
        <v>390</v>
      </c>
      <c r="F687" s="6">
        <v>253.5</v>
      </c>
      <c r="G687">
        <v>9</v>
      </c>
      <c r="H687" s="6">
        <f>SalesData_2[[#This Row],[Unit Price]]*SalesData_2[[#This Row],[Units Sold]]</f>
        <v>3510</v>
      </c>
      <c r="I687" s="6">
        <f>SalesData_2[[#This Row],[Unit Cost]]*SalesData_2[[#This Row],[Units Sold]]</f>
        <v>2281.5</v>
      </c>
      <c r="J687" s="6">
        <f>SalesData_2[[#This Row],[Sales]]-SalesData_2[[#This Row],[COGS]]</f>
        <v>1228.5</v>
      </c>
      <c r="K687" s="21">
        <f>SalesData_2[[#This Row],[Revenue]]/SalesData_2[[#This Row],[Sales]]</f>
        <v>0.35</v>
      </c>
      <c r="L687" s="3" t="s">
        <v>51</v>
      </c>
      <c r="M687" s="3" t="s">
        <v>80</v>
      </c>
      <c r="N687" s="3" t="s">
        <v>86</v>
      </c>
    </row>
    <row r="688" spans="1:14" x14ac:dyDescent="0.3">
      <c r="A688" s="2">
        <v>44544</v>
      </c>
      <c r="B688" s="2">
        <v>44551</v>
      </c>
      <c r="C688">
        <v>7</v>
      </c>
      <c r="D688" s="3" t="s">
        <v>7</v>
      </c>
      <c r="E688" s="6">
        <v>250</v>
      </c>
      <c r="F688" s="6">
        <v>167.5</v>
      </c>
      <c r="G688">
        <v>8</v>
      </c>
      <c r="H688" s="6">
        <f>SalesData_2[[#This Row],[Unit Price]]*SalesData_2[[#This Row],[Units Sold]]</f>
        <v>2000</v>
      </c>
      <c r="I688" s="6">
        <f>SalesData_2[[#This Row],[Unit Cost]]*SalesData_2[[#This Row],[Units Sold]]</f>
        <v>1340</v>
      </c>
      <c r="J688" s="6">
        <f>SalesData_2[[#This Row],[Sales]]-SalesData_2[[#This Row],[COGS]]</f>
        <v>660</v>
      </c>
      <c r="K688" s="21">
        <f>SalesData_2[[#This Row],[Revenue]]/SalesData_2[[#This Row],[Sales]]</f>
        <v>0.33</v>
      </c>
      <c r="L688" s="3" t="s">
        <v>61</v>
      </c>
      <c r="M688" s="3" t="s">
        <v>81</v>
      </c>
      <c r="N688" s="3" t="s">
        <v>86</v>
      </c>
    </row>
    <row r="689" spans="1:14" x14ac:dyDescent="0.3">
      <c r="A689" s="2">
        <v>44546</v>
      </c>
      <c r="B689" s="2">
        <v>44550</v>
      </c>
      <c r="C689">
        <v>4</v>
      </c>
      <c r="D689" s="3" t="s">
        <v>11</v>
      </c>
      <c r="E689" s="6">
        <v>490</v>
      </c>
      <c r="F689" s="6">
        <v>298.89999999999998</v>
      </c>
      <c r="G689">
        <v>4</v>
      </c>
      <c r="H689" s="6">
        <f>SalesData_2[[#This Row],[Unit Price]]*SalesData_2[[#This Row],[Units Sold]]</f>
        <v>1960</v>
      </c>
      <c r="I689" s="6">
        <f>SalesData_2[[#This Row],[Unit Cost]]*SalesData_2[[#This Row],[Units Sold]]</f>
        <v>1195.5999999999999</v>
      </c>
      <c r="J689" s="6">
        <f>SalesData_2[[#This Row],[Sales]]-SalesData_2[[#This Row],[COGS]]</f>
        <v>764.40000000000009</v>
      </c>
      <c r="K689" s="21">
        <f>SalesData_2[[#This Row],[Revenue]]/SalesData_2[[#This Row],[Sales]]</f>
        <v>0.39000000000000007</v>
      </c>
      <c r="L689" s="3" t="s">
        <v>69</v>
      </c>
      <c r="M689" s="3" t="s">
        <v>83</v>
      </c>
      <c r="N689" s="3" t="s">
        <v>85</v>
      </c>
    </row>
    <row r="690" spans="1:14" x14ac:dyDescent="0.3">
      <c r="A690" s="2">
        <v>44546</v>
      </c>
      <c r="B690" s="2">
        <v>44548</v>
      </c>
      <c r="C690">
        <v>2</v>
      </c>
      <c r="D690" s="3" t="s">
        <v>21</v>
      </c>
      <c r="E690" s="6">
        <v>355</v>
      </c>
      <c r="F690" s="6">
        <v>252.05</v>
      </c>
      <c r="G690">
        <v>7</v>
      </c>
      <c r="H690" s="6">
        <f>SalesData_2[[#This Row],[Unit Price]]*SalesData_2[[#This Row],[Units Sold]]</f>
        <v>2485</v>
      </c>
      <c r="I690" s="6">
        <f>SalesData_2[[#This Row],[Unit Cost]]*SalesData_2[[#This Row],[Units Sold]]</f>
        <v>1764.3500000000001</v>
      </c>
      <c r="J690" s="6">
        <f>SalesData_2[[#This Row],[Sales]]-SalesData_2[[#This Row],[COGS]]</f>
        <v>720.64999999999986</v>
      </c>
      <c r="K690" s="21">
        <f>SalesData_2[[#This Row],[Revenue]]/SalesData_2[[#This Row],[Sales]]</f>
        <v>0.28999999999999992</v>
      </c>
      <c r="L690" s="3" t="s">
        <v>52</v>
      </c>
      <c r="M690" s="3" t="s">
        <v>80</v>
      </c>
      <c r="N690" s="3" t="s">
        <v>86</v>
      </c>
    </row>
    <row r="691" spans="1:14" x14ac:dyDescent="0.3">
      <c r="A691" s="2">
        <v>44547</v>
      </c>
      <c r="B691" s="2">
        <v>44548</v>
      </c>
      <c r="C691">
        <v>1</v>
      </c>
      <c r="D691" s="3" t="s">
        <v>22</v>
      </c>
      <c r="E691" s="6">
        <v>460</v>
      </c>
      <c r="F691" s="6">
        <v>303.60000000000002</v>
      </c>
      <c r="G691">
        <v>5</v>
      </c>
      <c r="H691" s="6">
        <f>SalesData_2[[#This Row],[Unit Price]]*SalesData_2[[#This Row],[Units Sold]]</f>
        <v>2300</v>
      </c>
      <c r="I691" s="6">
        <f>SalesData_2[[#This Row],[Unit Cost]]*SalesData_2[[#This Row],[Units Sold]]</f>
        <v>1518</v>
      </c>
      <c r="J691" s="6">
        <f>SalesData_2[[#This Row],[Sales]]-SalesData_2[[#This Row],[COGS]]</f>
        <v>782</v>
      </c>
      <c r="K691" s="21">
        <f>SalesData_2[[#This Row],[Revenue]]/SalesData_2[[#This Row],[Sales]]</f>
        <v>0.34</v>
      </c>
      <c r="L691" s="3" t="s">
        <v>51</v>
      </c>
      <c r="M691" s="3" t="s">
        <v>79</v>
      </c>
      <c r="N691" s="3" t="s">
        <v>86</v>
      </c>
    </row>
    <row r="692" spans="1:14" x14ac:dyDescent="0.3">
      <c r="A692" s="2">
        <v>44551</v>
      </c>
      <c r="B692" s="2">
        <v>44555</v>
      </c>
      <c r="C692">
        <v>4</v>
      </c>
      <c r="D692" s="3" t="s">
        <v>14</v>
      </c>
      <c r="E692" s="6">
        <v>375</v>
      </c>
      <c r="F692" s="6">
        <v>247.5</v>
      </c>
      <c r="G692">
        <v>7</v>
      </c>
      <c r="H692" s="6">
        <f>SalesData_2[[#This Row],[Unit Price]]*SalesData_2[[#This Row],[Units Sold]]</f>
        <v>2625</v>
      </c>
      <c r="I692" s="6">
        <f>SalesData_2[[#This Row],[Unit Cost]]*SalesData_2[[#This Row],[Units Sold]]</f>
        <v>1732.5</v>
      </c>
      <c r="J692" s="6">
        <f>SalesData_2[[#This Row],[Sales]]-SalesData_2[[#This Row],[COGS]]</f>
        <v>892.5</v>
      </c>
      <c r="K692" s="21">
        <f>SalesData_2[[#This Row],[Revenue]]/SalesData_2[[#This Row],[Sales]]</f>
        <v>0.34</v>
      </c>
      <c r="L692" s="3" t="s">
        <v>45</v>
      </c>
      <c r="M692" s="3" t="s">
        <v>83</v>
      </c>
      <c r="N692" s="3" t="s">
        <v>85</v>
      </c>
    </row>
    <row r="693" spans="1:14" x14ac:dyDescent="0.3">
      <c r="A693" s="2">
        <v>44554</v>
      </c>
      <c r="B693" s="2">
        <v>44558</v>
      </c>
      <c r="C693">
        <v>4</v>
      </c>
      <c r="D693" s="3" t="s">
        <v>20</v>
      </c>
      <c r="E693" s="6">
        <v>440</v>
      </c>
      <c r="F693" s="6">
        <v>286</v>
      </c>
      <c r="G693">
        <v>7</v>
      </c>
      <c r="H693" s="6">
        <f>SalesData_2[[#This Row],[Unit Price]]*SalesData_2[[#This Row],[Units Sold]]</f>
        <v>3080</v>
      </c>
      <c r="I693" s="6">
        <f>SalesData_2[[#This Row],[Unit Cost]]*SalesData_2[[#This Row],[Units Sold]]</f>
        <v>2002</v>
      </c>
      <c r="J693" s="6">
        <f>SalesData_2[[#This Row],[Sales]]-SalesData_2[[#This Row],[COGS]]</f>
        <v>1078</v>
      </c>
      <c r="K693" s="21">
        <f>SalesData_2[[#This Row],[Revenue]]/SalesData_2[[#This Row],[Sales]]</f>
        <v>0.35</v>
      </c>
      <c r="L693" s="3" t="s">
        <v>45</v>
      </c>
      <c r="M693" s="3" t="s">
        <v>82</v>
      </c>
      <c r="N693" s="3" t="s">
        <v>86</v>
      </c>
    </row>
    <row r="694" spans="1:14" x14ac:dyDescent="0.3">
      <c r="A694" s="2">
        <v>44555</v>
      </c>
      <c r="B694" s="2">
        <v>44560</v>
      </c>
      <c r="C694">
        <v>5</v>
      </c>
      <c r="D694" s="3" t="s">
        <v>6</v>
      </c>
      <c r="E694" s="6">
        <v>99</v>
      </c>
      <c r="F694" s="6">
        <v>62.37</v>
      </c>
      <c r="G694">
        <v>5</v>
      </c>
      <c r="H694" s="6">
        <f>SalesData_2[[#This Row],[Unit Price]]*SalesData_2[[#This Row],[Units Sold]]</f>
        <v>495</v>
      </c>
      <c r="I694" s="6">
        <f>SalesData_2[[#This Row],[Unit Cost]]*SalesData_2[[#This Row],[Units Sold]]</f>
        <v>311.84999999999997</v>
      </c>
      <c r="J694" s="6">
        <f>SalesData_2[[#This Row],[Sales]]-SalesData_2[[#This Row],[COGS]]</f>
        <v>183.15000000000003</v>
      </c>
      <c r="K694" s="21">
        <f>SalesData_2[[#This Row],[Revenue]]/SalesData_2[[#This Row],[Sales]]</f>
        <v>0.37000000000000005</v>
      </c>
      <c r="L694" s="3" t="s">
        <v>60</v>
      </c>
      <c r="M694" s="3" t="s">
        <v>79</v>
      </c>
      <c r="N694" s="3" t="s">
        <v>85</v>
      </c>
    </row>
    <row r="695" spans="1:14" x14ac:dyDescent="0.3">
      <c r="A695" s="2">
        <v>44555</v>
      </c>
      <c r="B695" s="2">
        <v>44560</v>
      </c>
      <c r="C695">
        <v>5</v>
      </c>
      <c r="D695" s="3" t="s">
        <v>16</v>
      </c>
      <c r="E695" s="6">
        <v>145</v>
      </c>
      <c r="F695" s="6">
        <v>105.85</v>
      </c>
      <c r="G695">
        <v>3</v>
      </c>
      <c r="H695" s="6">
        <f>SalesData_2[[#This Row],[Unit Price]]*SalesData_2[[#This Row],[Units Sold]]</f>
        <v>435</v>
      </c>
      <c r="I695" s="6">
        <f>SalesData_2[[#This Row],[Unit Cost]]*SalesData_2[[#This Row],[Units Sold]]</f>
        <v>317.54999999999995</v>
      </c>
      <c r="J695" s="6">
        <f>SalesData_2[[#This Row],[Sales]]-SalesData_2[[#This Row],[COGS]]</f>
        <v>117.45000000000005</v>
      </c>
      <c r="K695" s="21">
        <f>SalesData_2[[#This Row],[Revenue]]/SalesData_2[[#This Row],[Sales]]</f>
        <v>0.27000000000000013</v>
      </c>
      <c r="L695" s="3" t="s">
        <v>66</v>
      </c>
      <c r="M695" s="3" t="s">
        <v>79</v>
      </c>
      <c r="N695" s="3" t="s">
        <v>86</v>
      </c>
    </row>
    <row r="696" spans="1:14" x14ac:dyDescent="0.3">
      <c r="A696" s="2">
        <v>44555</v>
      </c>
      <c r="B696" s="2">
        <v>44560</v>
      </c>
      <c r="C696">
        <v>5</v>
      </c>
      <c r="D696" s="3" t="s">
        <v>8</v>
      </c>
      <c r="E696" s="6">
        <v>59</v>
      </c>
      <c r="F696" s="6">
        <v>41.3</v>
      </c>
      <c r="G696">
        <v>3</v>
      </c>
      <c r="H696" s="6">
        <f>SalesData_2[[#This Row],[Unit Price]]*SalesData_2[[#This Row],[Units Sold]]</f>
        <v>177</v>
      </c>
      <c r="I696" s="6">
        <f>SalesData_2[[#This Row],[Unit Cost]]*SalesData_2[[#This Row],[Units Sold]]</f>
        <v>123.89999999999999</v>
      </c>
      <c r="J696" s="6">
        <f>SalesData_2[[#This Row],[Sales]]-SalesData_2[[#This Row],[COGS]]</f>
        <v>53.100000000000009</v>
      </c>
      <c r="K696" s="21">
        <f>SalesData_2[[#This Row],[Revenue]]/SalesData_2[[#This Row],[Sales]]</f>
        <v>0.30000000000000004</v>
      </c>
      <c r="L696" s="3" t="s">
        <v>52</v>
      </c>
      <c r="M696" s="3" t="s">
        <v>82</v>
      </c>
      <c r="N696" s="3" t="s">
        <v>86</v>
      </c>
    </row>
    <row r="697" spans="1:14" x14ac:dyDescent="0.3">
      <c r="A697" s="2">
        <v>44556</v>
      </c>
      <c r="B697" s="2">
        <v>44563</v>
      </c>
      <c r="C697">
        <v>7</v>
      </c>
      <c r="D697" s="3" t="s">
        <v>11</v>
      </c>
      <c r="E697" s="6">
        <v>490</v>
      </c>
      <c r="F697" s="6">
        <v>298.89999999999998</v>
      </c>
      <c r="G697">
        <v>1</v>
      </c>
      <c r="H697" s="6">
        <f>SalesData_2[[#This Row],[Unit Price]]*SalesData_2[[#This Row],[Units Sold]]</f>
        <v>490</v>
      </c>
      <c r="I697" s="6">
        <f>SalesData_2[[#This Row],[Unit Cost]]*SalesData_2[[#This Row],[Units Sold]]</f>
        <v>298.89999999999998</v>
      </c>
      <c r="J697" s="6">
        <f>SalesData_2[[#This Row],[Sales]]-SalesData_2[[#This Row],[COGS]]</f>
        <v>191.10000000000002</v>
      </c>
      <c r="K697" s="21">
        <f>SalesData_2[[#This Row],[Revenue]]/SalesData_2[[#This Row],[Sales]]</f>
        <v>0.39000000000000007</v>
      </c>
      <c r="L697" s="3" t="s">
        <v>52</v>
      </c>
      <c r="M697" s="3" t="s">
        <v>82</v>
      </c>
      <c r="N697" s="3" t="s">
        <v>86</v>
      </c>
    </row>
    <row r="698" spans="1:14" x14ac:dyDescent="0.3">
      <c r="A698" s="2">
        <v>44556</v>
      </c>
      <c r="B698" s="2">
        <v>44561</v>
      </c>
      <c r="C698">
        <v>5</v>
      </c>
      <c r="D698" s="3" t="s">
        <v>12</v>
      </c>
      <c r="E698" s="6">
        <v>320</v>
      </c>
      <c r="F698" s="6">
        <v>233.6</v>
      </c>
      <c r="G698">
        <v>7</v>
      </c>
      <c r="H698" s="6">
        <f>SalesData_2[[#This Row],[Unit Price]]*SalesData_2[[#This Row],[Units Sold]]</f>
        <v>2240</v>
      </c>
      <c r="I698" s="6">
        <f>SalesData_2[[#This Row],[Unit Cost]]*SalesData_2[[#This Row],[Units Sold]]</f>
        <v>1635.2</v>
      </c>
      <c r="J698" s="6">
        <f>SalesData_2[[#This Row],[Sales]]-SalesData_2[[#This Row],[COGS]]</f>
        <v>604.79999999999995</v>
      </c>
      <c r="K698" s="21">
        <f>SalesData_2[[#This Row],[Revenue]]/SalesData_2[[#This Row],[Sales]]</f>
        <v>0.26999999999999996</v>
      </c>
      <c r="L698" s="3" t="s">
        <v>53</v>
      </c>
      <c r="M698" s="3" t="s">
        <v>82</v>
      </c>
      <c r="N698" s="3" t="s">
        <v>85</v>
      </c>
    </row>
    <row r="699" spans="1:14" x14ac:dyDescent="0.3">
      <c r="A699" s="2">
        <v>44556</v>
      </c>
      <c r="B699" s="2">
        <v>44563</v>
      </c>
      <c r="C699">
        <v>7</v>
      </c>
      <c r="D699" s="3" t="s">
        <v>4</v>
      </c>
      <c r="E699" s="6">
        <v>390</v>
      </c>
      <c r="F699" s="6">
        <v>288.60000000000002</v>
      </c>
      <c r="G699">
        <v>3</v>
      </c>
      <c r="H699" s="6">
        <f>SalesData_2[[#This Row],[Unit Price]]*SalesData_2[[#This Row],[Units Sold]]</f>
        <v>1170</v>
      </c>
      <c r="I699" s="6">
        <f>SalesData_2[[#This Row],[Unit Cost]]*SalesData_2[[#This Row],[Units Sold]]</f>
        <v>865.80000000000007</v>
      </c>
      <c r="J699" s="6">
        <f>SalesData_2[[#This Row],[Sales]]-SalesData_2[[#This Row],[COGS]]</f>
        <v>304.19999999999993</v>
      </c>
      <c r="K699" s="21">
        <f>SalesData_2[[#This Row],[Revenue]]/SalesData_2[[#This Row],[Sales]]</f>
        <v>0.25999999999999995</v>
      </c>
      <c r="L699" s="3" t="s">
        <v>67</v>
      </c>
      <c r="M699" s="3" t="s">
        <v>81</v>
      </c>
      <c r="N699" s="3" t="s">
        <v>85</v>
      </c>
    </row>
    <row r="700" spans="1:14" x14ac:dyDescent="0.3">
      <c r="A700" s="2">
        <v>44557</v>
      </c>
      <c r="B700" s="2">
        <v>44560</v>
      </c>
      <c r="C700">
        <v>3</v>
      </c>
      <c r="D700" s="3" t="s">
        <v>15</v>
      </c>
      <c r="E700" s="6">
        <v>110</v>
      </c>
      <c r="F700" s="6">
        <v>78.099999999999994</v>
      </c>
      <c r="G700">
        <v>8</v>
      </c>
      <c r="H700" s="6">
        <f>SalesData_2[[#This Row],[Unit Price]]*SalesData_2[[#This Row],[Units Sold]]</f>
        <v>880</v>
      </c>
      <c r="I700" s="6">
        <f>SalesData_2[[#This Row],[Unit Cost]]*SalesData_2[[#This Row],[Units Sold]]</f>
        <v>624.79999999999995</v>
      </c>
      <c r="J700" s="6">
        <f>SalesData_2[[#This Row],[Sales]]-SalesData_2[[#This Row],[COGS]]</f>
        <v>255.20000000000005</v>
      </c>
      <c r="K700" s="21">
        <f>SalesData_2[[#This Row],[Revenue]]/SalesData_2[[#This Row],[Sales]]</f>
        <v>0.29000000000000004</v>
      </c>
      <c r="L700" s="3" t="s">
        <v>71</v>
      </c>
      <c r="M700" s="3" t="s">
        <v>81</v>
      </c>
      <c r="N700" s="3" t="s">
        <v>85</v>
      </c>
    </row>
    <row r="701" spans="1:14" x14ac:dyDescent="0.3">
      <c r="A701" s="2">
        <v>44557</v>
      </c>
      <c r="B701" s="2">
        <v>44559</v>
      </c>
      <c r="C701">
        <v>2</v>
      </c>
      <c r="D701" s="3" t="s">
        <v>4</v>
      </c>
      <c r="E701" s="6">
        <v>390</v>
      </c>
      <c r="F701" s="6">
        <v>288.60000000000002</v>
      </c>
      <c r="G701">
        <v>1</v>
      </c>
      <c r="H701" s="6">
        <f>SalesData_2[[#This Row],[Unit Price]]*SalesData_2[[#This Row],[Units Sold]]</f>
        <v>390</v>
      </c>
      <c r="I701" s="6">
        <f>SalesData_2[[#This Row],[Unit Cost]]*SalesData_2[[#This Row],[Units Sold]]</f>
        <v>288.60000000000002</v>
      </c>
      <c r="J701" s="6">
        <f>SalesData_2[[#This Row],[Sales]]-SalesData_2[[#This Row],[COGS]]</f>
        <v>101.39999999999998</v>
      </c>
      <c r="K701" s="21">
        <f>SalesData_2[[#This Row],[Revenue]]/SalesData_2[[#This Row],[Sales]]</f>
        <v>0.25999999999999995</v>
      </c>
      <c r="L701" s="3" t="s">
        <v>53</v>
      </c>
      <c r="M701" s="3" t="s">
        <v>83</v>
      </c>
      <c r="N701" s="3" t="s">
        <v>85</v>
      </c>
    </row>
    <row r="702" spans="1:14" x14ac:dyDescent="0.3">
      <c r="A702" s="2">
        <v>44558</v>
      </c>
      <c r="B702" s="2">
        <v>44563</v>
      </c>
      <c r="C702">
        <v>5</v>
      </c>
      <c r="D702" s="3" t="s">
        <v>13</v>
      </c>
      <c r="E702" s="6">
        <v>445</v>
      </c>
      <c r="F702" s="6">
        <v>280.35000000000002</v>
      </c>
      <c r="G702">
        <v>2</v>
      </c>
      <c r="H702" s="6">
        <f>SalesData_2[[#This Row],[Unit Price]]*SalesData_2[[#This Row],[Units Sold]]</f>
        <v>890</v>
      </c>
      <c r="I702" s="6">
        <f>SalesData_2[[#This Row],[Unit Cost]]*SalesData_2[[#This Row],[Units Sold]]</f>
        <v>560.70000000000005</v>
      </c>
      <c r="J702" s="6">
        <f>SalesData_2[[#This Row],[Sales]]-SalesData_2[[#This Row],[COGS]]</f>
        <v>329.29999999999995</v>
      </c>
      <c r="K702" s="21">
        <f>SalesData_2[[#This Row],[Revenue]]/SalesData_2[[#This Row],[Sales]]</f>
        <v>0.36999999999999994</v>
      </c>
      <c r="L702" s="3" t="s">
        <v>42</v>
      </c>
      <c r="M702" s="3" t="s">
        <v>79</v>
      </c>
      <c r="N702" s="3" t="s">
        <v>85</v>
      </c>
    </row>
    <row r="703" spans="1:14" x14ac:dyDescent="0.3">
      <c r="A703" s="2">
        <v>44559</v>
      </c>
      <c r="B703" s="2">
        <v>44564</v>
      </c>
      <c r="C703">
        <v>5</v>
      </c>
      <c r="D703" s="3" t="s">
        <v>3</v>
      </c>
      <c r="E703" s="6">
        <v>95</v>
      </c>
      <c r="F703" s="6">
        <v>60.8</v>
      </c>
      <c r="G703">
        <v>1</v>
      </c>
      <c r="H703" s="6">
        <f>SalesData_2[[#This Row],[Unit Price]]*SalesData_2[[#This Row],[Units Sold]]</f>
        <v>95</v>
      </c>
      <c r="I703" s="6">
        <f>SalesData_2[[#This Row],[Unit Cost]]*SalesData_2[[#This Row],[Units Sold]]</f>
        <v>60.8</v>
      </c>
      <c r="J703" s="6">
        <f>SalesData_2[[#This Row],[Sales]]-SalesData_2[[#This Row],[COGS]]</f>
        <v>34.200000000000003</v>
      </c>
      <c r="K703" s="21">
        <f>SalesData_2[[#This Row],[Revenue]]/SalesData_2[[#This Row],[Sales]]</f>
        <v>0.36000000000000004</v>
      </c>
      <c r="L703" s="3" t="s">
        <v>40</v>
      </c>
      <c r="M703" s="3" t="s">
        <v>80</v>
      </c>
      <c r="N703" s="3" t="s">
        <v>85</v>
      </c>
    </row>
    <row r="704" spans="1:14" x14ac:dyDescent="0.3">
      <c r="A704" s="2">
        <v>44560</v>
      </c>
      <c r="B704" s="2">
        <v>44563</v>
      </c>
      <c r="C704">
        <v>3</v>
      </c>
      <c r="D704" s="3" t="s">
        <v>20</v>
      </c>
      <c r="E704" s="6">
        <v>440</v>
      </c>
      <c r="F704" s="6">
        <v>286</v>
      </c>
      <c r="G704">
        <v>4</v>
      </c>
      <c r="H704" s="6">
        <f>SalesData_2[[#This Row],[Unit Price]]*SalesData_2[[#This Row],[Units Sold]]</f>
        <v>1760</v>
      </c>
      <c r="I704" s="6">
        <f>SalesData_2[[#This Row],[Unit Cost]]*SalesData_2[[#This Row],[Units Sold]]</f>
        <v>1144</v>
      </c>
      <c r="J704" s="6">
        <f>SalesData_2[[#This Row],[Sales]]-SalesData_2[[#This Row],[COGS]]</f>
        <v>616</v>
      </c>
      <c r="K704" s="21">
        <f>SalesData_2[[#This Row],[Revenue]]/SalesData_2[[#This Row],[Sales]]</f>
        <v>0.35</v>
      </c>
      <c r="L704" s="3" t="s">
        <v>57</v>
      </c>
      <c r="M704" s="3" t="s">
        <v>81</v>
      </c>
      <c r="N704" s="3" t="s">
        <v>85</v>
      </c>
    </row>
    <row r="705" spans="1:14" x14ac:dyDescent="0.3">
      <c r="A705" s="2">
        <v>44561</v>
      </c>
      <c r="B705" s="2">
        <v>44562</v>
      </c>
      <c r="C705">
        <v>1</v>
      </c>
      <c r="D705" s="3" t="s">
        <v>14</v>
      </c>
      <c r="E705" s="6">
        <v>375</v>
      </c>
      <c r="F705" s="6">
        <v>247.5</v>
      </c>
      <c r="G705">
        <v>6</v>
      </c>
      <c r="H705" s="6">
        <f>SalesData_2[[#This Row],[Unit Price]]*SalesData_2[[#This Row],[Units Sold]]</f>
        <v>2250</v>
      </c>
      <c r="I705" s="6">
        <f>SalesData_2[[#This Row],[Unit Cost]]*SalesData_2[[#This Row],[Units Sold]]</f>
        <v>1485</v>
      </c>
      <c r="J705" s="6">
        <f>SalesData_2[[#This Row],[Sales]]-SalesData_2[[#This Row],[COGS]]</f>
        <v>765</v>
      </c>
      <c r="K705" s="21">
        <f>SalesData_2[[#This Row],[Revenue]]/SalesData_2[[#This Row],[Sales]]</f>
        <v>0.34</v>
      </c>
      <c r="L705" s="3" t="s">
        <v>67</v>
      </c>
      <c r="M705" s="3" t="s">
        <v>83</v>
      </c>
      <c r="N705" s="3" t="s">
        <v>86</v>
      </c>
    </row>
    <row r="706" spans="1:14" x14ac:dyDescent="0.3">
      <c r="A706" s="2">
        <v>44562</v>
      </c>
      <c r="B706" s="2">
        <v>44565</v>
      </c>
      <c r="C706">
        <v>3</v>
      </c>
      <c r="D706" s="3" t="s">
        <v>7</v>
      </c>
      <c r="E706" s="6">
        <v>250</v>
      </c>
      <c r="F706" s="6">
        <v>167.5</v>
      </c>
      <c r="G706">
        <v>3</v>
      </c>
      <c r="H706" s="6">
        <f>SalesData_2[[#This Row],[Unit Price]]*SalesData_2[[#This Row],[Units Sold]]</f>
        <v>750</v>
      </c>
      <c r="I706" s="6">
        <f>SalesData_2[[#This Row],[Unit Cost]]*SalesData_2[[#This Row],[Units Sold]]</f>
        <v>502.5</v>
      </c>
      <c r="J706" s="6">
        <f>SalesData_2[[#This Row],[Sales]]-SalesData_2[[#This Row],[COGS]]</f>
        <v>247.5</v>
      </c>
      <c r="K706" s="21">
        <f>SalesData_2[[#This Row],[Revenue]]/SalesData_2[[#This Row],[Sales]]</f>
        <v>0.33</v>
      </c>
      <c r="L706" s="3" t="s">
        <v>72</v>
      </c>
      <c r="M706" s="3" t="s">
        <v>81</v>
      </c>
      <c r="N706" s="3" t="s">
        <v>85</v>
      </c>
    </row>
    <row r="707" spans="1:14" x14ac:dyDescent="0.3">
      <c r="A707" s="2">
        <v>44564</v>
      </c>
      <c r="B707" s="2">
        <v>44566</v>
      </c>
      <c r="C707">
        <v>2</v>
      </c>
      <c r="D707" s="3" t="s">
        <v>6</v>
      </c>
      <c r="E707" s="6">
        <v>99</v>
      </c>
      <c r="F707" s="6">
        <v>62.37</v>
      </c>
      <c r="G707">
        <v>9</v>
      </c>
      <c r="H707" s="6">
        <f>SalesData_2[[#This Row],[Unit Price]]*SalesData_2[[#This Row],[Units Sold]]</f>
        <v>891</v>
      </c>
      <c r="I707" s="6">
        <f>SalesData_2[[#This Row],[Unit Cost]]*SalesData_2[[#This Row],[Units Sold]]</f>
        <v>561.32999999999993</v>
      </c>
      <c r="J707" s="6">
        <f>SalesData_2[[#This Row],[Sales]]-SalesData_2[[#This Row],[COGS]]</f>
        <v>329.67000000000007</v>
      </c>
      <c r="K707" s="21">
        <f>SalesData_2[[#This Row],[Revenue]]/SalesData_2[[#This Row],[Sales]]</f>
        <v>0.37000000000000011</v>
      </c>
      <c r="L707" s="3" t="s">
        <v>30</v>
      </c>
      <c r="M707" s="3" t="s">
        <v>83</v>
      </c>
      <c r="N707" s="3" t="s">
        <v>86</v>
      </c>
    </row>
    <row r="708" spans="1:14" x14ac:dyDescent="0.3">
      <c r="A708" s="2">
        <v>44564</v>
      </c>
      <c r="B708" s="2">
        <v>44565</v>
      </c>
      <c r="C708">
        <v>1</v>
      </c>
      <c r="D708" s="3" t="s">
        <v>15</v>
      </c>
      <c r="E708" s="6">
        <v>110</v>
      </c>
      <c r="F708" s="6">
        <v>78.099999999999994</v>
      </c>
      <c r="G708">
        <v>7</v>
      </c>
      <c r="H708" s="6">
        <f>SalesData_2[[#This Row],[Unit Price]]*SalesData_2[[#This Row],[Units Sold]]</f>
        <v>770</v>
      </c>
      <c r="I708" s="6">
        <f>SalesData_2[[#This Row],[Unit Cost]]*SalesData_2[[#This Row],[Units Sold]]</f>
        <v>546.69999999999993</v>
      </c>
      <c r="J708" s="6">
        <f>SalesData_2[[#This Row],[Sales]]-SalesData_2[[#This Row],[COGS]]</f>
        <v>223.30000000000007</v>
      </c>
      <c r="K708" s="21">
        <f>SalesData_2[[#This Row],[Revenue]]/SalesData_2[[#This Row],[Sales]]</f>
        <v>0.29000000000000009</v>
      </c>
      <c r="L708" s="3" t="s">
        <v>71</v>
      </c>
      <c r="M708" s="3" t="s">
        <v>79</v>
      </c>
      <c r="N708" s="3" t="s">
        <v>85</v>
      </c>
    </row>
    <row r="709" spans="1:14" x14ac:dyDescent="0.3">
      <c r="A709" s="2">
        <v>44564</v>
      </c>
      <c r="B709" s="2">
        <v>44565</v>
      </c>
      <c r="C709">
        <v>1</v>
      </c>
      <c r="D709" s="3" t="s">
        <v>13</v>
      </c>
      <c r="E709" s="6">
        <v>445</v>
      </c>
      <c r="F709" s="6">
        <v>280.35000000000002</v>
      </c>
      <c r="G709">
        <v>7</v>
      </c>
      <c r="H709" s="6">
        <f>SalesData_2[[#This Row],[Unit Price]]*SalesData_2[[#This Row],[Units Sold]]</f>
        <v>3115</v>
      </c>
      <c r="I709" s="6">
        <f>SalesData_2[[#This Row],[Unit Cost]]*SalesData_2[[#This Row],[Units Sold]]</f>
        <v>1962.4500000000003</v>
      </c>
      <c r="J709" s="6">
        <f>SalesData_2[[#This Row],[Sales]]-SalesData_2[[#This Row],[COGS]]</f>
        <v>1152.5499999999997</v>
      </c>
      <c r="K709" s="21">
        <f>SalesData_2[[#This Row],[Revenue]]/SalesData_2[[#This Row],[Sales]]</f>
        <v>0.36999999999999994</v>
      </c>
      <c r="L709" s="3" t="s">
        <v>35</v>
      </c>
      <c r="M709" s="3" t="s">
        <v>81</v>
      </c>
      <c r="N709" s="3" t="s">
        <v>85</v>
      </c>
    </row>
    <row r="710" spans="1:14" x14ac:dyDescent="0.3">
      <c r="A710" s="2">
        <v>44565</v>
      </c>
      <c r="B710" s="2">
        <v>44571</v>
      </c>
      <c r="C710">
        <v>6</v>
      </c>
      <c r="D710" s="3" t="s">
        <v>15</v>
      </c>
      <c r="E710" s="6">
        <v>110</v>
      </c>
      <c r="F710" s="6">
        <v>78.099999999999994</v>
      </c>
      <c r="G710">
        <v>9</v>
      </c>
      <c r="H710" s="6">
        <f>SalesData_2[[#This Row],[Unit Price]]*SalesData_2[[#This Row],[Units Sold]]</f>
        <v>990</v>
      </c>
      <c r="I710" s="6">
        <f>SalesData_2[[#This Row],[Unit Cost]]*SalesData_2[[#This Row],[Units Sold]]</f>
        <v>702.9</v>
      </c>
      <c r="J710" s="6">
        <f>SalesData_2[[#This Row],[Sales]]-SalesData_2[[#This Row],[COGS]]</f>
        <v>287.10000000000002</v>
      </c>
      <c r="K710" s="21">
        <f>SalesData_2[[#This Row],[Revenue]]/SalesData_2[[#This Row],[Sales]]</f>
        <v>0.29000000000000004</v>
      </c>
      <c r="L710" s="3" t="s">
        <v>36</v>
      </c>
      <c r="M710" s="3" t="s">
        <v>82</v>
      </c>
      <c r="N710" s="3" t="s">
        <v>86</v>
      </c>
    </row>
    <row r="711" spans="1:14" x14ac:dyDescent="0.3">
      <c r="A711" s="2">
        <v>44568</v>
      </c>
      <c r="B711" s="2">
        <v>44571</v>
      </c>
      <c r="C711">
        <v>3</v>
      </c>
      <c r="D711" s="3" t="s">
        <v>10</v>
      </c>
      <c r="E711" s="6">
        <v>390</v>
      </c>
      <c r="F711" s="6">
        <v>253.5</v>
      </c>
      <c r="G711">
        <v>8</v>
      </c>
      <c r="H711" s="6">
        <f>SalesData_2[[#This Row],[Unit Price]]*SalesData_2[[#This Row],[Units Sold]]</f>
        <v>3120</v>
      </c>
      <c r="I711" s="6">
        <f>SalesData_2[[#This Row],[Unit Cost]]*SalesData_2[[#This Row],[Units Sold]]</f>
        <v>2028</v>
      </c>
      <c r="J711" s="6">
        <f>SalesData_2[[#This Row],[Sales]]-SalesData_2[[#This Row],[COGS]]</f>
        <v>1092</v>
      </c>
      <c r="K711" s="21">
        <f>SalesData_2[[#This Row],[Revenue]]/SalesData_2[[#This Row],[Sales]]</f>
        <v>0.35</v>
      </c>
      <c r="L711" s="3" t="s">
        <v>36</v>
      </c>
      <c r="M711" s="3" t="s">
        <v>82</v>
      </c>
      <c r="N711" s="3" t="s">
        <v>85</v>
      </c>
    </row>
    <row r="712" spans="1:14" x14ac:dyDescent="0.3">
      <c r="A712" s="2">
        <v>44569</v>
      </c>
      <c r="B712" s="2">
        <v>44576</v>
      </c>
      <c r="C712">
        <v>7</v>
      </c>
      <c r="D712" s="3" t="s">
        <v>17</v>
      </c>
      <c r="E712" s="6">
        <v>195</v>
      </c>
      <c r="F712" s="6">
        <v>138.44999999999999</v>
      </c>
      <c r="G712">
        <v>2</v>
      </c>
      <c r="H712" s="6">
        <f>SalesData_2[[#This Row],[Unit Price]]*SalesData_2[[#This Row],[Units Sold]]</f>
        <v>390</v>
      </c>
      <c r="I712" s="6">
        <f>SalesData_2[[#This Row],[Unit Cost]]*SalesData_2[[#This Row],[Units Sold]]</f>
        <v>276.89999999999998</v>
      </c>
      <c r="J712" s="6">
        <f>SalesData_2[[#This Row],[Sales]]-SalesData_2[[#This Row],[COGS]]</f>
        <v>113.10000000000002</v>
      </c>
      <c r="K712" s="21">
        <f>SalesData_2[[#This Row],[Revenue]]/SalesData_2[[#This Row],[Sales]]</f>
        <v>0.29000000000000004</v>
      </c>
      <c r="L712" s="3" t="s">
        <v>34</v>
      </c>
      <c r="M712" s="3" t="s">
        <v>83</v>
      </c>
      <c r="N712" s="3" t="s">
        <v>85</v>
      </c>
    </row>
    <row r="713" spans="1:14" x14ac:dyDescent="0.3">
      <c r="A713" s="2">
        <v>44570</v>
      </c>
      <c r="B713" s="2">
        <v>44572</v>
      </c>
      <c r="C713">
        <v>2</v>
      </c>
      <c r="D713" s="3" t="s">
        <v>6</v>
      </c>
      <c r="E713" s="6">
        <v>99</v>
      </c>
      <c r="F713" s="6">
        <v>62.37</v>
      </c>
      <c r="G713">
        <v>2</v>
      </c>
      <c r="H713" s="6">
        <f>SalesData_2[[#This Row],[Unit Price]]*SalesData_2[[#This Row],[Units Sold]]</f>
        <v>198</v>
      </c>
      <c r="I713" s="6">
        <f>SalesData_2[[#This Row],[Unit Cost]]*SalesData_2[[#This Row],[Units Sold]]</f>
        <v>124.74</v>
      </c>
      <c r="J713" s="6">
        <f>SalesData_2[[#This Row],[Sales]]-SalesData_2[[#This Row],[COGS]]</f>
        <v>73.260000000000005</v>
      </c>
      <c r="K713" s="21">
        <f>SalesData_2[[#This Row],[Revenue]]/SalesData_2[[#This Row],[Sales]]</f>
        <v>0.37000000000000005</v>
      </c>
      <c r="L713" s="3" t="s">
        <v>73</v>
      </c>
      <c r="M713" s="3" t="s">
        <v>79</v>
      </c>
      <c r="N713" s="3" t="s">
        <v>85</v>
      </c>
    </row>
    <row r="714" spans="1:14" x14ac:dyDescent="0.3">
      <c r="A714" s="2">
        <v>44572</v>
      </c>
      <c r="B714" s="2">
        <v>44574</v>
      </c>
      <c r="C714">
        <v>2</v>
      </c>
      <c r="D714" s="3" t="s">
        <v>14</v>
      </c>
      <c r="E714" s="6">
        <v>375</v>
      </c>
      <c r="F714" s="6">
        <v>247.5</v>
      </c>
      <c r="G714">
        <v>9</v>
      </c>
      <c r="H714" s="6">
        <f>SalesData_2[[#This Row],[Unit Price]]*SalesData_2[[#This Row],[Units Sold]]</f>
        <v>3375</v>
      </c>
      <c r="I714" s="6">
        <f>SalesData_2[[#This Row],[Unit Cost]]*SalesData_2[[#This Row],[Units Sold]]</f>
        <v>2227.5</v>
      </c>
      <c r="J714" s="6">
        <f>SalesData_2[[#This Row],[Sales]]-SalesData_2[[#This Row],[COGS]]</f>
        <v>1147.5</v>
      </c>
      <c r="K714" s="21">
        <f>SalesData_2[[#This Row],[Revenue]]/SalesData_2[[#This Row],[Sales]]</f>
        <v>0.34</v>
      </c>
      <c r="L714" s="3" t="s">
        <v>63</v>
      </c>
      <c r="M714" s="3" t="s">
        <v>80</v>
      </c>
      <c r="N714" s="3" t="s">
        <v>85</v>
      </c>
    </row>
    <row r="715" spans="1:14" x14ac:dyDescent="0.3">
      <c r="A715" s="2">
        <v>44572</v>
      </c>
      <c r="B715" s="2">
        <v>44576</v>
      </c>
      <c r="C715">
        <v>4</v>
      </c>
      <c r="D715" s="3" t="s">
        <v>18</v>
      </c>
      <c r="E715" s="6">
        <v>80</v>
      </c>
      <c r="F715" s="6">
        <v>48.8</v>
      </c>
      <c r="G715">
        <v>2</v>
      </c>
      <c r="H715" s="6">
        <f>SalesData_2[[#This Row],[Unit Price]]*SalesData_2[[#This Row],[Units Sold]]</f>
        <v>160</v>
      </c>
      <c r="I715" s="6">
        <f>SalesData_2[[#This Row],[Unit Cost]]*SalesData_2[[#This Row],[Units Sold]]</f>
        <v>97.6</v>
      </c>
      <c r="J715" s="6">
        <f>SalesData_2[[#This Row],[Sales]]-SalesData_2[[#This Row],[COGS]]</f>
        <v>62.400000000000006</v>
      </c>
      <c r="K715" s="21">
        <f>SalesData_2[[#This Row],[Revenue]]/SalesData_2[[#This Row],[Sales]]</f>
        <v>0.39</v>
      </c>
      <c r="L715" s="3" t="s">
        <v>35</v>
      </c>
      <c r="M715" s="3" t="s">
        <v>83</v>
      </c>
      <c r="N715" s="3" t="s">
        <v>86</v>
      </c>
    </row>
    <row r="716" spans="1:14" x14ac:dyDescent="0.3">
      <c r="A716" s="2">
        <v>44573</v>
      </c>
      <c r="B716" s="2">
        <v>44578</v>
      </c>
      <c r="C716">
        <v>5</v>
      </c>
      <c r="D716" s="3" t="s">
        <v>8</v>
      </c>
      <c r="E716" s="6">
        <v>59</v>
      </c>
      <c r="F716" s="6">
        <v>41.3</v>
      </c>
      <c r="G716">
        <v>6</v>
      </c>
      <c r="H716" s="6">
        <f>SalesData_2[[#This Row],[Unit Price]]*SalesData_2[[#This Row],[Units Sold]]</f>
        <v>354</v>
      </c>
      <c r="I716" s="6">
        <f>SalesData_2[[#This Row],[Unit Cost]]*SalesData_2[[#This Row],[Units Sold]]</f>
        <v>247.79999999999998</v>
      </c>
      <c r="J716" s="6">
        <f>SalesData_2[[#This Row],[Sales]]-SalesData_2[[#This Row],[COGS]]</f>
        <v>106.20000000000002</v>
      </c>
      <c r="K716" s="21">
        <f>SalesData_2[[#This Row],[Revenue]]/SalesData_2[[#This Row],[Sales]]</f>
        <v>0.30000000000000004</v>
      </c>
      <c r="L716" s="3" t="s">
        <v>38</v>
      </c>
      <c r="M716" s="3" t="s">
        <v>80</v>
      </c>
      <c r="N716" s="3" t="s">
        <v>86</v>
      </c>
    </row>
    <row r="717" spans="1:14" x14ac:dyDescent="0.3">
      <c r="A717" s="2">
        <v>44574</v>
      </c>
      <c r="B717" s="2">
        <v>44580</v>
      </c>
      <c r="C717">
        <v>6</v>
      </c>
      <c r="D717" s="3" t="s">
        <v>20</v>
      </c>
      <c r="E717" s="6">
        <v>440</v>
      </c>
      <c r="F717" s="6">
        <v>286</v>
      </c>
      <c r="G717">
        <v>8</v>
      </c>
      <c r="H717" s="6">
        <f>SalesData_2[[#This Row],[Unit Price]]*SalesData_2[[#This Row],[Units Sold]]</f>
        <v>3520</v>
      </c>
      <c r="I717" s="6">
        <f>SalesData_2[[#This Row],[Unit Cost]]*SalesData_2[[#This Row],[Units Sold]]</f>
        <v>2288</v>
      </c>
      <c r="J717" s="6">
        <f>SalesData_2[[#This Row],[Sales]]-SalesData_2[[#This Row],[COGS]]</f>
        <v>1232</v>
      </c>
      <c r="K717" s="21">
        <f>SalesData_2[[#This Row],[Revenue]]/SalesData_2[[#This Row],[Sales]]</f>
        <v>0.35</v>
      </c>
      <c r="L717" s="3" t="s">
        <v>39</v>
      </c>
      <c r="M717" s="3" t="s">
        <v>80</v>
      </c>
      <c r="N717" s="3" t="s">
        <v>85</v>
      </c>
    </row>
    <row r="718" spans="1:14" x14ac:dyDescent="0.3">
      <c r="A718" s="2">
        <v>44575</v>
      </c>
      <c r="B718" s="2">
        <v>44579</v>
      </c>
      <c r="C718">
        <v>4</v>
      </c>
      <c r="D718" s="3" t="s">
        <v>4</v>
      </c>
      <c r="E718" s="6">
        <v>390</v>
      </c>
      <c r="F718" s="6">
        <v>288.60000000000002</v>
      </c>
      <c r="G718">
        <v>3</v>
      </c>
      <c r="H718" s="6">
        <f>SalesData_2[[#This Row],[Unit Price]]*SalesData_2[[#This Row],[Units Sold]]</f>
        <v>1170</v>
      </c>
      <c r="I718" s="6">
        <f>SalesData_2[[#This Row],[Unit Cost]]*SalesData_2[[#This Row],[Units Sold]]</f>
        <v>865.80000000000007</v>
      </c>
      <c r="J718" s="6">
        <f>SalesData_2[[#This Row],[Sales]]-SalesData_2[[#This Row],[COGS]]</f>
        <v>304.19999999999993</v>
      </c>
      <c r="K718" s="21">
        <f>SalesData_2[[#This Row],[Revenue]]/SalesData_2[[#This Row],[Sales]]</f>
        <v>0.25999999999999995</v>
      </c>
      <c r="L718" s="3" t="s">
        <v>73</v>
      </c>
      <c r="M718" s="3" t="s">
        <v>82</v>
      </c>
      <c r="N718" s="3" t="s">
        <v>85</v>
      </c>
    </row>
    <row r="719" spans="1:14" x14ac:dyDescent="0.3">
      <c r="A719" s="2">
        <v>44575</v>
      </c>
      <c r="B719" s="2">
        <v>44578</v>
      </c>
      <c r="C719">
        <v>3</v>
      </c>
      <c r="D719" s="3" t="s">
        <v>15</v>
      </c>
      <c r="E719" s="6">
        <v>110</v>
      </c>
      <c r="F719" s="6">
        <v>78.099999999999994</v>
      </c>
      <c r="G719">
        <v>5</v>
      </c>
      <c r="H719" s="6">
        <f>SalesData_2[[#This Row],[Unit Price]]*SalesData_2[[#This Row],[Units Sold]]</f>
        <v>550</v>
      </c>
      <c r="I719" s="6">
        <f>SalesData_2[[#This Row],[Unit Cost]]*SalesData_2[[#This Row],[Units Sold]]</f>
        <v>390.5</v>
      </c>
      <c r="J719" s="6">
        <f>SalesData_2[[#This Row],[Sales]]-SalesData_2[[#This Row],[COGS]]</f>
        <v>159.5</v>
      </c>
      <c r="K719" s="21">
        <f>SalesData_2[[#This Row],[Revenue]]/SalesData_2[[#This Row],[Sales]]</f>
        <v>0.28999999999999998</v>
      </c>
      <c r="L719" s="3" t="s">
        <v>64</v>
      </c>
      <c r="M719" s="3" t="s">
        <v>79</v>
      </c>
      <c r="N719" s="3" t="s">
        <v>85</v>
      </c>
    </row>
    <row r="720" spans="1:14" x14ac:dyDescent="0.3">
      <c r="A720" s="2">
        <v>44578</v>
      </c>
      <c r="B720" s="2">
        <v>44582</v>
      </c>
      <c r="C720">
        <v>4</v>
      </c>
      <c r="D720" s="3" t="s">
        <v>17</v>
      </c>
      <c r="E720" s="6">
        <v>195</v>
      </c>
      <c r="F720" s="6">
        <v>138.44999999999999</v>
      </c>
      <c r="G720">
        <v>2</v>
      </c>
      <c r="H720" s="6">
        <f>SalesData_2[[#This Row],[Unit Price]]*SalesData_2[[#This Row],[Units Sold]]</f>
        <v>390</v>
      </c>
      <c r="I720" s="6">
        <f>SalesData_2[[#This Row],[Unit Cost]]*SalesData_2[[#This Row],[Units Sold]]</f>
        <v>276.89999999999998</v>
      </c>
      <c r="J720" s="6">
        <f>SalesData_2[[#This Row],[Sales]]-SalesData_2[[#This Row],[COGS]]</f>
        <v>113.10000000000002</v>
      </c>
      <c r="K720" s="21">
        <f>SalesData_2[[#This Row],[Revenue]]/SalesData_2[[#This Row],[Sales]]</f>
        <v>0.29000000000000004</v>
      </c>
      <c r="L720" s="3" t="s">
        <v>53</v>
      </c>
      <c r="M720" s="3" t="s">
        <v>82</v>
      </c>
      <c r="N720" s="3" t="s">
        <v>85</v>
      </c>
    </row>
    <row r="721" spans="1:14" x14ac:dyDescent="0.3">
      <c r="A721" s="2">
        <v>44580</v>
      </c>
      <c r="B721" s="2">
        <v>44584</v>
      </c>
      <c r="C721">
        <v>4</v>
      </c>
      <c r="D721" s="3" t="s">
        <v>8</v>
      </c>
      <c r="E721" s="6">
        <v>59</v>
      </c>
      <c r="F721" s="6">
        <v>41.3</v>
      </c>
      <c r="G721">
        <v>8</v>
      </c>
      <c r="H721" s="6">
        <f>SalesData_2[[#This Row],[Unit Price]]*SalesData_2[[#This Row],[Units Sold]]</f>
        <v>472</v>
      </c>
      <c r="I721" s="6">
        <f>SalesData_2[[#This Row],[Unit Cost]]*SalesData_2[[#This Row],[Units Sold]]</f>
        <v>330.4</v>
      </c>
      <c r="J721" s="6">
        <f>SalesData_2[[#This Row],[Sales]]-SalesData_2[[#This Row],[COGS]]</f>
        <v>141.60000000000002</v>
      </c>
      <c r="K721" s="21">
        <f>SalesData_2[[#This Row],[Revenue]]/SalesData_2[[#This Row],[Sales]]</f>
        <v>0.30000000000000004</v>
      </c>
      <c r="L721" s="3" t="s">
        <v>67</v>
      </c>
      <c r="M721" s="3" t="s">
        <v>79</v>
      </c>
      <c r="N721" s="3" t="s">
        <v>85</v>
      </c>
    </row>
    <row r="722" spans="1:14" x14ac:dyDescent="0.3">
      <c r="A722" s="2">
        <v>44582</v>
      </c>
      <c r="B722" s="2">
        <v>44584</v>
      </c>
      <c r="C722">
        <v>2</v>
      </c>
      <c r="D722" s="3" t="s">
        <v>12</v>
      </c>
      <c r="E722" s="6">
        <v>320</v>
      </c>
      <c r="F722" s="6">
        <v>233.6</v>
      </c>
      <c r="G722">
        <v>6</v>
      </c>
      <c r="H722" s="6">
        <f>SalesData_2[[#This Row],[Unit Price]]*SalesData_2[[#This Row],[Units Sold]]</f>
        <v>1920</v>
      </c>
      <c r="I722" s="6">
        <f>SalesData_2[[#This Row],[Unit Cost]]*SalesData_2[[#This Row],[Units Sold]]</f>
        <v>1401.6</v>
      </c>
      <c r="J722" s="6">
        <f>SalesData_2[[#This Row],[Sales]]-SalesData_2[[#This Row],[COGS]]</f>
        <v>518.40000000000009</v>
      </c>
      <c r="K722" s="21">
        <f>SalesData_2[[#This Row],[Revenue]]/SalesData_2[[#This Row],[Sales]]</f>
        <v>0.27000000000000007</v>
      </c>
      <c r="L722" s="3" t="s">
        <v>39</v>
      </c>
      <c r="M722" s="3" t="s">
        <v>79</v>
      </c>
      <c r="N722" s="3" t="s">
        <v>85</v>
      </c>
    </row>
    <row r="723" spans="1:14" x14ac:dyDescent="0.3">
      <c r="A723" s="2">
        <v>44582</v>
      </c>
      <c r="B723" s="2">
        <v>44587</v>
      </c>
      <c r="C723">
        <v>5</v>
      </c>
      <c r="D723" s="3" t="s">
        <v>7</v>
      </c>
      <c r="E723" s="6">
        <v>250</v>
      </c>
      <c r="F723" s="6">
        <v>167.5</v>
      </c>
      <c r="G723">
        <v>2</v>
      </c>
      <c r="H723" s="6">
        <f>SalesData_2[[#This Row],[Unit Price]]*SalesData_2[[#This Row],[Units Sold]]</f>
        <v>500</v>
      </c>
      <c r="I723" s="6">
        <f>SalesData_2[[#This Row],[Unit Cost]]*SalesData_2[[#This Row],[Units Sold]]</f>
        <v>335</v>
      </c>
      <c r="J723" s="6">
        <f>SalesData_2[[#This Row],[Sales]]-SalesData_2[[#This Row],[COGS]]</f>
        <v>165</v>
      </c>
      <c r="K723" s="21">
        <f>SalesData_2[[#This Row],[Revenue]]/SalesData_2[[#This Row],[Sales]]</f>
        <v>0.33</v>
      </c>
      <c r="L723" s="3" t="s">
        <v>44</v>
      </c>
      <c r="M723" s="3" t="s">
        <v>81</v>
      </c>
      <c r="N723" s="3" t="s">
        <v>86</v>
      </c>
    </row>
    <row r="724" spans="1:14" x14ac:dyDescent="0.3">
      <c r="A724" s="2">
        <v>44583</v>
      </c>
      <c r="B724" s="2">
        <v>44589</v>
      </c>
      <c r="C724">
        <v>6</v>
      </c>
      <c r="D724" s="3" t="s">
        <v>12</v>
      </c>
      <c r="E724" s="6">
        <v>320</v>
      </c>
      <c r="F724" s="6">
        <v>233.6</v>
      </c>
      <c r="G724">
        <v>7</v>
      </c>
      <c r="H724" s="6">
        <f>SalesData_2[[#This Row],[Unit Price]]*SalesData_2[[#This Row],[Units Sold]]</f>
        <v>2240</v>
      </c>
      <c r="I724" s="6">
        <f>SalesData_2[[#This Row],[Unit Cost]]*SalesData_2[[#This Row],[Units Sold]]</f>
        <v>1635.2</v>
      </c>
      <c r="J724" s="6">
        <f>SalesData_2[[#This Row],[Sales]]-SalesData_2[[#This Row],[COGS]]</f>
        <v>604.79999999999995</v>
      </c>
      <c r="K724" s="21">
        <f>SalesData_2[[#This Row],[Revenue]]/SalesData_2[[#This Row],[Sales]]</f>
        <v>0.26999999999999996</v>
      </c>
      <c r="L724" s="3" t="s">
        <v>29</v>
      </c>
      <c r="M724" s="3" t="s">
        <v>82</v>
      </c>
      <c r="N724" s="3" t="s">
        <v>85</v>
      </c>
    </row>
    <row r="725" spans="1:14" x14ac:dyDescent="0.3">
      <c r="A725" s="2">
        <v>44583</v>
      </c>
      <c r="B725" s="2">
        <v>44589</v>
      </c>
      <c r="C725">
        <v>6</v>
      </c>
      <c r="D725" s="3" t="s">
        <v>3</v>
      </c>
      <c r="E725" s="6">
        <v>95</v>
      </c>
      <c r="F725" s="6">
        <v>60.8</v>
      </c>
      <c r="G725">
        <v>4</v>
      </c>
      <c r="H725" s="6">
        <f>SalesData_2[[#This Row],[Unit Price]]*SalesData_2[[#This Row],[Units Sold]]</f>
        <v>380</v>
      </c>
      <c r="I725" s="6">
        <f>SalesData_2[[#This Row],[Unit Cost]]*SalesData_2[[#This Row],[Units Sold]]</f>
        <v>243.2</v>
      </c>
      <c r="J725" s="6">
        <f>SalesData_2[[#This Row],[Sales]]-SalesData_2[[#This Row],[COGS]]</f>
        <v>136.80000000000001</v>
      </c>
      <c r="K725" s="21">
        <f>SalesData_2[[#This Row],[Revenue]]/SalesData_2[[#This Row],[Sales]]</f>
        <v>0.36000000000000004</v>
      </c>
      <c r="L725" s="3" t="s">
        <v>52</v>
      </c>
      <c r="M725" s="3" t="s">
        <v>83</v>
      </c>
      <c r="N725" s="3" t="s">
        <v>85</v>
      </c>
    </row>
    <row r="726" spans="1:14" x14ac:dyDescent="0.3">
      <c r="A726" s="2">
        <v>44583</v>
      </c>
      <c r="B726" s="2">
        <v>44590</v>
      </c>
      <c r="C726">
        <v>7</v>
      </c>
      <c r="D726" s="3" t="s">
        <v>14</v>
      </c>
      <c r="E726" s="6">
        <v>375</v>
      </c>
      <c r="F726" s="6">
        <v>247.5</v>
      </c>
      <c r="G726">
        <v>3</v>
      </c>
      <c r="H726" s="6">
        <f>SalesData_2[[#This Row],[Unit Price]]*SalesData_2[[#This Row],[Units Sold]]</f>
        <v>1125</v>
      </c>
      <c r="I726" s="6">
        <f>SalesData_2[[#This Row],[Unit Cost]]*SalesData_2[[#This Row],[Units Sold]]</f>
        <v>742.5</v>
      </c>
      <c r="J726" s="6">
        <f>SalesData_2[[#This Row],[Sales]]-SalesData_2[[#This Row],[COGS]]</f>
        <v>382.5</v>
      </c>
      <c r="K726" s="21">
        <f>SalesData_2[[#This Row],[Revenue]]/SalesData_2[[#This Row],[Sales]]</f>
        <v>0.34</v>
      </c>
      <c r="L726" s="3" t="s">
        <v>43</v>
      </c>
      <c r="M726" s="3" t="s">
        <v>79</v>
      </c>
      <c r="N726" s="3" t="s">
        <v>86</v>
      </c>
    </row>
    <row r="727" spans="1:14" x14ac:dyDescent="0.3">
      <c r="A727" s="2">
        <v>44584</v>
      </c>
      <c r="B727" s="2">
        <v>44587</v>
      </c>
      <c r="C727">
        <v>3</v>
      </c>
      <c r="D727" s="3" t="s">
        <v>18</v>
      </c>
      <c r="E727" s="6">
        <v>80</v>
      </c>
      <c r="F727" s="6">
        <v>48.8</v>
      </c>
      <c r="G727">
        <v>4</v>
      </c>
      <c r="H727" s="6">
        <f>SalesData_2[[#This Row],[Unit Price]]*SalesData_2[[#This Row],[Units Sold]]</f>
        <v>320</v>
      </c>
      <c r="I727" s="6">
        <f>SalesData_2[[#This Row],[Unit Cost]]*SalesData_2[[#This Row],[Units Sold]]</f>
        <v>195.2</v>
      </c>
      <c r="J727" s="6">
        <f>SalesData_2[[#This Row],[Sales]]-SalesData_2[[#This Row],[COGS]]</f>
        <v>124.80000000000001</v>
      </c>
      <c r="K727" s="21">
        <f>SalesData_2[[#This Row],[Revenue]]/SalesData_2[[#This Row],[Sales]]</f>
        <v>0.39</v>
      </c>
      <c r="L727" s="3" t="s">
        <v>41</v>
      </c>
      <c r="M727" s="3" t="s">
        <v>79</v>
      </c>
      <c r="N727" s="3" t="s">
        <v>85</v>
      </c>
    </row>
    <row r="728" spans="1:14" x14ac:dyDescent="0.3">
      <c r="A728" s="2">
        <v>44585</v>
      </c>
      <c r="B728" s="2">
        <v>44591</v>
      </c>
      <c r="C728">
        <v>6</v>
      </c>
      <c r="D728" s="3" t="s">
        <v>5</v>
      </c>
      <c r="E728" s="6">
        <v>290</v>
      </c>
      <c r="F728" s="6">
        <v>185.6</v>
      </c>
      <c r="G728">
        <v>4</v>
      </c>
      <c r="H728" s="6">
        <f>SalesData_2[[#This Row],[Unit Price]]*SalesData_2[[#This Row],[Units Sold]]</f>
        <v>1160</v>
      </c>
      <c r="I728" s="6">
        <f>SalesData_2[[#This Row],[Unit Cost]]*SalesData_2[[#This Row],[Units Sold]]</f>
        <v>742.4</v>
      </c>
      <c r="J728" s="6">
        <f>SalesData_2[[#This Row],[Sales]]-SalesData_2[[#This Row],[COGS]]</f>
        <v>417.6</v>
      </c>
      <c r="K728" s="21">
        <f>SalesData_2[[#This Row],[Revenue]]/SalesData_2[[#This Row],[Sales]]</f>
        <v>0.36000000000000004</v>
      </c>
      <c r="L728" s="3" t="s">
        <v>53</v>
      </c>
      <c r="M728" s="3" t="s">
        <v>81</v>
      </c>
      <c r="N728" s="3" t="s">
        <v>85</v>
      </c>
    </row>
    <row r="729" spans="1:14" x14ac:dyDescent="0.3">
      <c r="A729" s="2">
        <v>44586</v>
      </c>
      <c r="B729" s="2">
        <v>44590</v>
      </c>
      <c r="C729">
        <v>4</v>
      </c>
      <c r="D729" s="3" t="s">
        <v>10</v>
      </c>
      <c r="E729" s="6">
        <v>390</v>
      </c>
      <c r="F729" s="6">
        <v>253.5</v>
      </c>
      <c r="G729">
        <v>1</v>
      </c>
      <c r="H729" s="6">
        <f>SalesData_2[[#This Row],[Unit Price]]*SalesData_2[[#This Row],[Units Sold]]</f>
        <v>390</v>
      </c>
      <c r="I729" s="6">
        <f>SalesData_2[[#This Row],[Unit Cost]]*SalesData_2[[#This Row],[Units Sold]]</f>
        <v>253.5</v>
      </c>
      <c r="J729" s="6">
        <f>SalesData_2[[#This Row],[Sales]]-SalesData_2[[#This Row],[COGS]]</f>
        <v>136.5</v>
      </c>
      <c r="K729" s="21">
        <f>SalesData_2[[#This Row],[Revenue]]/SalesData_2[[#This Row],[Sales]]</f>
        <v>0.35</v>
      </c>
      <c r="L729" s="3" t="s">
        <v>47</v>
      </c>
      <c r="M729" s="3" t="s">
        <v>79</v>
      </c>
      <c r="N729" s="3" t="s">
        <v>86</v>
      </c>
    </row>
    <row r="730" spans="1:14" x14ac:dyDescent="0.3">
      <c r="A730" s="2">
        <v>44587</v>
      </c>
      <c r="B730" s="2">
        <v>44588</v>
      </c>
      <c r="C730">
        <v>1</v>
      </c>
      <c r="D730" s="3" t="s">
        <v>2</v>
      </c>
      <c r="E730" s="6">
        <v>250</v>
      </c>
      <c r="F730" s="6">
        <v>187.5</v>
      </c>
      <c r="G730">
        <v>3</v>
      </c>
      <c r="H730" s="6">
        <f>SalesData_2[[#This Row],[Unit Price]]*SalesData_2[[#This Row],[Units Sold]]</f>
        <v>750</v>
      </c>
      <c r="I730" s="6">
        <f>SalesData_2[[#This Row],[Unit Cost]]*SalesData_2[[#This Row],[Units Sold]]</f>
        <v>562.5</v>
      </c>
      <c r="J730" s="6">
        <f>SalesData_2[[#This Row],[Sales]]-SalesData_2[[#This Row],[COGS]]</f>
        <v>187.5</v>
      </c>
      <c r="K730" s="21">
        <f>SalesData_2[[#This Row],[Revenue]]/SalesData_2[[#This Row],[Sales]]</f>
        <v>0.25</v>
      </c>
      <c r="L730" s="3" t="s">
        <v>76</v>
      </c>
      <c r="M730" s="3" t="s">
        <v>80</v>
      </c>
      <c r="N730" s="3" t="s">
        <v>86</v>
      </c>
    </row>
    <row r="731" spans="1:14" x14ac:dyDescent="0.3">
      <c r="A731" s="2">
        <v>44587</v>
      </c>
      <c r="B731" s="2">
        <v>44592</v>
      </c>
      <c r="C731">
        <v>5</v>
      </c>
      <c r="D731" s="3" t="s">
        <v>2</v>
      </c>
      <c r="E731" s="6">
        <v>250</v>
      </c>
      <c r="F731" s="6">
        <v>187.5</v>
      </c>
      <c r="G731">
        <v>5</v>
      </c>
      <c r="H731" s="6">
        <f>SalesData_2[[#This Row],[Unit Price]]*SalesData_2[[#This Row],[Units Sold]]</f>
        <v>1250</v>
      </c>
      <c r="I731" s="6">
        <f>SalesData_2[[#This Row],[Unit Cost]]*SalesData_2[[#This Row],[Units Sold]]</f>
        <v>937.5</v>
      </c>
      <c r="J731" s="6">
        <f>SalesData_2[[#This Row],[Sales]]-SalesData_2[[#This Row],[COGS]]</f>
        <v>312.5</v>
      </c>
      <c r="K731" s="21">
        <f>SalesData_2[[#This Row],[Revenue]]/SalesData_2[[#This Row],[Sales]]</f>
        <v>0.25</v>
      </c>
      <c r="L731" s="3" t="s">
        <v>41</v>
      </c>
      <c r="M731" s="3" t="s">
        <v>80</v>
      </c>
      <c r="N731" s="3" t="s">
        <v>86</v>
      </c>
    </row>
    <row r="732" spans="1:14" x14ac:dyDescent="0.3">
      <c r="A732" s="2">
        <v>44587</v>
      </c>
      <c r="B732" s="2">
        <v>44593</v>
      </c>
      <c r="C732">
        <v>6</v>
      </c>
      <c r="D732" s="3" t="s">
        <v>15</v>
      </c>
      <c r="E732" s="6">
        <v>110</v>
      </c>
      <c r="F732" s="6">
        <v>78.099999999999994</v>
      </c>
      <c r="G732">
        <v>5</v>
      </c>
      <c r="H732" s="6">
        <f>SalesData_2[[#This Row],[Unit Price]]*SalesData_2[[#This Row],[Units Sold]]</f>
        <v>550</v>
      </c>
      <c r="I732" s="6">
        <f>SalesData_2[[#This Row],[Unit Cost]]*SalesData_2[[#This Row],[Units Sold]]</f>
        <v>390.5</v>
      </c>
      <c r="J732" s="6">
        <f>SalesData_2[[#This Row],[Sales]]-SalesData_2[[#This Row],[COGS]]</f>
        <v>159.5</v>
      </c>
      <c r="K732" s="21">
        <f>SalesData_2[[#This Row],[Revenue]]/SalesData_2[[#This Row],[Sales]]</f>
        <v>0.28999999999999998</v>
      </c>
      <c r="L732" s="3" t="s">
        <v>68</v>
      </c>
      <c r="M732" s="3" t="s">
        <v>80</v>
      </c>
      <c r="N732" s="3" t="s">
        <v>85</v>
      </c>
    </row>
    <row r="733" spans="1:14" x14ac:dyDescent="0.3">
      <c r="A733" s="2">
        <v>44587</v>
      </c>
      <c r="B733" s="2">
        <v>44590</v>
      </c>
      <c r="C733">
        <v>3</v>
      </c>
      <c r="D733" s="3" t="s">
        <v>7</v>
      </c>
      <c r="E733" s="6">
        <v>250</v>
      </c>
      <c r="F733" s="6">
        <v>167.5</v>
      </c>
      <c r="G733">
        <v>2</v>
      </c>
      <c r="H733" s="6">
        <f>SalesData_2[[#This Row],[Unit Price]]*SalesData_2[[#This Row],[Units Sold]]</f>
        <v>500</v>
      </c>
      <c r="I733" s="6">
        <f>SalesData_2[[#This Row],[Unit Cost]]*SalesData_2[[#This Row],[Units Sold]]</f>
        <v>335</v>
      </c>
      <c r="J733" s="6">
        <f>SalesData_2[[#This Row],[Sales]]-SalesData_2[[#This Row],[COGS]]</f>
        <v>165</v>
      </c>
      <c r="K733" s="21">
        <f>SalesData_2[[#This Row],[Revenue]]/SalesData_2[[#This Row],[Sales]]</f>
        <v>0.33</v>
      </c>
      <c r="L733" s="3" t="s">
        <v>35</v>
      </c>
      <c r="M733" s="3" t="s">
        <v>81</v>
      </c>
      <c r="N733" s="3" t="s">
        <v>85</v>
      </c>
    </row>
    <row r="734" spans="1:14" x14ac:dyDescent="0.3">
      <c r="A734" s="2">
        <v>44588</v>
      </c>
      <c r="B734" s="2">
        <v>44589</v>
      </c>
      <c r="C734">
        <v>1</v>
      </c>
      <c r="D734" s="3" t="s">
        <v>11</v>
      </c>
      <c r="E734" s="6">
        <v>490</v>
      </c>
      <c r="F734" s="6">
        <v>298.89999999999998</v>
      </c>
      <c r="G734">
        <v>9</v>
      </c>
      <c r="H734" s="6">
        <f>SalesData_2[[#This Row],[Unit Price]]*SalesData_2[[#This Row],[Units Sold]]</f>
        <v>4410</v>
      </c>
      <c r="I734" s="6">
        <f>SalesData_2[[#This Row],[Unit Cost]]*SalesData_2[[#This Row],[Units Sold]]</f>
        <v>2690.1</v>
      </c>
      <c r="J734" s="6">
        <f>SalesData_2[[#This Row],[Sales]]-SalesData_2[[#This Row],[COGS]]</f>
        <v>1719.9</v>
      </c>
      <c r="K734" s="21">
        <f>SalesData_2[[#This Row],[Revenue]]/SalesData_2[[#This Row],[Sales]]</f>
        <v>0.39</v>
      </c>
      <c r="L734" s="3" t="s">
        <v>69</v>
      </c>
      <c r="M734" s="3" t="s">
        <v>83</v>
      </c>
      <c r="N734" s="3" t="s">
        <v>85</v>
      </c>
    </row>
    <row r="735" spans="1:14" x14ac:dyDescent="0.3">
      <c r="A735" s="2">
        <v>44588</v>
      </c>
      <c r="B735" s="2">
        <v>44593</v>
      </c>
      <c r="C735">
        <v>5</v>
      </c>
      <c r="D735" s="3" t="s">
        <v>9</v>
      </c>
      <c r="E735" s="6">
        <v>215</v>
      </c>
      <c r="F735" s="6">
        <v>152.65</v>
      </c>
      <c r="G735">
        <v>4</v>
      </c>
      <c r="H735" s="6">
        <f>SalesData_2[[#This Row],[Unit Price]]*SalesData_2[[#This Row],[Units Sold]]</f>
        <v>860</v>
      </c>
      <c r="I735" s="6">
        <f>SalesData_2[[#This Row],[Unit Cost]]*SalesData_2[[#This Row],[Units Sold]]</f>
        <v>610.6</v>
      </c>
      <c r="J735" s="6">
        <f>SalesData_2[[#This Row],[Sales]]-SalesData_2[[#This Row],[COGS]]</f>
        <v>249.39999999999998</v>
      </c>
      <c r="K735" s="21">
        <f>SalesData_2[[#This Row],[Revenue]]/SalesData_2[[#This Row],[Sales]]</f>
        <v>0.28999999999999998</v>
      </c>
      <c r="L735" s="3" t="s">
        <v>31</v>
      </c>
      <c r="M735" s="3" t="s">
        <v>81</v>
      </c>
      <c r="N735" s="3" t="s">
        <v>85</v>
      </c>
    </row>
    <row r="736" spans="1:14" x14ac:dyDescent="0.3">
      <c r="A736" s="2">
        <v>44588</v>
      </c>
      <c r="B736" s="2">
        <v>44589</v>
      </c>
      <c r="C736">
        <v>1</v>
      </c>
      <c r="D736" s="3" t="s">
        <v>15</v>
      </c>
      <c r="E736" s="6">
        <v>110</v>
      </c>
      <c r="F736" s="6">
        <v>78.099999999999994</v>
      </c>
      <c r="G736">
        <v>7</v>
      </c>
      <c r="H736" s="6">
        <f>SalesData_2[[#This Row],[Unit Price]]*SalesData_2[[#This Row],[Units Sold]]</f>
        <v>770</v>
      </c>
      <c r="I736" s="6">
        <f>SalesData_2[[#This Row],[Unit Cost]]*SalesData_2[[#This Row],[Units Sold]]</f>
        <v>546.69999999999993</v>
      </c>
      <c r="J736" s="6">
        <f>SalesData_2[[#This Row],[Sales]]-SalesData_2[[#This Row],[COGS]]</f>
        <v>223.30000000000007</v>
      </c>
      <c r="K736" s="21">
        <f>SalesData_2[[#This Row],[Revenue]]/SalesData_2[[#This Row],[Sales]]</f>
        <v>0.29000000000000009</v>
      </c>
      <c r="L736" s="3" t="s">
        <v>49</v>
      </c>
      <c r="M736" s="3" t="s">
        <v>80</v>
      </c>
      <c r="N736" s="3" t="s">
        <v>86</v>
      </c>
    </row>
    <row r="737" spans="1:14" x14ac:dyDescent="0.3">
      <c r="A737" s="2">
        <v>44588</v>
      </c>
      <c r="B737" s="2">
        <v>44593</v>
      </c>
      <c r="C737">
        <v>5</v>
      </c>
      <c r="D737" s="3" t="s">
        <v>18</v>
      </c>
      <c r="E737" s="6">
        <v>80</v>
      </c>
      <c r="F737" s="6">
        <v>48.8</v>
      </c>
      <c r="G737">
        <v>9</v>
      </c>
      <c r="H737" s="6">
        <f>SalesData_2[[#This Row],[Unit Price]]*SalesData_2[[#This Row],[Units Sold]]</f>
        <v>720</v>
      </c>
      <c r="I737" s="6">
        <f>SalesData_2[[#This Row],[Unit Cost]]*SalesData_2[[#This Row],[Units Sold]]</f>
        <v>439.2</v>
      </c>
      <c r="J737" s="6">
        <f>SalesData_2[[#This Row],[Sales]]-SalesData_2[[#This Row],[COGS]]</f>
        <v>280.8</v>
      </c>
      <c r="K737" s="21">
        <f>SalesData_2[[#This Row],[Revenue]]/SalesData_2[[#This Row],[Sales]]</f>
        <v>0.39</v>
      </c>
      <c r="L737" s="3" t="s">
        <v>49</v>
      </c>
      <c r="M737" s="3" t="s">
        <v>82</v>
      </c>
      <c r="N737" s="3" t="s">
        <v>85</v>
      </c>
    </row>
    <row r="738" spans="1:14" x14ac:dyDescent="0.3">
      <c r="A738" s="2">
        <v>44589</v>
      </c>
      <c r="B738" s="2">
        <v>44594</v>
      </c>
      <c r="C738">
        <v>5</v>
      </c>
      <c r="D738" s="3" t="s">
        <v>20</v>
      </c>
      <c r="E738" s="6">
        <v>440</v>
      </c>
      <c r="F738" s="6">
        <v>286</v>
      </c>
      <c r="G738">
        <v>5</v>
      </c>
      <c r="H738" s="6">
        <f>SalesData_2[[#This Row],[Unit Price]]*SalesData_2[[#This Row],[Units Sold]]</f>
        <v>2200</v>
      </c>
      <c r="I738" s="6">
        <f>SalesData_2[[#This Row],[Unit Cost]]*SalesData_2[[#This Row],[Units Sold]]</f>
        <v>1430</v>
      </c>
      <c r="J738" s="6">
        <f>SalesData_2[[#This Row],[Sales]]-SalesData_2[[#This Row],[COGS]]</f>
        <v>770</v>
      </c>
      <c r="K738" s="21">
        <f>SalesData_2[[#This Row],[Revenue]]/SalesData_2[[#This Row],[Sales]]</f>
        <v>0.35</v>
      </c>
      <c r="L738" s="3" t="s">
        <v>55</v>
      </c>
      <c r="M738" s="3" t="s">
        <v>82</v>
      </c>
      <c r="N738" s="3" t="s">
        <v>86</v>
      </c>
    </row>
    <row r="739" spans="1:14" x14ac:dyDescent="0.3">
      <c r="A739" s="2">
        <v>44593</v>
      </c>
      <c r="B739" s="2">
        <v>44599</v>
      </c>
      <c r="C739">
        <v>6</v>
      </c>
      <c r="D739" s="3" t="s">
        <v>20</v>
      </c>
      <c r="E739" s="6">
        <v>440</v>
      </c>
      <c r="F739" s="6">
        <v>286</v>
      </c>
      <c r="G739">
        <v>8</v>
      </c>
      <c r="H739" s="6">
        <f>SalesData_2[[#This Row],[Unit Price]]*SalesData_2[[#This Row],[Units Sold]]</f>
        <v>3520</v>
      </c>
      <c r="I739" s="6">
        <f>SalesData_2[[#This Row],[Unit Cost]]*SalesData_2[[#This Row],[Units Sold]]</f>
        <v>2288</v>
      </c>
      <c r="J739" s="6">
        <f>SalesData_2[[#This Row],[Sales]]-SalesData_2[[#This Row],[COGS]]</f>
        <v>1232</v>
      </c>
      <c r="K739" s="21">
        <f>SalesData_2[[#This Row],[Revenue]]/SalesData_2[[#This Row],[Sales]]</f>
        <v>0.35</v>
      </c>
      <c r="L739" s="3" t="s">
        <v>76</v>
      </c>
      <c r="M739" s="3" t="s">
        <v>82</v>
      </c>
      <c r="N739" s="3" t="s">
        <v>85</v>
      </c>
    </row>
    <row r="740" spans="1:14" x14ac:dyDescent="0.3">
      <c r="A740" s="2">
        <v>44596</v>
      </c>
      <c r="B740" s="2">
        <v>44597</v>
      </c>
      <c r="C740">
        <v>1</v>
      </c>
      <c r="D740" s="3" t="s">
        <v>23</v>
      </c>
      <c r="E740" s="6">
        <v>275</v>
      </c>
      <c r="F740" s="6">
        <v>200.75</v>
      </c>
      <c r="G740">
        <v>7</v>
      </c>
      <c r="H740" s="6">
        <f>SalesData_2[[#This Row],[Unit Price]]*SalesData_2[[#This Row],[Units Sold]]</f>
        <v>1925</v>
      </c>
      <c r="I740" s="6">
        <f>SalesData_2[[#This Row],[Unit Cost]]*SalesData_2[[#This Row],[Units Sold]]</f>
        <v>1405.25</v>
      </c>
      <c r="J740" s="6">
        <f>SalesData_2[[#This Row],[Sales]]-SalesData_2[[#This Row],[COGS]]</f>
        <v>519.75</v>
      </c>
      <c r="K740" s="21">
        <f>SalesData_2[[#This Row],[Revenue]]/SalesData_2[[#This Row],[Sales]]</f>
        <v>0.27</v>
      </c>
      <c r="L740" s="3" t="s">
        <v>57</v>
      </c>
      <c r="M740" s="3" t="s">
        <v>80</v>
      </c>
      <c r="N740" s="3" t="s">
        <v>85</v>
      </c>
    </row>
    <row r="741" spans="1:14" x14ac:dyDescent="0.3">
      <c r="A741" s="2">
        <v>44597</v>
      </c>
      <c r="B741" s="2">
        <v>44604</v>
      </c>
      <c r="C741">
        <v>7</v>
      </c>
      <c r="D741" s="3" t="s">
        <v>18</v>
      </c>
      <c r="E741" s="6">
        <v>80</v>
      </c>
      <c r="F741" s="6">
        <v>48.8</v>
      </c>
      <c r="G741">
        <v>1</v>
      </c>
      <c r="H741" s="6">
        <f>SalesData_2[[#This Row],[Unit Price]]*SalesData_2[[#This Row],[Units Sold]]</f>
        <v>80</v>
      </c>
      <c r="I741" s="6">
        <f>SalesData_2[[#This Row],[Unit Cost]]*SalesData_2[[#This Row],[Units Sold]]</f>
        <v>48.8</v>
      </c>
      <c r="J741" s="6">
        <f>SalesData_2[[#This Row],[Sales]]-SalesData_2[[#This Row],[COGS]]</f>
        <v>31.200000000000003</v>
      </c>
      <c r="K741" s="21">
        <f>SalesData_2[[#This Row],[Revenue]]/SalesData_2[[#This Row],[Sales]]</f>
        <v>0.39</v>
      </c>
      <c r="L741" s="3" t="s">
        <v>72</v>
      </c>
      <c r="M741" s="3" t="s">
        <v>81</v>
      </c>
      <c r="N741" s="3" t="s">
        <v>86</v>
      </c>
    </row>
    <row r="742" spans="1:14" x14ac:dyDescent="0.3">
      <c r="A742" s="2">
        <v>44597</v>
      </c>
      <c r="B742" s="2">
        <v>44603</v>
      </c>
      <c r="C742">
        <v>6</v>
      </c>
      <c r="D742" s="3" t="s">
        <v>16</v>
      </c>
      <c r="E742" s="6">
        <v>145</v>
      </c>
      <c r="F742" s="6">
        <v>105.85</v>
      </c>
      <c r="G742">
        <v>6</v>
      </c>
      <c r="H742" s="6">
        <f>SalesData_2[[#This Row],[Unit Price]]*SalesData_2[[#This Row],[Units Sold]]</f>
        <v>870</v>
      </c>
      <c r="I742" s="6">
        <f>SalesData_2[[#This Row],[Unit Cost]]*SalesData_2[[#This Row],[Units Sold]]</f>
        <v>635.09999999999991</v>
      </c>
      <c r="J742" s="6">
        <f>SalesData_2[[#This Row],[Sales]]-SalesData_2[[#This Row],[COGS]]</f>
        <v>234.90000000000009</v>
      </c>
      <c r="K742" s="21">
        <f>SalesData_2[[#This Row],[Revenue]]/SalesData_2[[#This Row],[Sales]]</f>
        <v>0.27000000000000013</v>
      </c>
      <c r="L742" s="3" t="s">
        <v>46</v>
      </c>
      <c r="M742" s="3" t="s">
        <v>79</v>
      </c>
      <c r="N742" s="3" t="s">
        <v>86</v>
      </c>
    </row>
    <row r="743" spans="1:14" x14ac:dyDescent="0.3">
      <c r="A743" s="2">
        <v>44598</v>
      </c>
      <c r="B743" s="2">
        <v>44602</v>
      </c>
      <c r="C743">
        <v>4</v>
      </c>
      <c r="D743" s="3" t="s">
        <v>19</v>
      </c>
      <c r="E743" s="6">
        <v>220</v>
      </c>
      <c r="F743" s="6">
        <v>154</v>
      </c>
      <c r="G743">
        <v>8</v>
      </c>
      <c r="H743" s="6">
        <f>SalesData_2[[#This Row],[Unit Price]]*SalesData_2[[#This Row],[Units Sold]]</f>
        <v>1760</v>
      </c>
      <c r="I743" s="6">
        <f>SalesData_2[[#This Row],[Unit Cost]]*SalesData_2[[#This Row],[Units Sold]]</f>
        <v>1232</v>
      </c>
      <c r="J743" s="6">
        <f>SalesData_2[[#This Row],[Sales]]-SalesData_2[[#This Row],[COGS]]</f>
        <v>528</v>
      </c>
      <c r="K743" s="21">
        <f>SalesData_2[[#This Row],[Revenue]]/SalesData_2[[#This Row],[Sales]]</f>
        <v>0.3</v>
      </c>
      <c r="L743" s="3" t="s">
        <v>67</v>
      </c>
      <c r="M743" s="3" t="s">
        <v>80</v>
      </c>
      <c r="N743" s="3" t="s">
        <v>85</v>
      </c>
    </row>
    <row r="744" spans="1:14" x14ac:dyDescent="0.3">
      <c r="A744" s="2">
        <v>44598</v>
      </c>
      <c r="B744" s="2">
        <v>44604</v>
      </c>
      <c r="C744">
        <v>6</v>
      </c>
      <c r="D744" s="3" t="s">
        <v>11</v>
      </c>
      <c r="E744" s="6">
        <v>490</v>
      </c>
      <c r="F744" s="6">
        <v>298.89999999999998</v>
      </c>
      <c r="G744">
        <v>4</v>
      </c>
      <c r="H744" s="6">
        <f>SalesData_2[[#This Row],[Unit Price]]*SalesData_2[[#This Row],[Units Sold]]</f>
        <v>1960</v>
      </c>
      <c r="I744" s="6">
        <f>SalesData_2[[#This Row],[Unit Cost]]*SalesData_2[[#This Row],[Units Sold]]</f>
        <v>1195.5999999999999</v>
      </c>
      <c r="J744" s="6">
        <f>SalesData_2[[#This Row],[Sales]]-SalesData_2[[#This Row],[COGS]]</f>
        <v>764.40000000000009</v>
      </c>
      <c r="K744" s="21">
        <f>SalesData_2[[#This Row],[Revenue]]/SalesData_2[[#This Row],[Sales]]</f>
        <v>0.39000000000000007</v>
      </c>
      <c r="L744" s="3" t="s">
        <v>34</v>
      </c>
      <c r="M744" s="3" t="s">
        <v>80</v>
      </c>
      <c r="N744" s="3" t="s">
        <v>86</v>
      </c>
    </row>
    <row r="745" spans="1:14" x14ac:dyDescent="0.3">
      <c r="A745" s="2">
        <v>44599</v>
      </c>
      <c r="B745" s="2">
        <v>44604</v>
      </c>
      <c r="C745">
        <v>5</v>
      </c>
      <c r="D745" s="3" t="s">
        <v>19</v>
      </c>
      <c r="E745" s="6">
        <v>220</v>
      </c>
      <c r="F745" s="6">
        <v>154</v>
      </c>
      <c r="G745">
        <v>2</v>
      </c>
      <c r="H745" s="6">
        <f>SalesData_2[[#This Row],[Unit Price]]*SalesData_2[[#This Row],[Units Sold]]</f>
        <v>440</v>
      </c>
      <c r="I745" s="6">
        <f>SalesData_2[[#This Row],[Unit Cost]]*SalesData_2[[#This Row],[Units Sold]]</f>
        <v>308</v>
      </c>
      <c r="J745" s="6">
        <f>SalesData_2[[#This Row],[Sales]]-SalesData_2[[#This Row],[COGS]]</f>
        <v>132</v>
      </c>
      <c r="K745" s="21">
        <f>SalesData_2[[#This Row],[Revenue]]/SalesData_2[[#This Row],[Sales]]</f>
        <v>0.3</v>
      </c>
      <c r="L745" s="3" t="s">
        <v>56</v>
      </c>
      <c r="M745" s="3" t="s">
        <v>80</v>
      </c>
      <c r="N745" s="3" t="s">
        <v>86</v>
      </c>
    </row>
    <row r="746" spans="1:14" x14ac:dyDescent="0.3">
      <c r="A746" s="2">
        <v>44599</v>
      </c>
      <c r="B746" s="2">
        <v>44601</v>
      </c>
      <c r="C746">
        <v>2</v>
      </c>
      <c r="D746" s="3" t="s">
        <v>11</v>
      </c>
      <c r="E746" s="6">
        <v>490</v>
      </c>
      <c r="F746" s="6">
        <v>298.89999999999998</v>
      </c>
      <c r="G746">
        <v>5</v>
      </c>
      <c r="H746" s="6">
        <f>SalesData_2[[#This Row],[Unit Price]]*SalesData_2[[#This Row],[Units Sold]]</f>
        <v>2450</v>
      </c>
      <c r="I746" s="6">
        <f>SalesData_2[[#This Row],[Unit Cost]]*SalesData_2[[#This Row],[Units Sold]]</f>
        <v>1494.5</v>
      </c>
      <c r="J746" s="6">
        <f>SalesData_2[[#This Row],[Sales]]-SalesData_2[[#This Row],[COGS]]</f>
        <v>955.5</v>
      </c>
      <c r="K746" s="21">
        <f>SalesData_2[[#This Row],[Revenue]]/SalesData_2[[#This Row],[Sales]]</f>
        <v>0.39</v>
      </c>
      <c r="L746" s="3" t="s">
        <v>52</v>
      </c>
      <c r="M746" s="3" t="s">
        <v>81</v>
      </c>
      <c r="N746" s="3" t="s">
        <v>86</v>
      </c>
    </row>
    <row r="747" spans="1:14" x14ac:dyDescent="0.3">
      <c r="A747" s="2">
        <v>44599</v>
      </c>
      <c r="B747" s="2">
        <v>44604</v>
      </c>
      <c r="C747">
        <v>5</v>
      </c>
      <c r="D747" s="3" t="s">
        <v>14</v>
      </c>
      <c r="E747" s="6">
        <v>375</v>
      </c>
      <c r="F747" s="6">
        <v>247.5</v>
      </c>
      <c r="G747">
        <v>3</v>
      </c>
      <c r="H747" s="6">
        <f>SalesData_2[[#This Row],[Unit Price]]*SalesData_2[[#This Row],[Units Sold]]</f>
        <v>1125</v>
      </c>
      <c r="I747" s="6">
        <f>SalesData_2[[#This Row],[Unit Cost]]*SalesData_2[[#This Row],[Units Sold]]</f>
        <v>742.5</v>
      </c>
      <c r="J747" s="6">
        <f>SalesData_2[[#This Row],[Sales]]-SalesData_2[[#This Row],[COGS]]</f>
        <v>382.5</v>
      </c>
      <c r="K747" s="21">
        <f>SalesData_2[[#This Row],[Revenue]]/SalesData_2[[#This Row],[Sales]]</f>
        <v>0.34</v>
      </c>
      <c r="L747" s="3" t="s">
        <v>56</v>
      </c>
      <c r="M747" s="3" t="s">
        <v>81</v>
      </c>
      <c r="N747" s="3" t="s">
        <v>86</v>
      </c>
    </row>
    <row r="748" spans="1:14" x14ac:dyDescent="0.3">
      <c r="A748" s="2">
        <v>44600</v>
      </c>
      <c r="B748" s="2">
        <v>44601</v>
      </c>
      <c r="C748">
        <v>1</v>
      </c>
      <c r="D748" s="3" t="s">
        <v>11</v>
      </c>
      <c r="E748" s="6">
        <v>490</v>
      </c>
      <c r="F748" s="6">
        <v>298.89999999999998</v>
      </c>
      <c r="G748">
        <v>3</v>
      </c>
      <c r="H748" s="6">
        <f>SalesData_2[[#This Row],[Unit Price]]*SalesData_2[[#This Row],[Units Sold]]</f>
        <v>1470</v>
      </c>
      <c r="I748" s="6">
        <f>SalesData_2[[#This Row],[Unit Cost]]*SalesData_2[[#This Row],[Units Sold]]</f>
        <v>896.69999999999993</v>
      </c>
      <c r="J748" s="6">
        <f>SalesData_2[[#This Row],[Sales]]-SalesData_2[[#This Row],[COGS]]</f>
        <v>573.30000000000007</v>
      </c>
      <c r="K748" s="21">
        <f>SalesData_2[[#This Row],[Revenue]]/SalesData_2[[#This Row],[Sales]]</f>
        <v>0.39000000000000007</v>
      </c>
      <c r="L748" s="3" t="s">
        <v>63</v>
      </c>
      <c r="M748" s="3" t="s">
        <v>83</v>
      </c>
      <c r="N748" s="3" t="s">
        <v>85</v>
      </c>
    </row>
    <row r="749" spans="1:14" x14ac:dyDescent="0.3">
      <c r="A749" s="2">
        <v>44600</v>
      </c>
      <c r="B749" s="2">
        <v>44603</v>
      </c>
      <c r="C749">
        <v>3</v>
      </c>
      <c r="D749" s="3" t="s">
        <v>13</v>
      </c>
      <c r="E749" s="6">
        <v>445</v>
      </c>
      <c r="F749" s="6">
        <v>280.35000000000002</v>
      </c>
      <c r="G749">
        <v>9</v>
      </c>
      <c r="H749" s="6">
        <f>SalesData_2[[#This Row],[Unit Price]]*SalesData_2[[#This Row],[Units Sold]]</f>
        <v>4005</v>
      </c>
      <c r="I749" s="6">
        <f>SalesData_2[[#This Row],[Unit Cost]]*SalesData_2[[#This Row],[Units Sold]]</f>
        <v>2523.15</v>
      </c>
      <c r="J749" s="6">
        <f>SalesData_2[[#This Row],[Sales]]-SalesData_2[[#This Row],[COGS]]</f>
        <v>1481.85</v>
      </c>
      <c r="K749" s="21">
        <f>SalesData_2[[#This Row],[Revenue]]/SalesData_2[[#This Row],[Sales]]</f>
        <v>0.37</v>
      </c>
      <c r="L749" s="3" t="s">
        <v>41</v>
      </c>
      <c r="M749" s="3" t="s">
        <v>79</v>
      </c>
      <c r="N749" s="3" t="s">
        <v>85</v>
      </c>
    </row>
    <row r="750" spans="1:14" x14ac:dyDescent="0.3">
      <c r="A750" s="2">
        <v>44604</v>
      </c>
      <c r="B750" s="2">
        <v>44607</v>
      </c>
      <c r="C750">
        <v>3</v>
      </c>
      <c r="D750" s="3" t="s">
        <v>23</v>
      </c>
      <c r="E750" s="6">
        <v>275</v>
      </c>
      <c r="F750" s="6">
        <v>200.75</v>
      </c>
      <c r="G750">
        <v>5</v>
      </c>
      <c r="H750" s="6">
        <f>SalesData_2[[#This Row],[Unit Price]]*SalesData_2[[#This Row],[Units Sold]]</f>
        <v>1375</v>
      </c>
      <c r="I750" s="6">
        <f>SalesData_2[[#This Row],[Unit Cost]]*SalesData_2[[#This Row],[Units Sold]]</f>
        <v>1003.75</v>
      </c>
      <c r="J750" s="6">
        <f>SalesData_2[[#This Row],[Sales]]-SalesData_2[[#This Row],[COGS]]</f>
        <v>371.25</v>
      </c>
      <c r="K750" s="21">
        <f>SalesData_2[[#This Row],[Revenue]]/SalesData_2[[#This Row],[Sales]]</f>
        <v>0.27</v>
      </c>
      <c r="L750" s="3" t="s">
        <v>59</v>
      </c>
      <c r="M750" s="3" t="s">
        <v>80</v>
      </c>
      <c r="N750" s="3" t="s">
        <v>86</v>
      </c>
    </row>
    <row r="751" spans="1:14" x14ac:dyDescent="0.3">
      <c r="A751" s="2">
        <v>44604</v>
      </c>
      <c r="B751" s="2">
        <v>44606</v>
      </c>
      <c r="C751">
        <v>2</v>
      </c>
      <c r="D751" s="3" t="s">
        <v>16</v>
      </c>
      <c r="E751" s="6">
        <v>145</v>
      </c>
      <c r="F751" s="6">
        <v>105.85</v>
      </c>
      <c r="G751">
        <v>1</v>
      </c>
      <c r="H751" s="6">
        <f>SalesData_2[[#This Row],[Unit Price]]*SalesData_2[[#This Row],[Units Sold]]</f>
        <v>145</v>
      </c>
      <c r="I751" s="6">
        <f>SalesData_2[[#This Row],[Unit Cost]]*SalesData_2[[#This Row],[Units Sold]]</f>
        <v>105.85</v>
      </c>
      <c r="J751" s="6">
        <f>SalesData_2[[#This Row],[Sales]]-SalesData_2[[#This Row],[COGS]]</f>
        <v>39.150000000000006</v>
      </c>
      <c r="K751" s="21">
        <f>SalesData_2[[#This Row],[Revenue]]/SalesData_2[[#This Row],[Sales]]</f>
        <v>0.27</v>
      </c>
      <c r="L751" s="3" t="s">
        <v>49</v>
      </c>
      <c r="M751" s="3" t="s">
        <v>83</v>
      </c>
      <c r="N751" s="3" t="s">
        <v>85</v>
      </c>
    </row>
    <row r="752" spans="1:14" x14ac:dyDescent="0.3">
      <c r="A752" s="2">
        <v>44604</v>
      </c>
      <c r="B752" s="2">
        <v>44607</v>
      </c>
      <c r="C752">
        <v>3</v>
      </c>
      <c r="D752" s="3" t="s">
        <v>8</v>
      </c>
      <c r="E752" s="6">
        <v>59</v>
      </c>
      <c r="F752" s="6">
        <v>41.3</v>
      </c>
      <c r="G752">
        <v>5</v>
      </c>
      <c r="H752" s="6">
        <f>SalesData_2[[#This Row],[Unit Price]]*SalesData_2[[#This Row],[Units Sold]]</f>
        <v>295</v>
      </c>
      <c r="I752" s="6">
        <f>SalesData_2[[#This Row],[Unit Cost]]*SalesData_2[[#This Row],[Units Sold]]</f>
        <v>206.5</v>
      </c>
      <c r="J752" s="6">
        <f>SalesData_2[[#This Row],[Sales]]-SalesData_2[[#This Row],[COGS]]</f>
        <v>88.5</v>
      </c>
      <c r="K752" s="21">
        <f>SalesData_2[[#This Row],[Revenue]]/SalesData_2[[#This Row],[Sales]]</f>
        <v>0.3</v>
      </c>
      <c r="L752" s="3" t="s">
        <v>70</v>
      </c>
      <c r="M752" s="3" t="s">
        <v>81</v>
      </c>
      <c r="N752" s="3" t="s">
        <v>85</v>
      </c>
    </row>
    <row r="753" spans="1:14" x14ac:dyDescent="0.3">
      <c r="A753" s="2">
        <v>44605</v>
      </c>
      <c r="B753" s="2">
        <v>44612</v>
      </c>
      <c r="C753">
        <v>7</v>
      </c>
      <c r="D753" s="3" t="s">
        <v>15</v>
      </c>
      <c r="E753" s="6">
        <v>110</v>
      </c>
      <c r="F753" s="6">
        <v>78.099999999999994</v>
      </c>
      <c r="G753">
        <v>1</v>
      </c>
      <c r="H753" s="6">
        <f>SalesData_2[[#This Row],[Unit Price]]*SalesData_2[[#This Row],[Units Sold]]</f>
        <v>110</v>
      </c>
      <c r="I753" s="6">
        <f>SalesData_2[[#This Row],[Unit Cost]]*SalesData_2[[#This Row],[Units Sold]]</f>
        <v>78.099999999999994</v>
      </c>
      <c r="J753" s="6">
        <f>SalesData_2[[#This Row],[Sales]]-SalesData_2[[#This Row],[COGS]]</f>
        <v>31.900000000000006</v>
      </c>
      <c r="K753" s="21">
        <f>SalesData_2[[#This Row],[Revenue]]/SalesData_2[[#This Row],[Sales]]</f>
        <v>0.29000000000000004</v>
      </c>
      <c r="L753" s="3" t="s">
        <v>40</v>
      </c>
      <c r="M753" s="3" t="s">
        <v>80</v>
      </c>
      <c r="N753" s="3" t="s">
        <v>86</v>
      </c>
    </row>
    <row r="754" spans="1:14" x14ac:dyDescent="0.3">
      <c r="A754" s="2">
        <v>44606</v>
      </c>
      <c r="B754" s="2">
        <v>44610</v>
      </c>
      <c r="C754">
        <v>4</v>
      </c>
      <c r="D754" s="3" t="s">
        <v>14</v>
      </c>
      <c r="E754" s="6">
        <v>375</v>
      </c>
      <c r="F754" s="6">
        <v>247.5</v>
      </c>
      <c r="G754">
        <v>8</v>
      </c>
      <c r="H754" s="6">
        <f>SalesData_2[[#This Row],[Unit Price]]*SalesData_2[[#This Row],[Units Sold]]</f>
        <v>3000</v>
      </c>
      <c r="I754" s="6">
        <f>SalesData_2[[#This Row],[Unit Cost]]*SalesData_2[[#This Row],[Units Sold]]</f>
        <v>1980</v>
      </c>
      <c r="J754" s="6">
        <f>SalesData_2[[#This Row],[Sales]]-SalesData_2[[#This Row],[COGS]]</f>
        <v>1020</v>
      </c>
      <c r="K754" s="21">
        <f>SalesData_2[[#This Row],[Revenue]]/SalesData_2[[#This Row],[Sales]]</f>
        <v>0.34</v>
      </c>
      <c r="L754" s="3" t="s">
        <v>51</v>
      </c>
      <c r="M754" s="3" t="s">
        <v>83</v>
      </c>
      <c r="N754" s="3" t="s">
        <v>86</v>
      </c>
    </row>
    <row r="755" spans="1:14" x14ac:dyDescent="0.3">
      <c r="A755" s="2">
        <v>44606</v>
      </c>
      <c r="B755" s="2">
        <v>44610</v>
      </c>
      <c r="C755">
        <v>4</v>
      </c>
      <c r="D755" s="3" t="s">
        <v>14</v>
      </c>
      <c r="E755" s="6">
        <v>375</v>
      </c>
      <c r="F755" s="6">
        <v>247.5</v>
      </c>
      <c r="G755">
        <v>4</v>
      </c>
      <c r="H755" s="6">
        <f>SalesData_2[[#This Row],[Unit Price]]*SalesData_2[[#This Row],[Units Sold]]</f>
        <v>1500</v>
      </c>
      <c r="I755" s="6">
        <f>SalesData_2[[#This Row],[Unit Cost]]*SalesData_2[[#This Row],[Units Sold]]</f>
        <v>990</v>
      </c>
      <c r="J755" s="6">
        <f>SalesData_2[[#This Row],[Sales]]-SalesData_2[[#This Row],[COGS]]</f>
        <v>510</v>
      </c>
      <c r="K755" s="21">
        <f>SalesData_2[[#This Row],[Revenue]]/SalesData_2[[#This Row],[Sales]]</f>
        <v>0.34</v>
      </c>
      <c r="L755" s="3" t="s">
        <v>32</v>
      </c>
      <c r="M755" s="3" t="s">
        <v>81</v>
      </c>
      <c r="N755" s="3" t="s">
        <v>86</v>
      </c>
    </row>
    <row r="756" spans="1:14" x14ac:dyDescent="0.3">
      <c r="A756" s="2">
        <v>44607</v>
      </c>
      <c r="B756" s="2">
        <v>44614</v>
      </c>
      <c r="C756">
        <v>7</v>
      </c>
      <c r="D756" s="3" t="s">
        <v>9</v>
      </c>
      <c r="E756" s="6">
        <v>215</v>
      </c>
      <c r="F756" s="6">
        <v>152.65</v>
      </c>
      <c r="G756">
        <v>3</v>
      </c>
      <c r="H756" s="6">
        <f>SalesData_2[[#This Row],[Unit Price]]*SalesData_2[[#This Row],[Units Sold]]</f>
        <v>645</v>
      </c>
      <c r="I756" s="6">
        <f>SalesData_2[[#This Row],[Unit Cost]]*SalesData_2[[#This Row],[Units Sold]]</f>
        <v>457.95000000000005</v>
      </c>
      <c r="J756" s="6">
        <f>SalesData_2[[#This Row],[Sales]]-SalesData_2[[#This Row],[COGS]]</f>
        <v>187.04999999999995</v>
      </c>
      <c r="K756" s="21">
        <f>SalesData_2[[#This Row],[Revenue]]/SalesData_2[[#This Row],[Sales]]</f>
        <v>0.28999999999999992</v>
      </c>
      <c r="L756" s="3" t="s">
        <v>61</v>
      </c>
      <c r="M756" s="3" t="s">
        <v>82</v>
      </c>
      <c r="N756" s="3" t="s">
        <v>85</v>
      </c>
    </row>
    <row r="757" spans="1:14" x14ac:dyDescent="0.3">
      <c r="A757" s="2">
        <v>44608</v>
      </c>
      <c r="B757" s="2">
        <v>44611</v>
      </c>
      <c r="C757">
        <v>3</v>
      </c>
      <c r="D757" s="3" t="s">
        <v>6</v>
      </c>
      <c r="E757" s="6">
        <v>99</v>
      </c>
      <c r="F757" s="6">
        <v>62.37</v>
      </c>
      <c r="G757">
        <v>9</v>
      </c>
      <c r="H757" s="6">
        <f>SalesData_2[[#This Row],[Unit Price]]*SalesData_2[[#This Row],[Units Sold]]</f>
        <v>891</v>
      </c>
      <c r="I757" s="6">
        <f>SalesData_2[[#This Row],[Unit Cost]]*SalesData_2[[#This Row],[Units Sold]]</f>
        <v>561.32999999999993</v>
      </c>
      <c r="J757" s="6">
        <f>SalesData_2[[#This Row],[Sales]]-SalesData_2[[#This Row],[COGS]]</f>
        <v>329.67000000000007</v>
      </c>
      <c r="K757" s="21">
        <f>SalesData_2[[#This Row],[Revenue]]/SalesData_2[[#This Row],[Sales]]</f>
        <v>0.37000000000000011</v>
      </c>
      <c r="L757" s="3" t="s">
        <v>64</v>
      </c>
      <c r="M757" s="3" t="s">
        <v>79</v>
      </c>
      <c r="N757" s="3" t="s">
        <v>86</v>
      </c>
    </row>
    <row r="758" spans="1:14" x14ac:dyDescent="0.3">
      <c r="A758" s="2">
        <v>44610</v>
      </c>
      <c r="B758" s="2">
        <v>44616</v>
      </c>
      <c r="C758">
        <v>6</v>
      </c>
      <c r="D758" s="3" t="s">
        <v>17</v>
      </c>
      <c r="E758" s="6">
        <v>195</v>
      </c>
      <c r="F758" s="6">
        <v>138.44999999999999</v>
      </c>
      <c r="G758">
        <v>8</v>
      </c>
      <c r="H758" s="6">
        <f>SalesData_2[[#This Row],[Unit Price]]*SalesData_2[[#This Row],[Units Sold]]</f>
        <v>1560</v>
      </c>
      <c r="I758" s="6">
        <f>SalesData_2[[#This Row],[Unit Cost]]*SalesData_2[[#This Row],[Units Sold]]</f>
        <v>1107.5999999999999</v>
      </c>
      <c r="J758" s="6">
        <f>SalesData_2[[#This Row],[Sales]]-SalesData_2[[#This Row],[COGS]]</f>
        <v>452.40000000000009</v>
      </c>
      <c r="K758" s="21">
        <f>SalesData_2[[#This Row],[Revenue]]/SalesData_2[[#This Row],[Sales]]</f>
        <v>0.29000000000000004</v>
      </c>
      <c r="L758" s="3" t="s">
        <v>70</v>
      </c>
      <c r="M758" s="3" t="s">
        <v>80</v>
      </c>
      <c r="N758" s="3" t="s">
        <v>86</v>
      </c>
    </row>
    <row r="759" spans="1:14" x14ac:dyDescent="0.3">
      <c r="A759" s="2">
        <v>44611</v>
      </c>
      <c r="B759" s="2">
        <v>44615</v>
      </c>
      <c r="C759">
        <v>4</v>
      </c>
      <c r="D759" s="3" t="s">
        <v>23</v>
      </c>
      <c r="E759" s="6">
        <v>275</v>
      </c>
      <c r="F759" s="6">
        <v>200.75</v>
      </c>
      <c r="G759">
        <v>7</v>
      </c>
      <c r="H759" s="6">
        <f>SalesData_2[[#This Row],[Unit Price]]*SalesData_2[[#This Row],[Units Sold]]</f>
        <v>1925</v>
      </c>
      <c r="I759" s="6">
        <f>SalesData_2[[#This Row],[Unit Cost]]*SalesData_2[[#This Row],[Units Sold]]</f>
        <v>1405.25</v>
      </c>
      <c r="J759" s="6">
        <f>SalesData_2[[#This Row],[Sales]]-SalesData_2[[#This Row],[COGS]]</f>
        <v>519.75</v>
      </c>
      <c r="K759" s="21">
        <f>SalesData_2[[#This Row],[Revenue]]/SalesData_2[[#This Row],[Sales]]</f>
        <v>0.27</v>
      </c>
      <c r="L759" s="3" t="s">
        <v>57</v>
      </c>
      <c r="M759" s="3" t="s">
        <v>81</v>
      </c>
      <c r="N759" s="3" t="s">
        <v>85</v>
      </c>
    </row>
    <row r="760" spans="1:14" x14ac:dyDescent="0.3">
      <c r="A760" s="2">
        <v>44611</v>
      </c>
      <c r="B760" s="2">
        <v>44612</v>
      </c>
      <c r="C760">
        <v>1</v>
      </c>
      <c r="D760" s="3" t="s">
        <v>23</v>
      </c>
      <c r="E760" s="6">
        <v>275</v>
      </c>
      <c r="F760" s="6">
        <v>200.75</v>
      </c>
      <c r="G760">
        <v>2</v>
      </c>
      <c r="H760" s="6">
        <f>SalesData_2[[#This Row],[Unit Price]]*SalesData_2[[#This Row],[Units Sold]]</f>
        <v>550</v>
      </c>
      <c r="I760" s="6">
        <f>SalesData_2[[#This Row],[Unit Cost]]*SalesData_2[[#This Row],[Units Sold]]</f>
        <v>401.5</v>
      </c>
      <c r="J760" s="6">
        <f>SalesData_2[[#This Row],[Sales]]-SalesData_2[[#This Row],[COGS]]</f>
        <v>148.5</v>
      </c>
      <c r="K760" s="21">
        <f>SalesData_2[[#This Row],[Revenue]]/SalesData_2[[#This Row],[Sales]]</f>
        <v>0.27</v>
      </c>
      <c r="L760" s="3" t="s">
        <v>34</v>
      </c>
      <c r="M760" s="3" t="s">
        <v>82</v>
      </c>
      <c r="N760" s="3" t="s">
        <v>86</v>
      </c>
    </row>
    <row r="761" spans="1:14" x14ac:dyDescent="0.3">
      <c r="A761" s="2">
        <v>44612</v>
      </c>
      <c r="B761" s="2">
        <v>44616</v>
      </c>
      <c r="C761">
        <v>4</v>
      </c>
      <c r="D761" s="3" t="s">
        <v>11</v>
      </c>
      <c r="E761" s="6">
        <v>490</v>
      </c>
      <c r="F761" s="6">
        <v>298.89999999999998</v>
      </c>
      <c r="G761">
        <v>7</v>
      </c>
      <c r="H761" s="6">
        <f>SalesData_2[[#This Row],[Unit Price]]*SalesData_2[[#This Row],[Units Sold]]</f>
        <v>3430</v>
      </c>
      <c r="I761" s="6">
        <f>SalesData_2[[#This Row],[Unit Cost]]*SalesData_2[[#This Row],[Units Sold]]</f>
        <v>2092.2999999999997</v>
      </c>
      <c r="J761" s="6">
        <f>SalesData_2[[#This Row],[Sales]]-SalesData_2[[#This Row],[COGS]]</f>
        <v>1337.7000000000003</v>
      </c>
      <c r="K761" s="21">
        <f>SalesData_2[[#This Row],[Revenue]]/SalesData_2[[#This Row],[Sales]]</f>
        <v>0.39000000000000007</v>
      </c>
      <c r="L761" s="3" t="s">
        <v>49</v>
      </c>
      <c r="M761" s="3" t="s">
        <v>79</v>
      </c>
      <c r="N761" s="3" t="s">
        <v>85</v>
      </c>
    </row>
    <row r="762" spans="1:14" x14ac:dyDescent="0.3">
      <c r="A762" s="2">
        <v>44612</v>
      </c>
      <c r="B762" s="2">
        <v>44613</v>
      </c>
      <c r="C762">
        <v>1</v>
      </c>
      <c r="D762" s="3" t="s">
        <v>7</v>
      </c>
      <c r="E762" s="6">
        <v>250</v>
      </c>
      <c r="F762" s="6">
        <v>167.5</v>
      </c>
      <c r="G762">
        <v>4</v>
      </c>
      <c r="H762" s="6">
        <f>SalesData_2[[#This Row],[Unit Price]]*SalesData_2[[#This Row],[Units Sold]]</f>
        <v>1000</v>
      </c>
      <c r="I762" s="6">
        <f>SalesData_2[[#This Row],[Unit Cost]]*SalesData_2[[#This Row],[Units Sold]]</f>
        <v>670</v>
      </c>
      <c r="J762" s="6">
        <f>SalesData_2[[#This Row],[Sales]]-SalesData_2[[#This Row],[COGS]]</f>
        <v>330</v>
      </c>
      <c r="K762" s="21">
        <f>SalesData_2[[#This Row],[Revenue]]/SalesData_2[[#This Row],[Sales]]</f>
        <v>0.33</v>
      </c>
      <c r="L762" s="3" t="s">
        <v>72</v>
      </c>
      <c r="M762" s="3" t="s">
        <v>81</v>
      </c>
      <c r="N762" s="3" t="s">
        <v>86</v>
      </c>
    </row>
    <row r="763" spans="1:14" x14ac:dyDescent="0.3">
      <c r="A763" s="2">
        <v>44614</v>
      </c>
      <c r="B763" s="2">
        <v>44618</v>
      </c>
      <c r="C763">
        <v>4</v>
      </c>
      <c r="D763" s="3" t="s">
        <v>15</v>
      </c>
      <c r="E763" s="6">
        <v>110</v>
      </c>
      <c r="F763" s="6">
        <v>78.099999999999994</v>
      </c>
      <c r="G763">
        <v>3</v>
      </c>
      <c r="H763" s="6">
        <f>SalesData_2[[#This Row],[Unit Price]]*SalesData_2[[#This Row],[Units Sold]]</f>
        <v>330</v>
      </c>
      <c r="I763" s="6">
        <f>SalesData_2[[#This Row],[Unit Cost]]*SalesData_2[[#This Row],[Units Sold]]</f>
        <v>234.29999999999998</v>
      </c>
      <c r="J763" s="6">
        <f>SalesData_2[[#This Row],[Sales]]-SalesData_2[[#This Row],[COGS]]</f>
        <v>95.700000000000017</v>
      </c>
      <c r="K763" s="21">
        <f>SalesData_2[[#This Row],[Revenue]]/SalesData_2[[#This Row],[Sales]]</f>
        <v>0.29000000000000004</v>
      </c>
      <c r="L763" s="3" t="s">
        <v>60</v>
      </c>
      <c r="M763" s="3" t="s">
        <v>80</v>
      </c>
      <c r="N763" s="3" t="s">
        <v>85</v>
      </c>
    </row>
    <row r="764" spans="1:14" x14ac:dyDescent="0.3">
      <c r="A764" s="2">
        <v>44615</v>
      </c>
      <c r="B764" s="2">
        <v>44620</v>
      </c>
      <c r="C764">
        <v>5</v>
      </c>
      <c r="D764" s="3" t="s">
        <v>20</v>
      </c>
      <c r="E764" s="6">
        <v>440</v>
      </c>
      <c r="F764" s="6">
        <v>286</v>
      </c>
      <c r="G764">
        <v>5</v>
      </c>
      <c r="H764" s="6">
        <f>SalesData_2[[#This Row],[Unit Price]]*SalesData_2[[#This Row],[Units Sold]]</f>
        <v>2200</v>
      </c>
      <c r="I764" s="6">
        <f>SalesData_2[[#This Row],[Unit Cost]]*SalesData_2[[#This Row],[Units Sold]]</f>
        <v>1430</v>
      </c>
      <c r="J764" s="6">
        <f>SalesData_2[[#This Row],[Sales]]-SalesData_2[[#This Row],[COGS]]</f>
        <v>770</v>
      </c>
      <c r="K764" s="21">
        <f>SalesData_2[[#This Row],[Revenue]]/SalesData_2[[#This Row],[Sales]]</f>
        <v>0.35</v>
      </c>
      <c r="L764" s="3" t="s">
        <v>29</v>
      </c>
      <c r="M764" s="3" t="s">
        <v>82</v>
      </c>
      <c r="N764" s="3" t="s">
        <v>85</v>
      </c>
    </row>
    <row r="765" spans="1:14" x14ac:dyDescent="0.3">
      <c r="A765" s="2">
        <v>44616</v>
      </c>
      <c r="B765" s="2">
        <v>44620</v>
      </c>
      <c r="C765">
        <v>4</v>
      </c>
      <c r="D765" s="3" t="s">
        <v>3</v>
      </c>
      <c r="E765" s="6">
        <v>95</v>
      </c>
      <c r="F765" s="6">
        <v>60.8</v>
      </c>
      <c r="G765">
        <v>9</v>
      </c>
      <c r="H765" s="6">
        <f>SalesData_2[[#This Row],[Unit Price]]*SalesData_2[[#This Row],[Units Sold]]</f>
        <v>855</v>
      </c>
      <c r="I765" s="6">
        <f>SalesData_2[[#This Row],[Unit Cost]]*SalesData_2[[#This Row],[Units Sold]]</f>
        <v>547.19999999999993</v>
      </c>
      <c r="J765" s="6">
        <f>SalesData_2[[#This Row],[Sales]]-SalesData_2[[#This Row],[COGS]]</f>
        <v>307.80000000000007</v>
      </c>
      <c r="K765" s="21">
        <f>SalesData_2[[#This Row],[Revenue]]/SalesData_2[[#This Row],[Sales]]</f>
        <v>0.3600000000000001</v>
      </c>
      <c r="L765" s="3" t="s">
        <v>29</v>
      </c>
      <c r="M765" s="3" t="s">
        <v>83</v>
      </c>
      <c r="N765" s="3" t="s">
        <v>86</v>
      </c>
    </row>
    <row r="766" spans="1:14" x14ac:dyDescent="0.3">
      <c r="A766" s="2">
        <v>44617</v>
      </c>
      <c r="B766" s="2">
        <v>44620</v>
      </c>
      <c r="C766">
        <v>3</v>
      </c>
      <c r="D766" s="3" t="s">
        <v>16</v>
      </c>
      <c r="E766" s="6">
        <v>145</v>
      </c>
      <c r="F766" s="6">
        <v>105.85</v>
      </c>
      <c r="G766">
        <v>9</v>
      </c>
      <c r="H766" s="6">
        <f>SalesData_2[[#This Row],[Unit Price]]*SalesData_2[[#This Row],[Units Sold]]</f>
        <v>1305</v>
      </c>
      <c r="I766" s="6">
        <f>SalesData_2[[#This Row],[Unit Cost]]*SalesData_2[[#This Row],[Units Sold]]</f>
        <v>952.65</v>
      </c>
      <c r="J766" s="6">
        <f>SalesData_2[[#This Row],[Sales]]-SalesData_2[[#This Row],[COGS]]</f>
        <v>352.35</v>
      </c>
      <c r="K766" s="21">
        <f>SalesData_2[[#This Row],[Revenue]]/SalesData_2[[#This Row],[Sales]]</f>
        <v>0.27</v>
      </c>
      <c r="L766" s="3" t="s">
        <v>55</v>
      </c>
      <c r="M766" s="3" t="s">
        <v>82</v>
      </c>
      <c r="N766" s="3" t="s">
        <v>85</v>
      </c>
    </row>
    <row r="767" spans="1:14" x14ac:dyDescent="0.3">
      <c r="A767" s="2">
        <v>44617</v>
      </c>
      <c r="B767" s="2">
        <v>44618</v>
      </c>
      <c r="C767">
        <v>1</v>
      </c>
      <c r="D767" s="3" t="s">
        <v>20</v>
      </c>
      <c r="E767" s="6">
        <v>440</v>
      </c>
      <c r="F767" s="6">
        <v>286</v>
      </c>
      <c r="G767">
        <v>7</v>
      </c>
      <c r="H767" s="6">
        <f>SalesData_2[[#This Row],[Unit Price]]*SalesData_2[[#This Row],[Units Sold]]</f>
        <v>3080</v>
      </c>
      <c r="I767" s="6">
        <f>SalesData_2[[#This Row],[Unit Cost]]*SalesData_2[[#This Row],[Units Sold]]</f>
        <v>2002</v>
      </c>
      <c r="J767" s="6">
        <f>SalesData_2[[#This Row],[Sales]]-SalesData_2[[#This Row],[COGS]]</f>
        <v>1078</v>
      </c>
      <c r="K767" s="21">
        <f>SalesData_2[[#This Row],[Revenue]]/SalesData_2[[#This Row],[Sales]]</f>
        <v>0.35</v>
      </c>
      <c r="L767" s="3" t="s">
        <v>45</v>
      </c>
      <c r="M767" s="3" t="s">
        <v>82</v>
      </c>
      <c r="N767" s="3" t="s">
        <v>86</v>
      </c>
    </row>
    <row r="768" spans="1:14" x14ac:dyDescent="0.3">
      <c r="A768" s="2">
        <v>44618</v>
      </c>
      <c r="B768" s="2">
        <v>44619</v>
      </c>
      <c r="C768">
        <v>1</v>
      </c>
      <c r="D768" s="3" t="s">
        <v>9</v>
      </c>
      <c r="E768" s="6">
        <v>215</v>
      </c>
      <c r="F768" s="6">
        <v>152.65</v>
      </c>
      <c r="G768">
        <v>8</v>
      </c>
      <c r="H768" s="6">
        <f>SalesData_2[[#This Row],[Unit Price]]*SalesData_2[[#This Row],[Units Sold]]</f>
        <v>1720</v>
      </c>
      <c r="I768" s="6">
        <f>SalesData_2[[#This Row],[Unit Cost]]*SalesData_2[[#This Row],[Units Sold]]</f>
        <v>1221.2</v>
      </c>
      <c r="J768" s="6">
        <f>SalesData_2[[#This Row],[Sales]]-SalesData_2[[#This Row],[COGS]]</f>
        <v>498.79999999999995</v>
      </c>
      <c r="K768" s="21">
        <f>SalesData_2[[#This Row],[Revenue]]/SalesData_2[[#This Row],[Sales]]</f>
        <v>0.28999999999999998</v>
      </c>
      <c r="L768" s="3" t="s">
        <v>41</v>
      </c>
      <c r="M768" s="3" t="s">
        <v>83</v>
      </c>
      <c r="N768" s="3" t="s">
        <v>85</v>
      </c>
    </row>
    <row r="769" spans="1:14" x14ac:dyDescent="0.3">
      <c r="A769" s="2">
        <v>44619</v>
      </c>
      <c r="B769" s="2">
        <v>44621</v>
      </c>
      <c r="C769">
        <v>2</v>
      </c>
      <c r="D769" s="3" t="s">
        <v>14</v>
      </c>
      <c r="E769" s="6">
        <v>375</v>
      </c>
      <c r="F769" s="6">
        <v>247.5</v>
      </c>
      <c r="G769">
        <v>9</v>
      </c>
      <c r="H769" s="6">
        <f>SalesData_2[[#This Row],[Unit Price]]*SalesData_2[[#This Row],[Units Sold]]</f>
        <v>3375</v>
      </c>
      <c r="I769" s="6">
        <f>SalesData_2[[#This Row],[Unit Cost]]*SalesData_2[[#This Row],[Units Sold]]</f>
        <v>2227.5</v>
      </c>
      <c r="J769" s="6">
        <f>SalesData_2[[#This Row],[Sales]]-SalesData_2[[#This Row],[COGS]]</f>
        <v>1147.5</v>
      </c>
      <c r="K769" s="21">
        <f>SalesData_2[[#This Row],[Revenue]]/SalesData_2[[#This Row],[Sales]]</f>
        <v>0.34</v>
      </c>
      <c r="L769" s="3" t="s">
        <v>55</v>
      </c>
      <c r="M769" s="3" t="s">
        <v>79</v>
      </c>
      <c r="N769" s="3" t="s">
        <v>85</v>
      </c>
    </row>
    <row r="770" spans="1:14" x14ac:dyDescent="0.3">
      <c r="A770" s="2">
        <v>44619</v>
      </c>
      <c r="B770" s="2">
        <v>44624</v>
      </c>
      <c r="C770">
        <v>5</v>
      </c>
      <c r="D770" s="3" t="s">
        <v>5</v>
      </c>
      <c r="E770" s="6">
        <v>290</v>
      </c>
      <c r="F770" s="6">
        <v>185.6</v>
      </c>
      <c r="G770">
        <v>8</v>
      </c>
      <c r="H770" s="6">
        <f>SalesData_2[[#This Row],[Unit Price]]*SalesData_2[[#This Row],[Units Sold]]</f>
        <v>2320</v>
      </c>
      <c r="I770" s="6">
        <f>SalesData_2[[#This Row],[Unit Cost]]*SalesData_2[[#This Row],[Units Sold]]</f>
        <v>1484.8</v>
      </c>
      <c r="J770" s="6">
        <f>SalesData_2[[#This Row],[Sales]]-SalesData_2[[#This Row],[COGS]]</f>
        <v>835.2</v>
      </c>
      <c r="K770" s="21">
        <f>SalesData_2[[#This Row],[Revenue]]/SalesData_2[[#This Row],[Sales]]</f>
        <v>0.36000000000000004</v>
      </c>
      <c r="L770" s="3" t="s">
        <v>55</v>
      </c>
      <c r="M770" s="3" t="s">
        <v>79</v>
      </c>
      <c r="N770" s="3" t="s">
        <v>85</v>
      </c>
    </row>
    <row r="771" spans="1:14" x14ac:dyDescent="0.3">
      <c r="A771" s="2">
        <v>44619</v>
      </c>
      <c r="B771" s="2">
        <v>44622</v>
      </c>
      <c r="C771">
        <v>3</v>
      </c>
      <c r="D771" s="3" t="s">
        <v>6</v>
      </c>
      <c r="E771" s="6">
        <v>99</v>
      </c>
      <c r="F771" s="6">
        <v>62.37</v>
      </c>
      <c r="G771">
        <v>2</v>
      </c>
      <c r="H771" s="6">
        <f>SalesData_2[[#This Row],[Unit Price]]*SalesData_2[[#This Row],[Units Sold]]</f>
        <v>198</v>
      </c>
      <c r="I771" s="6">
        <f>SalesData_2[[#This Row],[Unit Cost]]*SalesData_2[[#This Row],[Units Sold]]</f>
        <v>124.74</v>
      </c>
      <c r="J771" s="6">
        <f>SalesData_2[[#This Row],[Sales]]-SalesData_2[[#This Row],[COGS]]</f>
        <v>73.260000000000005</v>
      </c>
      <c r="K771" s="21">
        <f>SalesData_2[[#This Row],[Revenue]]/SalesData_2[[#This Row],[Sales]]</f>
        <v>0.37000000000000005</v>
      </c>
      <c r="L771" s="3" t="s">
        <v>69</v>
      </c>
      <c r="M771" s="3" t="s">
        <v>83</v>
      </c>
      <c r="N771" s="3" t="s">
        <v>86</v>
      </c>
    </row>
    <row r="772" spans="1:14" x14ac:dyDescent="0.3">
      <c r="A772" s="2">
        <v>44620</v>
      </c>
      <c r="B772" s="2">
        <v>44626</v>
      </c>
      <c r="C772">
        <v>6</v>
      </c>
      <c r="D772" s="3" t="s">
        <v>3</v>
      </c>
      <c r="E772" s="6">
        <v>95</v>
      </c>
      <c r="F772" s="6">
        <v>60.8</v>
      </c>
      <c r="G772">
        <v>6</v>
      </c>
      <c r="H772" s="6">
        <f>SalesData_2[[#This Row],[Unit Price]]*SalesData_2[[#This Row],[Units Sold]]</f>
        <v>570</v>
      </c>
      <c r="I772" s="6">
        <f>SalesData_2[[#This Row],[Unit Cost]]*SalesData_2[[#This Row],[Units Sold]]</f>
        <v>364.79999999999995</v>
      </c>
      <c r="J772" s="6">
        <f>SalesData_2[[#This Row],[Sales]]-SalesData_2[[#This Row],[COGS]]</f>
        <v>205.20000000000005</v>
      </c>
      <c r="K772" s="21">
        <f>SalesData_2[[#This Row],[Revenue]]/SalesData_2[[#This Row],[Sales]]</f>
        <v>0.3600000000000001</v>
      </c>
      <c r="L772" s="3" t="s">
        <v>67</v>
      </c>
      <c r="M772" s="3" t="s">
        <v>83</v>
      </c>
      <c r="N772" s="3" t="s">
        <v>86</v>
      </c>
    </row>
    <row r="773" spans="1:14" x14ac:dyDescent="0.3">
      <c r="A773" s="2">
        <v>44621</v>
      </c>
      <c r="B773" s="2">
        <v>44626</v>
      </c>
      <c r="C773">
        <v>5</v>
      </c>
      <c r="D773" s="3" t="s">
        <v>7</v>
      </c>
      <c r="E773" s="6">
        <v>250</v>
      </c>
      <c r="F773" s="6">
        <v>167.5</v>
      </c>
      <c r="G773">
        <v>7</v>
      </c>
      <c r="H773" s="6">
        <f>SalesData_2[[#This Row],[Unit Price]]*SalesData_2[[#This Row],[Units Sold]]</f>
        <v>1750</v>
      </c>
      <c r="I773" s="6">
        <f>SalesData_2[[#This Row],[Unit Cost]]*SalesData_2[[#This Row],[Units Sold]]</f>
        <v>1172.5</v>
      </c>
      <c r="J773" s="6">
        <f>SalesData_2[[#This Row],[Sales]]-SalesData_2[[#This Row],[COGS]]</f>
        <v>577.5</v>
      </c>
      <c r="K773" s="21">
        <f>SalesData_2[[#This Row],[Revenue]]/SalesData_2[[#This Row],[Sales]]</f>
        <v>0.33</v>
      </c>
      <c r="L773" s="3" t="s">
        <v>47</v>
      </c>
      <c r="M773" s="3" t="s">
        <v>82</v>
      </c>
      <c r="N773" s="3" t="s">
        <v>86</v>
      </c>
    </row>
    <row r="774" spans="1:14" x14ac:dyDescent="0.3">
      <c r="A774" s="2">
        <v>44621</v>
      </c>
      <c r="B774" s="2">
        <v>44623</v>
      </c>
      <c r="C774">
        <v>2</v>
      </c>
      <c r="D774" s="3" t="s">
        <v>20</v>
      </c>
      <c r="E774" s="6">
        <v>440</v>
      </c>
      <c r="F774" s="6">
        <v>286</v>
      </c>
      <c r="G774">
        <v>1</v>
      </c>
      <c r="H774" s="6">
        <f>SalesData_2[[#This Row],[Unit Price]]*SalesData_2[[#This Row],[Units Sold]]</f>
        <v>440</v>
      </c>
      <c r="I774" s="6">
        <f>SalesData_2[[#This Row],[Unit Cost]]*SalesData_2[[#This Row],[Units Sold]]</f>
        <v>286</v>
      </c>
      <c r="J774" s="6">
        <f>SalesData_2[[#This Row],[Sales]]-SalesData_2[[#This Row],[COGS]]</f>
        <v>154</v>
      </c>
      <c r="K774" s="21">
        <f>SalesData_2[[#This Row],[Revenue]]/SalesData_2[[#This Row],[Sales]]</f>
        <v>0.35</v>
      </c>
      <c r="L774" s="3" t="s">
        <v>53</v>
      </c>
      <c r="M774" s="3" t="s">
        <v>83</v>
      </c>
      <c r="N774" s="3" t="s">
        <v>85</v>
      </c>
    </row>
    <row r="775" spans="1:14" x14ac:dyDescent="0.3">
      <c r="A775" s="2">
        <v>44622</v>
      </c>
      <c r="B775" s="2">
        <v>44629</v>
      </c>
      <c r="C775">
        <v>7</v>
      </c>
      <c r="D775" s="3" t="s">
        <v>23</v>
      </c>
      <c r="E775" s="6">
        <v>275</v>
      </c>
      <c r="F775" s="6">
        <v>200.75</v>
      </c>
      <c r="G775">
        <v>9</v>
      </c>
      <c r="H775" s="6">
        <f>SalesData_2[[#This Row],[Unit Price]]*SalesData_2[[#This Row],[Units Sold]]</f>
        <v>2475</v>
      </c>
      <c r="I775" s="6">
        <f>SalesData_2[[#This Row],[Unit Cost]]*SalesData_2[[#This Row],[Units Sold]]</f>
        <v>1806.75</v>
      </c>
      <c r="J775" s="6">
        <f>SalesData_2[[#This Row],[Sales]]-SalesData_2[[#This Row],[COGS]]</f>
        <v>668.25</v>
      </c>
      <c r="K775" s="21">
        <f>SalesData_2[[#This Row],[Revenue]]/SalesData_2[[#This Row],[Sales]]</f>
        <v>0.27</v>
      </c>
      <c r="L775" s="3" t="s">
        <v>39</v>
      </c>
      <c r="M775" s="3" t="s">
        <v>79</v>
      </c>
      <c r="N775" s="3" t="s">
        <v>86</v>
      </c>
    </row>
    <row r="776" spans="1:14" x14ac:dyDescent="0.3">
      <c r="A776" s="2">
        <v>44622</v>
      </c>
      <c r="B776" s="2">
        <v>44627</v>
      </c>
      <c r="C776">
        <v>5</v>
      </c>
      <c r="D776" s="3" t="s">
        <v>23</v>
      </c>
      <c r="E776" s="6">
        <v>275</v>
      </c>
      <c r="F776" s="6">
        <v>200.75</v>
      </c>
      <c r="G776">
        <v>1</v>
      </c>
      <c r="H776" s="6">
        <f>SalesData_2[[#This Row],[Unit Price]]*SalesData_2[[#This Row],[Units Sold]]</f>
        <v>275</v>
      </c>
      <c r="I776" s="6">
        <f>SalesData_2[[#This Row],[Unit Cost]]*SalesData_2[[#This Row],[Units Sold]]</f>
        <v>200.75</v>
      </c>
      <c r="J776" s="6">
        <f>SalesData_2[[#This Row],[Sales]]-SalesData_2[[#This Row],[COGS]]</f>
        <v>74.25</v>
      </c>
      <c r="K776" s="21">
        <f>SalesData_2[[#This Row],[Revenue]]/SalesData_2[[#This Row],[Sales]]</f>
        <v>0.27</v>
      </c>
      <c r="L776" s="3" t="s">
        <v>48</v>
      </c>
      <c r="M776" s="3" t="s">
        <v>80</v>
      </c>
      <c r="N776" s="3" t="s">
        <v>86</v>
      </c>
    </row>
    <row r="777" spans="1:14" x14ac:dyDescent="0.3">
      <c r="A777" s="2">
        <v>44623</v>
      </c>
      <c r="B777" s="2">
        <v>44629</v>
      </c>
      <c r="C777">
        <v>6</v>
      </c>
      <c r="D777" s="3" t="s">
        <v>22</v>
      </c>
      <c r="E777" s="6">
        <v>460</v>
      </c>
      <c r="F777" s="6">
        <v>303.60000000000002</v>
      </c>
      <c r="G777">
        <v>7</v>
      </c>
      <c r="H777" s="6">
        <f>SalesData_2[[#This Row],[Unit Price]]*SalesData_2[[#This Row],[Units Sold]]</f>
        <v>3220</v>
      </c>
      <c r="I777" s="6">
        <f>SalesData_2[[#This Row],[Unit Cost]]*SalesData_2[[#This Row],[Units Sold]]</f>
        <v>2125.2000000000003</v>
      </c>
      <c r="J777" s="6">
        <f>SalesData_2[[#This Row],[Sales]]-SalesData_2[[#This Row],[COGS]]</f>
        <v>1094.7999999999997</v>
      </c>
      <c r="K777" s="21">
        <f>SalesData_2[[#This Row],[Revenue]]/SalesData_2[[#This Row],[Sales]]</f>
        <v>0.33999999999999991</v>
      </c>
      <c r="L777" s="3" t="s">
        <v>63</v>
      </c>
      <c r="M777" s="3" t="s">
        <v>80</v>
      </c>
      <c r="N777" s="3" t="s">
        <v>86</v>
      </c>
    </row>
    <row r="778" spans="1:14" x14ac:dyDescent="0.3">
      <c r="A778" s="2">
        <v>44624</v>
      </c>
      <c r="B778" s="2">
        <v>44627</v>
      </c>
      <c r="C778">
        <v>3</v>
      </c>
      <c r="D778" s="3" t="s">
        <v>16</v>
      </c>
      <c r="E778" s="6">
        <v>145</v>
      </c>
      <c r="F778" s="6">
        <v>105.85</v>
      </c>
      <c r="G778">
        <v>5</v>
      </c>
      <c r="H778" s="6">
        <f>SalesData_2[[#This Row],[Unit Price]]*SalesData_2[[#This Row],[Units Sold]]</f>
        <v>725</v>
      </c>
      <c r="I778" s="6">
        <f>SalesData_2[[#This Row],[Unit Cost]]*SalesData_2[[#This Row],[Units Sold]]</f>
        <v>529.25</v>
      </c>
      <c r="J778" s="6">
        <f>SalesData_2[[#This Row],[Sales]]-SalesData_2[[#This Row],[COGS]]</f>
        <v>195.75</v>
      </c>
      <c r="K778" s="21">
        <f>SalesData_2[[#This Row],[Revenue]]/SalesData_2[[#This Row],[Sales]]</f>
        <v>0.27</v>
      </c>
      <c r="L778" s="3" t="s">
        <v>39</v>
      </c>
      <c r="M778" s="3" t="s">
        <v>81</v>
      </c>
      <c r="N778" s="3" t="s">
        <v>86</v>
      </c>
    </row>
    <row r="779" spans="1:14" x14ac:dyDescent="0.3">
      <c r="A779" s="2">
        <v>44624</v>
      </c>
      <c r="B779" s="2">
        <v>44625</v>
      </c>
      <c r="C779">
        <v>1</v>
      </c>
      <c r="D779" s="3" t="s">
        <v>19</v>
      </c>
      <c r="E779" s="6">
        <v>220</v>
      </c>
      <c r="F779" s="6">
        <v>154</v>
      </c>
      <c r="G779">
        <v>3</v>
      </c>
      <c r="H779" s="6">
        <f>SalesData_2[[#This Row],[Unit Price]]*SalesData_2[[#This Row],[Units Sold]]</f>
        <v>660</v>
      </c>
      <c r="I779" s="6">
        <f>SalesData_2[[#This Row],[Unit Cost]]*SalesData_2[[#This Row],[Units Sold]]</f>
        <v>462</v>
      </c>
      <c r="J779" s="6">
        <f>SalesData_2[[#This Row],[Sales]]-SalesData_2[[#This Row],[COGS]]</f>
        <v>198</v>
      </c>
      <c r="K779" s="21">
        <f>SalesData_2[[#This Row],[Revenue]]/SalesData_2[[#This Row],[Sales]]</f>
        <v>0.3</v>
      </c>
      <c r="L779" s="3" t="s">
        <v>68</v>
      </c>
      <c r="M779" s="3" t="s">
        <v>81</v>
      </c>
      <c r="N779" s="3" t="s">
        <v>85</v>
      </c>
    </row>
    <row r="780" spans="1:14" x14ac:dyDescent="0.3">
      <c r="A780" s="2">
        <v>44625</v>
      </c>
      <c r="B780" s="2">
        <v>44626</v>
      </c>
      <c r="C780">
        <v>1</v>
      </c>
      <c r="D780" s="3" t="s">
        <v>5</v>
      </c>
      <c r="E780" s="6">
        <v>290</v>
      </c>
      <c r="F780" s="6">
        <v>185.6</v>
      </c>
      <c r="G780">
        <v>4</v>
      </c>
      <c r="H780" s="6">
        <f>SalesData_2[[#This Row],[Unit Price]]*SalesData_2[[#This Row],[Units Sold]]</f>
        <v>1160</v>
      </c>
      <c r="I780" s="6">
        <f>SalesData_2[[#This Row],[Unit Cost]]*SalesData_2[[#This Row],[Units Sold]]</f>
        <v>742.4</v>
      </c>
      <c r="J780" s="6">
        <f>SalesData_2[[#This Row],[Sales]]-SalesData_2[[#This Row],[COGS]]</f>
        <v>417.6</v>
      </c>
      <c r="K780" s="21">
        <f>SalesData_2[[#This Row],[Revenue]]/SalesData_2[[#This Row],[Sales]]</f>
        <v>0.36000000000000004</v>
      </c>
      <c r="L780" s="3" t="s">
        <v>42</v>
      </c>
      <c r="M780" s="3" t="s">
        <v>83</v>
      </c>
      <c r="N780" s="3" t="s">
        <v>85</v>
      </c>
    </row>
    <row r="781" spans="1:14" x14ac:dyDescent="0.3">
      <c r="A781" s="2">
        <v>44626</v>
      </c>
      <c r="B781" s="2">
        <v>44632</v>
      </c>
      <c r="C781">
        <v>6</v>
      </c>
      <c r="D781" s="3" t="s">
        <v>11</v>
      </c>
      <c r="E781" s="6">
        <v>490</v>
      </c>
      <c r="F781" s="6">
        <v>298.89999999999998</v>
      </c>
      <c r="G781">
        <v>4</v>
      </c>
      <c r="H781" s="6">
        <f>SalesData_2[[#This Row],[Unit Price]]*SalesData_2[[#This Row],[Units Sold]]</f>
        <v>1960</v>
      </c>
      <c r="I781" s="6">
        <f>SalesData_2[[#This Row],[Unit Cost]]*SalesData_2[[#This Row],[Units Sold]]</f>
        <v>1195.5999999999999</v>
      </c>
      <c r="J781" s="6">
        <f>SalesData_2[[#This Row],[Sales]]-SalesData_2[[#This Row],[COGS]]</f>
        <v>764.40000000000009</v>
      </c>
      <c r="K781" s="21">
        <f>SalesData_2[[#This Row],[Revenue]]/SalesData_2[[#This Row],[Sales]]</f>
        <v>0.39000000000000007</v>
      </c>
      <c r="L781" s="3" t="s">
        <v>54</v>
      </c>
      <c r="M781" s="3" t="s">
        <v>83</v>
      </c>
      <c r="N781" s="3" t="s">
        <v>86</v>
      </c>
    </row>
    <row r="782" spans="1:14" x14ac:dyDescent="0.3">
      <c r="A782" s="2">
        <v>44628</v>
      </c>
      <c r="B782" s="2">
        <v>44633</v>
      </c>
      <c r="C782">
        <v>5</v>
      </c>
      <c r="D782" s="3" t="s">
        <v>17</v>
      </c>
      <c r="E782" s="6">
        <v>195</v>
      </c>
      <c r="F782" s="6">
        <v>138.44999999999999</v>
      </c>
      <c r="G782">
        <v>7</v>
      </c>
      <c r="H782" s="6">
        <f>SalesData_2[[#This Row],[Unit Price]]*SalesData_2[[#This Row],[Units Sold]]</f>
        <v>1365</v>
      </c>
      <c r="I782" s="6">
        <f>SalesData_2[[#This Row],[Unit Cost]]*SalesData_2[[#This Row],[Units Sold]]</f>
        <v>969.14999999999986</v>
      </c>
      <c r="J782" s="6">
        <f>SalesData_2[[#This Row],[Sales]]-SalesData_2[[#This Row],[COGS]]</f>
        <v>395.85000000000014</v>
      </c>
      <c r="K782" s="21">
        <f>SalesData_2[[#This Row],[Revenue]]/SalesData_2[[#This Row],[Sales]]</f>
        <v>0.29000000000000009</v>
      </c>
      <c r="L782" s="3" t="s">
        <v>40</v>
      </c>
      <c r="M782" s="3" t="s">
        <v>81</v>
      </c>
      <c r="N782" s="3" t="s">
        <v>86</v>
      </c>
    </row>
    <row r="783" spans="1:14" x14ac:dyDescent="0.3">
      <c r="A783" s="2">
        <v>44632</v>
      </c>
      <c r="B783" s="2">
        <v>44634</v>
      </c>
      <c r="C783">
        <v>2</v>
      </c>
      <c r="D783" s="3" t="s">
        <v>20</v>
      </c>
      <c r="E783" s="6">
        <v>440</v>
      </c>
      <c r="F783" s="6">
        <v>286</v>
      </c>
      <c r="G783">
        <v>5</v>
      </c>
      <c r="H783" s="6">
        <f>SalesData_2[[#This Row],[Unit Price]]*SalesData_2[[#This Row],[Units Sold]]</f>
        <v>2200</v>
      </c>
      <c r="I783" s="6">
        <f>SalesData_2[[#This Row],[Unit Cost]]*SalesData_2[[#This Row],[Units Sold]]</f>
        <v>1430</v>
      </c>
      <c r="J783" s="6">
        <f>SalesData_2[[#This Row],[Sales]]-SalesData_2[[#This Row],[COGS]]</f>
        <v>770</v>
      </c>
      <c r="K783" s="21">
        <f>SalesData_2[[#This Row],[Revenue]]/SalesData_2[[#This Row],[Sales]]</f>
        <v>0.35</v>
      </c>
      <c r="L783" s="3" t="s">
        <v>39</v>
      </c>
      <c r="M783" s="3" t="s">
        <v>83</v>
      </c>
      <c r="N783" s="3" t="s">
        <v>85</v>
      </c>
    </row>
    <row r="784" spans="1:14" x14ac:dyDescent="0.3">
      <c r="A784" s="2">
        <v>44632</v>
      </c>
      <c r="B784" s="2">
        <v>44637</v>
      </c>
      <c r="C784">
        <v>5</v>
      </c>
      <c r="D784" s="3" t="s">
        <v>22</v>
      </c>
      <c r="E784" s="6">
        <v>460</v>
      </c>
      <c r="F784" s="6">
        <v>303.60000000000002</v>
      </c>
      <c r="G784">
        <v>8</v>
      </c>
      <c r="H784" s="6">
        <f>SalesData_2[[#This Row],[Unit Price]]*SalesData_2[[#This Row],[Units Sold]]</f>
        <v>3680</v>
      </c>
      <c r="I784" s="6">
        <f>SalesData_2[[#This Row],[Unit Cost]]*SalesData_2[[#This Row],[Units Sold]]</f>
        <v>2428.8000000000002</v>
      </c>
      <c r="J784" s="6">
        <f>SalesData_2[[#This Row],[Sales]]-SalesData_2[[#This Row],[COGS]]</f>
        <v>1251.1999999999998</v>
      </c>
      <c r="K784" s="21">
        <f>SalesData_2[[#This Row],[Revenue]]/SalesData_2[[#This Row],[Sales]]</f>
        <v>0.33999999999999997</v>
      </c>
      <c r="L784" s="3" t="s">
        <v>71</v>
      </c>
      <c r="M784" s="3" t="s">
        <v>81</v>
      </c>
      <c r="N784" s="3" t="s">
        <v>85</v>
      </c>
    </row>
    <row r="785" spans="1:14" x14ac:dyDescent="0.3">
      <c r="A785" s="2">
        <v>44633</v>
      </c>
      <c r="B785" s="2">
        <v>44640</v>
      </c>
      <c r="C785">
        <v>7</v>
      </c>
      <c r="D785" s="3" t="s">
        <v>16</v>
      </c>
      <c r="E785" s="6">
        <v>145</v>
      </c>
      <c r="F785" s="6">
        <v>105.85</v>
      </c>
      <c r="G785">
        <v>6</v>
      </c>
      <c r="H785" s="6">
        <f>SalesData_2[[#This Row],[Unit Price]]*SalesData_2[[#This Row],[Units Sold]]</f>
        <v>870</v>
      </c>
      <c r="I785" s="6">
        <f>SalesData_2[[#This Row],[Unit Cost]]*SalesData_2[[#This Row],[Units Sold]]</f>
        <v>635.09999999999991</v>
      </c>
      <c r="J785" s="6">
        <f>SalesData_2[[#This Row],[Sales]]-SalesData_2[[#This Row],[COGS]]</f>
        <v>234.90000000000009</v>
      </c>
      <c r="K785" s="21">
        <f>SalesData_2[[#This Row],[Revenue]]/SalesData_2[[#This Row],[Sales]]</f>
        <v>0.27000000000000013</v>
      </c>
      <c r="L785" s="3" t="s">
        <v>67</v>
      </c>
      <c r="M785" s="3" t="s">
        <v>82</v>
      </c>
      <c r="N785" s="3" t="s">
        <v>85</v>
      </c>
    </row>
    <row r="786" spans="1:14" x14ac:dyDescent="0.3">
      <c r="A786" s="2">
        <v>44634</v>
      </c>
      <c r="B786" s="2">
        <v>44638</v>
      </c>
      <c r="C786">
        <v>4</v>
      </c>
      <c r="D786" s="3" t="s">
        <v>2</v>
      </c>
      <c r="E786" s="6">
        <v>250</v>
      </c>
      <c r="F786" s="6">
        <v>187.5</v>
      </c>
      <c r="G786">
        <v>8</v>
      </c>
      <c r="H786" s="6">
        <f>SalesData_2[[#This Row],[Unit Price]]*SalesData_2[[#This Row],[Units Sold]]</f>
        <v>2000</v>
      </c>
      <c r="I786" s="6">
        <f>SalesData_2[[#This Row],[Unit Cost]]*SalesData_2[[#This Row],[Units Sold]]</f>
        <v>1500</v>
      </c>
      <c r="J786" s="6">
        <f>SalesData_2[[#This Row],[Sales]]-SalesData_2[[#This Row],[COGS]]</f>
        <v>500</v>
      </c>
      <c r="K786" s="21">
        <f>SalesData_2[[#This Row],[Revenue]]/SalesData_2[[#This Row],[Sales]]</f>
        <v>0.25</v>
      </c>
      <c r="L786" s="3" t="s">
        <v>66</v>
      </c>
      <c r="M786" s="3" t="s">
        <v>80</v>
      </c>
      <c r="N786" s="3" t="s">
        <v>85</v>
      </c>
    </row>
    <row r="787" spans="1:14" x14ac:dyDescent="0.3">
      <c r="A787" s="2">
        <v>44634</v>
      </c>
      <c r="B787" s="2">
        <v>44639</v>
      </c>
      <c r="C787">
        <v>5</v>
      </c>
      <c r="D787" s="3" t="s">
        <v>10</v>
      </c>
      <c r="E787" s="6">
        <v>390</v>
      </c>
      <c r="F787" s="6">
        <v>253.5</v>
      </c>
      <c r="G787">
        <v>5</v>
      </c>
      <c r="H787" s="6">
        <f>SalesData_2[[#This Row],[Unit Price]]*SalesData_2[[#This Row],[Units Sold]]</f>
        <v>1950</v>
      </c>
      <c r="I787" s="6">
        <f>SalesData_2[[#This Row],[Unit Cost]]*SalesData_2[[#This Row],[Units Sold]]</f>
        <v>1267.5</v>
      </c>
      <c r="J787" s="6">
        <f>SalesData_2[[#This Row],[Sales]]-SalesData_2[[#This Row],[COGS]]</f>
        <v>682.5</v>
      </c>
      <c r="K787" s="21">
        <f>SalesData_2[[#This Row],[Revenue]]/SalesData_2[[#This Row],[Sales]]</f>
        <v>0.35</v>
      </c>
      <c r="L787" s="3" t="s">
        <v>71</v>
      </c>
      <c r="M787" s="3" t="s">
        <v>80</v>
      </c>
      <c r="N787" s="3" t="s">
        <v>86</v>
      </c>
    </row>
    <row r="788" spans="1:14" x14ac:dyDescent="0.3">
      <c r="A788" s="2">
        <v>44635</v>
      </c>
      <c r="B788" s="2">
        <v>44641</v>
      </c>
      <c r="C788">
        <v>6</v>
      </c>
      <c r="D788" s="3" t="s">
        <v>2</v>
      </c>
      <c r="E788" s="6">
        <v>250</v>
      </c>
      <c r="F788" s="6">
        <v>187.5</v>
      </c>
      <c r="G788">
        <v>4</v>
      </c>
      <c r="H788" s="6">
        <f>SalesData_2[[#This Row],[Unit Price]]*SalesData_2[[#This Row],[Units Sold]]</f>
        <v>1000</v>
      </c>
      <c r="I788" s="6">
        <f>SalesData_2[[#This Row],[Unit Cost]]*SalesData_2[[#This Row],[Units Sold]]</f>
        <v>750</v>
      </c>
      <c r="J788" s="6">
        <f>SalesData_2[[#This Row],[Sales]]-SalesData_2[[#This Row],[COGS]]</f>
        <v>250</v>
      </c>
      <c r="K788" s="21">
        <f>SalesData_2[[#This Row],[Revenue]]/SalesData_2[[#This Row],[Sales]]</f>
        <v>0.25</v>
      </c>
      <c r="L788" s="3" t="s">
        <v>60</v>
      </c>
      <c r="M788" s="3" t="s">
        <v>79</v>
      </c>
      <c r="N788" s="3" t="s">
        <v>85</v>
      </c>
    </row>
    <row r="789" spans="1:14" x14ac:dyDescent="0.3">
      <c r="A789" s="2">
        <v>44635</v>
      </c>
      <c r="B789" s="2">
        <v>44641</v>
      </c>
      <c r="C789">
        <v>6</v>
      </c>
      <c r="D789" s="3" t="s">
        <v>3</v>
      </c>
      <c r="E789" s="6">
        <v>95</v>
      </c>
      <c r="F789" s="6">
        <v>60.8</v>
      </c>
      <c r="G789">
        <v>5</v>
      </c>
      <c r="H789" s="6">
        <f>SalesData_2[[#This Row],[Unit Price]]*SalesData_2[[#This Row],[Units Sold]]</f>
        <v>475</v>
      </c>
      <c r="I789" s="6">
        <f>SalesData_2[[#This Row],[Unit Cost]]*SalesData_2[[#This Row],[Units Sold]]</f>
        <v>304</v>
      </c>
      <c r="J789" s="6">
        <f>SalesData_2[[#This Row],[Sales]]-SalesData_2[[#This Row],[COGS]]</f>
        <v>171</v>
      </c>
      <c r="K789" s="21">
        <f>SalesData_2[[#This Row],[Revenue]]/SalesData_2[[#This Row],[Sales]]</f>
        <v>0.36</v>
      </c>
      <c r="L789" s="3" t="s">
        <v>42</v>
      </c>
      <c r="M789" s="3" t="s">
        <v>79</v>
      </c>
      <c r="N789" s="3" t="s">
        <v>86</v>
      </c>
    </row>
    <row r="790" spans="1:14" x14ac:dyDescent="0.3">
      <c r="A790" s="2">
        <v>44636</v>
      </c>
      <c r="B790" s="2">
        <v>44643</v>
      </c>
      <c r="C790">
        <v>7</v>
      </c>
      <c r="D790" s="3" t="s">
        <v>21</v>
      </c>
      <c r="E790" s="6">
        <v>355</v>
      </c>
      <c r="F790" s="6">
        <v>252.05</v>
      </c>
      <c r="G790">
        <v>3</v>
      </c>
      <c r="H790" s="6">
        <f>SalesData_2[[#This Row],[Unit Price]]*SalesData_2[[#This Row],[Units Sold]]</f>
        <v>1065</v>
      </c>
      <c r="I790" s="6">
        <f>SalesData_2[[#This Row],[Unit Cost]]*SalesData_2[[#This Row],[Units Sold]]</f>
        <v>756.15000000000009</v>
      </c>
      <c r="J790" s="6">
        <f>SalesData_2[[#This Row],[Sales]]-SalesData_2[[#This Row],[COGS]]</f>
        <v>308.84999999999991</v>
      </c>
      <c r="K790" s="21">
        <f>SalesData_2[[#This Row],[Revenue]]/SalesData_2[[#This Row],[Sales]]</f>
        <v>0.28999999999999992</v>
      </c>
      <c r="L790" s="3" t="s">
        <v>51</v>
      </c>
      <c r="M790" s="3" t="s">
        <v>80</v>
      </c>
      <c r="N790" s="3" t="s">
        <v>85</v>
      </c>
    </row>
    <row r="791" spans="1:14" x14ac:dyDescent="0.3">
      <c r="A791" s="2">
        <v>44638</v>
      </c>
      <c r="B791" s="2">
        <v>44643</v>
      </c>
      <c r="C791">
        <v>5</v>
      </c>
      <c r="D791" s="3" t="s">
        <v>2</v>
      </c>
      <c r="E791" s="6">
        <v>250</v>
      </c>
      <c r="F791" s="6">
        <v>187.5</v>
      </c>
      <c r="G791">
        <v>9</v>
      </c>
      <c r="H791" s="6">
        <f>SalesData_2[[#This Row],[Unit Price]]*SalesData_2[[#This Row],[Units Sold]]</f>
        <v>2250</v>
      </c>
      <c r="I791" s="6">
        <f>SalesData_2[[#This Row],[Unit Cost]]*SalesData_2[[#This Row],[Units Sold]]</f>
        <v>1687.5</v>
      </c>
      <c r="J791" s="6">
        <f>SalesData_2[[#This Row],[Sales]]-SalesData_2[[#This Row],[COGS]]</f>
        <v>562.5</v>
      </c>
      <c r="K791" s="21">
        <f>SalesData_2[[#This Row],[Revenue]]/SalesData_2[[#This Row],[Sales]]</f>
        <v>0.25</v>
      </c>
      <c r="L791" s="3" t="s">
        <v>74</v>
      </c>
      <c r="M791" s="3" t="s">
        <v>82</v>
      </c>
      <c r="N791" s="3" t="s">
        <v>85</v>
      </c>
    </row>
    <row r="792" spans="1:14" x14ac:dyDescent="0.3">
      <c r="A792" s="2">
        <v>44638</v>
      </c>
      <c r="B792" s="2">
        <v>44642</v>
      </c>
      <c r="C792">
        <v>4</v>
      </c>
      <c r="D792" s="3" t="s">
        <v>10</v>
      </c>
      <c r="E792" s="6">
        <v>390</v>
      </c>
      <c r="F792" s="6">
        <v>253.5</v>
      </c>
      <c r="G792">
        <v>5</v>
      </c>
      <c r="H792" s="6">
        <f>SalesData_2[[#This Row],[Unit Price]]*SalesData_2[[#This Row],[Units Sold]]</f>
        <v>1950</v>
      </c>
      <c r="I792" s="6">
        <f>SalesData_2[[#This Row],[Unit Cost]]*SalesData_2[[#This Row],[Units Sold]]</f>
        <v>1267.5</v>
      </c>
      <c r="J792" s="6">
        <f>SalesData_2[[#This Row],[Sales]]-SalesData_2[[#This Row],[COGS]]</f>
        <v>682.5</v>
      </c>
      <c r="K792" s="21">
        <f>SalesData_2[[#This Row],[Revenue]]/SalesData_2[[#This Row],[Sales]]</f>
        <v>0.35</v>
      </c>
      <c r="L792" s="3" t="s">
        <v>45</v>
      </c>
      <c r="M792" s="3" t="s">
        <v>79</v>
      </c>
      <c r="N792" s="3" t="s">
        <v>86</v>
      </c>
    </row>
    <row r="793" spans="1:14" x14ac:dyDescent="0.3">
      <c r="A793" s="2">
        <v>44640</v>
      </c>
      <c r="B793" s="2">
        <v>44646</v>
      </c>
      <c r="C793">
        <v>6</v>
      </c>
      <c r="D793" s="3" t="s">
        <v>11</v>
      </c>
      <c r="E793" s="6">
        <v>490</v>
      </c>
      <c r="F793" s="6">
        <v>298.89999999999998</v>
      </c>
      <c r="G793">
        <v>3</v>
      </c>
      <c r="H793" s="6">
        <f>SalesData_2[[#This Row],[Unit Price]]*SalesData_2[[#This Row],[Units Sold]]</f>
        <v>1470</v>
      </c>
      <c r="I793" s="6">
        <f>SalesData_2[[#This Row],[Unit Cost]]*SalesData_2[[#This Row],[Units Sold]]</f>
        <v>896.69999999999993</v>
      </c>
      <c r="J793" s="6">
        <f>SalesData_2[[#This Row],[Sales]]-SalesData_2[[#This Row],[COGS]]</f>
        <v>573.30000000000007</v>
      </c>
      <c r="K793" s="21">
        <f>SalesData_2[[#This Row],[Revenue]]/SalesData_2[[#This Row],[Sales]]</f>
        <v>0.39000000000000007</v>
      </c>
      <c r="L793" s="3" t="s">
        <v>72</v>
      </c>
      <c r="M793" s="3" t="s">
        <v>81</v>
      </c>
      <c r="N793" s="3" t="s">
        <v>86</v>
      </c>
    </row>
    <row r="794" spans="1:14" x14ac:dyDescent="0.3">
      <c r="A794" s="2">
        <v>44641</v>
      </c>
      <c r="B794" s="2">
        <v>44647</v>
      </c>
      <c r="C794">
        <v>6</v>
      </c>
      <c r="D794" s="3" t="s">
        <v>4</v>
      </c>
      <c r="E794" s="6">
        <v>390</v>
      </c>
      <c r="F794" s="6">
        <v>288.60000000000002</v>
      </c>
      <c r="G794">
        <v>6</v>
      </c>
      <c r="H794" s="6">
        <f>SalesData_2[[#This Row],[Unit Price]]*SalesData_2[[#This Row],[Units Sold]]</f>
        <v>2340</v>
      </c>
      <c r="I794" s="6">
        <f>SalesData_2[[#This Row],[Unit Cost]]*SalesData_2[[#This Row],[Units Sold]]</f>
        <v>1731.6000000000001</v>
      </c>
      <c r="J794" s="6">
        <f>SalesData_2[[#This Row],[Sales]]-SalesData_2[[#This Row],[COGS]]</f>
        <v>608.39999999999986</v>
      </c>
      <c r="K794" s="21">
        <f>SalesData_2[[#This Row],[Revenue]]/SalesData_2[[#This Row],[Sales]]</f>
        <v>0.25999999999999995</v>
      </c>
      <c r="L794" s="3" t="s">
        <v>32</v>
      </c>
      <c r="M794" s="3" t="s">
        <v>80</v>
      </c>
      <c r="N794" s="3" t="s">
        <v>86</v>
      </c>
    </row>
    <row r="795" spans="1:14" x14ac:dyDescent="0.3">
      <c r="A795" s="2">
        <v>44643</v>
      </c>
      <c r="B795" s="2">
        <v>44647</v>
      </c>
      <c r="C795">
        <v>4</v>
      </c>
      <c r="D795" s="3" t="s">
        <v>20</v>
      </c>
      <c r="E795" s="6">
        <v>440</v>
      </c>
      <c r="F795" s="6">
        <v>286</v>
      </c>
      <c r="G795">
        <v>4</v>
      </c>
      <c r="H795" s="6">
        <f>SalesData_2[[#This Row],[Unit Price]]*SalesData_2[[#This Row],[Units Sold]]</f>
        <v>1760</v>
      </c>
      <c r="I795" s="6">
        <f>SalesData_2[[#This Row],[Unit Cost]]*SalesData_2[[#This Row],[Units Sold]]</f>
        <v>1144</v>
      </c>
      <c r="J795" s="6">
        <f>SalesData_2[[#This Row],[Sales]]-SalesData_2[[#This Row],[COGS]]</f>
        <v>616</v>
      </c>
      <c r="K795" s="21">
        <f>SalesData_2[[#This Row],[Revenue]]/SalesData_2[[#This Row],[Sales]]</f>
        <v>0.35</v>
      </c>
      <c r="L795" s="3" t="s">
        <v>43</v>
      </c>
      <c r="M795" s="3" t="s">
        <v>81</v>
      </c>
      <c r="N795" s="3" t="s">
        <v>85</v>
      </c>
    </row>
    <row r="796" spans="1:14" x14ac:dyDescent="0.3">
      <c r="A796" s="2">
        <v>44644</v>
      </c>
      <c r="B796" s="2">
        <v>44651</v>
      </c>
      <c r="C796">
        <v>7</v>
      </c>
      <c r="D796" s="3" t="s">
        <v>21</v>
      </c>
      <c r="E796" s="6">
        <v>355</v>
      </c>
      <c r="F796" s="6">
        <v>252.05</v>
      </c>
      <c r="G796">
        <v>3</v>
      </c>
      <c r="H796" s="6">
        <f>SalesData_2[[#This Row],[Unit Price]]*SalesData_2[[#This Row],[Units Sold]]</f>
        <v>1065</v>
      </c>
      <c r="I796" s="6">
        <f>SalesData_2[[#This Row],[Unit Cost]]*SalesData_2[[#This Row],[Units Sold]]</f>
        <v>756.15000000000009</v>
      </c>
      <c r="J796" s="6">
        <f>SalesData_2[[#This Row],[Sales]]-SalesData_2[[#This Row],[COGS]]</f>
        <v>308.84999999999991</v>
      </c>
      <c r="K796" s="21">
        <f>SalesData_2[[#This Row],[Revenue]]/SalesData_2[[#This Row],[Sales]]</f>
        <v>0.28999999999999992</v>
      </c>
      <c r="L796" s="3" t="s">
        <v>44</v>
      </c>
      <c r="M796" s="3" t="s">
        <v>83</v>
      </c>
      <c r="N796" s="3" t="s">
        <v>85</v>
      </c>
    </row>
    <row r="797" spans="1:14" x14ac:dyDescent="0.3">
      <c r="A797" s="2">
        <v>44645</v>
      </c>
      <c r="B797" s="2">
        <v>44651</v>
      </c>
      <c r="C797">
        <v>6</v>
      </c>
      <c r="D797" s="3" t="s">
        <v>9</v>
      </c>
      <c r="E797" s="6">
        <v>215</v>
      </c>
      <c r="F797" s="6">
        <v>152.65</v>
      </c>
      <c r="G797">
        <v>7</v>
      </c>
      <c r="H797" s="6">
        <f>SalesData_2[[#This Row],[Unit Price]]*SalesData_2[[#This Row],[Units Sold]]</f>
        <v>1505</v>
      </c>
      <c r="I797" s="6">
        <f>SalesData_2[[#This Row],[Unit Cost]]*SalesData_2[[#This Row],[Units Sold]]</f>
        <v>1068.55</v>
      </c>
      <c r="J797" s="6">
        <f>SalesData_2[[#This Row],[Sales]]-SalesData_2[[#This Row],[COGS]]</f>
        <v>436.45000000000005</v>
      </c>
      <c r="K797" s="21">
        <f>SalesData_2[[#This Row],[Revenue]]/SalesData_2[[#This Row],[Sales]]</f>
        <v>0.29000000000000004</v>
      </c>
      <c r="L797" s="3" t="s">
        <v>33</v>
      </c>
      <c r="M797" s="3" t="s">
        <v>82</v>
      </c>
      <c r="N797" s="3" t="s">
        <v>85</v>
      </c>
    </row>
    <row r="798" spans="1:14" x14ac:dyDescent="0.3">
      <c r="A798" s="2">
        <v>44645</v>
      </c>
      <c r="B798" s="2">
        <v>44651</v>
      </c>
      <c r="C798">
        <v>6</v>
      </c>
      <c r="D798" s="3" t="s">
        <v>6</v>
      </c>
      <c r="E798" s="6">
        <v>99</v>
      </c>
      <c r="F798" s="6">
        <v>62.37</v>
      </c>
      <c r="G798">
        <v>7</v>
      </c>
      <c r="H798" s="6">
        <f>SalesData_2[[#This Row],[Unit Price]]*SalesData_2[[#This Row],[Units Sold]]</f>
        <v>693</v>
      </c>
      <c r="I798" s="6">
        <f>SalesData_2[[#This Row],[Unit Cost]]*SalesData_2[[#This Row],[Units Sold]]</f>
        <v>436.59</v>
      </c>
      <c r="J798" s="6">
        <f>SalesData_2[[#This Row],[Sales]]-SalesData_2[[#This Row],[COGS]]</f>
        <v>256.41000000000003</v>
      </c>
      <c r="K798" s="21">
        <f>SalesData_2[[#This Row],[Revenue]]/SalesData_2[[#This Row],[Sales]]</f>
        <v>0.37000000000000005</v>
      </c>
      <c r="L798" s="3" t="s">
        <v>75</v>
      </c>
      <c r="M798" s="3" t="s">
        <v>79</v>
      </c>
      <c r="N798" s="3" t="s">
        <v>86</v>
      </c>
    </row>
    <row r="799" spans="1:14" x14ac:dyDescent="0.3">
      <c r="A799" s="2">
        <v>44646</v>
      </c>
      <c r="B799" s="2">
        <v>44653</v>
      </c>
      <c r="C799">
        <v>7</v>
      </c>
      <c r="D799" s="3" t="s">
        <v>12</v>
      </c>
      <c r="E799" s="6">
        <v>320</v>
      </c>
      <c r="F799" s="6">
        <v>233.6</v>
      </c>
      <c r="G799">
        <v>7</v>
      </c>
      <c r="H799" s="6">
        <f>SalesData_2[[#This Row],[Unit Price]]*SalesData_2[[#This Row],[Units Sold]]</f>
        <v>2240</v>
      </c>
      <c r="I799" s="6">
        <f>SalesData_2[[#This Row],[Unit Cost]]*SalesData_2[[#This Row],[Units Sold]]</f>
        <v>1635.2</v>
      </c>
      <c r="J799" s="6">
        <f>SalesData_2[[#This Row],[Sales]]-SalesData_2[[#This Row],[COGS]]</f>
        <v>604.79999999999995</v>
      </c>
      <c r="K799" s="21">
        <f>SalesData_2[[#This Row],[Revenue]]/SalesData_2[[#This Row],[Sales]]</f>
        <v>0.26999999999999996</v>
      </c>
      <c r="L799" s="3" t="s">
        <v>30</v>
      </c>
      <c r="M799" s="3" t="s">
        <v>79</v>
      </c>
      <c r="N799" s="3" t="s">
        <v>86</v>
      </c>
    </row>
    <row r="800" spans="1:14" x14ac:dyDescent="0.3">
      <c r="A800" s="2">
        <v>44647</v>
      </c>
      <c r="B800" s="2">
        <v>44653</v>
      </c>
      <c r="C800">
        <v>6</v>
      </c>
      <c r="D800" s="3" t="s">
        <v>20</v>
      </c>
      <c r="E800" s="6">
        <v>440</v>
      </c>
      <c r="F800" s="6">
        <v>286</v>
      </c>
      <c r="G800">
        <v>6</v>
      </c>
      <c r="H800" s="6">
        <f>SalesData_2[[#This Row],[Unit Price]]*SalesData_2[[#This Row],[Units Sold]]</f>
        <v>2640</v>
      </c>
      <c r="I800" s="6">
        <f>SalesData_2[[#This Row],[Unit Cost]]*SalesData_2[[#This Row],[Units Sold]]</f>
        <v>1716</v>
      </c>
      <c r="J800" s="6">
        <f>SalesData_2[[#This Row],[Sales]]-SalesData_2[[#This Row],[COGS]]</f>
        <v>924</v>
      </c>
      <c r="K800" s="21">
        <f>SalesData_2[[#This Row],[Revenue]]/SalesData_2[[#This Row],[Sales]]</f>
        <v>0.35</v>
      </c>
      <c r="L800" s="3" t="s">
        <v>71</v>
      </c>
      <c r="M800" s="3" t="s">
        <v>81</v>
      </c>
      <c r="N800" s="3" t="s">
        <v>86</v>
      </c>
    </row>
    <row r="801" spans="1:14" x14ac:dyDescent="0.3">
      <c r="A801" s="2">
        <v>44647</v>
      </c>
      <c r="B801" s="2">
        <v>44652</v>
      </c>
      <c r="C801">
        <v>5</v>
      </c>
      <c r="D801" s="3" t="s">
        <v>7</v>
      </c>
      <c r="E801" s="6">
        <v>250</v>
      </c>
      <c r="F801" s="6">
        <v>167.5</v>
      </c>
      <c r="G801">
        <v>8</v>
      </c>
      <c r="H801" s="6">
        <f>SalesData_2[[#This Row],[Unit Price]]*SalesData_2[[#This Row],[Units Sold]]</f>
        <v>2000</v>
      </c>
      <c r="I801" s="6">
        <f>SalesData_2[[#This Row],[Unit Cost]]*SalesData_2[[#This Row],[Units Sold]]</f>
        <v>1340</v>
      </c>
      <c r="J801" s="6">
        <f>SalesData_2[[#This Row],[Sales]]-SalesData_2[[#This Row],[COGS]]</f>
        <v>660</v>
      </c>
      <c r="K801" s="21">
        <f>SalesData_2[[#This Row],[Revenue]]/SalesData_2[[#This Row],[Sales]]</f>
        <v>0.33</v>
      </c>
      <c r="L801" s="3" t="s">
        <v>32</v>
      </c>
      <c r="M801" s="3" t="s">
        <v>82</v>
      </c>
      <c r="N801" s="3" t="s">
        <v>85</v>
      </c>
    </row>
    <row r="802" spans="1:14" x14ac:dyDescent="0.3">
      <c r="A802" s="2">
        <v>44647</v>
      </c>
      <c r="B802" s="2">
        <v>44654</v>
      </c>
      <c r="C802">
        <v>7</v>
      </c>
      <c r="D802" s="3" t="s">
        <v>21</v>
      </c>
      <c r="E802" s="6">
        <v>355</v>
      </c>
      <c r="F802" s="6">
        <v>252.05</v>
      </c>
      <c r="G802">
        <v>8</v>
      </c>
      <c r="H802" s="6">
        <f>SalesData_2[[#This Row],[Unit Price]]*SalesData_2[[#This Row],[Units Sold]]</f>
        <v>2840</v>
      </c>
      <c r="I802" s="6">
        <f>SalesData_2[[#This Row],[Unit Cost]]*SalesData_2[[#This Row],[Units Sold]]</f>
        <v>2016.4</v>
      </c>
      <c r="J802" s="6">
        <f>SalesData_2[[#This Row],[Sales]]-SalesData_2[[#This Row],[COGS]]</f>
        <v>823.59999999999991</v>
      </c>
      <c r="K802" s="21">
        <f>SalesData_2[[#This Row],[Revenue]]/SalesData_2[[#This Row],[Sales]]</f>
        <v>0.28999999999999998</v>
      </c>
      <c r="L802" s="3" t="s">
        <v>61</v>
      </c>
      <c r="M802" s="3" t="s">
        <v>80</v>
      </c>
      <c r="N802" s="3" t="s">
        <v>86</v>
      </c>
    </row>
    <row r="803" spans="1:14" x14ac:dyDescent="0.3">
      <c r="A803" s="2">
        <v>44648</v>
      </c>
      <c r="B803" s="2">
        <v>44652</v>
      </c>
      <c r="C803">
        <v>4</v>
      </c>
      <c r="D803" s="3" t="s">
        <v>17</v>
      </c>
      <c r="E803" s="6">
        <v>195</v>
      </c>
      <c r="F803" s="6">
        <v>138.44999999999999</v>
      </c>
      <c r="G803">
        <v>6</v>
      </c>
      <c r="H803" s="6">
        <f>SalesData_2[[#This Row],[Unit Price]]*SalesData_2[[#This Row],[Units Sold]]</f>
        <v>1170</v>
      </c>
      <c r="I803" s="6">
        <f>SalesData_2[[#This Row],[Unit Cost]]*SalesData_2[[#This Row],[Units Sold]]</f>
        <v>830.69999999999993</v>
      </c>
      <c r="J803" s="6">
        <f>SalesData_2[[#This Row],[Sales]]-SalesData_2[[#This Row],[COGS]]</f>
        <v>339.30000000000007</v>
      </c>
      <c r="K803" s="21">
        <f>SalesData_2[[#This Row],[Revenue]]/SalesData_2[[#This Row],[Sales]]</f>
        <v>0.29000000000000004</v>
      </c>
      <c r="L803" s="3" t="s">
        <v>57</v>
      </c>
      <c r="M803" s="3" t="s">
        <v>82</v>
      </c>
      <c r="N803" s="3" t="s">
        <v>85</v>
      </c>
    </row>
    <row r="804" spans="1:14" x14ac:dyDescent="0.3">
      <c r="A804" s="2">
        <v>44651</v>
      </c>
      <c r="B804" s="2">
        <v>44652</v>
      </c>
      <c r="C804">
        <v>1</v>
      </c>
      <c r="D804" s="3" t="s">
        <v>18</v>
      </c>
      <c r="E804" s="6">
        <v>80</v>
      </c>
      <c r="F804" s="6">
        <v>48.8</v>
      </c>
      <c r="G804">
        <v>6</v>
      </c>
      <c r="H804" s="6">
        <f>SalesData_2[[#This Row],[Unit Price]]*SalesData_2[[#This Row],[Units Sold]]</f>
        <v>480</v>
      </c>
      <c r="I804" s="6">
        <f>SalesData_2[[#This Row],[Unit Cost]]*SalesData_2[[#This Row],[Units Sold]]</f>
        <v>292.79999999999995</v>
      </c>
      <c r="J804" s="6">
        <f>SalesData_2[[#This Row],[Sales]]-SalesData_2[[#This Row],[COGS]]</f>
        <v>187.20000000000005</v>
      </c>
      <c r="K804" s="21">
        <f>SalesData_2[[#This Row],[Revenue]]/SalesData_2[[#This Row],[Sales]]</f>
        <v>0.39000000000000007</v>
      </c>
      <c r="L804" s="3" t="s">
        <v>67</v>
      </c>
      <c r="M804" s="3" t="s">
        <v>81</v>
      </c>
      <c r="N804" s="3" t="s">
        <v>86</v>
      </c>
    </row>
    <row r="805" spans="1:14" x14ac:dyDescent="0.3">
      <c r="A805" s="2">
        <v>44651</v>
      </c>
      <c r="B805" s="2">
        <v>44655</v>
      </c>
      <c r="C805">
        <v>4</v>
      </c>
      <c r="D805" s="3" t="s">
        <v>3</v>
      </c>
      <c r="E805" s="6">
        <v>95</v>
      </c>
      <c r="F805" s="6">
        <v>60.8</v>
      </c>
      <c r="G805">
        <v>9</v>
      </c>
      <c r="H805" s="6">
        <f>SalesData_2[[#This Row],[Unit Price]]*SalesData_2[[#This Row],[Units Sold]]</f>
        <v>855</v>
      </c>
      <c r="I805" s="6">
        <f>SalesData_2[[#This Row],[Unit Cost]]*SalesData_2[[#This Row],[Units Sold]]</f>
        <v>547.19999999999993</v>
      </c>
      <c r="J805" s="6">
        <f>SalesData_2[[#This Row],[Sales]]-SalesData_2[[#This Row],[COGS]]</f>
        <v>307.80000000000007</v>
      </c>
      <c r="K805" s="21">
        <f>SalesData_2[[#This Row],[Revenue]]/SalesData_2[[#This Row],[Sales]]</f>
        <v>0.3600000000000001</v>
      </c>
      <c r="L805" s="3" t="s">
        <v>49</v>
      </c>
      <c r="M805" s="3" t="s">
        <v>83</v>
      </c>
      <c r="N805" s="3" t="s">
        <v>86</v>
      </c>
    </row>
    <row r="806" spans="1:14" x14ac:dyDescent="0.3">
      <c r="A806" s="2">
        <v>44652</v>
      </c>
      <c r="B806" s="2">
        <v>44657</v>
      </c>
      <c r="C806">
        <v>5</v>
      </c>
      <c r="D806" s="3" t="s">
        <v>10</v>
      </c>
      <c r="E806" s="6">
        <v>390</v>
      </c>
      <c r="F806" s="6">
        <v>253.5</v>
      </c>
      <c r="G806">
        <v>8</v>
      </c>
      <c r="H806" s="6">
        <f>SalesData_2[[#This Row],[Unit Price]]*SalesData_2[[#This Row],[Units Sold]]</f>
        <v>3120</v>
      </c>
      <c r="I806" s="6">
        <f>SalesData_2[[#This Row],[Unit Cost]]*SalesData_2[[#This Row],[Units Sold]]</f>
        <v>2028</v>
      </c>
      <c r="J806" s="6">
        <f>SalesData_2[[#This Row],[Sales]]-SalesData_2[[#This Row],[COGS]]</f>
        <v>1092</v>
      </c>
      <c r="K806" s="21">
        <f>SalesData_2[[#This Row],[Revenue]]/SalesData_2[[#This Row],[Sales]]</f>
        <v>0.35</v>
      </c>
      <c r="L806" s="3" t="s">
        <v>43</v>
      </c>
      <c r="M806" s="3" t="s">
        <v>80</v>
      </c>
      <c r="N806" s="3" t="s">
        <v>86</v>
      </c>
    </row>
    <row r="807" spans="1:14" x14ac:dyDescent="0.3">
      <c r="A807" s="2">
        <v>44652</v>
      </c>
      <c r="B807" s="2">
        <v>44655</v>
      </c>
      <c r="C807">
        <v>3</v>
      </c>
      <c r="D807" s="3" t="s">
        <v>22</v>
      </c>
      <c r="E807" s="6">
        <v>460</v>
      </c>
      <c r="F807" s="6">
        <v>303.60000000000002</v>
      </c>
      <c r="G807">
        <v>4</v>
      </c>
      <c r="H807" s="6">
        <f>SalesData_2[[#This Row],[Unit Price]]*SalesData_2[[#This Row],[Units Sold]]</f>
        <v>1840</v>
      </c>
      <c r="I807" s="6">
        <f>SalesData_2[[#This Row],[Unit Cost]]*SalesData_2[[#This Row],[Units Sold]]</f>
        <v>1214.4000000000001</v>
      </c>
      <c r="J807" s="6">
        <f>SalesData_2[[#This Row],[Sales]]-SalesData_2[[#This Row],[COGS]]</f>
        <v>625.59999999999991</v>
      </c>
      <c r="K807" s="21">
        <f>SalesData_2[[#This Row],[Revenue]]/SalesData_2[[#This Row],[Sales]]</f>
        <v>0.33999999999999997</v>
      </c>
      <c r="L807" s="3" t="s">
        <v>62</v>
      </c>
      <c r="M807" s="3" t="s">
        <v>81</v>
      </c>
      <c r="N807" s="3" t="s">
        <v>85</v>
      </c>
    </row>
    <row r="808" spans="1:14" x14ac:dyDescent="0.3">
      <c r="A808" s="2">
        <v>44652</v>
      </c>
      <c r="B808" s="2">
        <v>44655</v>
      </c>
      <c r="C808">
        <v>3</v>
      </c>
      <c r="D808" s="3" t="s">
        <v>4</v>
      </c>
      <c r="E808" s="6">
        <v>390</v>
      </c>
      <c r="F808" s="6">
        <v>288.60000000000002</v>
      </c>
      <c r="G808">
        <v>1</v>
      </c>
      <c r="H808" s="6">
        <f>SalesData_2[[#This Row],[Unit Price]]*SalesData_2[[#This Row],[Units Sold]]</f>
        <v>390</v>
      </c>
      <c r="I808" s="6">
        <f>SalesData_2[[#This Row],[Unit Cost]]*SalesData_2[[#This Row],[Units Sold]]</f>
        <v>288.60000000000002</v>
      </c>
      <c r="J808" s="6">
        <f>SalesData_2[[#This Row],[Sales]]-SalesData_2[[#This Row],[COGS]]</f>
        <v>101.39999999999998</v>
      </c>
      <c r="K808" s="21">
        <f>SalesData_2[[#This Row],[Revenue]]/SalesData_2[[#This Row],[Sales]]</f>
        <v>0.25999999999999995</v>
      </c>
      <c r="L808" s="3" t="s">
        <v>32</v>
      </c>
      <c r="M808" s="3" t="s">
        <v>80</v>
      </c>
      <c r="N808" s="3" t="s">
        <v>86</v>
      </c>
    </row>
    <row r="809" spans="1:14" x14ac:dyDescent="0.3">
      <c r="A809" s="2">
        <v>44653</v>
      </c>
      <c r="B809" s="2">
        <v>44656</v>
      </c>
      <c r="C809">
        <v>3</v>
      </c>
      <c r="D809" s="3" t="s">
        <v>14</v>
      </c>
      <c r="E809" s="6">
        <v>375</v>
      </c>
      <c r="F809" s="6">
        <v>247.5</v>
      </c>
      <c r="G809">
        <v>4</v>
      </c>
      <c r="H809" s="6">
        <f>SalesData_2[[#This Row],[Unit Price]]*SalesData_2[[#This Row],[Units Sold]]</f>
        <v>1500</v>
      </c>
      <c r="I809" s="6">
        <f>SalesData_2[[#This Row],[Unit Cost]]*SalesData_2[[#This Row],[Units Sold]]</f>
        <v>990</v>
      </c>
      <c r="J809" s="6">
        <f>SalesData_2[[#This Row],[Sales]]-SalesData_2[[#This Row],[COGS]]</f>
        <v>510</v>
      </c>
      <c r="K809" s="21">
        <f>SalesData_2[[#This Row],[Revenue]]/SalesData_2[[#This Row],[Sales]]</f>
        <v>0.34</v>
      </c>
      <c r="L809" s="3" t="s">
        <v>74</v>
      </c>
      <c r="M809" s="3" t="s">
        <v>80</v>
      </c>
      <c r="N809" s="3" t="s">
        <v>86</v>
      </c>
    </row>
    <row r="810" spans="1:14" x14ac:dyDescent="0.3">
      <c r="A810" s="2">
        <v>44653</v>
      </c>
      <c r="B810" s="2">
        <v>44656</v>
      </c>
      <c r="C810">
        <v>3</v>
      </c>
      <c r="D810" s="3" t="s">
        <v>20</v>
      </c>
      <c r="E810" s="6">
        <v>440</v>
      </c>
      <c r="F810" s="6">
        <v>286</v>
      </c>
      <c r="G810">
        <v>6</v>
      </c>
      <c r="H810" s="6">
        <f>SalesData_2[[#This Row],[Unit Price]]*SalesData_2[[#This Row],[Units Sold]]</f>
        <v>2640</v>
      </c>
      <c r="I810" s="6">
        <f>SalesData_2[[#This Row],[Unit Cost]]*SalesData_2[[#This Row],[Units Sold]]</f>
        <v>1716</v>
      </c>
      <c r="J810" s="6">
        <f>SalesData_2[[#This Row],[Sales]]-SalesData_2[[#This Row],[COGS]]</f>
        <v>924</v>
      </c>
      <c r="K810" s="21">
        <f>SalesData_2[[#This Row],[Revenue]]/SalesData_2[[#This Row],[Sales]]</f>
        <v>0.35</v>
      </c>
      <c r="L810" s="3" t="s">
        <v>53</v>
      </c>
      <c r="M810" s="3" t="s">
        <v>79</v>
      </c>
      <c r="N810" s="3" t="s">
        <v>86</v>
      </c>
    </row>
    <row r="811" spans="1:14" x14ac:dyDescent="0.3">
      <c r="A811" s="2">
        <v>44657</v>
      </c>
      <c r="B811" s="2">
        <v>44659</v>
      </c>
      <c r="C811">
        <v>2</v>
      </c>
      <c r="D811" s="3" t="s">
        <v>10</v>
      </c>
      <c r="E811" s="6">
        <v>390</v>
      </c>
      <c r="F811" s="6">
        <v>253.5</v>
      </c>
      <c r="G811">
        <v>9</v>
      </c>
      <c r="H811" s="6">
        <f>SalesData_2[[#This Row],[Unit Price]]*SalesData_2[[#This Row],[Units Sold]]</f>
        <v>3510</v>
      </c>
      <c r="I811" s="6">
        <f>SalesData_2[[#This Row],[Unit Cost]]*SalesData_2[[#This Row],[Units Sold]]</f>
        <v>2281.5</v>
      </c>
      <c r="J811" s="6">
        <f>SalesData_2[[#This Row],[Sales]]-SalesData_2[[#This Row],[COGS]]</f>
        <v>1228.5</v>
      </c>
      <c r="K811" s="21">
        <f>SalesData_2[[#This Row],[Revenue]]/SalesData_2[[#This Row],[Sales]]</f>
        <v>0.35</v>
      </c>
      <c r="L811" s="3" t="s">
        <v>74</v>
      </c>
      <c r="M811" s="3" t="s">
        <v>83</v>
      </c>
      <c r="N811" s="3" t="s">
        <v>86</v>
      </c>
    </row>
    <row r="812" spans="1:14" x14ac:dyDescent="0.3">
      <c r="A812" s="2">
        <v>44657</v>
      </c>
      <c r="B812" s="2">
        <v>44664</v>
      </c>
      <c r="C812">
        <v>7</v>
      </c>
      <c r="D812" s="3" t="s">
        <v>20</v>
      </c>
      <c r="E812" s="6">
        <v>440</v>
      </c>
      <c r="F812" s="6">
        <v>286</v>
      </c>
      <c r="G812">
        <v>6</v>
      </c>
      <c r="H812" s="6">
        <f>SalesData_2[[#This Row],[Unit Price]]*SalesData_2[[#This Row],[Units Sold]]</f>
        <v>2640</v>
      </c>
      <c r="I812" s="6">
        <f>SalesData_2[[#This Row],[Unit Cost]]*SalesData_2[[#This Row],[Units Sold]]</f>
        <v>1716</v>
      </c>
      <c r="J812" s="6">
        <f>SalesData_2[[#This Row],[Sales]]-SalesData_2[[#This Row],[COGS]]</f>
        <v>924</v>
      </c>
      <c r="K812" s="21">
        <f>SalesData_2[[#This Row],[Revenue]]/SalesData_2[[#This Row],[Sales]]</f>
        <v>0.35</v>
      </c>
      <c r="L812" s="3" t="s">
        <v>34</v>
      </c>
      <c r="M812" s="3" t="s">
        <v>79</v>
      </c>
      <c r="N812" s="3" t="s">
        <v>85</v>
      </c>
    </row>
    <row r="813" spans="1:14" x14ac:dyDescent="0.3">
      <c r="A813" s="2">
        <v>44658</v>
      </c>
      <c r="B813" s="2">
        <v>44662</v>
      </c>
      <c r="C813">
        <v>4</v>
      </c>
      <c r="D813" s="3" t="s">
        <v>6</v>
      </c>
      <c r="E813" s="6">
        <v>99</v>
      </c>
      <c r="F813" s="6">
        <v>62.37</v>
      </c>
      <c r="G813">
        <v>8</v>
      </c>
      <c r="H813" s="6">
        <f>SalesData_2[[#This Row],[Unit Price]]*SalesData_2[[#This Row],[Units Sold]]</f>
        <v>792</v>
      </c>
      <c r="I813" s="6">
        <f>SalesData_2[[#This Row],[Unit Cost]]*SalesData_2[[#This Row],[Units Sold]]</f>
        <v>498.96</v>
      </c>
      <c r="J813" s="6">
        <f>SalesData_2[[#This Row],[Sales]]-SalesData_2[[#This Row],[COGS]]</f>
        <v>293.04000000000002</v>
      </c>
      <c r="K813" s="21">
        <f>SalesData_2[[#This Row],[Revenue]]/SalesData_2[[#This Row],[Sales]]</f>
        <v>0.37000000000000005</v>
      </c>
      <c r="L813" s="3" t="s">
        <v>55</v>
      </c>
      <c r="M813" s="3" t="s">
        <v>80</v>
      </c>
      <c r="N813" s="3" t="s">
        <v>85</v>
      </c>
    </row>
    <row r="814" spans="1:14" x14ac:dyDescent="0.3">
      <c r="A814" s="2">
        <v>44658</v>
      </c>
      <c r="B814" s="2">
        <v>44659</v>
      </c>
      <c r="C814">
        <v>1</v>
      </c>
      <c r="D814" s="3" t="s">
        <v>2</v>
      </c>
      <c r="E814" s="6">
        <v>250</v>
      </c>
      <c r="F814" s="6">
        <v>187.5</v>
      </c>
      <c r="G814">
        <v>7</v>
      </c>
      <c r="H814" s="6">
        <f>SalesData_2[[#This Row],[Unit Price]]*SalesData_2[[#This Row],[Units Sold]]</f>
        <v>1750</v>
      </c>
      <c r="I814" s="6">
        <f>SalesData_2[[#This Row],[Unit Cost]]*SalesData_2[[#This Row],[Units Sold]]</f>
        <v>1312.5</v>
      </c>
      <c r="J814" s="6">
        <f>SalesData_2[[#This Row],[Sales]]-SalesData_2[[#This Row],[COGS]]</f>
        <v>437.5</v>
      </c>
      <c r="K814" s="21">
        <f>SalesData_2[[#This Row],[Revenue]]/SalesData_2[[#This Row],[Sales]]</f>
        <v>0.25</v>
      </c>
      <c r="L814" s="3" t="s">
        <v>44</v>
      </c>
      <c r="M814" s="3" t="s">
        <v>79</v>
      </c>
      <c r="N814" s="3" t="s">
        <v>85</v>
      </c>
    </row>
    <row r="815" spans="1:14" x14ac:dyDescent="0.3">
      <c r="A815" s="2">
        <v>44662</v>
      </c>
      <c r="B815" s="2">
        <v>44665</v>
      </c>
      <c r="C815">
        <v>3</v>
      </c>
      <c r="D815" s="3" t="s">
        <v>10</v>
      </c>
      <c r="E815" s="6">
        <v>390</v>
      </c>
      <c r="F815" s="6">
        <v>253.5</v>
      </c>
      <c r="G815">
        <v>3</v>
      </c>
      <c r="H815" s="6">
        <f>SalesData_2[[#This Row],[Unit Price]]*SalesData_2[[#This Row],[Units Sold]]</f>
        <v>1170</v>
      </c>
      <c r="I815" s="6">
        <f>SalesData_2[[#This Row],[Unit Cost]]*SalesData_2[[#This Row],[Units Sold]]</f>
        <v>760.5</v>
      </c>
      <c r="J815" s="6">
        <f>SalesData_2[[#This Row],[Sales]]-SalesData_2[[#This Row],[COGS]]</f>
        <v>409.5</v>
      </c>
      <c r="K815" s="21">
        <f>SalesData_2[[#This Row],[Revenue]]/SalesData_2[[#This Row],[Sales]]</f>
        <v>0.35</v>
      </c>
      <c r="L815" s="3" t="s">
        <v>64</v>
      </c>
      <c r="M815" s="3" t="s">
        <v>80</v>
      </c>
      <c r="N815" s="3" t="s">
        <v>85</v>
      </c>
    </row>
    <row r="816" spans="1:14" x14ac:dyDescent="0.3">
      <c r="A816" s="2">
        <v>44662</v>
      </c>
      <c r="B816" s="2">
        <v>44666</v>
      </c>
      <c r="C816">
        <v>4</v>
      </c>
      <c r="D816" s="3" t="s">
        <v>12</v>
      </c>
      <c r="E816" s="6">
        <v>320</v>
      </c>
      <c r="F816" s="6">
        <v>233.6</v>
      </c>
      <c r="G816">
        <v>9</v>
      </c>
      <c r="H816" s="6">
        <f>SalesData_2[[#This Row],[Unit Price]]*SalesData_2[[#This Row],[Units Sold]]</f>
        <v>2880</v>
      </c>
      <c r="I816" s="6">
        <f>SalesData_2[[#This Row],[Unit Cost]]*SalesData_2[[#This Row],[Units Sold]]</f>
        <v>2102.4</v>
      </c>
      <c r="J816" s="6">
        <f>SalesData_2[[#This Row],[Sales]]-SalesData_2[[#This Row],[COGS]]</f>
        <v>777.59999999999991</v>
      </c>
      <c r="K816" s="21">
        <f>SalesData_2[[#This Row],[Revenue]]/SalesData_2[[#This Row],[Sales]]</f>
        <v>0.26999999999999996</v>
      </c>
      <c r="L816" s="3" t="s">
        <v>71</v>
      </c>
      <c r="M816" s="3" t="s">
        <v>83</v>
      </c>
      <c r="N816" s="3" t="s">
        <v>86</v>
      </c>
    </row>
    <row r="817" spans="1:14" x14ac:dyDescent="0.3">
      <c r="A817" s="2">
        <v>44664</v>
      </c>
      <c r="B817" s="2">
        <v>44666</v>
      </c>
      <c r="C817">
        <v>2</v>
      </c>
      <c r="D817" s="3" t="s">
        <v>17</v>
      </c>
      <c r="E817" s="6">
        <v>195</v>
      </c>
      <c r="F817" s="6">
        <v>138.44999999999999</v>
      </c>
      <c r="G817">
        <v>4</v>
      </c>
      <c r="H817" s="6">
        <f>SalesData_2[[#This Row],[Unit Price]]*SalesData_2[[#This Row],[Units Sold]]</f>
        <v>780</v>
      </c>
      <c r="I817" s="6">
        <f>SalesData_2[[#This Row],[Unit Cost]]*SalesData_2[[#This Row],[Units Sold]]</f>
        <v>553.79999999999995</v>
      </c>
      <c r="J817" s="6">
        <f>SalesData_2[[#This Row],[Sales]]-SalesData_2[[#This Row],[COGS]]</f>
        <v>226.20000000000005</v>
      </c>
      <c r="K817" s="21">
        <f>SalesData_2[[#This Row],[Revenue]]/SalesData_2[[#This Row],[Sales]]</f>
        <v>0.29000000000000004</v>
      </c>
      <c r="L817" s="3" t="s">
        <v>36</v>
      </c>
      <c r="M817" s="3" t="s">
        <v>82</v>
      </c>
      <c r="N817" s="3" t="s">
        <v>85</v>
      </c>
    </row>
    <row r="818" spans="1:14" x14ac:dyDescent="0.3">
      <c r="A818" s="2">
        <v>44664</v>
      </c>
      <c r="B818" s="2">
        <v>44671</v>
      </c>
      <c r="C818">
        <v>7</v>
      </c>
      <c r="D818" s="3" t="s">
        <v>17</v>
      </c>
      <c r="E818" s="6">
        <v>195</v>
      </c>
      <c r="F818" s="6">
        <v>138.44999999999999</v>
      </c>
      <c r="G818">
        <v>9</v>
      </c>
      <c r="H818" s="6">
        <f>SalesData_2[[#This Row],[Unit Price]]*SalesData_2[[#This Row],[Units Sold]]</f>
        <v>1755</v>
      </c>
      <c r="I818" s="6">
        <f>SalesData_2[[#This Row],[Unit Cost]]*SalesData_2[[#This Row],[Units Sold]]</f>
        <v>1246.05</v>
      </c>
      <c r="J818" s="6">
        <f>SalesData_2[[#This Row],[Sales]]-SalesData_2[[#This Row],[COGS]]</f>
        <v>508.95000000000005</v>
      </c>
      <c r="K818" s="21">
        <f>SalesData_2[[#This Row],[Revenue]]/SalesData_2[[#This Row],[Sales]]</f>
        <v>0.29000000000000004</v>
      </c>
      <c r="L818" s="3" t="s">
        <v>37</v>
      </c>
      <c r="M818" s="3" t="s">
        <v>81</v>
      </c>
      <c r="N818" s="3" t="s">
        <v>85</v>
      </c>
    </row>
    <row r="819" spans="1:14" x14ac:dyDescent="0.3">
      <c r="A819" s="2">
        <v>44667</v>
      </c>
      <c r="B819" s="2">
        <v>44668</v>
      </c>
      <c r="C819">
        <v>1</v>
      </c>
      <c r="D819" s="3" t="s">
        <v>6</v>
      </c>
      <c r="E819" s="6">
        <v>99</v>
      </c>
      <c r="F819" s="6">
        <v>62.37</v>
      </c>
      <c r="G819">
        <v>7</v>
      </c>
      <c r="H819" s="6">
        <f>SalesData_2[[#This Row],[Unit Price]]*SalesData_2[[#This Row],[Units Sold]]</f>
        <v>693</v>
      </c>
      <c r="I819" s="6">
        <f>SalesData_2[[#This Row],[Unit Cost]]*SalesData_2[[#This Row],[Units Sold]]</f>
        <v>436.59</v>
      </c>
      <c r="J819" s="6">
        <f>SalesData_2[[#This Row],[Sales]]-SalesData_2[[#This Row],[COGS]]</f>
        <v>256.41000000000003</v>
      </c>
      <c r="K819" s="21">
        <f>SalesData_2[[#This Row],[Revenue]]/SalesData_2[[#This Row],[Sales]]</f>
        <v>0.37000000000000005</v>
      </c>
      <c r="L819" s="3" t="s">
        <v>47</v>
      </c>
      <c r="M819" s="3" t="s">
        <v>83</v>
      </c>
      <c r="N819" s="3" t="s">
        <v>86</v>
      </c>
    </row>
    <row r="820" spans="1:14" x14ac:dyDescent="0.3">
      <c r="A820" s="2">
        <v>44668</v>
      </c>
      <c r="B820" s="2">
        <v>44675</v>
      </c>
      <c r="C820">
        <v>7</v>
      </c>
      <c r="D820" s="3" t="s">
        <v>18</v>
      </c>
      <c r="E820" s="6">
        <v>80</v>
      </c>
      <c r="F820" s="6">
        <v>48.8</v>
      </c>
      <c r="G820">
        <v>9</v>
      </c>
      <c r="H820" s="6">
        <f>SalesData_2[[#This Row],[Unit Price]]*SalesData_2[[#This Row],[Units Sold]]</f>
        <v>720</v>
      </c>
      <c r="I820" s="6">
        <f>SalesData_2[[#This Row],[Unit Cost]]*SalesData_2[[#This Row],[Units Sold]]</f>
        <v>439.2</v>
      </c>
      <c r="J820" s="6">
        <f>SalesData_2[[#This Row],[Sales]]-SalesData_2[[#This Row],[COGS]]</f>
        <v>280.8</v>
      </c>
      <c r="K820" s="21">
        <f>SalesData_2[[#This Row],[Revenue]]/SalesData_2[[#This Row],[Sales]]</f>
        <v>0.39</v>
      </c>
      <c r="L820" s="3" t="s">
        <v>74</v>
      </c>
      <c r="M820" s="3" t="s">
        <v>79</v>
      </c>
      <c r="N820" s="3" t="s">
        <v>85</v>
      </c>
    </row>
    <row r="821" spans="1:14" x14ac:dyDescent="0.3">
      <c r="A821" s="2">
        <v>44668</v>
      </c>
      <c r="B821" s="2">
        <v>44673</v>
      </c>
      <c r="C821">
        <v>5</v>
      </c>
      <c r="D821" s="3" t="s">
        <v>5</v>
      </c>
      <c r="E821" s="6">
        <v>290</v>
      </c>
      <c r="F821" s="6">
        <v>185.6</v>
      </c>
      <c r="G821">
        <v>1</v>
      </c>
      <c r="H821" s="6">
        <f>SalesData_2[[#This Row],[Unit Price]]*SalesData_2[[#This Row],[Units Sold]]</f>
        <v>290</v>
      </c>
      <c r="I821" s="6">
        <f>SalesData_2[[#This Row],[Unit Cost]]*SalesData_2[[#This Row],[Units Sold]]</f>
        <v>185.6</v>
      </c>
      <c r="J821" s="6">
        <f>SalesData_2[[#This Row],[Sales]]-SalesData_2[[#This Row],[COGS]]</f>
        <v>104.4</v>
      </c>
      <c r="K821" s="21">
        <f>SalesData_2[[#This Row],[Revenue]]/SalesData_2[[#This Row],[Sales]]</f>
        <v>0.36000000000000004</v>
      </c>
      <c r="L821" s="3" t="s">
        <v>41</v>
      </c>
      <c r="M821" s="3" t="s">
        <v>83</v>
      </c>
      <c r="N821" s="3" t="s">
        <v>86</v>
      </c>
    </row>
    <row r="822" spans="1:14" x14ac:dyDescent="0.3">
      <c r="A822" s="2">
        <v>44669</v>
      </c>
      <c r="B822" s="2">
        <v>44675</v>
      </c>
      <c r="C822">
        <v>6</v>
      </c>
      <c r="D822" s="3" t="s">
        <v>3</v>
      </c>
      <c r="E822" s="6">
        <v>95</v>
      </c>
      <c r="F822" s="6">
        <v>60.8</v>
      </c>
      <c r="G822">
        <v>3</v>
      </c>
      <c r="H822" s="6">
        <f>SalesData_2[[#This Row],[Unit Price]]*SalesData_2[[#This Row],[Units Sold]]</f>
        <v>285</v>
      </c>
      <c r="I822" s="6">
        <f>SalesData_2[[#This Row],[Unit Cost]]*SalesData_2[[#This Row],[Units Sold]]</f>
        <v>182.39999999999998</v>
      </c>
      <c r="J822" s="6">
        <f>SalesData_2[[#This Row],[Sales]]-SalesData_2[[#This Row],[COGS]]</f>
        <v>102.60000000000002</v>
      </c>
      <c r="K822" s="21">
        <f>SalesData_2[[#This Row],[Revenue]]/SalesData_2[[#This Row],[Sales]]</f>
        <v>0.3600000000000001</v>
      </c>
      <c r="L822" s="3" t="s">
        <v>74</v>
      </c>
      <c r="M822" s="3" t="s">
        <v>81</v>
      </c>
      <c r="N822" s="3" t="s">
        <v>85</v>
      </c>
    </row>
    <row r="823" spans="1:14" x14ac:dyDescent="0.3">
      <c r="A823" s="2">
        <v>44669</v>
      </c>
      <c r="B823" s="2">
        <v>44673</v>
      </c>
      <c r="C823">
        <v>4</v>
      </c>
      <c r="D823" s="3" t="s">
        <v>15</v>
      </c>
      <c r="E823" s="6">
        <v>110</v>
      </c>
      <c r="F823" s="6">
        <v>78.099999999999994</v>
      </c>
      <c r="G823">
        <v>8</v>
      </c>
      <c r="H823" s="6">
        <f>SalesData_2[[#This Row],[Unit Price]]*SalesData_2[[#This Row],[Units Sold]]</f>
        <v>880</v>
      </c>
      <c r="I823" s="6">
        <f>SalesData_2[[#This Row],[Unit Cost]]*SalesData_2[[#This Row],[Units Sold]]</f>
        <v>624.79999999999995</v>
      </c>
      <c r="J823" s="6">
        <f>SalesData_2[[#This Row],[Sales]]-SalesData_2[[#This Row],[COGS]]</f>
        <v>255.20000000000005</v>
      </c>
      <c r="K823" s="21">
        <f>SalesData_2[[#This Row],[Revenue]]/SalesData_2[[#This Row],[Sales]]</f>
        <v>0.29000000000000004</v>
      </c>
      <c r="L823" s="3" t="s">
        <v>52</v>
      </c>
      <c r="M823" s="3" t="s">
        <v>82</v>
      </c>
      <c r="N823" s="3" t="s">
        <v>86</v>
      </c>
    </row>
    <row r="824" spans="1:14" x14ac:dyDescent="0.3">
      <c r="A824" s="2">
        <v>44675</v>
      </c>
      <c r="B824" s="2">
        <v>44676</v>
      </c>
      <c r="C824">
        <v>1</v>
      </c>
      <c r="D824" s="3" t="s">
        <v>7</v>
      </c>
      <c r="E824" s="6">
        <v>250</v>
      </c>
      <c r="F824" s="6">
        <v>167.5</v>
      </c>
      <c r="G824">
        <v>1</v>
      </c>
      <c r="H824" s="6">
        <f>SalesData_2[[#This Row],[Unit Price]]*SalesData_2[[#This Row],[Units Sold]]</f>
        <v>250</v>
      </c>
      <c r="I824" s="6">
        <f>SalesData_2[[#This Row],[Unit Cost]]*SalesData_2[[#This Row],[Units Sold]]</f>
        <v>167.5</v>
      </c>
      <c r="J824" s="6">
        <f>SalesData_2[[#This Row],[Sales]]-SalesData_2[[#This Row],[COGS]]</f>
        <v>82.5</v>
      </c>
      <c r="K824" s="21">
        <f>SalesData_2[[#This Row],[Revenue]]/SalesData_2[[#This Row],[Sales]]</f>
        <v>0.33</v>
      </c>
      <c r="L824" s="3" t="s">
        <v>29</v>
      </c>
      <c r="M824" s="3" t="s">
        <v>82</v>
      </c>
      <c r="N824" s="3" t="s">
        <v>86</v>
      </c>
    </row>
    <row r="825" spans="1:14" x14ac:dyDescent="0.3">
      <c r="A825" s="2">
        <v>44676</v>
      </c>
      <c r="B825" s="2">
        <v>44677</v>
      </c>
      <c r="C825">
        <v>1</v>
      </c>
      <c r="D825" s="3" t="s">
        <v>21</v>
      </c>
      <c r="E825" s="6">
        <v>355</v>
      </c>
      <c r="F825" s="6">
        <v>252.05</v>
      </c>
      <c r="G825">
        <v>9</v>
      </c>
      <c r="H825" s="6">
        <f>SalesData_2[[#This Row],[Unit Price]]*SalesData_2[[#This Row],[Units Sold]]</f>
        <v>3195</v>
      </c>
      <c r="I825" s="6">
        <f>SalesData_2[[#This Row],[Unit Cost]]*SalesData_2[[#This Row],[Units Sold]]</f>
        <v>2268.4500000000003</v>
      </c>
      <c r="J825" s="6">
        <f>SalesData_2[[#This Row],[Sales]]-SalesData_2[[#This Row],[COGS]]</f>
        <v>926.54999999999973</v>
      </c>
      <c r="K825" s="21">
        <f>SalesData_2[[#This Row],[Revenue]]/SalesData_2[[#This Row],[Sales]]</f>
        <v>0.28999999999999992</v>
      </c>
      <c r="L825" s="3" t="s">
        <v>54</v>
      </c>
      <c r="M825" s="3" t="s">
        <v>82</v>
      </c>
      <c r="N825" s="3" t="s">
        <v>85</v>
      </c>
    </row>
    <row r="826" spans="1:14" x14ac:dyDescent="0.3">
      <c r="A826" s="2">
        <v>44678</v>
      </c>
      <c r="B826" s="2">
        <v>44683</v>
      </c>
      <c r="C826">
        <v>5</v>
      </c>
      <c r="D826" s="3" t="s">
        <v>14</v>
      </c>
      <c r="E826" s="6">
        <v>375</v>
      </c>
      <c r="F826" s="6">
        <v>247.5</v>
      </c>
      <c r="G826">
        <v>1</v>
      </c>
      <c r="H826" s="6">
        <f>SalesData_2[[#This Row],[Unit Price]]*SalesData_2[[#This Row],[Units Sold]]</f>
        <v>375</v>
      </c>
      <c r="I826" s="6">
        <f>SalesData_2[[#This Row],[Unit Cost]]*SalesData_2[[#This Row],[Units Sold]]</f>
        <v>247.5</v>
      </c>
      <c r="J826" s="6">
        <f>SalesData_2[[#This Row],[Sales]]-SalesData_2[[#This Row],[COGS]]</f>
        <v>127.5</v>
      </c>
      <c r="K826" s="21">
        <f>SalesData_2[[#This Row],[Revenue]]/SalesData_2[[#This Row],[Sales]]</f>
        <v>0.34</v>
      </c>
      <c r="L826" s="3" t="s">
        <v>68</v>
      </c>
      <c r="M826" s="3" t="s">
        <v>80</v>
      </c>
      <c r="N826" s="3" t="s">
        <v>85</v>
      </c>
    </row>
    <row r="827" spans="1:14" x14ac:dyDescent="0.3">
      <c r="A827" s="2">
        <v>44678</v>
      </c>
      <c r="B827" s="2">
        <v>44681</v>
      </c>
      <c r="C827">
        <v>3</v>
      </c>
      <c r="D827" s="3" t="s">
        <v>9</v>
      </c>
      <c r="E827" s="6">
        <v>215</v>
      </c>
      <c r="F827" s="6">
        <v>152.65</v>
      </c>
      <c r="G827">
        <v>4</v>
      </c>
      <c r="H827" s="6">
        <f>SalesData_2[[#This Row],[Unit Price]]*SalesData_2[[#This Row],[Units Sold]]</f>
        <v>860</v>
      </c>
      <c r="I827" s="6">
        <f>SalesData_2[[#This Row],[Unit Cost]]*SalesData_2[[#This Row],[Units Sold]]</f>
        <v>610.6</v>
      </c>
      <c r="J827" s="6">
        <f>SalesData_2[[#This Row],[Sales]]-SalesData_2[[#This Row],[COGS]]</f>
        <v>249.39999999999998</v>
      </c>
      <c r="K827" s="21">
        <f>SalesData_2[[#This Row],[Revenue]]/SalesData_2[[#This Row],[Sales]]</f>
        <v>0.28999999999999998</v>
      </c>
      <c r="L827" s="3" t="s">
        <v>33</v>
      </c>
      <c r="M827" s="3" t="s">
        <v>83</v>
      </c>
      <c r="N827" s="3" t="s">
        <v>86</v>
      </c>
    </row>
    <row r="828" spans="1:14" x14ac:dyDescent="0.3">
      <c r="A828" s="2">
        <v>44678</v>
      </c>
      <c r="B828" s="2">
        <v>44684</v>
      </c>
      <c r="C828">
        <v>6</v>
      </c>
      <c r="D828" s="3" t="s">
        <v>6</v>
      </c>
      <c r="E828" s="6">
        <v>99</v>
      </c>
      <c r="F828" s="6">
        <v>62.37</v>
      </c>
      <c r="G828">
        <v>7</v>
      </c>
      <c r="H828" s="6">
        <f>SalesData_2[[#This Row],[Unit Price]]*SalesData_2[[#This Row],[Units Sold]]</f>
        <v>693</v>
      </c>
      <c r="I828" s="6">
        <f>SalesData_2[[#This Row],[Unit Cost]]*SalesData_2[[#This Row],[Units Sold]]</f>
        <v>436.59</v>
      </c>
      <c r="J828" s="6">
        <f>SalesData_2[[#This Row],[Sales]]-SalesData_2[[#This Row],[COGS]]</f>
        <v>256.41000000000003</v>
      </c>
      <c r="K828" s="21">
        <f>SalesData_2[[#This Row],[Revenue]]/SalesData_2[[#This Row],[Sales]]</f>
        <v>0.37000000000000005</v>
      </c>
      <c r="L828" s="3" t="s">
        <v>59</v>
      </c>
      <c r="M828" s="3" t="s">
        <v>83</v>
      </c>
      <c r="N828" s="3" t="s">
        <v>86</v>
      </c>
    </row>
    <row r="829" spans="1:14" x14ac:dyDescent="0.3">
      <c r="A829" s="2">
        <v>44681</v>
      </c>
      <c r="B829" s="2">
        <v>44682</v>
      </c>
      <c r="C829">
        <v>1</v>
      </c>
      <c r="D829" s="3" t="s">
        <v>6</v>
      </c>
      <c r="E829" s="6">
        <v>99</v>
      </c>
      <c r="F829" s="6">
        <v>62.37</v>
      </c>
      <c r="G829">
        <v>3</v>
      </c>
      <c r="H829" s="6">
        <f>SalesData_2[[#This Row],[Unit Price]]*SalesData_2[[#This Row],[Units Sold]]</f>
        <v>297</v>
      </c>
      <c r="I829" s="6">
        <f>SalesData_2[[#This Row],[Unit Cost]]*SalesData_2[[#This Row],[Units Sold]]</f>
        <v>187.10999999999999</v>
      </c>
      <c r="J829" s="6">
        <f>SalesData_2[[#This Row],[Sales]]-SalesData_2[[#This Row],[COGS]]</f>
        <v>109.89000000000001</v>
      </c>
      <c r="K829" s="21">
        <f>SalesData_2[[#This Row],[Revenue]]/SalesData_2[[#This Row],[Sales]]</f>
        <v>0.37000000000000005</v>
      </c>
      <c r="L829" s="3" t="s">
        <v>36</v>
      </c>
      <c r="M829" s="3" t="s">
        <v>82</v>
      </c>
      <c r="N829" s="3" t="s">
        <v>85</v>
      </c>
    </row>
    <row r="830" spans="1:14" x14ac:dyDescent="0.3">
      <c r="A830" s="2">
        <v>44682</v>
      </c>
      <c r="B830" s="2">
        <v>44686</v>
      </c>
      <c r="C830">
        <v>4</v>
      </c>
      <c r="D830" s="3" t="s">
        <v>22</v>
      </c>
      <c r="E830" s="6">
        <v>460</v>
      </c>
      <c r="F830" s="6">
        <v>303.60000000000002</v>
      </c>
      <c r="G830">
        <v>3</v>
      </c>
      <c r="H830" s="6">
        <f>SalesData_2[[#This Row],[Unit Price]]*SalesData_2[[#This Row],[Units Sold]]</f>
        <v>1380</v>
      </c>
      <c r="I830" s="6">
        <f>SalesData_2[[#This Row],[Unit Cost]]*SalesData_2[[#This Row],[Units Sold]]</f>
        <v>910.80000000000007</v>
      </c>
      <c r="J830" s="6">
        <f>SalesData_2[[#This Row],[Sales]]-SalesData_2[[#This Row],[COGS]]</f>
        <v>469.19999999999993</v>
      </c>
      <c r="K830" s="21">
        <f>SalesData_2[[#This Row],[Revenue]]/SalesData_2[[#This Row],[Sales]]</f>
        <v>0.33999999999999997</v>
      </c>
      <c r="L830" s="3" t="s">
        <v>46</v>
      </c>
      <c r="M830" s="3" t="s">
        <v>79</v>
      </c>
      <c r="N830" s="3" t="s">
        <v>85</v>
      </c>
    </row>
    <row r="831" spans="1:14" x14ac:dyDescent="0.3">
      <c r="A831" s="2">
        <v>44682</v>
      </c>
      <c r="B831" s="2">
        <v>44683</v>
      </c>
      <c r="C831">
        <v>1</v>
      </c>
      <c r="D831" s="3" t="s">
        <v>17</v>
      </c>
      <c r="E831" s="6">
        <v>195</v>
      </c>
      <c r="F831" s="6">
        <v>138.44999999999999</v>
      </c>
      <c r="G831">
        <v>1</v>
      </c>
      <c r="H831" s="6">
        <f>SalesData_2[[#This Row],[Unit Price]]*SalesData_2[[#This Row],[Units Sold]]</f>
        <v>195</v>
      </c>
      <c r="I831" s="6">
        <f>SalesData_2[[#This Row],[Unit Cost]]*SalesData_2[[#This Row],[Units Sold]]</f>
        <v>138.44999999999999</v>
      </c>
      <c r="J831" s="6">
        <f>SalesData_2[[#This Row],[Sales]]-SalesData_2[[#This Row],[COGS]]</f>
        <v>56.550000000000011</v>
      </c>
      <c r="K831" s="21">
        <f>SalesData_2[[#This Row],[Revenue]]/SalesData_2[[#This Row],[Sales]]</f>
        <v>0.29000000000000004</v>
      </c>
      <c r="L831" s="3" t="s">
        <v>71</v>
      </c>
      <c r="M831" s="3" t="s">
        <v>79</v>
      </c>
      <c r="N831" s="3" t="s">
        <v>86</v>
      </c>
    </row>
    <row r="832" spans="1:14" x14ac:dyDescent="0.3">
      <c r="A832" s="2">
        <v>44685</v>
      </c>
      <c r="B832" s="2">
        <v>44688</v>
      </c>
      <c r="C832">
        <v>3</v>
      </c>
      <c r="D832" s="3" t="s">
        <v>4</v>
      </c>
      <c r="E832" s="6">
        <v>390</v>
      </c>
      <c r="F832" s="6">
        <v>288.60000000000002</v>
      </c>
      <c r="G832">
        <v>7</v>
      </c>
      <c r="H832" s="6">
        <f>SalesData_2[[#This Row],[Unit Price]]*SalesData_2[[#This Row],[Units Sold]]</f>
        <v>2730</v>
      </c>
      <c r="I832" s="6">
        <f>SalesData_2[[#This Row],[Unit Cost]]*SalesData_2[[#This Row],[Units Sold]]</f>
        <v>2020.2000000000003</v>
      </c>
      <c r="J832" s="6">
        <f>SalesData_2[[#This Row],[Sales]]-SalesData_2[[#This Row],[COGS]]</f>
        <v>709.79999999999973</v>
      </c>
      <c r="K832" s="21">
        <f>SalesData_2[[#This Row],[Revenue]]/SalesData_2[[#This Row],[Sales]]</f>
        <v>0.2599999999999999</v>
      </c>
      <c r="L832" s="3" t="s">
        <v>69</v>
      </c>
      <c r="M832" s="3" t="s">
        <v>80</v>
      </c>
      <c r="N832" s="3" t="s">
        <v>85</v>
      </c>
    </row>
    <row r="833" spans="1:14" x14ac:dyDescent="0.3">
      <c r="A833" s="2">
        <v>44686</v>
      </c>
      <c r="B833" s="2">
        <v>44687</v>
      </c>
      <c r="C833">
        <v>1</v>
      </c>
      <c r="D833" s="3" t="s">
        <v>4</v>
      </c>
      <c r="E833" s="6">
        <v>390</v>
      </c>
      <c r="F833" s="6">
        <v>288.60000000000002</v>
      </c>
      <c r="G833">
        <v>2</v>
      </c>
      <c r="H833" s="6">
        <f>SalesData_2[[#This Row],[Unit Price]]*SalesData_2[[#This Row],[Units Sold]]</f>
        <v>780</v>
      </c>
      <c r="I833" s="6">
        <f>SalesData_2[[#This Row],[Unit Cost]]*SalesData_2[[#This Row],[Units Sold]]</f>
        <v>577.20000000000005</v>
      </c>
      <c r="J833" s="6">
        <f>SalesData_2[[#This Row],[Sales]]-SalesData_2[[#This Row],[COGS]]</f>
        <v>202.79999999999995</v>
      </c>
      <c r="K833" s="21">
        <f>SalesData_2[[#This Row],[Revenue]]/SalesData_2[[#This Row],[Sales]]</f>
        <v>0.25999999999999995</v>
      </c>
      <c r="L833" s="3" t="s">
        <v>71</v>
      </c>
      <c r="M833" s="3" t="s">
        <v>79</v>
      </c>
      <c r="N833" s="3" t="s">
        <v>85</v>
      </c>
    </row>
    <row r="834" spans="1:14" x14ac:dyDescent="0.3">
      <c r="A834" s="2">
        <v>44686</v>
      </c>
      <c r="B834" s="2">
        <v>44688</v>
      </c>
      <c r="C834">
        <v>2</v>
      </c>
      <c r="D834" s="3" t="s">
        <v>22</v>
      </c>
      <c r="E834" s="6">
        <v>460</v>
      </c>
      <c r="F834" s="6">
        <v>303.60000000000002</v>
      </c>
      <c r="G834">
        <v>7</v>
      </c>
      <c r="H834" s="6">
        <f>SalesData_2[[#This Row],[Unit Price]]*SalesData_2[[#This Row],[Units Sold]]</f>
        <v>3220</v>
      </c>
      <c r="I834" s="6">
        <f>SalesData_2[[#This Row],[Unit Cost]]*SalesData_2[[#This Row],[Units Sold]]</f>
        <v>2125.2000000000003</v>
      </c>
      <c r="J834" s="6">
        <f>SalesData_2[[#This Row],[Sales]]-SalesData_2[[#This Row],[COGS]]</f>
        <v>1094.7999999999997</v>
      </c>
      <c r="K834" s="21">
        <f>SalesData_2[[#This Row],[Revenue]]/SalesData_2[[#This Row],[Sales]]</f>
        <v>0.33999999999999991</v>
      </c>
      <c r="L834" s="3" t="s">
        <v>56</v>
      </c>
      <c r="M834" s="3" t="s">
        <v>80</v>
      </c>
      <c r="N834" s="3" t="s">
        <v>86</v>
      </c>
    </row>
    <row r="835" spans="1:14" x14ac:dyDescent="0.3">
      <c r="A835" s="2">
        <v>44687</v>
      </c>
      <c r="B835" s="2">
        <v>44688</v>
      </c>
      <c r="C835">
        <v>1</v>
      </c>
      <c r="D835" s="3" t="s">
        <v>7</v>
      </c>
      <c r="E835" s="6">
        <v>250</v>
      </c>
      <c r="F835" s="6">
        <v>167.5</v>
      </c>
      <c r="G835">
        <v>1</v>
      </c>
      <c r="H835" s="6">
        <f>SalesData_2[[#This Row],[Unit Price]]*SalesData_2[[#This Row],[Units Sold]]</f>
        <v>250</v>
      </c>
      <c r="I835" s="6">
        <f>SalesData_2[[#This Row],[Unit Cost]]*SalesData_2[[#This Row],[Units Sold]]</f>
        <v>167.5</v>
      </c>
      <c r="J835" s="6">
        <f>SalesData_2[[#This Row],[Sales]]-SalesData_2[[#This Row],[COGS]]</f>
        <v>82.5</v>
      </c>
      <c r="K835" s="21">
        <f>SalesData_2[[#This Row],[Revenue]]/SalesData_2[[#This Row],[Sales]]</f>
        <v>0.33</v>
      </c>
      <c r="L835" s="3" t="s">
        <v>32</v>
      </c>
      <c r="M835" s="3" t="s">
        <v>81</v>
      </c>
      <c r="N835" s="3" t="s">
        <v>86</v>
      </c>
    </row>
    <row r="836" spans="1:14" x14ac:dyDescent="0.3">
      <c r="A836" s="2">
        <v>44687</v>
      </c>
      <c r="B836" s="2">
        <v>44691</v>
      </c>
      <c r="C836">
        <v>4</v>
      </c>
      <c r="D836" s="3" t="s">
        <v>7</v>
      </c>
      <c r="E836" s="6">
        <v>250</v>
      </c>
      <c r="F836" s="6">
        <v>167.5</v>
      </c>
      <c r="G836">
        <v>2</v>
      </c>
      <c r="H836" s="6">
        <f>SalesData_2[[#This Row],[Unit Price]]*SalesData_2[[#This Row],[Units Sold]]</f>
        <v>500</v>
      </c>
      <c r="I836" s="6">
        <f>SalesData_2[[#This Row],[Unit Cost]]*SalesData_2[[#This Row],[Units Sold]]</f>
        <v>335</v>
      </c>
      <c r="J836" s="6">
        <f>SalesData_2[[#This Row],[Sales]]-SalesData_2[[#This Row],[COGS]]</f>
        <v>165</v>
      </c>
      <c r="K836" s="21">
        <f>SalesData_2[[#This Row],[Revenue]]/SalesData_2[[#This Row],[Sales]]</f>
        <v>0.33</v>
      </c>
      <c r="L836" s="3" t="s">
        <v>64</v>
      </c>
      <c r="M836" s="3" t="s">
        <v>82</v>
      </c>
      <c r="N836" s="3" t="s">
        <v>86</v>
      </c>
    </row>
    <row r="837" spans="1:14" x14ac:dyDescent="0.3">
      <c r="A837" s="2">
        <v>44689</v>
      </c>
      <c r="B837" s="2">
        <v>44692</v>
      </c>
      <c r="C837">
        <v>3</v>
      </c>
      <c r="D837" s="3" t="s">
        <v>10</v>
      </c>
      <c r="E837" s="6">
        <v>390</v>
      </c>
      <c r="F837" s="6">
        <v>253.5</v>
      </c>
      <c r="G837">
        <v>5</v>
      </c>
      <c r="H837" s="6">
        <f>SalesData_2[[#This Row],[Unit Price]]*SalesData_2[[#This Row],[Units Sold]]</f>
        <v>1950</v>
      </c>
      <c r="I837" s="6">
        <f>SalesData_2[[#This Row],[Unit Cost]]*SalesData_2[[#This Row],[Units Sold]]</f>
        <v>1267.5</v>
      </c>
      <c r="J837" s="6">
        <f>SalesData_2[[#This Row],[Sales]]-SalesData_2[[#This Row],[COGS]]</f>
        <v>682.5</v>
      </c>
      <c r="K837" s="21">
        <f>SalesData_2[[#This Row],[Revenue]]/SalesData_2[[#This Row],[Sales]]</f>
        <v>0.35</v>
      </c>
      <c r="L837" s="3" t="s">
        <v>73</v>
      </c>
      <c r="M837" s="3" t="s">
        <v>82</v>
      </c>
      <c r="N837" s="3" t="s">
        <v>85</v>
      </c>
    </row>
    <row r="838" spans="1:14" x14ac:dyDescent="0.3">
      <c r="A838" s="2">
        <v>44690</v>
      </c>
      <c r="B838" s="2">
        <v>44693</v>
      </c>
      <c r="C838">
        <v>3</v>
      </c>
      <c r="D838" s="3" t="s">
        <v>2</v>
      </c>
      <c r="E838" s="6">
        <v>250</v>
      </c>
      <c r="F838" s="6">
        <v>187.5</v>
      </c>
      <c r="G838">
        <v>6</v>
      </c>
      <c r="H838" s="6">
        <f>SalesData_2[[#This Row],[Unit Price]]*SalesData_2[[#This Row],[Units Sold]]</f>
        <v>1500</v>
      </c>
      <c r="I838" s="6">
        <f>SalesData_2[[#This Row],[Unit Cost]]*SalesData_2[[#This Row],[Units Sold]]</f>
        <v>1125</v>
      </c>
      <c r="J838" s="6">
        <f>SalesData_2[[#This Row],[Sales]]-SalesData_2[[#This Row],[COGS]]</f>
        <v>375</v>
      </c>
      <c r="K838" s="21">
        <f>SalesData_2[[#This Row],[Revenue]]/SalesData_2[[#This Row],[Sales]]</f>
        <v>0.25</v>
      </c>
      <c r="L838" s="3" t="s">
        <v>49</v>
      </c>
      <c r="M838" s="3" t="s">
        <v>82</v>
      </c>
      <c r="N838" s="3" t="s">
        <v>86</v>
      </c>
    </row>
    <row r="839" spans="1:14" x14ac:dyDescent="0.3">
      <c r="A839" s="2">
        <v>44691</v>
      </c>
      <c r="B839" s="2">
        <v>44697</v>
      </c>
      <c r="C839">
        <v>6</v>
      </c>
      <c r="D839" s="3" t="s">
        <v>18</v>
      </c>
      <c r="E839" s="6">
        <v>80</v>
      </c>
      <c r="F839" s="6">
        <v>48.8</v>
      </c>
      <c r="G839">
        <v>4</v>
      </c>
      <c r="H839" s="6">
        <f>SalesData_2[[#This Row],[Unit Price]]*SalesData_2[[#This Row],[Units Sold]]</f>
        <v>320</v>
      </c>
      <c r="I839" s="6">
        <f>SalesData_2[[#This Row],[Unit Cost]]*SalesData_2[[#This Row],[Units Sold]]</f>
        <v>195.2</v>
      </c>
      <c r="J839" s="6">
        <f>SalesData_2[[#This Row],[Sales]]-SalesData_2[[#This Row],[COGS]]</f>
        <v>124.80000000000001</v>
      </c>
      <c r="K839" s="21">
        <f>SalesData_2[[#This Row],[Revenue]]/SalesData_2[[#This Row],[Sales]]</f>
        <v>0.39</v>
      </c>
      <c r="L839" s="3" t="s">
        <v>47</v>
      </c>
      <c r="M839" s="3" t="s">
        <v>80</v>
      </c>
      <c r="N839" s="3" t="s">
        <v>86</v>
      </c>
    </row>
    <row r="840" spans="1:14" x14ac:dyDescent="0.3">
      <c r="A840" s="2">
        <v>44693</v>
      </c>
      <c r="B840" s="2">
        <v>44699</v>
      </c>
      <c r="C840">
        <v>6</v>
      </c>
      <c r="D840" s="3" t="s">
        <v>23</v>
      </c>
      <c r="E840" s="6">
        <v>275</v>
      </c>
      <c r="F840" s="6">
        <v>200.75</v>
      </c>
      <c r="G840">
        <v>4</v>
      </c>
      <c r="H840" s="6">
        <f>SalesData_2[[#This Row],[Unit Price]]*SalesData_2[[#This Row],[Units Sold]]</f>
        <v>1100</v>
      </c>
      <c r="I840" s="6">
        <f>SalesData_2[[#This Row],[Unit Cost]]*SalesData_2[[#This Row],[Units Sold]]</f>
        <v>803</v>
      </c>
      <c r="J840" s="6">
        <f>SalesData_2[[#This Row],[Sales]]-SalesData_2[[#This Row],[COGS]]</f>
        <v>297</v>
      </c>
      <c r="K840" s="21">
        <f>SalesData_2[[#This Row],[Revenue]]/SalesData_2[[#This Row],[Sales]]</f>
        <v>0.27</v>
      </c>
      <c r="L840" s="3" t="s">
        <v>63</v>
      </c>
      <c r="M840" s="3" t="s">
        <v>81</v>
      </c>
      <c r="N840" s="3" t="s">
        <v>85</v>
      </c>
    </row>
    <row r="841" spans="1:14" x14ac:dyDescent="0.3">
      <c r="A841" s="2">
        <v>44696</v>
      </c>
      <c r="B841" s="2">
        <v>44701</v>
      </c>
      <c r="C841">
        <v>5</v>
      </c>
      <c r="D841" s="3" t="s">
        <v>5</v>
      </c>
      <c r="E841" s="6">
        <v>290</v>
      </c>
      <c r="F841" s="6">
        <v>185.6</v>
      </c>
      <c r="G841">
        <v>5</v>
      </c>
      <c r="H841" s="6">
        <f>SalesData_2[[#This Row],[Unit Price]]*SalesData_2[[#This Row],[Units Sold]]</f>
        <v>1450</v>
      </c>
      <c r="I841" s="6">
        <f>SalesData_2[[#This Row],[Unit Cost]]*SalesData_2[[#This Row],[Units Sold]]</f>
        <v>928</v>
      </c>
      <c r="J841" s="6">
        <f>SalesData_2[[#This Row],[Sales]]-SalesData_2[[#This Row],[COGS]]</f>
        <v>522</v>
      </c>
      <c r="K841" s="21">
        <f>SalesData_2[[#This Row],[Revenue]]/SalesData_2[[#This Row],[Sales]]</f>
        <v>0.36</v>
      </c>
      <c r="L841" s="3" t="s">
        <v>49</v>
      </c>
      <c r="M841" s="3" t="s">
        <v>79</v>
      </c>
      <c r="N841" s="3" t="s">
        <v>85</v>
      </c>
    </row>
    <row r="842" spans="1:14" x14ac:dyDescent="0.3">
      <c r="A842" s="2">
        <v>44696</v>
      </c>
      <c r="B842" s="2">
        <v>44702</v>
      </c>
      <c r="C842">
        <v>6</v>
      </c>
      <c r="D842" s="3" t="s">
        <v>9</v>
      </c>
      <c r="E842" s="6">
        <v>215</v>
      </c>
      <c r="F842" s="6">
        <v>152.65</v>
      </c>
      <c r="G842">
        <v>9</v>
      </c>
      <c r="H842" s="6">
        <f>SalesData_2[[#This Row],[Unit Price]]*SalesData_2[[#This Row],[Units Sold]]</f>
        <v>1935</v>
      </c>
      <c r="I842" s="6">
        <f>SalesData_2[[#This Row],[Unit Cost]]*SalesData_2[[#This Row],[Units Sold]]</f>
        <v>1373.8500000000001</v>
      </c>
      <c r="J842" s="6">
        <f>SalesData_2[[#This Row],[Sales]]-SalesData_2[[#This Row],[COGS]]</f>
        <v>561.14999999999986</v>
      </c>
      <c r="K842" s="21">
        <f>SalesData_2[[#This Row],[Revenue]]/SalesData_2[[#This Row],[Sales]]</f>
        <v>0.28999999999999992</v>
      </c>
      <c r="L842" s="3" t="s">
        <v>44</v>
      </c>
      <c r="M842" s="3" t="s">
        <v>80</v>
      </c>
      <c r="N842" s="3" t="s">
        <v>85</v>
      </c>
    </row>
    <row r="843" spans="1:14" x14ac:dyDescent="0.3">
      <c r="A843" s="2">
        <v>44697</v>
      </c>
      <c r="B843" s="2">
        <v>44701</v>
      </c>
      <c r="C843">
        <v>4</v>
      </c>
      <c r="D843" s="3" t="s">
        <v>22</v>
      </c>
      <c r="E843" s="6">
        <v>460</v>
      </c>
      <c r="F843" s="6">
        <v>303.60000000000002</v>
      </c>
      <c r="G843">
        <v>4</v>
      </c>
      <c r="H843" s="6">
        <f>SalesData_2[[#This Row],[Unit Price]]*SalesData_2[[#This Row],[Units Sold]]</f>
        <v>1840</v>
      </c>
      <c r="I843" s="6">
        <f>SalesData_2[[#This Row],[Unit Cost]]*SalesData_2[[#This Row],[Units Sold]]</f>
        <v>1214.4000000000001</v>
      </c>
      <c r="J843" s="6">
        <f>SalesData_2[[#This Row],[Sales]]-SalesData_2[[#This Row],[COGS]]</f>
        <v>625.59999999999991</v>
      </c>
      <c r="K843" s="21">
        <f>SalesData_2[[#This Row],[Revenue]]/SalesData_2[[#This Row],[Sales]]</f>
        <v>0.33999999999999997</v>
      </c>
      <c r="L843" s="3" t="s">
        <v>33</v>
      </c>
      <c r="M843" s="3" t="s">
        <v>83</v>
      </c>
      <c r="N843" s="3" t="s">
        <v>85</v>
      </c>
    </row>
    <row r="844" spans="1:14" x14ac:dyDescent="0.3">
      <c r="A844" s="2">
        <v>44698</v>
      </c>
      <c r="B844" s="2">
        <v>44701</v>
      </c>
      <c r="C844">
        <v>3</v>
      </c>
      <c r="D844" s="3" t="s">
        <v>20</v>
      </c>
      <c r="E844" s="6">
        <v>440</v>
      </c>
      <c r="F844" s="6">
        <v>286</v>
      </c>
      <c r="G844">
        <v>3</v>
      </c>
      <c r="H844" s="6">
        <f>SalesData_2[[#This Row],[Unit Price]]*SalesData_2[[#This Row],[Units Sold]]</f>
        <v>1320</v>
      </c>
      <c r="I844" s="6">
        <f>SalesData_2[[#This Row],[Unit Cost]]*SalesData_2[[#This Row],[Units Sold]]</f>
        <v>858</v>
      </c>
      <c r="J844" s="6">
        <f>SalesData_2[[#This Row],[Sales]]-SalesData_2[[#This Row],[COGS]]</f>
        <v>462</v>
      </c>
      <c r="K844" s="21">
        <f>SalesData_2[[#This Row],[Revenue]]/SalesData_2[[#This Row],[Sales]]</f>
        <v>0.35</v>
      </c>
      <c r="L844" s="3" t="s">
        <v>33</v>
      </c>
      <c r="M844" s="3" t="s">
        <v>81</v>
      </c>
      <c r="N844" s="3" t="s">
        <v>86</v>
      </c>
    </row>
    <row r="845" spans="1:14" x14ac:dyDescent="0.3">
      <c r="A845" s="2">
        <v>44699</v>
      </c>
      <c r="B845" s="2">
        <v>44705</v>
      </c>
      <c r="C845">
        <v>6</v>
      </c>
      <c r="D845" s="3" t="s">
        <v>19</v>
      </c>
      <c r="E845" s="6">
        <v>220</v>
      </c>
      <c r="F845" s="6">
        <v>154</v>
      </c>
      <c r="G845">
        <v>3</v>
      </c>
      <c r="H845" s="6">
        <f>SalesData_2[[#This Row],[Unit Price]]*SalesData_2[[#This Row],[Units Sold]]</f>
        <v>660</v>
      </c>
      <c r="I845" s="6">
        <f>SalesData_2[[#This Row],[Unit Cost]]*SalesData_2[[#This Row],[Units Sold]]</f>
        <v>462</v>
      </c>
      <c r="J845" s="6">
        <f>SalesData_2[[#This Row],[Sales]]-SalesData_2[[#This Row],[COGS]]</f>
        <v>198</v>
      </c>
      <c r="K845" s="21">
        <f>SalesData_2[[#This Row],[Revenue]]/SalesData_2[[#This Row],[Sales]]</f>
        <v>0.3</v>
      </c>
      <c r="L845" s="3" t="s">
        <v>75</v>
      </c>
      <c r="M845" s="3" t="s">
        <v>80</v>
      </c>
      <c r="N845" s="3" t="s">
        <v>86</v>
      </c>
    </row>
    <row r="846" spans="1:14" x14ac:dyDescent="0.3">
      <c r="A846" s="2">
        <v>44700</v>
      </c>
      <c r="B846" s="2">
        <v>44705</v>
      </c>
      <c r="C846">
        <v>5</v>
      </c>
      <c r="D846" s="3" t="s">
        <v>7</v>
      </c>
      <c r="E846" s="6">
        <v>250</v>
      </c>
      <c r="F846" s="6">
        <v>167.5</v>
      </c>
      <c r="G846">
        <v>4</v>
      </c>
      <c r="H846" s="6">
        <f>SalesData_2[[#This Row],[Unit Price]]*SalesData_2[[#This Row],[Units Sold]]</f>
        <v>1000</v>
      </c>
      <c r="I846" s="6">
        <f>SalesData_2[[#This Row],[Unit Cost]]*SalesData_2[[#This Row],[Units Sold]]</f>
        <v>670</v>
      </c>
      <c r="J846" s="6">
        <f>SalesData_2[[#This Row],[Sales]]-SalesData_2[[#This Row],[COGS]]</f>
        <v>330</v>
      </c>
      <c r="K846" s="21">
        <f>SalesData_2[[#This Row],[Revenue]]/SalesData_2[[#This Row],[Sales]]</f>
        <v>0.33</v>
      </c>
      <c r="L846" s="3" t="s">
        <v>42</v>
      </c>
      <c r="M846" s="3" t="s">
        <v>80</v>
      </c>
      <c r="N846" s="3" t="s">
        <v>86</v>
      </c>
    </row>
    <row r="847" spans="1:14" x14ac:dyDescent="0.3">
      <c r="A847" s="2">
        <v>44702</v>
      </c>
      <c r="B847" s="2">
        <v>44704</v>
      </c>
      <c r="C847">
        <v>2</v>
      </c>
      <c r="D847" s="3" t="s">
        <v>21</v>
      </c>
      <c r="E847" s="6">
        <v>355</v>
      </c>
      <c r="F847" s="6">
        <v>252.05</v>
      </c>
      <c r="G847">
        <v>5</v>
      </c>
      <c r="H847" s="6">
        <f>SalesData_2[[#This Row],[Unit Price]]*SalesData_2[[#This Row],[Units Sold]]</f>
        <v>1775</v>
      </c>
      <c r="I847" s="6">
        <f>SalesData_2[[#This Row],[Unit Cost]]*SalesData_2[[#This Row],[Units Sold]]</f>
        <v>1260.25</v>
      </c>
      <c r="J847" s="6">
        <f>SalesData_2[[#This Row],[Sales]]-SalesData_2[[#This Row],[COGS]]</f>
        <v>514.75</v>
      </c>
      <c r="K847" s="21">
        <f>SalesData_2[[#This Row],[Revenue]]/SalesData_2[[#This Row],[Sales]]</f>
        <v>0.28999999999999998</v>
      </c>
      <c r="L847" s="3" t="s">
        <v>68</v>
      </c>
      <c r="M847" s="3" t="s">
        <v>83</v>
      </c>
      <c r="N847" s="3" t="s">
        <v>86</v>
      </c>
    </row>
    <row r="848" spans="1:14" x14ac:dyDescent="0.3">
      <c r="A848" s="2">
        <v>44702</v>
      </c>
      <c r="B848" s="2">
        <v>44706</v>
      </c>
      <c r="C848">
        <v>4</v>
      </c>
      <c r="D848" s="3" t="s">
        <v>15</v>
      </c>
      <c r="E848" s="6">
        <v>110</v>
      </c>
      <c r="F848" s="6">
        <v>78.099999999999994</v>
      </c>
      <c r="G848">
        <v>1</v>
      </c>
      <c r="H848" s="6">
        <f>SalesData_2[[#This Row],[Unit Price]]*SalesData_2[[#This Row],[Units Sold]]</f>
        <v>110</v>
      </c>
      <c r="I848" s="6">
        <f>SalesData_2[[#This Row],[Unit Cost]]*SalesData_2[[#This Row],[Units Sold]]</f>
        <v>78.099999999999994</v>
      </c>
      <c r="J848" s="6">
        <f>SalesData_2[[#This Row],[Sales]]-SalesData_2[[#This Row],[COGS]]</f>
        <v>31.900000000000006</v>
      </c>
      <c r="K848" s="21">
        <f>SalesData_2[[#This Row],[Revenue]]/SalesData_2[[#This Row],[Sales]]</f>
        <v>0.29000000000000004</v>
      </c>
      <c r="L848" s="3" t="s">
        <v>39</v>
      </c>
      <c r="M848" s="3" t="s">
        <v>79</v>
      </c>
      <c r="N848" s="3" t="s">
        <v>86</v>
      </c>
    </row>
    <row r="849" spans="1:14" x14ac:dyDescent="0.3">
      <c r="A849" s="2">
        <v>44703</v>
      </c>
      <c r="B849" s="2">
        <v>44706</v>
      </c>
      <c r="C849">
        <v>3</v>
      </c>
      <c r="D849" s="3" t="s">
        <v>14</v>
      </c>
      <c r="E849" s="6">
        <v>375</v>
      </c>
      <c r="F849" s="6">
        <v>247.5</v>
      </c>
      <c r="G849">
        <v>5</v>
      </c>
      <c r="H849" s="6">
        <f>SalesData_2[[#This Row],[Unit Price]]*SalesData_2[[#This Row],[Units Sold]]</f>
        <v>1875</v>
      </c>
      <c r="I849" s="6">
        <f>SalesData_2[[#This Row],[Unit Cost]]*SalesData_2[[#This Row],[Units Sold]]</f>
        <v>1237.5</v>
      </c>
      <c r="J849" s="6">
        <f>SalesData_2[[#This Row],[Sales]]-SalesData_2[[#This Row],[COGS]]</f>
        <v>637.5</v>
      </c>
      <c r="K849" s="21">
        <f>SalesData_2[[#This Row],[Revenue]]/SalesData_2[[#This Row],[Sales]]</f>
        <v>0.34</v>
      </c>
      <c r="L849" s="3" t="s">
        <v>49</v>
      </c>
      <c r="M849" s="3" t="s">
        <v>82</v>
      </c>
      <c r="N849" s="3" t="s">
        <v>85</v>
      </c>
    </row>
    <row r="850" spans="1:14" x14ac:dyDescent="0.3">
      <c r="A850" s="2">
        <v>44703</v>
      </c>
      <c r="B850" s="2">
        <v>44708</v>
      </c>
      <c r="C850">
        <v>5</v>
      </c>
      <c r="D850" s="3" t="s">
        <v>7</v>
      </c>
      <c r="E850" s="6">
        <v>250</v>
      </c>
      <c r="F850" s="6">
        <v>167.5</v>
      </c>
      <c r="G850">
        <v>1</v>
      </c>
      <c r="H850" s="6">
        <f>SalesData_2[[#This Row],[Unit Price]]*SalesData_2[[#This Row],[Units Sold]]</f>
        <v>250</v>
      </c>
      <c r="I850" s="6">
        <f>SalesData_2[[#This Row],[Unit Cost]]*SalesData_2[[#This Row],[Units Sold]]</f>
        <v>167.5</v>
      </c>
      <c r="J850" s="6">
        <f>SalesData_2[[#This Row],[Sales]]-SalesData_2[[#This Row],[COGS]]</f>
        <v>82.5</v>
      </c>
      <c r="K850" s="21">
        <f>SalesData_2[[#This Row],[Revenue]]/SalesData_2[[#This Row],[Sales]]</f>
        <v>0.33</v>
      </c>
      <c r="L850" s="3" t="s">
        <v>51</v>
      </c>
      <c r="M850" s="3" t="s">
        <v>82</v>
      </c>
      <c r="N850" s="3" t="s">
        <v>86</v>
      </c>
    </row>
    <row r="851" spans="1:14" x14ac:dyDescent="0.3">
      <c r="A851" s="2">
        <v>44703</v>
      </c>
      <c r="B851" s="2">
        <v>44706</v>
      </c>
      <c r="C851">
        <v>3</v>
      </c>
      <c r="D851" s="3" t="s">
        <v>19</v>
      </c>
      <c r="E851" s="6">
        <v>220</v>
      </c>
      <c r="F851" s="6">
        <v>154</v>
      </c>
      <c r="G851">
        <v>7</v>
      </c>
      <c r="H851" s="6">
        <f>SalesData_2[[#This Row],[Unit Price]]*SalesData_2[[#This Row],[Units Sold]]</f>
        <v>1540</v>
      </c>
      <c r="I851" s="6">
        <f>SalesData_2[[#This Row],[Unit Cost]]*SalesData_2[[#This Row],[Units Sold]]</f>
        <v>1078</v>
      </c>
      <c r="J851" s="6">
        <f>SalesData_2[[#This Row],[Sales]]-SalesData_2[[#This Row],[COGS]]</f>
        <v>462</v>
      </c>
      <c r="K851" s="21">
        <f>SalesData_2[[#This Row],[Revenue]]/SalesData_2[[#This Row],[Sales]]</f>
        <v>0.3</v>
      </c>
      <c r="L851" s="3" t="s">
        <v>74</v>
      </c>
      <c r="M851" s="3" t="s">
        <v>83</v>
      </c>
      <c r="N851" s="3" t="s">
        <v>86</v>
      </c>
    </row>
    <row r="852" spans="1:14" x14ac:dyDescent="0.3">
      <c r="A852" s="2">
        <v>44704</v>
      </c>
      <c r="B852" s="2">
        <v>44706</v>
      </c>
      <c r="C852">
        <v>2</v>
      </c>
      <c r="D852" s="3" t="s">
        <v>8</v>
      </c>
      <c r="E852" s="6">
        <v>59</v>
      </c>
      <c r="F852" s="6">
        <v>41.3</v>
      </c>
      <c r="G852">
        <v>7</v>
      </c>
      <c r="H852" s="6">
        <f>SalesData_2[[#This Row],[Unit Price]]*SalesData_2[[#This Row],[Units Sold]]</f>
        <v>413</v>
      </c>
      <c r="I852" s="6">
        <f>SalesData_2[[#This Row],[Unit Cost]]*SalesData_2[[#This Row],[Units Sold]]</f>
        <v>289.09999999999997</v>
      </c>
      <c r="J852" s="6">
        <f>SalesData_2[[#This Row],[Sales]]-SalesData_2[[#This Row],[COGS]]</f>
        <v>123.90000000000003</v>
      </c>
      <c r="K852" s="21">
        <f>SalesData_2[[#This Row],[Revenue]]/SalesData_2[[#This Row],[Sales]]</f>
        <v>0.3000000000000001</v>
      </c>
      <c r="L852" s="3" t="s">
        <v>73</v>
      </c>
      <c r="M852" s="3" t="s">
        <v>83</v>
      </c>
      <c r="N852" s="3" t="s">
        <v>86</v>
      </c>
    </row>
    <row r="853" spans="1:14" x14ac:dyDescent="0.3">
      <c r="A853" s="2">
        <v>44705</v>
      </c>
      <c r="B853" s="2">
        <v>44711</v>
      </c>
      <c r="C853">
        <v>6</v>
      </c>
      <c r="D853" s="3" t="s">
        <v>14</v>
      </c>
      <c r="E853" s="6">
        <v>375</v>
      </c>
      <c r="F853" s="6">
        <v>247.5</v>
      </c>
      <c r="G853">
        <v>3</v>
      </c>
      <c r="H853" s="6">
        <f>SalesData_2[[#This Row],[Unit Price]]*SalesData_2[[#This Row],[Units Sold]]</f>
        <v>1125</v>
      </c>
      <c r="I853" s="6">
        <f>SalesData_2[[#This Row],[Unit Cost]]*SalesData_2[[#This Row],[Units Sold]]</f>
        <v>742.5</v>
      </c>
      <c r="J853" s="6">
        <f>SalesData_2[[#This Row],[Sales]]-SalesData_2[[#This Row],[COGS]]</f>
        <v>382.5</v>
      </c>
      <c r="K853" s="21">
        <f>SalesData_2[[#This Row],[Revenue]]/SalesData_2[[#This Row],[Sales]]</f>
        <v>0.34</v>
      </c>
      <c r="L853" s="3" t="s">
        <v>34</v>
      </c>
      <c r="M853" s="3" t="s">
        <v>81</v>
      </c>
      <c r="N853" s="3" t="s">
        <v>86</v>
      </c>
    </row>
    <row r="854" spans="1:14" x14ac:dyDescent="0.3">
      <c r="A854" s="2">
        <v>44705</v>
      </c>
      <c r="B854" s="2">
        <v>44706</v>
      </c>
      <c r="C854">
        <v>1</v>
      </c>
      <c r="D854" s="3" t="s">
        <v>20</v>
      </c>
      <c r="E854" s="6">
        <v>440</v>
      </c>
      <c r="F854" s="6">
        <v>286</v>
      </c>
      <c r="G854">
        <v>8</v>
      </c>
      <c r="H854" s="6">
        <f>SalesData_2[[#This Row],[Unit Price]]*SalesData_2[[#This Row],[Units Sold]]</f>
        <v>3520</v>
      </c>
      <c r="I854" s="6">
        <f>SalesData_2[[#This Row],[Unit Cost]]*SalesData_2[[#This Row],[Units Sold]]</f>
        <v>2288</v>
      </c>
      <c r="J854" s="6">
        <f>SalesData_2[[#This Row],[Sales]]-SalesData_2[[#This Row],[COGS]]</f>
        <v>1232</v>
      </c>
      <c r="K854" s="21">
        <f>SalesData_2[[#This Row],[Revenue]]/SalesData_2[[#This Row],[Sales]]</f>
        <v>0.35</v>
      </c>
      <c r="L854" s="3" t="s">
        <v>56</v>
      </c>
      <c r="M854" s="3" t="s">
        <v>80</v>
      </c>
      <c r="N854" s="3" t="s">
        <v>86</v>
      </c>
    </row>
    <row r="855" spans="1:14" x14ac:dyDescent="0.3">
      <c r="A855" s="2">
        <v>44707</v>
      </c>
      <c r="B855" s="2">
        <v>44710</v>
      </c>
      <c r="C855">
        <v>3</v>
      </c>
      <c r="D855" s="3" t="s">
        <v>18</v>
      </c>
      <c r="E855" s="6">
        <v>80</v>
      </c>
      <c r="F855" s="6">
        <v>48.8</v>
      </c>
      <c r="G855">
        <v>4</v>
      </c>
      <c r="H855" s="6">
        <f>SalesData_2[[#This Row],[Unit Price]]*SalesData_2[[#This Row],[Units Sold]]</f>
        <v>320</v>
      </c>
      <c r="I855" s="6">
        <f>SalesData_2[[#This Row],[Unit Cost]]*SalesData_2[[#This Row],[Units Sold]]</f>
        <v>195.2</v>
      </c>
      <c r="J855" s="6">
        <f>SalesData_2[[#This Row],[Sales]]-SalesData_2[[#This Row],[COGS]]</f>
        <v>124.80000000000001</v>
      </c>
      <c r="K855" s="21">
        <f>SalesData_2[[#This Row],[Revenue]]/SalesData_2[[#This Row],[Sales]]</f>
        <v>0.39</v>
      </c>
      <c r="L855" s="3" t="s">
        <v>60</v>
      </c>
      <c r="M855" s="3" t="s">
        <v>82</v>
      </c>
      <c r="N855" s="3" t="s">
        <v>86</v>
      </c>
    </row>
    <row r="856" spans="1:14" x14ac:dyDescent="0.3">
      <c r="A856" s="2">
        <v>44708</v>
      </c>
      <c r="B856" s="2">
        <v>44713</v>
      </c>
      <c r="C856">
        <v>5</v>
      </c>
      <c r="D856" s="3" t="s">
        <v>15</v>
      </c>
      <c r="E856" s="6">
        <v>110</v>
      </c>
      <c r="F856" s="6">
        <v>78.099999999999994</v>
      </c>
      <c r="G856">
        <v>1</v>
      </c>
      <c r="H856" s="6">
        <f>SalesData_2[[#This Row],[Unit Price]]*SalesData_2[[#This Row],[Units Sold]]</f>
        <v>110</v>
      </c>
      <c r="I856" s="6">
        <f>SalesData_2[[#This Row],[Unit Cost]]*SalesData_2[[#This Row],[Units Sold]]</f>
        <v>78.099999999999994</v>
      </c>
      <c r="J856" s="6">
        <f>SalesData_2[[#This Row],[Sales]]-SalesData_2[[#This Row],[COGS]]</f>
        <v>31.900000000000006</v>
      </c>
      <c r="K856" s="21">
        <f>SalesData_2[[#This Row],[Revenue]]/SalesData_2[[#This Row],[Sales]]</f>
        <v>0.29000000000000004</v>
      </c>
      <c r="L856" s="3" t="s">
        <v>32</v>
      </c>
      <c r="M856" s="3" t="s">
        <v>83</v>
      </c>
      <c r="N856" s="3" t="s">
        <v>85</v>
      </c>
    </row>
    <row r="857" spans="1:14" x14ac:dyDescent="0.3">
      <c r="A857" s="2">
        <v>44708</v>
      </c>
      <c r="B857" s="2">
        <v>44710</v>
      </c>
      <c r="C857">
        <v>2</v>
      </c>
      <c r="D857" s="3" t="s">
        <v>9</v>
      </c>
      <c r="E857" s="6">
        <v>215</v>
      </c>
      <c r="F857" s="6">
        <v>152.65</v>
      </c>
      <c r="G857">
        <v>5</v>
      </c>
      <c r="H857" s="6">
        <f>SalesData_2[[#This Row],[Unit Price]]*SalesData_2[[#This Row],[Units Sold]]</f>
        <v>1075</v>
      </c>
      <c r="I857" s="6">
        <f>SalesData_2[[#This Row],[Unit Cost]]*SalesData_2[[#This Row],[Units Sold]]</f>
        <v>763.25</v>
      </c>
      <c r="J857" s="6">
        <f>SalesData_2[[#This Row],[Sales]]-SalesData_2[[#This Row],[COGS]]</f>
        <v>311.75</v>
      </c>
      <c r="K857" s="21">
        <f>SalesData_2[[#This Row],[Revenue]]/SalesData_2[[#This Row],[Sales]]</f>
        <v>0.28999999999999998</v>
      </c>
      <c r="L857" s="3" t="s">
        <v>70</v>
      </c>
      <c r="M857" s="3" t="s">
        <v>79</v>
      </c>
      <c r="N857" s="3" t="s">
        <v>86</v>
      </c>
    </row>
    <row r="858" spans="1:14" x14ac:dyDescent="0.3">
      <c r="A858" s="2">
        <v>44708</v>
      </c>
      <c r="B858" s="2">
        <v>44715</v>
      </c>
      <c r="C858">
        <v>7</v>
      </c>
      <c r="D858" s="3" t="s">
        <v>20</v>
      </c>
      <c r="E858" s="6">
        <v>440</v>
      </c>
      <c r="F858" s="6">
        <v>286</v>
      </c>
      <c r="G858">
        <v>9</v>
      </c>
      <c r="H858" s="6">
        <f>SalesData_2[[#This Row],[Unit Price]]*SalesData_2[[#This Row],[Units Sold]]</f>
        <v>3960</v>
      </c>
      <c r="I858" s="6">
        <f>SalesData_2[[#This Row],[Unit Cost]]*SalesData_2[[#This Row],[Units Sold]]</f>
        <v>2574</v>
      </c>
      <c r="J858" s="6">
        <f>SalesData_2[[#This Row],[Sales]]-SalesData_2[[#This Row],[COGS]]</f>
        <v>1386</v>
      </c>
      <c r="K858" s="21">
        <f>SalesData_2[[#This Row],[Revenue]]/SalesData_2[[#This Row],[Sales]]</f>
        <v>0.35</v>
      </c>
      <c r="L858" s="3" t="s">
        <v>71</v>
      </c>
      <c r="M858" s="3" t="s">
        <v>81</v>
      </c>
      <c r="N858" s="3" t="s">
        <v>85</v>
      </c>
    </row>
    <row r="859" spans="1:14" x14ac:dyDescent="0.3">
      <c r="A859" s="2">
        <v>44709</v>
      </c>
      <c r="B859" s="2">
        <v>44715</v>
      </c>
      <c r="C859">
        <v>6</v>
      </c>
      <c r="D859" s="3" t="s">
        <v>17</v>
      </c>
      <c r="E859" s="6">
        <v>195</v>
      </c>
      <c r="F859" s="6">
        <v>138.44999999999999</v>
      </c>
      <c r="G859">
        <v>8</v>
      </c>
      <c r="H859" s="6">
        <f>SalesData_2[[#This Row],[Unit Price]]*SalesData_2[[#This Row],[Units Sold]]</f>
        <v>1560</v>
      </c>
      <c r="I859" s="6">
        <f>SalesData_2[[#This Row],[Unit Cost]]*SalesData_2[[#This Row],[Units Sold]]</f>
        <v>1107.5999999999999</v>
      </c>
      <c r="J859" s="6">
        <f>SalesData_2[[#This Row],[Sales]]-SalesData_2[[#This Row],[COGS]]</f>
        <v>452.40000000000009</v>
      </c>
      <c r="K859" s="21">
        <f>SalesData_2[[#This Row],[Revenue]]/SalesData_2[[#This Row],[Sales]]</f>
        <v>0.29000000000000004</v>
      </c>
      <c r="L859" s="3" t="s">
        <v>58</v>
      </c>
      <c r="M859" s="3" t="s">
        <v>80</v>
      </c>
      <c r="N859" s="3" t="s">
        <v>85</v>
      </c>
    </row>
    <row r="860" spans="1:14" x14ac:dyDescent="0.3">
      <c r="A860" s="2">
        <v>44710</v>
      </c>
      <c r="B860" s="2">
        <v>44716</v>
      </c>
      <c r="C860">
        <v>6</v>
      </c>
      <c r="D860" s="3" t="s">
        <v>6</v>
      </c>
      <c r="E860" s="6">
        <v>99</v>
      </c>
      <c r="F860" s="6">
        <v>62.37</v>
      </c>
      <c r="G860">
        <v>7</v>
      </c>
      <c r="H860" s="6">
        <f>SalesData_2[[#This Row],[Unit Price]]*SalesData_2[[#This Row],[Units Sold]]</f>
        <v>693</v>
      </c>
      <c r="I860" s="6">
        <f>SalesData_2[[#This Row],[Unit Cost]]*SalesData_2[[#This Row],[Units Sold]]</f>
        <v>436.59</v>
      </c>
      <c r="J860" s="6">
        <f>SalesData_2[[#This Row],[Sales]]-SalesData_2[[#This Row],[COGS]]</f>
        <v>256.41000000000003</v>
      </c>
      <c r="K860" s="21">
        <f>SalesData_2[[#This Row],[Revenue]]/SalesData_2[[#This Row],[Sales]]</f>
        <v>0.37000000000000005</v>
      </c>
      <c r="L860" s="3" t="s">
        <v>55</v>
      </c>
      <c r="M860" s="3" t="s">
        <v>83</v>
      </c>
      <c r="N860" s="3" t="s">
        <v>85</v>
      </c>
    </row>
    <row r="861" spans="1:14" x14ac:dyDescent="0.3">
      <c r="A861" s="2">
        <v>44710</v>
      </c>
      <c r="B861" s="2">
        <v>44716</v>
      </c>
      <c r="C861">
        <v>6</v>
      </c>
      <c r="D861" s="3" t="s">
        <v>22</v>
      </c>
      <c r="E861" s="6">
        <v>460</v>
      </c>
      <c r="F861" s="6">
        <v>303.60000000000002</v>
      </c>
      <c r="G861">
        <v>8</v>
      </c>
      <c r="H861" s="6">
        <f>SalesData_2[[#This Row],[Unit Price]]*SalesData_2[[#This Row],[Units Sold]]</f>
        <v>3680</v>
      </c>
      <c r="I861" s="6">
        <f>SalesData_2[[#This Row],[Unit Cost]]*SalesData_2[[#This Row],[Units Sold]]</f>
        <v>2428.8000000000002</v>
      </c>
      <c r="J861" s="6">
        <f>SalesData_2[[#This Row],[Sales]]-SalesData_2[[#This Row],[COGS]]</f>
        <v>1251.1999999999998</v>
      </c>
      <c r="K861" s="21">
        <f>SalesData_2[[#This Row],[Revenue]]/SalesData_2[[#This Row],[Sales]]</f>
        <v>0.33999999999999997</v>
      </c>
      <c r="L861" s="3" t="s">
        <v>40</v>
      </c>
      <c r="M861" s="3" t="s">
        <v>82</v>
      </c>
      <c r="N861" s="3" t="s">
        <v>85</v>
      </c>
    </row>
    <row r="862" spans="1:14" x14ac:dyDescent="0.3">
      <c r="A862" s="2">
        <v>44711</v>
      </c>
      <c r="B862" s="2">
        <v>44717</v>
      </c>
      <c r="C862">
        <v>6</v>
      </c>
      <c r="D862" s="3" t="s">
        <v>6</v>
      </c>
      <c r="E862" s="6">
        <v>99</v>
      </c>
      <c r="F862" s="6">
        <v>62.37</v>
      </c>
      <c r="G862">
        <v>8</v>
      </c>
      <c r="H862" s="6">
        <f>SalesData_2[[#This Row],[Unit Price]]*SalesData_2[[#This Row],[Units Sold]]</f>
        <v>792</v>
      </c>
      <c r="I862" s="6">
        <f>SalesData_2[[#This Row],[Unit Cost]]*SalesData_2[[#This Row],[Units Sold]]</f>
        <v>498.96</v>
      </c>
      <c r="J862" s="6">
        <f>SalesData_2[[#This Row],[Sales]]-SalesData_2[[#This Row],[COGS]]</f>
        <v>293.04000000000002</v>
      </c>
      <c r="K862" s="21">
        <f>SalesData_2[[#This Row],[Revenue]]/SalesData_2[[#This Row],[Sales]]</f>
        <v>0.37000000000000005</v>
      </c>
      <c r="L862" s="3" t="s">
        <v>74</v>
      </c>
      <c r="M862" s="3" t="s">
        <v>79</v>
      </c>
      <c r="N862" s="3" t="s">
        <v>85</v>
      </c>
    </row>
    <row r="863" spans="1:14" x14ac:dyDescent="0.3">
      <c r="A863" s="2">
        <v>44711</v>
      </c>
      <c r="B863" s="2">
        <v>44712</v>
      </c>
      <c r="C863">
        <v>1</v>
      </c>
      <c r="D863" s="3" t="s">
        <v>23</v>
      </c>
      <c r="E863" s="6">
        <v>275</v>
      </c>
      <c r="F863" s="6">
        <v>200.75</v>
      </c>
      <c r="G863">
        <v>6</v>
      </c>
      <c r="H863" s="6">
        <f>SalesData_2[[#This Row],[Unit Price]]*SalesData_2[[#This Row],[Units Sold]]</f>
        <v>1650</v>
      </c>
      <c r="I863" s="6">
        <f>SalesData_2[[#This Row],[Unit Cost]]*SalesData_2[[#This Row],[Units Sold]]</f>
        <v>1204.5</v>
      </c>
      <c r="J863" s="6">
        <f>SalesData_2[[#This Row],[Sales]]-SalesData_2[[#This Row],[COGS]]</f>
        <v>445.5</v>
      </c>
      <c r="K863" s="21">
        <f>SalesData_2[[#This Row],[Revenue]]/SalesData_2[[#This Row],[Sales]]</f>
        <v>0.27</v>
      </c>
      <c r="L863" s="3" t="s">
        <v>63</v>
      </c>
      <c r="M863" s="3" t="s">
        <v>80</v>
      </c>
      <c r="N863" s="3" t="s">
        <v>86</v>
      </c>
    </row>
    <row r="864" spans="1:14" x14ac:dyDescent="0.3">
      <c r="A864" s="2">
        <v>44711</v>
      </c>
      <c r="B864" s="2">
        <v>44718</v>
      </c>
      <c r="C864">
        <v>7</v>
      </c>
      <c r="D864" s="3" t="s">
        <v>3</v>
      </c>
      <c r="E864" s="6">
        <v>95</v>
      </c>
      <c r="F864" s="6">
        <v>60.8</v>
      </c>
      <c r="G864">
        <v>2</v>
      </c>
      <c r="H864" s="6">
        <f>SalesData_2[[#This Row],[Unit Price]]*SalesData_2[[#This Row],[Units Sold]]</f>
        <v>190</v>
      </c>
      <c r="I864" s="6">
        <f>SalesData_2[[#This Row],[Unit Cost]]*SalesData_2[[#This Row],[Units Sold]]</f>
        <v>121.6</v>
      </c>
      <c r="J864" s="6">
        <f>SalesData_2[[#This Row],[Sales]]-SalesData_2[[#This Row],[COGS]]</f>
        <v>68.400000000000006</v>
      </c>
      <c r="K864" s="21">
        <f>SalesData_2[[#This Row],[Revenue]]/SalesData_2[[#This Row],[Sales]]</f>
        <v>0.36000000000000004</v>
      </c>
      <c r="L864" s="3" t="s">
        <v>49</v>
      </c>
      <c r="M864" s="3" t="s">
        <v>83</v>
      </c>
      <c r="N864" s="3" t="s">
        <v>86</v>
      </c>
    </row>
    <row r="865" spans="1:14" x14ac:dyDescent="0.3">
      <c r="A865" s="2">
        <v>44713</v>
      </c>
      <c r="B865" s="2">
        <v>44715</v>
      </c>
      <c r="C865">
        <v>2</v>
      </c>
      <c r="D865" s="3" t="s">
        <v>10</v>
      </c>
      <c r="E865" s="6">
        <v>390</v>
      </c>
      <c r="F865" s="6">
        <v>253.5</v>
      </c>
      <c r="G865">
        <v>8</v>
      </c>
      <c r="H865" s="6">
        <f>SalesData_2[[#This Row],[Unit Price]]*SalesData_2[[#This Row],[Units Sold]]</f>
        <v>3120</v>
      </c>
      <c r="I865" s="6">
        <f>SalesData_2[[#This Row],[Unit Cost]]*SalesData_2[[#This Row],[Units Sold]]</f>
        <v>2028</v>
      </c>
      <c r="J865" s="6">
        <f>SalesData_2[[#This Row],[Sales]]-SalesData_2[[#This Row],[COGS]]</f>
        <v>1092</v>
      </c>
      <c r="K865" s="21">
        <f>SalesData_2[[#This Row],[Revenue]]/SalesData_2[[#This Row],[Sales]]</f>
        <v>0.35</v>
      </c>
      <c r="L865" s="3" t="s">
        <v>76</v>
      </c>
      <c r="M865" s="3" t="s">
        <v>79</v>
      </c>
      <c r="N865" s="3" t="s">
        <v>86</v>
      </c>
    </row>
    <row r="866" spans="1:14" x14ac:dyDescent="0.3">
      <c r="A866" s="2">
        <v>44714</v>
      </c>
      <c r="B866" s="2">
        <v>44720</v>
      </c>
      <c r="C866">
        <v>6</v>
      </c>
      <c r="D866" s="3" t="s">
        <v>14</v>
      </c>
      <c r="E866" s="6">
        <v>375</v>
      </c>
      <c r="F866" s="6">
        <v>247.5</v>
      </c>
      <c r="G866">
        <v>2</v>
      </c>
      <c r="H866" s="6">
        <f>SalesData_2[[#This Row],[Unit Price]]*SalesData_2[[#This Row],[Units Sold]]</f>
        <v>750</v>
      </c>
      <c r="I866" s="6">
        <f>SalesData_2[[#This Row],[Unit Cost]]*SalesData_2[[#This Row],[Units Sold]]</f>
        <v>495</v>
      </c>
      <c r="J866" s="6">
        <f>SalesData_2[[#This Row],[Sales]]-SalesData_2[[#This Row],[COGS]]</f>
        <v>255</v>
      </c>
      <c r="K866" s="21">
        <f>SalesData_2[[#This Row],[Revenue]]/SalesData_2[[#This Row],[Sales]]</f>
        <v>0.34</v>
      </c>
      <c r="L866" s="3" t="s">
        <v>32</v>
      </c>
      <c r="M866" s="3" t="s">
        <v>79</v>
      </c>
      <c r="N866" s="3" t="s">
        <v>85</v>
      </c>
    </row>
    <row r="867" spans="1:14" x14ac:dyDescent="0.3">
      <c r="A867" s="2">
        <v>44715</v>
      </c>
      <c r="B867" s="2">
        <v>44719</v>
      </c>
      <c r="C867">
        <v>4</v>
      </c>
      <c r="D867" s="3" t="s">
        <v>16</v>
      </c>
      <c r="E867" s="6">
        <v>145</v>
      </c>
      <c r="F867" s="6">
        <v>105.85</v>
      </c>
      <c r="G867">
        <v>1</v>
      </c>
      <c r="H867" s="6">
        <f>SalesData_2[[#This Row],[Unit Price]]*SalesData_2[[#This Row],[Units Sold]]</f>
        <v>145</v>
      </c>
      <c r="I867" s="6">
        <f>SalesData_2[[#This Row],[Unit Cost]]*SalesData_2[[#This Row],[Units Sold]]</f>
        <v>105.85</v>
      </c>
      <c r="J867" s="6">
        <f>SalesData_2[[#This Row],[Sales]]-SalesData_2[[#This Row],[COGS]]</f>
        <v>39.150000000000006</v>
      </c>
      <c r="K867" s="21">
        <f>SalesData_2[[#This Row],[Revenue]]/SalesData_2[[#This Row],[Sales]]</f>
        <v>0.27</v>
      </c>
      <c r="L867" s="3" t="s">
        <v>55</v>
      </c>
      <c r="M867" s="3" t="s">
        <v>81</v>
      </c>
      <c r="N867" s="3" t="s">
        <v>86</v>
      </c>
    </row>
    <row r="868" spans="1:14" x14ac:dyDescent="0.3">
      <c r="A868" s="2">
        <v>44717</v>
      </c>
      <c r="B868" s="2">
        <v>44723</v>
      </c>
      <c r="C868">
        <v>6</v>
      </c>
      <c r="D868" s="3" t="s">
        <v>10</v>
      </c>
      <c r="E868" s="6">
        <v>390</v>
      </c>
      <c r="F868" s="6">
        <v>253.5</v>
      </c>
      <c r="G868">
        <v>8</v>
      </c>
      <c r="H868" s="6">
        <f>SalesData_2[[#This Row],[Unit Price]]*SalesData_2[[#This Row],[Units Sold]]</f>
        <v>3120</v>
      </c>
      <c r="I868" s="6">
        <f>SalesData_2[[#This Row],[Unit Cost]]*SalesData_2[[#This Row],[Units Sold]]</f>
        <v>2028</v>
      </c>
      <c r="J868" s="6">
        <f>SalesData_2[[#This Row],[Sales]]-SalesData_2[[#This Row],[COGS]]</f>
        <v>1092</v>
      </c>
      <c r="K868" s="21">
        <f>SalesData_2[[#This Row],[Revenue]]/SalesData_2[[#This Row],[Sales]]</f>
        <v>0.35</v>
      </c>
      <c r="L868" s="3" t="s">
        <v>46</v>
      </c>
      <c r="M868" s="3" t="s">
        <v>79</v>
      </c>
      <c r="N868" s="3" t="s">
        <v>86</v>
      </c>
    </row>
    <row r="869" spans="1:14" x14ac:dyDescent="0.3">
      <c r="A869" s="2">
        <v>44718</v>
      </c>
      <c r="B869" s="2">
        <v>44721</v>
      </c>
      <c r="C869">
        <v>3</v>
      </c>
      <c r="D869" s="3" t="s">
        <v>7</v>
      </c>
      <c r="E869" s="6">
        <v>250</v>
      </c>
      <c r="F869" s="6">
        <v>167.5</v>
      </c>
      <c r="G869">
        <v>9</v>
      </c>
      <c r="H869" s="6">
        <f>SalesData_2[[#This Row],[Unit Price]]*SalesData_2[[#This Row],[Units Sold]]</f>
        <v>2250</v>
      </c>
      <c r="I869" s="6">
        <f>SalesData_2[[#This Row],[Unit Cost]]*SalesData_2[[#This Row],[Units Sold]]</f>
        <v>1507.5</v>
      </c>
      <c r="J869" s="6">
        <f>SalesData_2[[#This Row],[Sales]]-SalesData_2[[#This Row],[COGS]]</f>
        <v>742.5</v>
      </c>
      <c r="K869" s="21">
        <f>SalesData_2[[#This Row],[Revenue]]/SalesData_2[[#This Row],[Sales]]</f>
        <v>0.33</v>
      </c>
      <c r="L869" s="3" t="s">
        <v>35</v>
      </c>
      <c r="M869" s="3" t="s">
        <v>82</v>
      </c>
      <c r="N869" s="3" t="s">
        <v>86</v>
      </c>
    </row>
    <row r="870" spans="1:14" x14ac:dyDescent="0.3">
      <c r="A870" s="2">
        <v>44718</v>
      </c>
      <c r="B870" s="2">
        <v>44719</v>
      </c>
      <c r="C870">
        <v>1</v>
      </c>
      <c r="D870" s="3" t="s">
        <v>21</v>
      </c>
      <c r="E870" s="6">
        <v>355</v>
      </c>
      <c r="F870" s="6">
        <v>252.05</v>
      </c>
      <c r="G870">
        <v>8</v>
      </c>
      <c r="H870" s="6">
        <f>SalesData_2[[#This Row],[Unit Price]]*SalesData_2[[#This Row],[Units Sold]]</f>
        <v>2840</v>
      </c>
      <c r="I870" s="6">
        <f>SalesData_2[[#This Row],[Unit Cost]]*SalesData_2[[#This Row],[Units Sold]]</f>
        <v>2016.4</v>
      </c>
      <c r="J870" s="6">
        <f>SalesData_2[[#This Row],[Sales]]-SalesData_2[[#This Row],[COGS]]</f>
        <v>823.59999999999991</v>
      </c>
      <c r="K870" s="21">
        <f>SalesData_2[[#This Row],[Revenue]]/SalesData_2[[#This Row],[Sales]]</f>
        <v>0.28999999999999998</v>
      </c>
      <c r="L870" s="3" t="s">
        <v>47</v>
      </c>
      <c r="M870" s="3" t="s">
        <v>79</v>
      </c>
      <c r="N870" s="3" t="s">
        <v>86</v>
      </c>
    </row>
    <row r="871" spans="1:14" x14ac:dyDescent="0.3">
      <c r="A871" s="2">
        <v>44719</v>
      </c>
      <c r="B871" s="2">
        <v>44724</v>
      </c>
      <c r="C871">
        <v>5</v>
      </c>
      <c r="D871" s="3" t="s">
        <v>23</v>
      </c>
      <c r="E871" s="6">
        <v>275</v>
      </c>
      <c r="F871" s="6">
        <v>200.75</v>
      </c>
      <c r="G871">
        <v>4</v>
      </c>
      <c r="H871" s="6">
        <f>SalesData_2[[#This Row],[Unit Price]]*SalesData_2[[#This Row],[Units Sold]]</f>
        <v>1100</v>
      </c>
      <c r="I871" s="6">
        <f>SalesData_2[[#This Row],[Unit Cost]]*SalesData_2[[#This Row],[Units Sold]]</f>
        <v>803</v>
      </c>
      <c r="J871" s="6">
        <f>SalesData_2[[#This Row],[Sales]]-SalesData_2[[#This Row],[COGS]]</f>
        <v>297</v>
      </c>
      <c r="K871" s="21">
        <f>SalesData_2[[#This Row],[Revenue]]/SalesData_2[[#This Row],[Sales]]</f>
        <v>0.27</v>
      </c>
      <c r="L871" s="3" t="s">
        <v>73</v>
      </c>
      <c r="M871" s="3" t="s">
        <v>82</v>
      </c>
      <c r="N871" s="3" t="s">
        <v>85</v>
      </c>
    </row>
    <row r="872" spans="1:14" x14ac:dyDescent="0.3">
      <c r="A872" s="2">
        <v>44720</v>
      </c>
      <c r="B872" s="2">
        <v>44722</v>
      </c>
      <c r="C872">
        <v>2</v>
      </c>
      <c r="D872" s="3" t="s">
        <v>7</v>
      </c>
      <c r="E872" s="6">
        <v>250</v>
      </c>
      <c r="F872" s="6">
        <v>167.5</v>
      </c>
      <c r="G872">
        <v>2</v>
      </c>
      <c r="H872" s="6">
        <f>SalesData_2[[#This Row],[Unit Price]]*SalesData_2[[#This Row],[Units Sold]]</f>
        <v>500</v>
      </c>
      <c r="I872" s="6">
        <f>SalesData_2[[#This Row],[Unit Cost]]*SalesData_2[[#This Row],[Units Sold]]</f>
        <v>335</v>
      </c>
      <c r="J872" s="6">
        <f>SalesData_2[[#This Row],[Sales]]-SalesData_2[[#This Row],[COGS]]</f>
        <v>165</v>
      </c>
      <c r="K872" s="21">
        <f>SalesData_2[[#This Row],[Revenue]]/SalesData_2[[#This Row],[Sales]]</f>
        <v>0.33</v>
      </c>
      <c r="L872" s="3" t="s">
        <v>39</v>
      </c>
      <c r="M872" s="3" t="s">
        <v>82</v>
      </c>
      <c r="N872" s="3" t="s">
        <v>85</v>
      </c>
    </row>
    <row r="873" spans="1:14" x14ac:dyDescent="0.3">
      <c r="A873" s="2">
        <v>44720</v>
      </c>
      <c r="B873" s="2">
        <v>44726</v>
      </c>
      <c r="C873">
        <v>6</v>
      </c>
      <c r="D873" s="3" t="s">
        <v>23</v>
      </c>
      <c r="E873" s="6">
        <v>275</v>
      </c>
      <c r="F873" s="6">
        <v>200.75</v>
      </c>
      <c r="G873">
        <v>2</v>
      </c>
      <c r="H873" s="6">
        <f>SalesData_2[[#This Row],[Unit Price]]*SalesData_2[[#This Row],[Units Sold]]</f>
        <v>550</v>
      </c>
      <c r="I873" s="6">
        <f>SalesData_2[[#This Row],[Unit Cost]]*SalesData_2[[#This Row],[Units Sold]]</f>
        <v>401.5</v>
      </c>
      <c r="J873" s="6">
        <f>SalesData_2[[#This Row],[Sales]]-SalesData_2[[#This Row],[COGS]]</f>
        <v>148.5</v>
      </c>
      <c r="K873" s="21">
        <f>SalesData_2[[#This Row],[Revenue]]/SalesData_2[[#This Row],[Sales]]</f>
        <v>0.27</v>
      </c>
      <c r="L873" s="3" t="s">
        <v>51</v>
      </c>
      <c r="M873" s="3" t="s">
        <v>81</v>
      </c>
      <c r="N873" s="3" t="s">
        <v>86</v>
      </c>
    </row>
    <row r="874" spans="1:14" x14ac:dyDescent="0.3">
      <c r="A874" s="2">
        <v>44721</v>
      </c>
      <c r="B874" s="2">
        <v>44723</v>
      </c>
      <c r="C874">
        <v>2</v>
      </c>
      <c r="D874" s="3" t="s">
        <v>7</v>
      </c>
      <c r="E874" s="6">
        <v>250</v>
      </c>
      <c r="F874" s="6">
        <v>167.5</v>
      </c>
      <c r="G874">
        <v>9</v>
      </c>
      <c r="H874" s="6">
        <f>SalesData_2[[#This Row],[Unit Price]]*SalesData_2[[#This Row],[Units Sold]]</f>
        <v>2250</v>
      </c>
      <c r="I874" s="6">
        <f>SalesData_2[[#This Row],[Unit Cost]]*SalesData_2[[#This Row],[Units Sold]]</f>
        <v>1507.5</v>
      </c>
      <c r="J874" s="6">
        <f>SalesData_2[[#This Row],[Sales]]-SalesData_2[[#This Row],[COGS]]</f>
        <v>742.5</v>
      </c>
      <c r="K874" s="21">
        <f>SalesData_2[[#This Row],[Revenue]]/SalesData_2[[#This Row],[Sales]]</f>
        <v>0.33</v>
      </c>
      <c r="L874" s="3" t="s">
        <v>38</v>
      </c>
      <c r="M874" s="3" t="s">
        <v>80</v>
      </c>
      <c r="N874" s="3" t="s">
        <v>85</v>
      </c>
    </row>
    <row r="875" spans="1:14" x14ac:dyDescent="0.3">
      <c r="A875" s="2">
        <v>44722</v>
      </c>
      <c r="B875" s="2">
        <v>44726</v>
      </c>
      <c r="C875">
        <v>4</v>
      </c>
      <c r="D875" s="3" t="s">
        <v>6</v>
      </c>
      <c r="E875" s="6">
        <v>99</v>
      </c>
      <c r="F875" s="6">
        <v>62.37</v>
      </c>
      <c r="G875">
        <v>8</v>
      </c>
      <c r="H875" s="6">
        <f>SalesData_2[[#This Row],[Unit Price]]*SalesData_2[[#This Row],[Units Sold]]</f>
        <v>792</v>
      </c>
      <c r="I875" s="6">
        <f>SalesData_2[[#This Row],[Unit Cost]]*SalesData_2[[#This Row],[Units Sold]]</f>
        <v>498.96</v>
      </c>
      <c r="J875" s="6">
        <f>SalesData_2[[#This Row],[Sales]]-SalesData_2[[#This Row],[COGS]]</f>
        <v>293.04000000000002</v>
      </c>
      <c r="K875" s="21">
        <f>SalesData_2[[#This Row],[Revenue]]/SalesData_2[[#This Row],[Sales]]</f>
        <v>0.37000000000000005</v>
      </c>
      <c r="L875" s="3" t="s">
        <v>64</v>
      </c>
      <c r="M875" s="3" t="s">
        <v>79</v>
      </c>
      <c r="N875" s="3" t="s">
        <v>86</v>
      </c>
    </row>
    <row r="876" spans="1:14" x14ac:dyDescent="0.3">
      <c r="A876" s="2">
        <v>44723</v>
      </c>
      <c r="B876" s="2">
        <v>44726</v>
      </c>
      <c r="C876">
        <v>3</v>
      </c>
      <c r="D876" s="3" t="s">
        <v>18</v>
      </c>
      <c r="E876" s="6">
        <v>80</v>
      </c>
      <c r="F876" s="6">
        <v>48.8</v>
      </c>
      <c r="G876">
        <v>1</v>
      </c>
      <c r="H876" s="6">
        <f>SalesData_2[[#This Row],[Unit Price]]*SalesData_2[[#This Row],[Units Sold]]</f>
        <v>80</v>
      </c>
      <c r="I876" s="6">
        <f>SalesData_2[[#This Row],[Unit Cost]]*SalesData_2[[#This Row],[Units Sold]]</f>
        <v>48.8</v>
      </c>
      <c r="J876" s="6">
        <f>SalesData_2[[#This Row],[Sales]]-SalesData_2[[#This Row],[COGS]]</f>
        <v>31.200000000000003</v>
      </c>
      <c r="K876" s="21">
        <f>SalesData_2[[#This Row],[Revenue]]/SalesData_2[[#This Row],[Sales]]</f>
        <v>0.39</v>
      </c>
      <c r="L876" s="3" t="s">
        <v>44</v>
      </c>
      <c r="M876" s="3" t="s">
        <v>82</v>
      </c>
      <c r="N876" s="3" t="s">
        <v>86</v>
      </c>
    </row>
    <row r="877" spans="1:14" x14ac:dyDescent="0.3">
      <c r="A877" s="2">
        <v>44725</v>
      </c>
      <c r="B877" s="2">
        <v>44731</v>
      </c>
      <c r="C877">
        <v>6</v>
      </c>
      <c r="D877" s="3" t="s">
        <v>15</v>
      </c>
      <c r="E877" s="6">
        <v>110</v>
      </c>
      <c r="F877" s="6">
        <v>78.099999999999994</v>
      </c>
      <c r="G877">
        <v>8</v>
      </c>
      <c r="H877" s="6">
        <f>SalesData_2[[#This Row],[Unit Price]]*SalesData_2[[#This Row],[Units Sold]]</f>
        <v>880</v>
      </c>
      <c r="I877" s="6">
        <f>SalesData_2[[#This Row],[Unit Cost]]*SalesData_2[[#This Row],[Units Sold]]</f>
        <v>624.79999999999995</v>
      </c>
      <c r="J877" s="6">
        <f>SalesData_2[[#This Row],[Sales]]-SalesData_2[[#This Row],[COGS]]</f>
        <v>255.20000000000005</v>
      </c>
      <c r="K877" s="21">
        <f>SalesData_2[[#This Row],[Revenue]]/SalesData_2[[#This Row],[Sales]]</f>
        <v>0.29000000000000004</v>
      </c>
      <c r="L877" s="3" t="s">
        <v>57</v>
      </c>
      <c r="M877" s="3" t="s">
        <v>83</v>
      </c>
      <c r="N877" s="3" t="s">
        <v>85</v>
      </c>
    </row>
    <row r="878" spans="1:14" x14ac:dyDescent="0.3">
      <c r="A878" s="2">
        <v>44726</v>
      </c>
      <c r="B878" s="2">
        <v>44727</v>
      </c>
      <c r="C878">
        <v>1</v>
      </c>
      <c r="D878" s="3" t="s">
        <v>15</v>
      </c>
      <c r="E878" s="6">
        <v>110</v>
      </c>
      <c r="F878" s="6">
        <v>78.099999999999994</v>
      </c>
      <c r="G878">
        <v>8</v>
      </c>
      <c r="H878" s="6">
        <f>SalesData_2[[#This Row],[Unit Price]]*SalesData_2[[#This Row],[Units Sold]]</f>
        <v>880</v>
      </c>
      <c r="I878" s="6">
        <f>SalesData_2[[#This Row],[Unit Cost]]*SalesData_2[[#This Row],[Units Sold]]</f>
        <v>624.79999999999995</v>
      </c>
      <c r="J878" s="6">
        <f>SalesData_2[[#This Row],[Sales]]-SalesData_2[[#This Row],[COGS]]</f>
        <v>255.20000000000005</v>
      </c>
      <c r="K878" s="21">
        <f>SalesData_2[[#This Row],[Revenue]]/SalesData_2[[#This Row],[Sales]]</f>
        <v>0.29000000000000004</v>
      </c>
      <c r="L878" s="3" t="s">
        <v>35</v>
      </c>
      <c r="M878" s="3" t="s">
        <v>79</v>
      </c>
      <c r="N878" s="3" t="s">
        <v>85</v>
      </c>
    </row>
    <row r="879" spans="1:14" x14ac:dyDescent="0.3">
      <c r="A879" s="2">
        <v>44727</v>
      </c>
      <c r="B879" s="2">
        <v>44729</v>
      </c>
      <c r="C879">
        <v>2</v>
      </c>
      <c r="D879" s="3" t="s">
        <v>9</v>
      </c>
      <c r="E879" s="6">
        <v>215</v>
      </c>
      <c r="F879" s="6">
        <v>152.65</v>
      </c>
      <c r="G879">
        <v>3</v>
      </c>
      <c r="H879" s="6">
        <f>SalesData_2[[#This Row],[Unit Price]]*SalesData_2[[#This Row],[Units Sold]]</f>
        <v>645</v>
      </c>
      <c r="I879" s="6">
        <f>SalesData_2[[#This Row],[Unit Cost]]*SalesData_2[[#This Row],[Units Sold]]</f>
        <v>457.95000000000005</v>
      </c>
      <c r="J879" s="6">
        <f>SalesData_2[[#This Row],[Sales]]-SalesData_2[[#This Row],[COGS]]</f>
        <v>187.04999999999995</v>
      </c>
      <c r="K879" s="21">
        <f>SalesData_2[[#This Row],[Revenue]]/SalesData_2[[#This Row],[Sales]]</f>
        <v>0.28999999999999992</v>
      </c>
      <c r="L879" s="3" t="s">
        <v>54</v>
      </c>
      <c r="M879" s="3" t="s">
        <v>80</v>
      </c>
      <c r="N879" s="3" t="s">
        <v>86</v>
      </c>
    </row>
    <row r="880" spans="1:14" x14ac:dyDescent="0.3">
      <c r="A880" s="2">
        <v>44727</v>
      </c>
      <c r="B880" s="2">
        <v>44729</v>
      </c>
      <c r="C880">
        <v>2</v>
      </c>
      <c r="D880" s="3" t="s">
        <v>18</v>
      </c>
      <c r="E880" s="6">
        <v>80</v>
      </c>
      <c r="F880" s="6">
        <v>48.8</v>
      </c>
      <c r="G880">
        <v>4</v>
      </c>
      <c r="H880" s="6">
        <f>SalesData_2[[#This Row],[Unit Price]]*SalesData_2[[#This Row],[Units Sold]]</f>
        <v>320</v>
      </c>
      <c r="I880" s="6">
        <f>SalesData_2[[#This Row],[Unit Cost]]*SalesData_2[[#This Row],[Units Sold]]</f>
        <v>195.2</v>
      </c>
      <c r="J880" s="6">
        <f>SalesData_2[[#This Row],[Sales]]-SalesData_2[[#This Row],[COGS]]</f>
        <v>124.80000000000001</v>
      </c>
      <c r="K880" s="21">
        <f>SalesData_2[[#This Row],[Revenue]]/SalesData_2[[#This Row],[Sales]]</f>
        <v>0.39</v>
      </c>
      <c r="L880" s="3" t="s">
        <v>71</v>
      </c>
      <c r="M880" s="3" t="s">
        <v>80</v>
      </c>
      <c r="N880" s="3" t="s">
        <v>85</v>
      </c>
    </row>
    <row r="881" spans="1:14" x14ac:dyDescent="0.3">
      <c r="A881" s="2">
        <v>44730</v>
      </c>
      <c r="B881" s="2">
        <v>44731</v>
      </c>
      <c r="C881">
        <v>1</v>
      </c>
      <c r="D881" s="3" t="s">
        <v>10</v>
      </c>
      <c r="E881" s="6">
        <v>390</v>
      </c>
      <c r="F881" s="6">
        <v>253.5</v>
      </c>
      <c r="G881">
        <v>3</v>
      </c>
      <c r="H881" s="6">
        <f>SalesData_2[[#This Row],[Unit Price]]*SalesData_2[[#This Row],[Units Sold]]</f>
        <v>1170</v>
      </c>
      <c r="I881" s="6">
        <f>SalesData_2[[#This Row],[Unit Cost]]*SalesData_2[[#This Row],[Units Sold]]</f>
        <v>760.5</v>
      </c>
      <c r="J881" s="6">
        <f>SalesData_2[[#This Row],[Sales]]-SalesData_2[[#This Row],[COGS]]</f>
        <v>409.5</v>
      </c>
      <c r="K881" s="21">
        <f>SalesData_2[[#This Row],[Revenue]]/SalesData_2[[#This Row],[Sales]]</f>
        <v>0.35</v>
      </c>
      <c r="L881" s="3" t="s">
        <v>45</v>
      </c>
      <c r="M881" s="3" t="s">
        <v>79</v>
      </c>
      <c r="N881" s="3" t="s">
        <v>85</v>
      </c>
    </row>
    <row r="882" spans="1:14" x14ac:dyDescent="0.3">
      <c r="A882" s="2">
        <v>44734</v>
      </c>
      <c r="B882" s="2">
        <v>44738</v>
      </c>
      <c r="C882">
        <v>4</v>
      </c>
      <c r="D882" s="3" t="s">
        <v>12</v>
      </c>
      <c r="E882" s="6">
        <v>320</v>
      </c>
      <c r="F882" s="6">
        <v>233.6</v>
      </c>
      <c r="G882">
        <v>9</v>
      </c>
      <c r="H882" s="6">
        <f>SalesData_2[[#This Row],[Unit Price]]*SalesData_2[[#This Row],[Units Sold]]</f>
        <v>2880</v>
      </c>
      <c r="I882" s="6">
        <f>SalesData_2[[#This Row],[Unit Cost]]*SalesData_2[[#This Row],[Units Sold]]</f>
        <v>2102.4</v>
      </c>
      <c r="J882" s="6">
        <f>SalesData_2[[#This Row],[Sales]]-SalesData_2[[#This Row],[COGS]]</f>
        <v>777.59999999999991</v>
      </c>
      <c r="K882" s="21">
        <f>SalesData_2[[#This Row],[Revenue]]/SalesData_2[[#This Row],[Sales]]</f>
        <v>0.26999999999999996</v>
      </c>
      <c r="L882" s="3" t="s">
        <v>44</v>
      </c>
      <c r="M882" s="3" t="s">
        <v>80</v>
      </c>
      <c r="N882" s="3" t="s">
        <v>85</v>
      </c>
    </row>
    <row r="883" spans="1:14" x14ac:dyDescent="0.3">
      <c r="A883" s="2">
        <v>44737</v>
      </c>
      <c r="B883" s="2">
        <v>44741</v>
      </c>
      <c r="C883">
        <v>4</v>
      </c>
      <c r="D883" s="3" t="s">
        <v>16</v>
      </c>
      <c r="E883" s="6">
        <v>145</v>
      </c>
      <c r="F883" s="6">
        <v>105.85</v>
      </c>
      <c r="G883">
        <v>7</v>
      </c>
      <c r="H883" s="6">
        <f>SalesData_2[[#This Row],[Unit Price]]*SalesData_2[[#This Row],[Units Sold]]</f>
        <v>1015</v>
      </c>
      <c r="I883" s="6">
        <f>SalesData_2[[#This Row],[Unit Cost]]*SalesData_2[[#This Row],[Units Sold]]</f>
        <v>740.94999999999993</v>
      </c>
      <c r="J883" s="6">
        <f>SalesData_2[[#This Row],[Sales]]-SalesData_2[[#This Row],[COGS]]</f>
        <v>274.05000000000007</v>
      </c>
      <c r="K883" s="21">
        <f>SalesData_2[[#This Row],[Revenue]]/SalesData_2[[#This Row],[Sales]]</f>
        <v>0.27000000000000007</v>
      </c>
      <c r="L883" s="3" t="s">
        <v>41</v>
      </c>
      <c r="M883" s="3" t="s">
        <v>83</v>
      </c>
      <c r="N883" s="3" t="s">
        <v>86</v>
      </c>
    </row>
    <row r="884" spans="1:14" x14ac:dyDescent="0.3">
      <c r="A884" s="2">
        <v>44737</v>
      </c>
      <c r="B884" s="2">
        <v>44740</v>
      </c>
      <c r="C884">
        <v>3</v>
      </c>
      <c r="D884" s="3" t="s">
        <v>7</v>
      </c>
      <c r="E884" s="6">
        <v>250</v>
      </c>
      <c r="F884" s="6">
        <v>167.5</v>
      </c>
      <c r="G884">
        <v>2</v>
      </c>
      <c r="H884" s="6">
        <f>SalesData_2[[#This Row],[Unit Price]]*SalesData_2[[#This Row],[Units Sold]]</f>
        <v>500</v>
      </c>
      <c r="I884" s="6">
        <f>SalesData_2[[#This Row],[Unit Cost]]*SalesData_2[[#This Row],[Units Sold]]</f>
        <v>335</v>
      </c>
      <c r="J884" s="6">
        <f>SalesData_2[[#This Row],[Sales]]-SalesData_2[[#This Row],[COGS]]</f>
        <v>165</v>
      </c>
      <c r="K884" s="21">
        <f>SalesData_2[[#This Row],[Revenue]]/SalesData_2[[#This Row],[Sales]]</f>
        <v>0.33</v>
      </c>
      <c r="L884" s="3" t="s">
        <v>57</v>
      </c>
      <c r="M884" s="3" t="s">
        <v>83</v>
      </c>
      <c r="N884" s="3" t="s">
        <v>86</v>
      </c>
    </row>
    <row r="885" spans="1:14" x14ac:dyDescent="0.3">
      <c r="A885" s="2">
        <v>44737</v>
      </c>
      <c r="B885" s="2">
        <v>44742</v>
      </c>
      <c r="C885">
        <v>5</v>
      </c>
      <c r="D885" s="3" t="s">
        <v>11</v>
      </c>
      <c r="E885" s="6">
        <v>490</v>
      </c>
      <c r="F885" s="6">
        <v>298.89999999999998</v>
      </c>
      <c r="G885">
        <v>3</v>
      </c>
      <c r="H885" s="6">
        <f>SalesData_2[[#This Row],[Unit Price]]*SalesData_2[[#This Row],[Units Sold]]</f>
        <v>1470</v>
      </c>
      <c r="I885" s="6">
        <f>SalesData_2[[#This Row],[Unit Cost]]*SalesData_2[[#This Row],[Units Sold]]</f>
        <v>896.69999999999993</v>
      </c>
      <c r="J885" s="6">
        <f>SalesData_2[[#This Row],[Sales]]-SalesData_2[[#This Row],[COGS]]</f>
        <v>573.30000000000007</v>
      </c>
      <c r="K885" s="21">
        <f>SalesData_2[[#This Row],[Revenue]]/SalesData_2[[#This Row],[Sales]]</f>
        <v>0.39000000000000007</v>
      </c>
      <c r="L885" s="3" t="s">
        <v>51</v>
      </c>
      <c r="M885" s="3" t="s">
        <v>82</v>
      </c>
      <c r="N885" s="3" t="s">
        <v>85</v>
      </c>
    </row>
    <row r="886" spans="1:14" x14ac:dyDescent="0.3">
      <c r="A886" s="2">
        <v>44739</v>
      </c>
      <c r="B886" s="2">
        <v>44741</v>
      </c>
      <c r="C886">
        <v>2</v>
      </c>
      <c r="D886" s="3" t="s">
        <v>12</v>
      </c>
      <c r="E886" s="6">
        <v>320</v>
      </c>
      <c r="F886" s="6">
        <v>233.6</v>
      </c>
      <c r="G886">
        <v>7</v>
      </c>
      <c r="H886" s="6">
        <f>SalesData_2[[#This Row],[Unit Price]]*SalesData_2[[#This Row],[Units Sold]]</f>
        <v>2240</v>
      </c>
      <c r="I886" s="6">
        <f>SalesData_2[[#This Row],[Unit Cost]]*SalesData_2[[#This Row],[Units Sold]]</f>
        <v>1635.2</v>
      </c>
      <c r="J886" s="6">
        <f>SalesData_2[[#This Row],[Sales]]-SalesData_2[[#This Row],[COGS]]</f>
        <v>604.79999999999995</v>
      </c>
      <c r="K886" s="21">
        <f>SalesData_2[[#This Row],[Revenue]]/SalesData_2[[#This Row],[Sales]]</f>
        <v>0.26999999999999996</v>
      </c>
      <c r="L886" s="3" t="s">
        <v>72</v>
      </c>
      <c r="M886" s="3" t="s">
        <v>79</v>
      </c>
      <c r="N886" s="3" t="s">
        <v>85</v>
      </c>
    </row>
    <row r="887" spans="1:14" x14ac:dyDescent="0.3">
      <c r="A887" s="2">
        <v>44739</v>
      </c>
      <c r="B887" s="2">
        <v>44742</v>
      </c>
      <c r="C887">
        <v>3</v>
      </c>
      <c r="D887" s="3" t="s">
        <v>13</v>
      </c>
      <c r="E887" s="6">
        <v>445</v>
      </c>
      <c r="F887" s="6">
        <v>280.35000000000002</v>
      </c>
      <c r="G887">
        <v>9</v>
      </c>
      <c r="H887" s="6">
        <f>SalesData_2[[#This Row],[Unit Price]]*SalesData_2[[#This Row],[Units Sold]]</f>
        <v>4005</v>
      </c>
      <c r="I887" s="6">
        <f>SalesData_2[[#This Row],[Unit Cost]]*SalesData_2[[#This Row],[Units Sold]]</f>
        <v>2523.15</v>
      </c>
      <c r="J887" s="6">
        <f>SalesData_2[[#This Row],[Sales]]-SalesData_2[[#This Row],[COGS]]</f>
        <v>1481.85</v>
      </c>
      <c r="K887" s="21">
        <f>SalesData_2[[#This Row],[Revenue]]/SalesData_2[[#This Row],[Sales]]</f>
        <v>0.37</v>
      </c>
      <c r="L887" s="3" t="s">
        <v>55</v>
      </c>
      <c r="M887" s="3" t="s">
        <v>82</v>
      </c>
      <c r="N887" s="3" t="s">
        <v>85</v>
      </c>
    </row>
    <row r="888" spans="1:14" x14ac:dyDescent="0.3">
      <c r="A888" s="2">
        <v>44739</v>
      </c>
      <c r="B888" s="2">
        <v>44742</v>
      </c>
      <c r="C888">
        <v>3</v>
      </c>
      <c r="D888" s="3" t="s">
        <v>14</v>
      </c>
      <c r="E888" s="6">
        <v>375</v>
      </c>
      <c r="F888" s="6">
        <v>247.5</v>
      </c>
      <c r="G888">
        <v>2</v>
      </c>
      <c r="H888" s="6">
        <f>SalesData_2[[#This Row],[Unit Price]]*SalesData_2[[#This Row],[Units Sold]]</f>
        <v>750</v>
      </c>
      <c r="I888" s="6">
        <f>SalesData_2[[#This Row],[Unit Cost]]*SalesData_2[[#This Row],[Units Sold]]</f>
        <v>495</v>
      </c>
      <c r="J888" s="6">
        <f>SalesData_2[[#This Row],[Sales]]-SalesData_2[[#This Row],[COGS]]</f>
        <v>255</v>
      </c>
      <c r="K888" s="21">
        <f>SalesData_2[[#This Row],[Revenue]]/SalesData_2[[#This Row],[Sales]]</f>
        <v>0.34</v>
      </c>
      <c r="L888" s="3" t="s">
        <v>33</v>
      </c>
      <c r="M888" s="3" t="s">
        <v>80</v>
      </c>
      <c r="N888" s="3" t="s">
        <v>86</v>
      </c>
    </row>
    <row r="889" spans="1:14" x14ac:dyDescent="0.3">
      <c r="A889" s="2">
        <v>44740</v>
      </c>
      <c r="B889" s="2">
        <v>44746</v>
      </c>
      <c r="C889">
        <v>6</v>
      </c>
      <c r="D889" s="3" t="s">
        <v>15</v>
      </c>
      <c r="E889" s="6">
        <v>110</v>
      </c>
      <c r="F889" s="6">
        <v>78.099999999999994</v>
      </c>
      <c r="G889">
        <v>8</v>
      </c>
      <c r="H889" s="6">
        <f>SalesData_2[[#This Row],[Unit Price]]*SalesData_2[[#This Row],[Units Sold]]</f>
        <v>880</v>
      </c>
      <c r="I889" s="6">
        <f>SalesData_2[[#This Row],[Unit Cost]]*SalesData_2[[#This Row],[Units Sold]]</f>
        <v>624.79999999999995</v>
      </c>
      <c r="J889" s="6">
        <f>SalesData_2[[#This Row],[Sales]]-SalesData_2[[#This Row],[COGS]]</f>
        <v>255.20000000000005</v>
      </c>
      <c r="K889" s="21">
        <f>SalesData_2[[#This Row],[Revenue]]/SalesData_2[[#This Row],[Sales]]</f>
        <v>0.29000000000000004</v>
      </c>
      <c r="L889" s="3" t="s">
        <v>39</v>
      </c>
      <c r="M889" s="3" t="s">
        <v>79</v>
      </c>
      <c r="N889" s="3" t="s">
        <v>85</v>
      </c>
    </row>
    <row r="890" spans="1:14" x14ac:dyDescent="0.3">
      <c r="A890" s="2">
        <v>44743</v>
      </c>
      <c r="B890" s="2">
        <v>44748</v>
      </c>
      <c r="C890">
        <v>5</v>
      </c>
      <c r="D890" s="3" t="s">
        <v>23</v>
      </c>
      <c r="E890" s="6">
        <v>275</v>
      </c>
      <c r="F890" s="6">
        <v>200.75</v>
      </c>
      <c r="G890">
        <v>8</v>
      </c>
      <c r="H890" s="6">
        <f>SalesData_2[[#This Row],[Unit Price]]*SalesData_2[[#This Row],[Units Sold]]</f>
        <v>2200</v>
      </c>
      <c r="I890" s="6">
        <f>SalesData_2[[#This Row],[Unit Cost]]*SalesData_2[[#This Row],[Units Sold]]</f>
        <v>1606</v>
      </c>
      <c r="J890" s="6">
        <f>SalesData_2[[#This Row],[Sales]]-SalesData_2[[#This Row],[COGS]]</f>
        <v>594</v>
      </c>
      <c r="K890" s="21">
        <f>SalesData_2[[#This Row],[Revenue]]/SalesData_2[[#This Row],[Sales]]</f>
        <v>0.27</v>
      </c>
      <c r="L890" s="3" t="s">
        <v>42</v>
      </c>
      <c r="M890" s="3" t="s">
        <v>82</v>
      </c>
      <c r="N890" s="3" t="s">
        <v>85</v>
      </c>
    </row>
    <row r="891" spans="1:14" x14ac:dyDescent="0.3">
      <c r="A891" s="2">
        <v>44743</v>
      </c>
      <c r="B891" s="2">
        <v>44748</v>
      </c>
      <c r="C891">
        <v>5</v>
      </c>
      <c r="D891" s="3" t="s">
        <v>15</v>
      </c>
      <c r="E891" s="6">
        <v>110</v>
      </c>
      <c r="F891" s="6">
        <v>78.099999999999994</v>
      </c>
      <c r="G891">
        <v>9</v>
      </c>
      <c r="H891" s="6">
        <f>SalesData_2[[#This Row],[Unit Price]]*SalesData_2[[#This Row],[Units Sold]]</f>
        <v>990</v>
      </c>
      <c r="I891" s="6">
        <f>SalesData_2[[#This Row],[Unit Cost]]*SalesData_2[[#This Row],[Units Sold]]</f>
        <v>702.9</v>
      </c>
      <c r="J891" s="6">
        <f>SalesData_2[[#This Row],[Sales]]-SalesData_2[[#This Row],[COGS]]</f>
        <v>287.10000000000002</v>
      </c>
      <c r="K891" s="21">
        <f>SalesData_2[[#This Row],[Revenue]]/SalesData_2[[#This Row],[Sales]]</f>
        <v>0.29000000000000004</v>
      </c>
      <c r="L891" s="3" t="s">
        <v>30</v>
      </c>
      <c r="M891" s="3" t="s">
        <v>80</v>
      </c>
      <c r="N891" s="3" t="s">
        <v>85</v>
      </c>
    </row>
    <row r="892" spans="1:14" x14ac:dyDescent="0.3">
      <c r="A892" s="2">
        <v>44745</v>
      </c>
      <c r="B892" s="2">
        <v>44746</v>
      </c>
      <c r="C892">
        <v>1</v>
      </c>
      <c r="D892" s="3" t="s">
        <v>14</v>
      </c>
      <c r="E892" s="6">
        <v>375</v>
      </c>
      <c r="F892" s="6">
        <v>247.5</v>
      </c>
      <c r="G892">
        <v>9</v>
      </c>
      <c r="H892" s="6">
        <f>SalesData_2[[#This Row],[Unit Price]]*SalesData_2[[#This Row],[Units Sold]]</f>
        <v>3375</v>
      </c>
      <c r="I892" s="6">
        <f>SalesData_2[[#This Row],[Unit Cost]]*SalesData_2[[#This Row],[Units Sold]]</f>
        <v>2227.5</v>
      </c>
      <c r="J892" s="6">
        <f>SalesData_2[[#This Row],[Sales]]-SalesData_2[[#This Row],[COGS]]</f>
        <v>1147.5</v>
      </c>
      <c r="K892" s="21">
        <f>SalesData_2[[#This Row],[Revenue]]/SalesData_2[[#This Row],[Sales]]</f>
        <v>0.34</v>
      </c>
      <c r="L892" s="3" t="s">
        <v>43</v>
      </c>
      <c r="M892" s="3" t="s">
        <v>82</v>
      </c>
      <c r="N892" s="3" t="s">
        <v>85</v>
      </c>
    </row>
    <row r="893" spans="1:14" x14ac:dyDescent="0.3">
      <c r="A893" s="2">
        <v>44746</v>
      </c>
      <c r="B893" s="2">
        <v>44749</v>
      </c>
      <c r="C893">
        <v>3</v>
      </c>
      <c r="D893" s="3" t="s">
        <v>11</v>
      </c>
      <c r="E893" s="6">
        <v>490</v>
      </c>
      <c r="F893" s="6">
        <v>298.89999999999998</v>
      </c>
      <c r="G893">
        <v>4</v>
      </c>
      <c r="H893" s="6">
        <f>SalesData_2[[#This Row],[Unit Price]]*SalesData_2[[#This Row],[Units Sold]]</f>
        <v>1960</v>
      </c>
      <c r="I893" s="6">
        <f>SalesData_2[[#This Row],[Unit Cost]]*SalesData_2[[#This Row],[Units Sold]]</f>
        <v>1195.5999999999999</v>
      </c>
      <c r="J893" s="6">
        <f>SalesData_2[[#This Row],[Sales]]-SalesData_2[[#This Row],[COGS]]</f>
        <v>764.40000000000009</v>
      </c>
      <c r="K893" s="21">
        <f>SalesData_2[[#This Row],[Revenue]]/SalesData_2[[#This Row],[Sales]]</f>
        <v>0.39000000000000007</v>
      </c>
      <c r="L893" s="3" t="s">
        <v>38</v>
      </c>
      <c r="M893" s="3" t="s">
        <v>81</v>
      </c>
      <c r="N893" s="3" t="s">
        <v>85</v>
      </c>
    </row>
    <row r="894" spans="1:14" x14ac:dyDescent="0.3">
      <c r="A894" s="2">
        <v>44746</v>
      </c>
      <c r="B894" s="2">
        <v>44747</v>
      </c>
      <c r="C894">
        <v>1</v>
      </c>
      <c r="D894" s="3" t="s">
        <v>4</v>
      </c>
      <c r="E894" s="6">
        <v>390</v>
      </c>
      <c r="F894" s="6">
        <v>288.60000000000002</v>
      </c>
      <c r="G894">
        <v>9</v>
      </c>
      <c r="H894" s="6">
        <f>SalesData_2[[#This Row],[Unit Price]]*SalesData_2[[#This Row],[Units Sold]]</f>
        <v>3510</v>
      </c>
      <c r="I894" s="6">
        <f>SalesData_2[[#This Row],[Unit Cost]]*SalesData_2[[#This Row],[Units Sold]]</f>
        <v>2597.4</v>
      </c>
      <c r="J894" s="6">
        <f>SalesData_2[[#This Row],[Sales]]-SalesData_2[[#This Row],[COGS]]</f>
        <v>912.59999999999991</v>
      </c>
      <c r="K894" s="21">
        <f>SalesData_2[[#This Row],[Revenue]]/SalesData_2[[#This Row],[Sales]]</f>
        <v>0.25999999999999995</v>
      </c>
      <c r="L894" s="3" t="s">
        <v>76</v>
      </c>
      <c r="M894" s="3" t="s">
        <v>80</v>
      </c>
      <c r="N894" s="3" t="s">
        <v>86</v>
      </c>
    </row>
    <row r="895" spans="1:14" x14ac:dyDescent="0.3">
      <c r="A895" s="2">
        <v>44747</v>
      </c>
      <c r="B895" s="2">
        <v>44750</v>
      </c>
      <c r="C895">
        <v>3</v>
      </c>
      <c r="D895" s="3" t="s">
        <v>20</v>
      </c>
      <c r="E895" s="6">
        <v>440</v>
      </c>
      <c r="F895" s="6">
        <v>286</v>
      </c>
      <c r="G895">
        <v>9</v>
      </c>
      <c r="H895" s="6">
        <f>SalesData_2[[#This Row],[Unit Price]]*SalesData_2[[#This Row],[Units Sold]]</f>
        <v>3960</v>
      </c>
      <c r="I895" s="6">
        <f>SalesData_2[[#This Row],[Unit Cost]]*SalesData_2[[#This Row],[Units Sold]]</f>
        <v>2574</v>
      </c>
      <c r="J895" s="6">
        <f>SalesData_2[[#This Row],[Sales]]-SalesData_2[[#This Row],[COGS]]</f>
        <v>1386</v>
      </c>
      <c r="K895" s="21">
        <f>SalesData_2[[#This Row],[Revenue]]/SalesData_2[[#This Row],[Sales]]</f>
        <v>0.35</v>
      </c>
      <c r="L895" s="3" t="s">
        <v>33</v>
      </c>
      <c r="M895" s="3" t="s">
        <v>80</v>
      </c>
      <c r="N895" s="3" t="s">
        <v>86</v>
      </c>
    </row>
    <row r="896" spans="1:14" x14ac:dyDescent="0.3">
      <c r="A896" s="2">
        <v>44747</v>
      </c>
      <c r="B896" s="2">
        <v>44750</v>
      </c>
      <c r="C896">
        <v>3</v>
      </c>
      <c r="D896" s="3" t="s">
        <v>6</v>
      </c>
      <c r="E896" s="6">
        <v>99</v>
      </c>
      <c r="F896" s="6">
        <v>62.37</v>
      </c>
      <c r="G896">
        <v>3</v>
      </c>
      <c r="H896" s="6">
        <f>SalesData_2[[#This Row],[Unit Price]]*SalesData_2[[#This Row],[Units Sold]]</f>
        <v>297</v>
      </c>
      <c r="I896" s="6">
        <f>SalesData_2[[#This Row],[Unit Cost]]*SalesData_2[[#This Row],[Units Sold]]</f>
        <v>187.10999999999999</v>
      </c>
      <c r="J896" s="6">
        <f>SalesData_2[[#This Row],[Sales]]-SalesData_2[[#This Row],[COGS]]</f>
        <v>109.89000000000001</v>
      </c>
      <c r="K896" s="21">
        <f>SalesData_2[[#This Row],[Revenue]]/SalesData_2[[#This Row],[Sales]]</f>
        <v>0.37000000000000005</v>
      </c>
      <c r="L896" s="3" t="s">
        <v>52</v>
      </c>
      <c r="M896" s="3" t="s">
        <v>82</v>
      </c>
      <c r="N896" s="3" t="s">
        <v>85</v>
      </c>
    </row>
    <row r="897" spans="1:14" x14ac:dyDescent="0.3">
      <c r="A897" s="2">
        <v>44751</v>
      </c>
      <c r="B897" s="2">
        <v>44756</v>
      </c>
      <c r="C897">
        <v>5</v>
      </c>
      <c r="D897" s="3" t="s">
        <v>20</v>
      </c>
      <c r="E897" s="6">
        <v>440</v>
      </c>
      <c r="F897" s="6">
        <v>286</v>
      </c>
      <c r="G897">
        <v>2</v>
      </c>
      <c r="H897" s="6">
        <f>SalesData_2[[#This Row],[Unit Price]]*SalesData_2[[#This Row],[Units Sold]]</f>
        <v>880</v>
      </c>
      <c r="I897" s="6">
        <f>SalesData_2[[#This Row],[Unit Cost]]*SalesData_2[[#This Row],[Units Sold]]</f>
        <v>572</v>
      </c>
      <c r="J897" s="6">
        <f>SalesData_2[[#This Row],[Sales]]-SalesData_2[[#This Row],[COGS]]</f>
        <v>308</v>
      </c>
      <c r="K897" s="21">
        <f>SalesData_2[[#This Row],[Revenue]]/SalesData_2[[#This Row],[Sales]]</f>
        <v>0.35</v>
      </c>
      <c r="L897" s="3" t="s">
        <v>37</v>
      </c>
      <c r="M897" s="3" t="s">
        <v>80</v>
      </c>
      <c r="N897" s="3" t="s">
        <v>85</v>
      </c>
    </row>
    <row r="898" spans="1:14" x14ac:dyDescent="0.3">
      <c r="A898" s="2">
        <v>44753</v>
      </c>
      <c r="B898" s="2">
        <v>44760</v>
      </c>
      <c r="C898">
        <v>7</v>
      </c>
      <c r="D898" s="3" t="s">
        <v>8</v>
      </c>
      <c r="E898" s="6">
        <v>59</v>
      </c>
      <c r="F898" s="6">
        <v>41.3</v>
      </c>
      <c r="G898">
        <v>9</v>
      </c>
      <c r="H898" s="6">
        <f>SalesData_2[[#This Row],[Unit Price]]*SalesData_2[[#This Row],[Units Sold]]</f>
        <v>531</v>
      </c>
      <c r="I898" s="6">
        <f>SalesData_2[[#This Row],[Unit Cost]]*SalesData_2[[#This Row],[Units Sold]]</f>
        <v>371.7</v>
      </c>
      <c r="J898" s="6">
        <f>SalesData_2[[#This Row],[Sales]]-SalesData_2[[#This Row],[COGS]]</f>
        <v>159.30000000000001</v>
      </c>
      <c r="K898" s="21">
        <f>SalesData_2[[#This Row],[Revenue]]/SalesData_2[[#This Row],[Sales]]</f>
        <v>0.30000000000000004</v>
      </c>
      <c r="L898" s="3" t="s">
        <v>73</v>
      </c>
      <c r="M898" s="3" t="s">
        <v>83</v>
      </c>
      <c r="N898" s="3" t="s">
        <v>85</v>
      </c>
    </row>
    <row r="899" spans="1:14" x14ac:dyDescent="0.3">
      <c r="A899" s="2">
        <v>44753</v>
      </c>
      <c r="B899" s="2">
        <v>44755</v>
      </c>
      <c r="C899">
        <v>2</v>
      </c>
      <c r="D899" s="3" t="s">
        <v>17</v>
      </c>
      <c r="E899" s="6">
        <v>195</v>
      </c>
      <c r="F899" s="6">
        <v>138.44999999999999</v>
      </c>
      <c r="G899">
        <v>4</v>
      </c>
      <c r="H899" s="6">
        <f>SalesData_2[[#This Row],[Unit Price]]*SalesData_2[[#This Row],[Units Sold]]</f>
        <v>780</v>
      </c>
      <c r="I899" s="6">
        <f>SalesData_2[[#This Row],[Unit Cost]]*SalesData_2[[#This Row],[Units Sold]]</f>
        <v>553.79999999999995</v>
      </c>
      <c r="J899" s="6">
        <f>SalesData_2[[#This Row],[Sales]]-SalesData_2[[#This Row],[COGS]]</f>
        <v>226.20000000000005</v>
      </c>
      <c r="K899" s="21">
        <f>SalesData_2[[#This Row],[Revenue]]/SalesData_2[[#This Row],[Sales]]</f>
        <v>0.29000000000000004</v>
      </c>
      <c r="L899" s="3" t="s">
        <v>68</v>
      </c>
      <c r="M899" s="3" t="s">
        <v>80</v>
      </c>
      <c r="N899" s="3" t="s">
        <v>86</v>
      </c>
    </row>
    <row r="900" spans="1:14" x14ac:dyDescent="0.3">
      <c r="A900" s="2">
        <v>44754</v>
      </c>
      <c r="B900" s="2">
        <v>44756</v>
      </c>
      <c r="C900">
        <v>2</v>
      </c>
      <c r="D900" s="3" t="s">
        <v>13</v>
      </c>
      <c r="E900" s="6">
        <v>445</v>
      </c>
      <c r="F900" s="6">
        <v>280.35000000000002</v>
      </c>
      <c r="G900">
        <v>9</v>
      </c>
      <c r="H900" s="6">
        <f>SalesData_2[[#This Row],[Unit Price]]*SalesData_2[[#This Row],[Units Sold]]</f>
        <v>4005</v>
      </c>
      <c r="I900" s="6">
        <f>SalesData_2[[#This Row],[Unit Cost]]*SalesData_2[[#This Row],[Units Sold]]</f>
        <v>2523.15</v>
      </c>
      <c r="J900" s="6">
        <f>SalesData_2[[#This Row],[Sales]]-SalesData_2[[#This Row],[COGS]]</f>
        <v>1481.85</v>
      </c>
      <c r="K900" s="21">
        <f>SalesData_2[[#This Row],[Revenue]]/SalesData_2[[#This Row],[Sales]]</f>
        <v>0.37</v>
      </c>
      <c r="L900" s="3" t="s">
        <v>46</v>
      </c>
      <c r="M900" s="3" t="s">
        <v>79</v>
      </c>
      <c r="N900" s="3" t="s">
        <v>85</v>
      </c>
    </row>
    <row r="901" spans="1:14" x14ac:dyDescent="0.3">
      <c r="A901" s="2">
        <v>44755</v>
      </c>
      <c r="B901" s="2">
        <v>44757</v>
      </c>
      <c r="C901">
        <v>2</v>
      </c>
      <c r="D901" s="3" t="s">
        <v>20</v>
      </c>
      <c r="E901" s="6">
        <v>440</v>
      </c>
      <c r="F901" s="6">
        <v>286</v>
      </c>
      <c r="G901">
        <v>9</v>
      </c>
      <c r="H901" s="6">
        <f>SalesData_2[[#This Row],[Unit Price]]*SalesData_2[[#This Row],[Units Sold]]</f>
        <v>3960</v>
      </c>
      <c r="I901" s="6">
        <f>SalesData_2[[#This Row],[Unit Cost]]*SalesData_2[[#This Row],[Units Sold]]</f>
        <v>2574</v>
      </c>
      <c r="J901" s="6">
        <f>SalesData_2[[#This Row],[Sales]]-SalesData_2[[#This Row],[COGS]]</f>
        <v>1386</v>
      </c>
      <c r="K901" s="21">
        <f>SalesData_2[[#This Row],[Revenue]]/SalesData_2[[#This Row],[Sales]]</f>
        <v>0.35</v>
      </c>
      <c r="L901" s="3" t="s">
        <v>53</v>
      </c>
      <c r="M901" s="3" t="s">
        <v>82</v>
      </c>
      <c r="N901" s="3" t="s">
        <v>86</v>
      </c>
    </row>
    <row r="902" spans="1:14" x14ac:dyDescent="0.3">
      <c r="A902" s="2">
        <v>44755</v>
      </c>
      <c r="B902" s="2">
        <v>44760</v>
      </c>
      <c r="C902">
        <v>5</v>
      </c>
      <c r="D902" s="3" t="s">
        <v>15</v>
      </c>
      <c r="E902" s="6">
        <v>110</v>
      </c>
      <c r="F902" s="6">
        <v>78.099999999999994</v>
      </c>
      <c r="G902">
        <v>9</v>
      </c>
      <c r="H902" s="6">
        <f>SalesData_2[[#This Row],[Unit Price]]*SalesData_2[[#This Row],[Units Sold]]</f>
        <v>990</v>
      </c>
      <c r="I902" s="6">
        <f>SalesData_2[[#This Row],[Unit Cost]]*SalesData_2[[#This Row],[Units Sold]]</f>
        <v>702.9</v>
      </c>
      <c r="J902" s="6">
        <f>SalesData_2[[#This Row],[Sales]]-SalesData_2[[#This Row],[COGS]]</f>
        <v>287.10000000000002</v>
      </c>
      <c r="K902" s="21">
        <f>SalesData_2[[#This Row],[Revenue]]/SalesData_2[[#This Row],[Sales]]</f>
        <v>0.29000000000000004</v>
      </c>
      <c r="L902" s="3" t="s">
        <v>54</v>
      </c>
      <c r="M902" s="3" t="s">
        <v>82</v>
      </c>
      <c r="N902" s="3" t="s">
        <v>85</v>
      </c>
    </row>
    <row r="903" spans="1:14" x14ac:dyDescent="0.3">
      <c r="A903" s="2">
        <v>44755</v>
      </c>
      <c r="B903" s="2">
        <v>44760</v>
      </c>
      <c r="C903">
        <v>5</v>
      </c>
      <c r="D903" s="3" t="s">
        <v>18</v>
      </c>
      <c r="E903" s="6">
        <v>80</v>
      </c>
      <c r="F903" s="6">
        <v>48.8</v>
      </c>
      <c r="G903">
        <v>7</v>
      </c>
      <c r="H903" s="6">
        <f>SalesData_2[[#This Row],[Unit Price]]*SalesData_2[[#This Row],[Units Sold]]</f>
        <v>560</v>
      </c>
      <c r="I903" s="6">
        <f>SalesData_2[[#This Row],[Unit Cost]]*SalesData_2[[#This Row],[Units Sold]]</f>
        <v>341.59999999999997</v>
      </c>
      <c r="J903" s="6">
        <f>SalesData_2[[#This Row],[Sales]]-SalesData_2[[#This Row],[COGS]]</f>
        <v>218.40000000000003</v>
      </c>
      <c r="K903" s="21">
        <f>SalesData_2[[#This Row],[Revenue]]/SalesData_2[[#This Row],[Sales]]</f>
        <v>0.39000000000000007</v>
      </c>
      <c r="L903" s="3" t="s">
        <v>60</v>
      </c>
      <c r="M903" s="3" t="s">
        <v>82</v>
      </c>
      <c r="N903" s="3" t="s">
        <v>86</v>
      </c>
    </row>
    <row r="904" spans="1:14" x14ac:dyDescent="0.3">
      <c r="A904" s="2">
        <v>44756</v>
      </c>
      <c r="B904" s="2">
        <v>44757</v>
      </c>
      <c r="C904">
        <v>1</v>
      </c>
      <c r="D904" s="3" t="s">
        <v>5</v>
      </c>
      <c r="E904" s="6">
        <v>290</v>
      </c>
      <c r="F904" s="6">
        <v>185.6</v>
      </c>
      <c r="G904">
        <v>2</v>
      </c>
      <c r="H904" s="6">
        <f>SalesData_2[[#This Row],[Unit Price]]*SalesData_2[[#This Row],[Units Sold]]</f>
        <v>580</v>
      </c>
      <c r="I904" s="6">
        <f>SalesData_2[[#This Row],[Unit Cost]]*SalesData_2[[#This Row],[Units Sold]]</f>
        <v>371.2</v>
      </c>
      <c r="J904" s="6">
        <f>SalesData_2[[#This Row],[Sales]]-SalesData_2[[#This Row],[COGS]]</f>
        <v>208.8</v>
      </c>
      <c r="K904" s="21">
        <f>SalesData_2[[#This Row],[Revenue]]/SalesData_2[[#This Row],[Sales]]</f>
        <v>0.36000000000000004</v>
      </c>
      <c r="L904" s="3" t="s">
        <v>33</v>
      </c>
      <c r="M904" s="3" t="s">
        <v>79</v>
      </c>
      <c r="N904" s="3" t="s">
        <v>86</v>
      </c>
    </row>
    <row r="905" spans="1:14" x14ac:dyDescent="0.3">
      <c r="A905" s="2">
        <v>44757</v>
      </c>
      <c r="B905" s="2">
        <v>44762</v>
      </c>
      <c r="C905">
        <v>5</v>
      </c>
      <c r="D905" s="3" t="s">
        <v>4</v>
      </c>
      <c r="E905" s="6">
        <v>390</v>
      </c>
      <c r="F905" s="6">
        <v>288.60000000000002</v>
      </c>
      <c r="G905">
        <v>5</v>
      </c>
      <c r="H905" s="6">
        <f>SalesData_2[[#This Row],[Unit Price]]*SalesData_2[[#This Row],[Units Sold]]</f>
        <v>1950</v>
      </c>
      <c r="I905" s="6">
        <f>SalesData_2[[#This Row],[Unit Cost]]*SalesData_2[[#This Row],[Units Sold]]</f>
        <v>1443</v>
      </c>
      <c r="J905" s="6">
        <f>SalesData_2[[#This Row],[Sales]]-SalesData_2[[#This Row],[COGS]]</f>
        <v>507</v>
      </c>
      <c r="K905" s="21">
        <f>SalesData_2[[#This Row],[Revenue]]/SalesData_2[[#This Row],[Sales]]</f>
        <v>0.26</v>
      </c>
      <c r="L905" s="3" t="s">
        <v>58</v>
      </c>
      <c r="M905" s="3" t="s">
        <v>79</v>
      </c>
      <c r="N905" s="3" t="s">
        <v>86</v>
      </c>
    </row>
    <row r="906" spans="1:14" x14ac:dyDescent="0.3">
      <c r="A906" s="2">
        <v>44758</v>
      </c>
      <c r="B906" s="2">
        <v>44760</v>
      </c>
      <c r="C906">
        <v>2</v>
      </c>
      <c r="D906" s="3" t="s">
        <v>15</v>
      </c>
      <c r="E906" s="6">
        <v>110</v>
      </c>
      <c r="F906" s="6">
        <v>78.099999999999994</v>
      </c>
      <c r="G906">
        <v>8</v>
      </c>
      <c r="H906" s="6">
        <f>SalesData_2[[#This Row],[Unit Price]]*SalesData_2[[#This Row],[Units Sold]]</f>
        <v>880</v>
      </c>
      <c r="I906" s="6">
        <f>SalesData_2[[#This Row],[Unit Cost]]*SalesData_2[[#This Row],[Units Sold]]</f>
        <v>624.79999999999995</v>
      </c>
      <c r="J906" s="6">
        <f>SalesData_2[[#This Row],[Sales]]-SalesData_2[[#This Row],[COGS]]</f>
        <v>255.20000000000005</v>
      </c>
      <c r="K906" s="21">
        <f>SalesData_2[[#This Row],[Revenue]]/SalesData_2[[#This Row],[Sales]]</f>
        <v>0.29000000000000004</v>
      </c>
      <c r="L906" s="3" t="s">
        <v>44</v>
      </c>
      <c r="M906" s="3" t="s">
        <v>79</v>
      </c>
      <c r="N906" s="3" t="s">
        <v>85</v>
      </c>
    </row>
    <row r="907" spans="1:14" x14ac:dyDescent="0.3">
      <c r="A907" s="2">
        <v>44759</v>
      </c>
      <c r="B907" s="2">
        <v>44763</v>
      </c>
      <c r="C907">
        <v>4</v>
      </c>
      <c r="D907" s="3" t="s">
        <v>21</v>
      </c>
      <c r="E907" s="6">
        <v>355</v>
      </c>
      <c r="F907" s="6">
        <v>252.05</v>
      </c>
      <c r="G907">
        <v>8</v>
      </c>
      <c r="H907" s="6">
        <f>SalesData_2[[#This Row],[Unit Price]]*SalesData_2[[#This Row],[Units Sold]]</f>
        <v>2840</v>
      </c>
      <c r="I907" s="6">
        <f>SalesData_2[[#This Row],[Unit Cost]]*SalesData_2[[#This Row],[Units Sold]]</f>
        <v>2016.4</v>
      </c>
      <c r="J907" s="6">
        <f>SalesData_2[[#This Row],[Sales]]-SalesData_2[[#This Row],[COGS]]</f>
        <v>823.59999999999991</v>
      </c>
      <c r="K907" s="21">
        <f>SalesData_2[[#This Row],[Revenue]]/SalesData_2[[#This Row],[Sales]]</f>
        <v>0.28999999999999998</v>
      </c>
      <c r="L907" s="3" t="s">
        <v>41</v>
      </c>
      <c r="M907" s="3" t="s">
        <v>83</v>
      </c>
      <c r="N907" s="3" t="s">
        <v>86</v>
      </c>
    </row>
    <row r="908" spans="1:14" x14ac:dyDescent="0.3">
      <c r="A908" s="2">
        <v>44759</v>
      </c>
      <c r="B908" s="2">
        <v>44765</v>
      </c>
      <c r="C908">
        <v>6</v>
      </c>
      <c r="D908" s="3" t="s">
        <v>23</v>
      </c>
      <c r="E908" s="6">
        <v>275</v>
      </c>
      <c r="F908" s="6">
        <v>200.75</v>
      </c>
      <c r="G908">
        <v>2</v>
      </c>
      <c r="H908" s="6">
        <f>SalesData_2[[#This Row],[Unit Price]]*SalesData_2[[#This Row],[Units Sold]]</f>
        <v>550</v>
      </c>
      <c r="I908" s="6">
        <f>SalesData_2[[#This Row],[Unit Cost]]*SalesData_2[[#This Row],[Units Sold]]</f>
        <v>401.5</v>
      </c>
      <c r="J908" s="6">
        <f>SalesData_2[[#This Row],[Sales]]-SalesData_2[[#This Row],[COGS]]</f>
        <v>148.5</v>
      </c>
      <c r="K908" s="21">
        <f>SalesData_2[[#This Row],[Revenue]]/SalesData_2[[#This Row],[Sales]]</f>
        <v>0.27</v>
      </c>
      <c r="L908" s="3" t="s">
        <v>70</v>
      </c>
      <c r="M908" s="3" t="s">
        <v>82</v>
      </c>
      <c r="N908" s="3" t="s">
        <v>86</v>
      </c>
    </row>
    <row r="909" spans="1:14" x14ac:dyDescent="0.3">
      <c r="A909" s="2">
        <v>44760</v>
      </c>
      <c r="B909" s="2">
        <v>44762</v>
      </c>
      <c r="C909">
        <v>2</v>
      </c>
      <c r="D909" s="3" t="s">
        <v>20</v>
      </c>
      <c r="E909" s="6">
        <v>440</v>
      </c>
      <c r="F909" s="6">
        <v>286</v>
      </c>
      <c r="G909">
        <v>8</v>
      </c>
      <c r="H909" s="6">
        <f>SalesData_2[[#This Row],[Unit Price]]*SalesData_2[[#This Row],[Units Sold]]</f>
        <v>3520</v>
      </c>
      <c r="I909" s="6">
        <f>SalesData_2[[#This Row],[Unit Cost]]*SalesData_2[[#This Row],[Units Sold]]</f>
        <v>2288</v>
      </c>
      <c r="J909" s="6">
        <f>SalesData_2[[#This Row],[Sales]]-SalesData_2[[#This Row],[COGS]]</f>
        <v>1232</v>
      </c>
      <c r="K909" s="21">
        <f>SalesData_2[[#This Row],[Revenue]]/SalesData_2[[#This Row],[Sales]]</f>
        <v>0.35</v>
      </c>
      <c r="L909" s="3" t="s">
        <v>32</v>
      </c>
      <c r="M909" s="3" t="s">
        <v>83</v>
      </c>
      <c r="N909" s="3" t="s">
        <v>86</v>
      </c>
    </row>
    <row r="910" spans="1:14" x14ac:dyDescent="0.3">
      <c r="A910" s="2">
        <v>44761</v>
      </c>
      <c r="B910" s="2">
        <v>44765</v>
      </c>
      <c r="C910">
        <v>4</v>
      </c>
      <c r="D910" s="3" t="s">
        <v>15</v>
      </c>
      <c r="E910" s="6">
        <v>110</v>
      </c>
      <c r="F910" s="6">
        <v>78.099999999999994</v>
      </c>
      <c r="G910">
        <v>4</v>
      </c>
      <c r="H910" s="6">
        <f>SalesData_2[[#This Row],[Unit Price]]*SalesData_2[[#This Row],[Units Sold]]</f>
        <v>440</v>
      </c>
      <c r="I910" s="6">
        <f>SalesData_2[[#This Row],[Unit Cost]]*SalesData_2[[#This Row],[Units Sold]]</f>
        <v>312.39999999999998</v>
      </c>
      <c r="J910" s="6">
        <f>SalesData_2[[#This Row],[Sales]]-SalesData_2[[#This Row],[COGS]]</f>
        <v>127.60000000000002</v>
      </c>
      <c r="K910" s="21">
        <f>SalesData_2[[#This Row],[Revenue]]/SalesData_2[[#This Row],[Sales]]</f>
        <v>0.29000000000000004</v>
      </c>
      <c r="L910" s="3" t="s">
        <v>74</v>
      </c>
      <c r="M910" s="3" t="s">
        <v>83</v>
      </c>
      <c r="N910" s="3" t="s">
        <v>86</v>
      </c>
    </row>
    <row r="911" spans="1:14" x14ac:dyDescent="0.3">
      <c r="A911" s="2">
        <v>44761</v>
      </c>
      <c r="B911" s="2">
        <v>44764</v>
      </c>
      <c r="C911">
        <v>3</v>
      </c>
      <c r="D911" s="3" t="s">
        <v>4</v>
      </c>
      <c r="E911" s="6">
        <v>390</v>
      </c>
      <c r="F911" s="6">
        <v>288.60000000000002</v>
      </c>
      <c r="G911">
        <v>8</v>
      </c>
      <c r="H911" s="6">
        <f>SalesData_2[[#This Row],[Unit Price]]*SalesData_2[[#This Row],[Units Sold]]</f>
        <v>3120</v>
      </c>
      <c r="I911" s="6">
        <f>SalesData_2[[#This Row],[Unit Cost]]*SalesData_2[[#This Row],[Units Sold]]</f>
        <v>2308.8000000000002</v>
      </c>
      <c r="J911" s="6">
        <f>SalesData_2[[#This Row],[Sales]]-SalesData_2[[#This Row],[COGS]]</f>
        <v>811.19999999999982</v>
      </c>
      <c r="K911" s="21">
        <f>SalesData_2[[#This Row],[Revenue]]/SalesData_2[[#This Row],[Sales]]</f>
        <v>0.25999999999999995</v>
      </c>
      <c r="L911" s="3" t="s">
        <v>68</v>
      </c>
      <c r="M911" s="3" t="s">
        <v>81</v>
      </c>
      <c r="N911" s="3" t="s">
        <v>86</v>
      </c>
    </row>
    <row r="912" spans="1:14" x14ac:dyDescent="0.3">
      <c r="A912" s="2">
        <v>44762</v>
      </c>
      <c r="B912" s="2">
        <v>44766</v>
      </c>
      <c r="C912">
        <v>4</v>
      </c>
      <c r="D912" s="3" t="s">
        <v>10</v>
      </c>
      <c r="E912" s="6">
        <v>390</v>
      </c>
      <c r="F912" s="6">
        <v>253.5</v>
      </c>
      <c r="G912">
        <v>8</v>
      </c>
      <c r="H912" s="6">
        <f>SalesData_2[[#This Row],[Unit Price]]*SalesData_2[[#This Row],[Units Sold]]</f>
        <v>3120</v>
      </c>
      <c r="I912" s="6">
        <f>SalesData_2[[#This Row],[Unit Cost]]*SalesData_2[[#This Row],[Units Sold]]</f>
        <v>2028</v>
      </c>
      <c r="J912" s="6">
        <f>SalesData_2[[#This Row],[Sales]]-SalesData_2[[#This Row],[COGS]]</f>
        <v>1092</v>
      </c>
      <c r="K912" s="21">
        <f>SalesData_2[[#This Row],[Revenue]]/SalesData_2[[#This Row],[Sales]]</f>
        <v>0.35</v>
      </c>
      <c r="L912" s="3" t="s">
        <v>41</v>
      </c>
      <c r="M912" s="3" t="s">
        <v>81</v>
      </c>
      <c r="N912" s="3" t="s">
        <v>86</v>
      </c>
    </row>
    <row r="913" spans="1:14" x14ac:dyDescent="0.3">
      <c r="A913" s="2">
        <v>44762</v>
      </c>
      <c r="B913" s="2">
        <v>44764</v>
      </c>
      <c r="C913">
        <v>2</v>
      </c>
      <c r="D913" s="3" t="s">
        <v>8</v>
      </c>
      <c r="E913" s="6">
        <v>59</v>
      </c>
      <c r="F913" s="6">
        <v>41.3</v>
      </c>
      <c r="G913">
        <v>1</v>
      </c>
      <c r="H913" s="6">
        <f>SalesData_2[[#This Row],[Unit Price]]*SalesData_2[[#This Row],[Units Sold]]</f>
        <v>59</v>
      </c>
      <c r="I913" s="6">
        <f>SalesData_2[[#This Row],[Unit Cost]]*SalesData_2[[#This Row],[Units Sold]]</f>
        <v>41.3</v>
      </c>
      <c r="J913" s="6">
        <f>SalesData_2[[#This Row],[Sales]]-SalesData_2[[#This Row],[COGS]]</f>
        <v>17.700000000000003</v>
      </c>
      <c r="K913" s="21">
        <f>SalesData_2[[#This Row],[Revenue]]/SalesData_2[[#This Row],[Sales]]</f>
        <v>0.30000000000000004</v>
      </c>
      <c r="L913" s="3" t="s">
        <v>42</v>
      </c>
      <c r="M913" s="3" t="s">
        <v>80</v>
      </c>
      <c r="N913" s="3" t="s">
        <v>86</v>
      </c>
    </row>
    <row r="914" spans="1:14" x14ac:dyDescent="0.3">
      <c r="A914" s="2">
        <v>44763</v>
      </c>
      <c r="B914" s="2">
        <v>44767</v>
      </c>
      <c r="C914">
        <v>4</v>
      </c>
      <c r="D914" s="3" t="s">
        <v>17</v>
      </c>
      <c r="E914" s="6">
        <v>195</v>
      </c>
      <c r="F914" s="6">
        <v>138.44999999999999</v>
      </c>
      <c r="G914">
        <v>5</v>
      </c>
      <c r="H914" s="6">
        <f>SalesData_2[[#This Row],[Unit Price]]*SalesData_2[[#This Row],[Units Sold]]</f>
        <v>975</v>
      </c>
      <c r="I914" s="6">
        <f>SalesData_2[[#This Row],[Unit Cost]]*SalesData_2[[#This Row],[Units Sold]]</f>
        <v>692.25</v>
      </c>
      <c r="J914" s="6">
        <f>SalesData_2[[#This Row],[Sales]]-SalesData_2[[#This Row],[COGS]]</f>
        <v>282.75</v>
      </c>
      <c r="K914" s="21">
        <f>SalesData_2[[#This Row],[Revenue]]/SalesData_2[[#This Row],[Sales]]</f>
        <v>0.28999999999999998</v>
      </c>
      <c r="L914" s="3" t="s">
        <v>70</v>
      </c>
      <c r="M914" s="3" t="s">
        <v>82</v>
      </c>
      <c r="N914" s="3" t="s">
        <v>85</v>
      </c>
    </row>
    <row r="915" spans="1:14" x14ac:dyDescent="0.3">
      <c r="A915" s="2">
        <v>44765</v>
      </c>
      <c r="B915" s="2">
        <v>44768</v>
      </c>
      <c r="C915">
        <v>3</v>
      </c>
      <c r="D915" s="3" t="s">
        <v>22</v>
      </c>
      <c r="E915" s="6">
        <v>460</v>
      </c>
      <c r="F915" s="6">
        <v>303.60000000000002</v>
      </c>
      <c r="G915">
        <v>4</v>
      </c>
      <c r="H915" s="6">
        <f>SalesData_2[[#This Row],[Unit Price]]*SalesData_2[[#This Row],[Units Sold]]</f>
        <v>1840</v>
      </c>
      <c r="I915" s="6">
        <f>SalesData_2[[#This Row],[Unit Cost]]*SalesData_2[[#This Row],[Units Sold]]</f>
        <v>1214.4000000000001</v>
      </c>
      <c r="J915" s="6">
        <f>SalesData_2[[#This Row],[Sales]]-SalesData_2[[#This Row],[COGS]]</f>
        <v>625.59999999999991</v>
      </c>
      <c r="K915" s="21">
        <f>SalesData_2[[#This Row],[Revenue]]/SalesData_2[[#This Row],[Sales]]</f>
        <v>0.33999999999999997</v>
      </c>
      <c r="L915" s="3" t="s">
        <v>70</v>
      </c>
      <c r="M915" s="3" t="s">
        <v>79</v>
      </c>
      <c r="N915" s="3" t="s">
        <v>85</v>
      </c>
    </row>
    <row r="916" spans="1:14" x14ac:dyDescent="0.3">
      <c r="A916" s="2">
        <v>44765</v>
      </c>
      <c r="B916" s="2">
        <v>44768</v>
      </c>
      <c r="C916">
        <v>3</v>
      </c>
      <c r="D916" s="3" t="s">
        <v>19</v>
      </c>
      <c r="E916" s="6">
        <v>220</v>
      </c>
      <c r="F916" s="6">
        <v>154</v>
      </c>
      <c r="G916">
        <v>9</v>
      </c>
      <c r="H916" s="6">
        <f>SalesData_2[[#This Row],[Unit Price]]*SalesData_2[[#This Row],[Units Sold]]</f>
        <v>1980</v>
      </c>
      <c r="I916" s="6">
        <f>SalesData_2[[#This Row],[Unit Cost]]*SalesData_2[[#This Row],[Units Sold]]</f>
        <v>1386</v>
      </c>
      <c r="J916" s="6">
        <f>SalesData_2[[#This Row],[Sales]]-SalesData_2[[#This Row],[COGS]]</f>
        <v>594</v>
      </c>
      <c r="K916" s="21">
        <f>SalesData_2[[#This Row],[Revenue]]/SalesData_2[[#This Row],[Sales]]</f>
        <v>0.3</v>
      </c>
      <c r="L916" s="3" t="s">
        <v>41</v>
      </c>
      <c r="M916" s="3" t="s">
        <v>79</v>
      </c>
      <c r="N916" s="3" t="s">
        <v>85</v>
      </c>
    </row>
    <row r="917" spans="1:14" x14ac:dyDescent="0.3">
      <c r="A917" s="2">
        <v>44766</v>
      </c>
      <c r="B917" s="2">
        <v>44773</v>
      </c>
      <c r="C917">
        <v>7</v>
      </c>
      <c r="D917" s="3" t="s">
        <v>6</v>
      </c>
      <c r="E917" s="6">
        <v>99</v>
      </c>
      <c r="F917" s="6">
        <v>62.37</v>
      </c>
      <c r="G917">
        <v>5</v>
      </c>
      <c r="H917" s="6">
        <f>SalesData_2[[#This Row],[Unit Price]]*SalesData_2[[#This Row],[Units Sold]]</f>
        <v>495</v>
      </c>
      <c r="I917" s="6">
        <f>SalesData_2[[#This Row],[Unit Cost]]*SalesData_2[[#This Row],[Units Sold]]</f>
        <v>311.84999999999997</v>
      </c>
      <c r="J917" s="6">
        <f>SalesData_2[[#This Row],[Sales]]-SalesData_2[[#This Row],[COGS]]</f>
        <v>183.15000000000003</v>
      </c>
      <c r="K917" s="21">
        <f>SalesData_2[[#This Row],[Revenue]]/SalesData_2[[#This Row],[Sales]]</f>
        <v>0.37000000000000005</v>
      </c>
      <c r="L917" s="3" t="s">
        <v>47</v>
      </c>
      <c r="M917" s="3" t="s">
        <v>79</v>
      </c>
      <c r="N917" s="3" t="s">
        <v>86</v>
      </c>
    </row>
    <row r="918" spans="1:14" x14ac:dyDescent="0.3">
      <c r="A918" s="2">
        <v>44766</v>
      </c>
      <c r="B918" s="2">
        <v>44767</v>
      </c>
      <c r="C918">
        <v>1</v>
      </c>
      <c r="D918" s="3" t="s">
        <v>15</v>
      </c>
      <c r="E918" s="6">
        <v>110</v>
      </c>
      <c r="F918" s="6">
        <v>78.099999999999994</v>
      </c>
      <c r="G918">
        <v>3</v>
      </c>
      <c r="H918" s="6">
        <f>SalesData_2[[#This Row],[Unit Price]]*SalesData_2[[#This Row],[Units Sold]]</f>
        <v>330</v>
      </c>
      <c r="I918" s="6">
        <f>SalesData_2[[#This Row],[Unit Cost]]*SalesData_2[[#This Row],[Units Sold]]</f>
        <v>234.29999999999998</v>
      </c>
      <c r="J918" s="6">
        <f>SalesData_2[[#This Row],[Sales]]-SalesData_2[[#This Row],[COGS]]</f>
        <v>95.700000000000017</v>
      </c>
      <c r="K918" s="21">
        <f>SalesData_2[[#This Row],[Revenue]]/SalesData_2[[#This Row],[Sales]]</f>
        <v>0.29000000000000004</v>
      </c>
      <c r="L918" s="3" t="s">
        <v>37</v>
      </c>
      <c r="M918" s="3" t="s">
        <v>82</v>
      </c>
      <c r="N918" s="3" t="s">
        <v>86</v>
      </c>
    </row>
    <row r="919" spans="1:14" x14ac:dyDescent="0.3">
      <c r="A919" s="2">
        <v>44768</v>
      </c>
      <c r="B919" s="2">
        <v>44772</v>
      </c>
      <c r="C919">
        <v>4</v>
      </c>
      <c r="D919" s="3" t="s">
        <v>22</v>
      </c>
      <c r="E919" s="6">
        <v>460</v>
      </c>
      <c r="F919" s="6">
        <v>303.60000000000002</v>
      </c>
      <c r="G919">
        <v>3</v>
      </c>
      <c r="H919" s="6">
        <f>SalesData_2[[#This Row],[Unit Price]]*SalesData_2[[#This Row],[Units Sold]]</f>
        <v>1380</v>
      </c>
      <c r="I919" s="6">
        <f>SalesData_2[[#This Row],[Unit Cost]]*SalesData_2[[#This Row],[Units Sold]]</f>
        <v>910.80000000000007</v>
      </c>
      <c r="J919" s="6">
        <f>SalesData_2[[#This Row],[Sales]]-SalesData_2[[#This Row],[COGS]]</f>
        <v>469.19999999999993</v>
      </c>
      <c r="K919" s="21">
        <f>SalesData_2[[#This Row],[Revenue]]/SalesData_2[[#This Row],[Sales]]</f>
        <v>0.33999999999999997</v>
      </c>
      <c r="L919" s="3" t="s">
        <v>44</v>
      </c>
      <c r="M919" s="3" t="s">
        <v>83</v>
      </c>
      <c r="N919" s="3" t="s">
        <v>85</v>
      </c>
    </row>
    <row r="920" spans="1:14" x14ac:dyDescent="0.3">
      <c r="A920" s="2">
        <v>44768</v>
      </c>
      <c r="B920" s="2">
        <v>44770</v>
      </c>
      <c r="C920">
        <v>2</v>
      </c>
      <c r="D920" s="3" t="s">
        <v>11</v>
      </c>
      <c r="E920" s="6">
        <v>490</v>
      </c>
      <c r="F920" s="6">
        <v>298.89999999999998</v>
      </c>
      <c r="G920">
        <v>4</v>
      </c>
      <c r="H920" s="6">
        <f>SalesData_2[[#This Row],[Unit Price]]*SalesData_2[[#This Row],[Units Sold]]</f>
        <v>1960</v>
      </c>
      <c r="I920" s="6">
        <f>SalesData_2[[#This Row],[Unit Cost]]*SalesData_2[[#This Row],[Units Sold]]</f>
        <v>1195.5999999999999</v>
      </c>
      <c r="J920" s="6">
        <f>SalesData_2[[#This Row],[Sales]]-SalesData_2[[#This Row],[COGS]]</f>
        <v>764.40000000000009</v>
      </c>
      <c r="K920" s="21">
        <f>SalesData_2[[#This Row],[Revenue]]/SalesData_2[[#This Row],[Sales]]</f>
        <v>0.39000000000000007</v>
      </c>
      <c r="L920" s="3" t="s">
        <v>33</v>
      </c>
      <c r="M920" s="3" t="s">
        <v>79</v>
      </c>
      <c r="N920" s="3" t="s">
        <v>85</v>
      </c>
    </row>
    <row r="921" spans="1:14" x14ac:dyDescent="0.3">
      <c r="A921" s="2">
        <v>44770</v>
      </c>
      <c r="B921" s="2">
        <v>44773</v>
      </c>
      <c r="C921">
        <v>3</v>
      </c>
      <c r="D921" s="3" t="s">
        <v>11</v>
      </c>
      <c r="E921" s="6">
        <v>490</v>
      </c>
      <c r="F921" s="6">
        <v>298.89999999999998</v>
      </c>
      <c r="G921">
        <v>9</v>
      </c>
      <c r="H921" s="6">
        <f>SalesData_2[[#This Row],[Unit Price]]*SalesData_2[[#This Row],[Units Sold]]</f>
        <v>4410</v>
      </c>
      <c r="I921" s="6">
        <f>SalesData_2[[#This Row],[Unit Cost]]*SalesData_2[[#This Row],[Units Sold]]</f>
        <v>2690.1</v>
      </c>
      <c r="J921" s="6">
        <f>SalesData_2[[#This Row],[Sales]]-SalesData_2[[#This Row],[COGS]]</f>
        <v>1719.9</v>
      </c>
      <c r="K921" s="21">
        <f>SalesData_2[[#This Row],[Revenue]]/SalesData_2[[#This Row],[Sales]]</f>
        <v>0.39</v>
      </c>
      <c r="L921" s="3" t="s">
        <v>64</v>
      </c>
      <c r="M921" s="3" t="s">
        <v>79</v>
      </c>
      <c r="N921" s="3" t="s">
        <v>86</v>
      </c>
    </row>
    <row r="922" spans="1:14" x14ac:dyDescent="0.3">
      <c r="A922" s="2">
        <v>44770</v>
      </c>
      <c r="B922" s="2">
        <v>44776</v>
      </c>
      <c r="C922">
        <v>6</v>
      </c>
      <c r="D922" s="3" t="s">
        <v>16</v>
      </c>
      <c r="E922" s="6">
        <v>145</v>
      </c>
      <c r="F922" s="6">
        <v>105.85</v>
      </c>
      <c r="G922">
        <v>2</v>
      </c>
      <c r="H922" s="6">
        <f>SalesData_2[[#This Row],[Unit Price]]*SalesData_2[[#This Row],[Units Sold]]</f>
        <v>290</v>
      </c>
      <c r="I922" s="6">
        <f>SalesData_2[[#This Row],[Unit Cost]]*SalesData_2[[#This Row],[Units Sold]]</f>
        <v>211.7</v>
      </c>
      <c r="J922" s="6">
        <f>SalesData_2[[#This Row],[Sales]]-SalesData_2[[#This Row],[COGS]]</f>
        <v>78.300000000000011</v>
      </c>
      <c r="K922" s="21">
        <f>SalesData_2[[#This Row],[Revenue]]/SalesData_2[[#This Row],[Sales]]</f>
        <v>0.27</v>
      </c>
      <c r="L922" s="3" t="s">
        <v>31</v>
      </c>
      <c r="M922" s="3" t="s">
        <v>82</v>
      </c>
      <c r="N922" s="3" t="s">
        <v>85</v>
      </c>
    </row>
    <row r="923" spans="1:14" x14ac:dyDescent="0.3">
      <c r="A923" s="2">
        <v>44772</v>
      </c>
      <c r="B923" s="2">
        <v>44779</v>
      </c>
      <c r="C923">
        <v>7</v>
      </c>
      <c r="D923" s="3" t="s">
        <v>2</v>
      </c>
      <c r="E923" s="6">
        <v>250</v>
      </c>
      <c r="F923" s="6">
        <v>187.5</v>
      </c>
      <c r="G923">
        <v>6</v>
      </c>
      <c r="H923" s="6">
        <f>SalesData_2[[#This Row],[Unit Price]]*SalesData_2[[#This Row],[Units Sold]]</f>
        <v>1500</v>
      </c>
      <c r="I923" s="6">
        <f>SalesData_2[[#This Row],[Unit Cost]]*SalesData_2[[#This Row],[Units Sold]]</f>
        <v>1125</v>
      </c>
      <c r="J923" s="6">
        <f>SalesData_2[[#This Row],[Sales]]-SalesData_2[[#This Row],[COGS]]</f>
        <v>375</v>
      </c>
      <c r="K923" s="21">
        <f>SalesData_2[[#This Row],[Revenue]]/SalesData_2[[#This Row],[Sales]]</f>
        <v>0.25</v>
      </c>
      <c r="L923" s="3" t="s">
        <v>73</v>
      </c>
      <c r="M923" s="3" t="s">
        <v>80</v>
      </c>
      <c r="N923" s="3" t="s">
        <v>85</v>
      </c>
    </row>
    <row r="924" spans="1:14" x14ac:dyDescent="0.3">
      <c r="A924" s="2">
        <v>44773</v>
      </c>
      <c r="B924" s="2">
        <v>44777</v>
      </c>
      <c r="C924">
        <v>4</v>
      </c>
      <c r="D924" s="3" t="s">
        <v>13</v>
      </c>
      <c r="E924" s="6">
        <v>445</v>
      </c>
      <c r="F924" s="6">
        <v>280.35000000000002</v>
      </c>
      <c r="G924">
        <v>5</v>
      </c>
      <c r="H924" s="6">
        <f>SalesData_2[[#This Row],[Unit Price]]*SalesData_2[[#This Row],[Units Sold]]</f>
        <v>2225</v>
      </c>
      <c r="I924" s="6">
        <f>SalesData_2[[#This Row],[Unit Cost]]*SalesData_2[[#This Row],[Units Sold]]</f>
        <v>1401.75</v>
      </c>
      <c r="J924" s="6">
        <f>SalesData_2[[#This Row],[Sales]]-SalesData_2[[#This Row],[COGS]]</f>
        <v>823.25</v>
      </c>
      <c r="K924" s="21">
        <f>SalesData_2[[#This Row],[Revenue]]/SalesData_2[[#This Row],[Sales]]</f>
        <v>0.37</v>
      </c>
      <c r="L924" s="3" t="s">
        <v>60</v>
      </c>
      <c r="M924" s="3" t="s">
        <v>83</v>
      </c>
      <c r="N924" s="3" t="s">
        <v>86</v>
      </c>
    </row>
    <row r="925" spans="1:14" x14ac:dyDescent="0.3">
      <c r="A925" s="2">
        <v>44774</v>
      </c>
      <c r="B925" s="2">
        <v>44777</v>
      </c>
      <c r="C925">
        <v>3</v>
      </c>
      <c r="D925" s="3" t="s">
        <v>5</v>
      </c>
      <c r="E925" s="6">
        <v>290</v>
      </c>
      <c r="F925" s="6">
        <v>185.6</v>
      </c>
      <c r="G925">
        <v>2</v>
      </c>
      <c r="H925" s="6">
        <f>SalesData_2[[#This Row],[Unit Price]]*SalesData_2[[#This Row],[Units Sold]]</f>
        <v>580</v>
      </c>
      <c r="I925" s="6">
        <f>SalesData_2[[#This Row],[Unit Cost]]*SalesData_2[[#This Row],[Units Sold]]</f>
        <v>371.2</v>
      </c>
      <c r="J925" s="6">
        <f>SalesData_2[[#This Row],[Sales]]-SalesData_2[[#This Row],[COGS]]</f>
        <v>208.8</v>
      </c>
      <c r="K925" s="21">
        <f>SalesData_2[[#This Row],[Revenue]]/SalesData_2[[#This Row],[Sales]]</f>
        <v>0.36000000000000004</v>
      </c>
      <c r="L925" s="3" t="s">
        <v>58</v>
      </c>
      <c r="M925" s="3" t="s">
        <v>79</v>
      </c>
      <c r="N925" s="3" t="s">
        <v>85</v>
      </c>
    </row>
    <row r="926" spans="1:14" x14ac:dyDescent="0.3">
      <c r="A926" s="2">
        <v>44774</v>
      </c>
      <c r="B926" s="2">
        <v>44779</v>
      </c>
      <c r="C926">
        <v>5</v>
      </c>
      <c r="D926" s="3" t="s">
        <v>2</v>
      </c>
      <c r="E926" s="6">
        <v>250</v>
      </c>
      <c r="F926" s="6">
        <v>187.5</v>
      </c>
      <c r="G926">
        <v>2</v>
      </c>
      <c r="H926" s="6">
        <f>SalesData_2[[#This Row],[Unit Price]]*SalesData_2[[#This Row],[Units Sold]]</f>
        <v>500</v>
      </c>
      <c r="I926" s="6">
        <f>SalesData_2[[#This Row],[Unit Cost]]*SalesData_2[[#This Row],[Units Sold]]</f>
        <v>375</v>
      </c>
      <c r="J926" s="6">
        <f>SalesData_2[[#This Row],[Sales]]-SalesData_2[[#This Row],[COGS]]</f>
        <v>125</v>
      </c>
      <c r="K926" s="21">
        <f>SalesData_2[[#This Row],[Revenue]]/SalesData_2[[#This Row],[Sales]]</f>
        <v>0.25</v>
      </c>
      <c r="L926" s="3" t="s">
        <v>59</v>
      </c>
      <c r="M926" s="3" t="s">
        <v>82</v>
      </c>
      <c r="N926" s="3" t="s">
        <v>86</v>
      </c>
    </row>
    <row r="927" spans="1:14" x14ac:dyDescent="0.3">
      <c r="A927" s="2">
        <v>44775</v>
      </c>
      <c r="B927" s="2">
        <v>44779</v>
      </c>
      <c r="C927">
        <v>4</v>
      </c>
      <c r="D927" s="3" t="s">
        <v>6</v>
      </c>
      <c r="E927" s="6">
        <v>99</v>
      </c>
      <c r="F927" s="6">
        <v>62.37</v>
      </c>
      <c r="G927">
        <v>7</v>
      </c>
      <c r="H927" s="6">
        <f>SalesData_2[[#This Row],[Unit Price]]*SalesData_2[[#This Row],[Units Sold]]</f>
        <v>693</v>
      </c>
      <c r="I927" s="6">
        <f>SalesData_2[[#This Row],[Unit Cost]]*SalesData_2[[#This Row],[Units Sold]]</f>
        <v>436.59</v>
      </c>
      <c r="J927" s="6">
        <f>SalesData_2[[#This Row],[Sales]]-SalesData_2[[#This Row],[COGS]]</f>
        <v>256.41000000000003</v>
      </c>
      <c r="K927" s="21">
        <f>SalesData_2[[#This Row],[Revenue]]/SalesData_2[[#This Row],[Sales]]</f>
        <v>0.37000000000000005</v>
      </c>
      <c r="L927" s="3" t="s">
        <v>41</v>
      </c>
      <c r="M927" s="3" t="s">
        <v>83</v>
      </c>
      <c r="N927" s="3" t="s">
        <v>85</v>
      </c>
    </row>
    <row r="928" spans="1:14" x14ac:dyDescent="0.3">
      <c r="A928" s="2">
        <v>44777</v>
      </c>
      <c r="B928" s="2">
        <v>44778</v>
      </c>
      <c r="C928">
        <v>1</v>
      </c>
      <c r="D928" s="3" t="s">
        <v>7</v>
      </c>
      <c r="E928" s="6">
        <v>250</v>
      </c>
      <c r="F928" s="6">
        <v>167.5</v>
      </c>
      <c r="G928">
        <v>8</v>
      </c>
      <c r="H928" s="6">
        <f>SalesData_2[[#This Row],[Unit Price]]*SalesData_2[[#This Row],[Units Sold]]</f>
        <v>2000</v>
      </c>
      <c r="I928" s="6">
        <f>SalesData_2[[#This Row],[Unit Cost]]*SalesData_2[[#This Row],[Units Sold]]</f>
        <v>1340</v>
      </c>
      <c r="J928" s="6">
        <f>SalesData_2[[#This Row],[Sales]]-SalesData_2[[#This Row],[COGS]]</f>
        <v>660</v>
      </c>
      <c r="K928" s="21">
        <f>SalesData_2[[#This Row],[Revenue]]/SalesData_2[[#This Row],[Sales]]</f>
        <v>0.33</v>
      </c>
      <c r="L928" s="3" t="s">
        <v>70</v>
      </c>
      <c r="M928" s="3" t="s">
        <v>81</v>
      </c>
      <c r="N928" s="3" t="s">
        <v>85</v>
      </c>
    </row>
    <row r="929" spans="1:14" x14ac:dyDescent="0.3">
      <c r="A929" s="2">
        <v>44779</v>
      </c>
      <c r="B929" s="2">
        <v>44784</v>
      </c>
      <c r="C929">
        <v>5</v>
      </c>
      <c r="D929" s="3" t="s">
        <v>22</v>
      </c>
      <c r="E929" s="6">
        <v>460</v>
      </c>
      <c r="F929" s="6">
        <v>303.60000000000002</v>
      </c>
      <c r="G929">
        <v>4</v>
      </c>
      <c r="H929" s="6">
        <f>SalesData_2[[#This Row],[Unit Price]]*SalesData_2[[#This Row],[Units Sold]]</f>
        <v>1840</v>
      </c>
      <c r="I929" s="6">
        <f>SalesData_2[[#This Row],[Unit Cost]]*SalesData_2[[#This Row],[Units Sold]]</f>
        <v>1214.4000000000001</v>
      </c>
      <c r="J929" s="6">
        <f>SalesData_2[[#This Row],[Sales]]-SalesData_2[[#This Row],[COGS]]</f>
        <v>625.59999999999991</v>
      </c>
      <c r="K929" s="21">
        <f>SalesData_2[[#This Row],[Revenue]]/SalesData_2[[#This Row],[Sales]]</f>
        <v>0.33999999999999997</v>
      </c>
      <c r="L929" s="3" t="s">
        <v>64</v>
      </c>
      <c r="M929" s="3" t="s">
        <v>79</v>
      </c>
      <c r="N929" s="3" t="s">
        <v>85</v>
      </c>
    </row>
    <row r="930" spans="1:14" x14ac:dyDescent="0.3">
      <c r="A930" s="2">
        <v>44780</v>
      </c>
      <c r="B930" s="2">
        <v>44784</v>
      </c>
      <c r="C930">
        <v>4</v>
      </c>
      <c r="D930" s="3" t="s">
        <v>8</v>
      </c>
      <c r="E930" s="6">
        <v>59</v>
      </c>
      <c r="F930" s="6">
        <v>41.3</v>
      </c>
      <c r="G930">
        <v>3</v>
      </c>
      <c r="H930" s="6">
        <f>SalesData_2[[#This Row],[Unit Price]]*SalesData_2[[#This Row],[Units Sold]]</f>
        <v>177</v>
      </c>
      <c r="I930" s="6">
        <f>SalesData_2[[#This Row],[Unit Cost]]*SalesData_2[[#This Row],[Units Sold]]</f>
        <v>123.89999999999999</v>
      </c>
      <c r="J930" s="6">
        <f>SalesData_2[[#This Row],[Sales]]-SalesData_2[[#This Row],[COGS]]</f>
        <v>53.100000000000009</v>
      </c>
      <c r="K930" s="21">
        <f>SalesData_2[[#This Row],[Revenue]]/SalesData_2[[#This Row],[Sales]]</f>
        <v>0.30000000000000004</v>
      </c>
      <c r="L930" s="3" t="s">
        <v>71</v>
      </c>
      <c r="M930" s="3" t="s">
        <v>81</v>
      </c>
      <c r="N930" s="3" t="s">
        <v>86</v>
      </c>
    </row>
    <row r="931" spans="1:14" x14ac:dyDescent="0.3">
      <c r="A931" s="2">
        <v>44781</v>
      </c>
      <c r="B931" s="2">
        <v>44785</v>
      </c>
      <c r="C931">
        <v>4</v>
      </c>
      <c r="D931" s="3" t="s">
        <v>12</v>
      </c>
      <c r="E931" s="6">
        <v>320</v>
      </c>
      <c r="F931" s="6">
        <v>233.6</v>
      </c>
      <c r="G931">
        <v>7</v>
      </c>
      <c r="H931" s="6">
        <f>SalesData_2[[#This Row],[Unit Price]]*SalesData_2[[#This Row],[Units Sold]]</f>
        <v>2240</v>
      </c>
      <c r="I931" s="6">
        <f>SalesData_2[[#This Row],[Unit Cost]]*SalesData_2[[#This Row],[Units Sold]]</f>
        <v>1635.2</v>
      </c>
      <c r="J931" s="6">
        <f>SalesData_2[[#This Row],[Sales]]-SalesData_2[[#This Row],[COGS]]</f>
        <v>604.79999999999995</v>
      </c>
      <c r="K931" s="21">
        <f>SalesData_2[[#This Row],[Revenue]]/SalesData_2[[#This Row],[Sales]]</f>
        <v>0.26999999999999996</v>
      </c>
      <c r="L931" s="3" t="s">
        <v>53</v>
      </c>
      <c r="M931" s="3" t="s">
        <v>80</v>
      </c>
      <c r="N931" s="3" t="s">
        <v>86</v>
      </c>
    </row>
    <row r="932" spans="1:14" x14ac:dyDescent="0.3">
      <c r="A932" s="2">
        <v>44781</v>
      </c>
      <c r="B932" s="2">
        <v>44783</v>
      </c>
      <c r="C932">
        <v>2</v>
      </c>
      <c r="D932" s="3" t="s">
        <v>17</v>
      </c>
      <c r="E932" s="6">
        <v>195</v>
      </c>
      <c r="F932" s="6">
        <v>138.44999999999999</v>
      </c>
      <c r="G932">
        <v>8</v>
      </c>
      <c r="H932" s="6">
        <f>SalesData_2[[#This Row],[Unit Price]]*SalesData_2[[#This Row],[Units Sold]]</f>
        <v>1560</v>
      </c>
      <c r="I932" s="6">
        <f>SalesData_2[[#This Row],[Unit Cost]]*SalesData_2[[#This Row],[Units Sold]]</f>
        <v>1107.5999999999999</v>
      </c>
      <c r="J932" s="6">
        <f>SalesData_2[[#This Row],[Sales]]-SalesData_2[[#This Row],[COGS]]</f>
        <v>452.40000000000009</v>
      </c>
      <c r="K932" s="21">
        <f>SalesData_2[[#This Row],[Revenue]]/SalesData_2[[#This Row],[Sales]]</f>
        <v>0.29000000000000004</v>
      </c>
      <c r="L932" s="3" t="s">
        <v>70</v>
      </c>
      <c r="M932" s="3" t="s">
        <v>83</v>
      </c>
      <c r="N932" s="3" t="s">
        <v>85</v>
      </c>
    </row>
    <row r="933" spans="1:14" x14ac:dyDescent="0.3">
      <c r="A933" s="2">
        <v>44781</v>
      </c>
      <c r="B933" s="2">
        <v>44783</v>
      </c>
      <c r="C933">
        <v>2</v>
      </c>
      <c r="D933" s="3" t="s">
        <v>8</v>
      </c>
      <c r="E933" s="6">
        <v>59</v>
      </c>
      <c r="F933" s="6">
        <v>41.3</v>
      </c>
      <c r="G933">
        <v>7</v>
      </c>
      <c r="H933" s="6">
        <f>SalesData_2[[#This Row],[Unit Price]]*SalesData_2[[#This Row],[Units Sold]]</f>
        <v>413</v>
      </c>
      <c r="I933" s="6">
        <f>SalesData_2[[#This Row],[Unit Cost]]*SalesData_2[[#This Row],[Units Sold]]</f>
        <v>289.09999999999997</v>
      </c>
      <c r="J933" s="6">
        <f>SalesData_2[[#This Row],[Sales]]-SalesData_2[[#This Row],[COGS]]</f>
        <v>123.90000000000003</v>
      </c>
      <c r="K933" s="21">
        <f>SalesData_2[[#This Row],[Revenue]]/SalesData_2[[#This Row],[Sales]]</f>
        <v>0.3000000000000001</v>
      </c>
      <c r="L933" s="3" t="s">
        <v>72</v>
      </c>
      <c r="M933" s="3" t="s">
        <v>82</v>
      </c>
      <c r="N933" s="3" t="s">
        <v>86</v>
      </c>
    </row>
    <row r="934" spans="1:14" x14ac:dyDescent="0.3">
      <c r="A934" s="2">
        <v>44784</v>
      </c>
      <c r="B934" s="2">
        <v>44785</v>
      </c>
      <c r="C934">
        <v>1</v>
      </c>
      <c r="D934" s="3" t="s">
        <v>17</v>
      </c>
      <c r="E934" s="6">
        <v>195</v>
      </c>
      <c r="F934" s="6">
        <v>138.44999999999999</v>
      </c>
      <c r="G934">
        <v>6</v>
      </c>
      <c r="H934" s="6">
        <f>SalesData_2[[#This Row],[Unit Price]]*SalesData_2[[#This Row],[Units Sold]]</f>
        <v>1170</v>
      </c>
      <c r="I934" s="6">
        <f>SalesData_2[[#This Row],[Unit Cost]]*SalesData_2[[#This Row],[Units Sold]]</f>
        <v>830.69999999999993</v>
      </c>
      <c r="J934" s="6">
        <f>SalesData_2[[#This Row],[Sales]]-SalesData_2[[#This Row],[COGS]]</f>
        <v>339.30000000000007</v>
      </c>
      <c r="K934" s="21">
        <f>SalesData_2[[#This Row],[Revenue]]/SalesData_2[[#This Row],[Sales]]</f>
        <v>0.29000000000000004</v>
      </c>
      <c r="L934" s="3" t="s">
        <v>50</v>
      </c>
      <c r="M934" s="3" t="s">
        <v>81</v>
      </c>
      <c r="N934" s="3" t="s">
        <v>85</v>
      </c>
    </row>
    <row r="935" spans="1:14" x14ac:dyDescent="0.3">
      <c r="A935" s="2">
        <v>44784</v>
      </c>
      <c r="B935" s="2">
        <v>44788</v>
      </c>
      <c r="C935">
        <v>4</v>
      </c>
      <c r="D935" s="3" t="s">
        <v>14</v>
      </c>
      <c r="E935" s="6">
        <v>375</v>
      </c>
      <c r="F935" s="6">
        <v>247.5</v>
      </c>
      <c r="G935">
        <v>8</v>
      </c>
      <c r="H935" s="6">
        <f>SalesData_2[[#This Row],[Unit Price]]*SalesData_2[[#This Row],[Units Sold]]</f>
        <v>3000</v>
      </c>
      <c r="I935" s="6">
        <f>SalesData_2[[#This Row],[Unit Cost]]*SalesData_2[[#This Row],[Units Sold]]</f>
        <v>1980</v>
      </c>
      <c r="J935" s="6">
        <f>SalesData_2[[#This Row],[Sales]]-SalesData_2[[#This Row],[COGS]]</f>
        <v>1020</v>
      </c>
      <c r="K935" s="21">
        <f>SalesData_2[[#This Row],[Revenue]]/SalesData_2[[#This Row],[Sales]]</f>
        <v>0.34</v>
      </c>
      <c r="L935" s="3" t="s">
        <v>53</v>
      </c>
      <c r="M935" s="3" t="s">
        <v>81</v>
      </c>
      <c r="N935" s="3" t="s">
        <v>85</v>
      </c>
    </row>
    <row r="936" spans="1:14" x14ac:dyDescent="0.3">
      <c r="A936" s="2">
        <v>44784</v>
      </c>
      <c r="B936" s="2">
        <v>44788</v>
      </c>
      <c r="C936">
        <v>4</v>
      </c>
      <c r="D936" s="3" t="s">
        <v>15</v>
      </c>
      <c r="E936" s="6">
        <v>110</v>
      </c>
      <c r="F936" s="6">
        <v>78.099999999999994</v>
      </c>
      <c r="G936">
        <v>9</v>
      </c>
      <c r="H936" s="6">
        <f>SalesData_2[[#This Row],[Unit Price]]*SalesData_2[[#This Row],[Units Sold]]</f>
        <v>990</v>
      </c>
      <c r="I936" s="6">
        <f>SalesData_2[[#This Row],[Unit Cost]]*SalesData_2[[#This Row],[Units Sold]]</f>
        <v>702.9</v>
      </c>
      <c r="J936" s="6">
        <f>SalesData_2[[#This Row],[Sales]]-SalesData_2[[#This Row],[COGS]]</f>
        <v>287.10000000000002</v>
      </c>
      <c r="K936" s="21">
        <f>SalesData_2[[#This Row],[Revenue]]/SalesData_2[[#This Row],[Sales]]</f>
        <v>0.29000000000000004</v>
      </c>
      <c r="L936" s="3" t="s">
        <v>41</v>
      </c>
      <c r="M936" s="3" t="s">
        <v>83</v>
      </c>
      <c r="N936" s="3" t="s">
        <v>85</v>
      </c>
    </row>
    <row r="937" spans="1:14" x14ac:dyDescent="0.3">
      <c r="A937" s="2">
        <v>44786</v>
      </c>
      <c r="B937" s="2">
        <v>44791</v>
      </c>
      <c r="C937">
        <v>5</v>
      </c>
      <c r="D937" s="3" t="s">
        <v>10</v>
      </c>
      <c r="E937" s="6">
        <v>390</v>
      </c>
      <c r="F937" s="6">
        <v>253.5</v>
      </c>
      <c r="G937">
        <v>7</v>
      </c>
      <c r="H937" s="6">
        <f>SalesData_2[[#This Row],[Unit Price]]*SalesData_2[[#This Row],[Units Sold]]</f>
        <v>2730</v>
      </c>
      <c r="I937" s="6">
        <f>SalesData_2[[#This Row],[Unit Cost]]*SalesData_2[[#This Row],[Units Sold]]</f>
        <v>1774.5</v>
      </c>
      <c r="J937" s="6">
        <f>SalesData_2[[#This Row],[Sales]]-SalesData_2[[#This Row],[COGS]]</f>
        <v>955.5</v>
      </c>
      <c r="K937" s="21">
        <f>SalesData_2[[#This Row],[Revenue]]/SalesData_2[[#This Row],[Sales]]</f>
        <v>0.35</v>
      </c>
      <c r="L937" s="3" t="s">
        <v>74</v>
      </c>
      <c r="M937" s="3" t="s">
        <v>83</v>
      </c>
      <c r="N937" s="3" t="s">
        <v>85</v>
      </c>
    </row>
    <row r="938" spans="1:14" x14ac:dyDescent="0.3">
      <c r="A938" s="2">
        <v>44787</v>
      </c>
      <c r="B938" s="2">
        <v>44790</v>
      </c>
      <c r="C938">
        <v>3</v>
      </c>
      <c r="D938" s="3" t="s">
        <v>4</v>
      </c>
      <c r="E938" s="6">
        <v>390</v>
      </c>
      <c r="F938" s="6">
        <v>288.60000000000002</v>
      </c>
      <c r="G938">
        <v>9</v>
      </c>
      <c r="H938" s="6">
        <f>SalesData_2[[#This Row],[Unit Price]]*SalesData_2[[#This Row],[Units Sold]]</f>
        <v>3510</v>
      </c>
      <c r="I938" s="6">
        <f>SalesData_2[[#This Row],[Unit Cost]]*SalesData_2[[#This Row],[Units Sold]]</f>
        <v>2597.4</v>
      </c>
      <c r="J938" s="6">
        <f>SalesData_2[[#This Row],[Sales]]-SalesData_2[[#This Row],[COGS]]</f>
        <v>912.59999999999991</v>
      </c>
      <c r="K938" s="21">
        <f>SalesData_2[[#This Row],[Revenue]]/SalesData_2[[#This Row],[Sales]]</f>
        <v>0.25999999999999995</v>
      </c>
      <c r="L938" s="3" t="s">
        <v>54</v>
      </c>
      <c r="M938" s="3" t="s">
        <v>82</v>
      </c>
      <c r="N938" s="3" t="s">
        <v>85</v>
      </c>
    </row>
    <row r="939" spans="1:14" x14ac:dyDescent="0.3">
      <c r="A939" s="2">
        <v>44787</v>
      </c>
      <c r="B939" s="2">
        <v>44788</v>
      </c>
      <c r="C939">
        <v>1</v>
      </c>
      <c r="D939" s="3" t="s">
        <v>2</v>
      </c>
      <c r="E939" s="6">
        <v>250</v>
      </c>
      <c r="F939" s="6">
        <v>187.5</v>
      </c>
      <c r="G939">
        <v>4</v>
      </c>
      <c r="H939" s="6">
        <f>SalesData_2[[#This Row],[Unit Price]]*SalesData_2[[#This Row],[Units Sold]]</f>
        <v>1000</v>
      </c>
      <c r="I939" s="6">
        <f>SalesData_2[[#This Row],[Unit Cost]]*SalesData_2[[#This Row],[Units Sold]]</f>
        <v>750</v>
      </c>
      <c r="J939" s="6">
        <f>SalesData_2[[#This Row],[Sales]]-SalesData_2[[#This Row],[COGS]]</f>
        <v>250</v>
      </c>
      <c r="K939" s="21">
        <f>SalesData_2[[#This Row],[Revenue]]/SalesData_2[[#This Row],[Sales]]</f>
        <v>0.25</v>
      </c>
      <c r="L939" s="3" t="s">
        <v>43</v>
      </c>
      <c r="M939" s="3" t="s">
        <v>81</v>
      </c>
      <c r="N939" s="3" t="s">
        <v>86</v>
      </c>
    </row>
    <row r="940" spans="1:14" x14ac:dyDescent="0.3">
      <c r="A940" s="2">
        <v>44787</v>
      </c>
      <c r="B940" s="2">
        <v>44791</v>
      </c>
      <c r="C940">
        <v>4</v>
      </c>
      <c r="D940" s="3" t="s">
        <v>19</v>
      </c>
      <c r="E940" s="6">
        <v>220</v>
      </c>
      <c r="F940" s="6">
        <v>154</v>
      </c>
      <c r="G940">
        <v>6</v>
      </c>
      <c r="H940" s="6">
        <f>SalesData_2[[#This Row],[Unit Price]]*SalesData_2[[#This Row],[Units Sold]]</f>
        <v>1320</v>
      </c>
      <c r="I940" s="6">
        <f>SalesData_2[[#This Row],[Unit Cost]]*SalesData_2[[#This Row],[Units Sold]]</f>
        <v>924</v>
      </c>
      <c r="J940" s="6">
        <f>SalesData_2[[#This Row],[Sales]]-SalesData_2[[#This Row],[COGS]]</f>
        <v>396</v>
      </c>
      <c r="K940" s="21">
        <f>SalesData_2[[#This Row],[Revenue]]/SalesData_2[[#This Row],[Sales]]</f>
        <v>0.3</v>
      </c>
      <c r="L940" s="3" t="s">
        <v>68</v>
      </c>
      <c r="M940" s="3" t="s">
        <v>82</v>
      </c>
      <c r="N940" s="3" t="s">
        <v>86</v>
      </c>
    </row>
    <row r="941" spans="1:14" x14ac:dyDescent="0.3">
      <c r="A941" s="2">
        <v>44789</v>
      </c>
      <c r="B941" s="2">
        <v>44791</v>
      </c>
      <c r="C941">
        <v>2</v>
      </c>
      <c r="D941" s="3" t="s">
        <v>5</v>
      </c>
      <c r="E941" s="6">
        <v>290</v>
      </c>
      <c r="F941" s="6">
        <v>185.6</v>
      </c>
      <c r="G941">
        <v>4</v>
      </c>
      <c r="H941" s="6">
        <f>SalesData_2[[#This Row],[Unit Price]]*SalesData_2[[#This Row],[Units Sold]]</f>
        <v>1160</v>
      </c>
      <c r="I941" s="6">
        <f>SalesData_2[[#This Row],[Unit Cost]]*SalesData_2[[#This Row],[Units Sold]]</f>
        <v>742.4</v>
      </c>
      <c r="J941" s="6">
        <f>SalesData_2[[#This Row],[Sales]]-SalesData_2[[#This Row],[COGS]]</f>
        <v>417.6</v>
      </c>
      <c r="K941" s="21">
        <f>SalesData_2[[#This Row],[Revenue]]/SalesData_2[[#This Row],[Sales]]</f>
        <v>0.36000000000000004</v>
      </c>
      <c r="L941" s="3" t="s">
        <v>44</v>
      </c>
      <c r="M941" s="3" t="s">
        <v>82</v>
      </c>
      <c r="N941" s="3" t="s">
        <v>86</v>
      </c>
    </row>
    <row r="942" spans="1:14" x14ac:dyDescent="0.3">
      <c r="A942" s="2">
        <v>44789</v>
      </c>
      <c r="B942" s="2">
        <v>44794</v>
      </c>
      <c r="C942">
        <v>5</v>
      </c>
      <c r="D942" s="3" t="s">
        <v>17</v>
      </c>
      <c r="E942" s="6">
        <v>195</v>
      </c>
      <c r="F942" s="6">
        <v>138.44999999999999</v>
      </c>
      <c r="G942">
        <v>6</v>
      </c>
      <c r="H942" s="6">
        <f>SalesData_2[[#This Row],[Unit Price]]*SalesData_2[[#This Row],[Units Sold]]</f>
        <v>1170</v>
      </c>
      <c r="I942" s="6">
        <f>SalesData_2[[#This Row],[Unit Cost]]*SalesData_2[[#This Row],[Units Sold]]</f>
        <v>830.69999999999993</v>
      </c>
      <c r="J942" s="6">
        <f>SalesData_2[[#This Row],[Sales]]-SalesData_2[[#This Row],[COGS]]</f>
        <v>339.30000000000007</v>
      </c>
      <c r="K942" s="21">
        <f>SalesData_2[[#This Row],[Revenue]]/SalesData_2[[#This Row],[Sales]]</f>
        <v>0.29000000000000004</v>
      </c>
      <c r="L942" s="3" t="s">
        <v>61</v>
      </c>
      <c r="M942" s="3" t="s">
        <v>83</v>
      </c>
      <c r="N942" s="3" t="s">
        <v>86</v>
      </c>
    </row>
    <row r="943" spans="1:14" x14ac:dyDescent="0.3">
      <c r="A943" s="2">
        <v>44791</v>
      </c>
      <c r="B943" s="2">
        <v>44797</v>
      </c>
      <c r="C943">
        <v>6</v>
      </c>
      <c r="D943" s="3" t="s">
        <v>12</v>
      </c>
      <c r="E943" s="6">
        <v>320</v>
      </c>
      <c r="F943" s="6">
        <v>233.6</v>
      </c>
      <c r="G943">
        <v>2</v>
      </c>
      <c r="H943" s="6">
        <f>SalesData_2[[#This Row],[Unit Price]]*SalesData_2[[#This Row],[Units Sold]]</f>
        <v>640</v>
      </c>
      <c r="I943" s="6">
        <f>SalesData_2[[#This Row],[Unit Cost]]*SalesData_2[[#This Row],[Units Sold]]</f>
        <v>467.2</v>
      </c>
      <c r="J943" s="6">
        <f>SalesData_2[[#This Row],[Sales]]-SalesData_2[[#This Row],[COGS]]</f>
        <v>172.8</v>
      </c>
      <c r="K943" s="21">
        <f>SalesData_2[[#This Row],[Revenue]]/SalesData_2[[#This Row],[Sales]]</f>
        <v>0.27</v>
      </c>
      <c r="L943" s="3" t="s">
        <v>33</v>
      </c>
      <c r="M943" s="3" t="s">
        <v>79</v>
      </c>
      <c r="N943" s="3" t="s">
        <v>86</v>
      </c>
    </row>
    <row r="944" spans="1:14" x14ac:dyDescent="0.3">
      <c r="A944" s="2">
        <v>44791</v>
      </c>
      <c r="B944" s="2">
        <v>44798</v>
      </c>
      <c r="C944">
        <v>7</v>
      </c>
      <c r="D944" s="3" t="s">
        <v>12</v>
      </c>
      <c r="E944" s="6">
        <v>320</v>
      </c>
      <c r="F944" s="6">
        <v>233.6</v>
      </c>
      <c r="G944">
        <v>6</v>
      </c>
      <c r="H944" s="6">
        <f>SalesData_2[[#This Row],[Unit Price]]*SalesData_2[[#This Row],[Units Sold]]</f>
        <v>1920</v>
      </c>
      <c r="I944" s="6">
        <f>SalesData_2[[#This Row],[Unit Cost]]*SalesData_2[[#This Row],[Units Sold]]</f>
        <v>1401.6</v>
      </c>
      <c r="J944" s="6">
        <f>SalesData_2[[#This Row],[Sales]]-SalesData_2[[#This Row],[COGS]]</f>
        <v>518.40000000000009</v>
      </c>
      <c r="K944" s="21">
        <f>SalesData_2[[#This Row],[Revenue]]/SalesData_2[[#This Row],[Sales]]</f>
        <v>0.27000000000000007</v>
      </c>
      <c r="L944" s="3" t="s">
        <v>75</v>
      </c>
      <c r="M944" s="3" t="s">
        <v>80</v>
      </c>
      <c r="N944" s="3" t="s">
        <v>86</v>
      </c>
    </row>
    <row r="945" spans="1:14" x14ac:dyDescent="0.3">
      <c r="A945" s="2">
        <v>44792</v>
      </c>
      <c r="B945" s="2">
        <v>44793</v>
      </c>
      <c r="C945">
        <v>1</v>
      </c>
      <c r="D945" s="3" t="s">
        <v>11</v>
      </c>
      <c r="E945" s="6">
        <v>490</v>
      </c>
      <c r="F945" s="6">
        <v>298.89999999999998</v>
      </c>
      <c r="G945">
        <v>4</v>
      </c>
      <c r="H945" s="6">
        <f>SalesData_2[[#This Row],[Unit Price]]*SalesData_2[[#This Row],[Units Sold]]</f>
        <v>1960</v>
      </c>
      <c r="I945" s="6">
        <f>SalesData_2[[#This Row],[Unit Cost]]*SalesData_2[[#This Row],[Units Sold]]</f>
        <v>1195.5999999999999</v>
      </c>
      <c r="J945" s="6">
        <f>SalesData_2[[#This Row],[Sales]]-SalesData_2[[#This Row],[COGS]]</f>
        <v>764.40000000000009</v>
      </c>
      <c r="K945" s="21">
        <f>SalesData_2[[#This Row],[Revenue]]/SalesData_2[[#This Row],[Sales]]</f>
        <v>0.39000000000000007</v>
      </c>
      <c r="L945" s="3" t="s">
        <v>43</v>
      </c>
      <c r="M945" s="3" t="s">
        <v>83</v>
      </c>
      <c r="N945" s="3" t="s">
        <v>86</v>
      </c>
    </row>
    <row r="946" spans="1:14" x14ac:dyDescent="0.3">
      <c r="A946" s="2">
        <v>44792</v>
      </c>
      <c r="B946" s="2">
        <v>44798</v>
      </c>
      <c r="C946">
        <v>6</v>
      </c>
      <c r="D946" s="3" t="s">
        <v>4</v>
      </c>
      <c r="E946" s="6">
        <v>390</v>
      </c>
      <c r="F946" s="6">
        <v>288.60000000000002</v>
      </c>
      <c r="G946">
        <v>1</v>
      </c>
      <c r="H946" s="6">
        <f>SalesData_2[[#This Row],[Unit Price]]*SalesData_2[[#This Row],[Units Sold]]</f>
        <v>390</v>
      </c>
      <c r="I946" s="6">
        <f>SalesData_2[[#This Row],[Unit Cost]]*SalesData_2[[#This Row],[Units Sold]]</f>
        <v>288.60000000000002</v>
      </c>
      <c r="J946" s="6">
        <f>SalesData_2[[#This Row],[Sales]]-SalesData_2[[#This Row],[COGS]]</f>
        <v>101.39999999999998</v>
      </c>
      <c r="K946" s="21">
        <f>SalesData_2[[#This Row],[Revenue]]/SalesData_2[[#This Row],[Sales]]</f>
        <v>0.25999999999999995</v>
      </c>
      <c r="L946" s="3" t="s">
        <v>37</v>
      </c>
      <c r="M946" s="3" t="s">
        <v>83</v>
      </c>
      <c r="N946" s="3" t="s">
        <v>86</v>
      </c>
    </row>
    <row r="947" spans="1:14" x14ac:dyDescent="0.3">
      <c r="A947" s="2">
        <v>44793</v>
      </c>
      <c r="B947" s="2">
        <v>44796</v>
      </c>
      <c r="C947">
        <v>3</v>
      </c>
      <c r="D947" s="3" t="s">
        <v>22</v>
      </c>
      <c r="E947" s="6">
        <v>460</v>
      </c>
      <c r="F947" s="6">
        <v>303.60000000000002</v>
      </c>
      <c r="G947">
        <v>8</v>
      </c>
      <c r="H947" s="6">
        <f>SalesData_2[[#This Row],[Unit Price]]*SalesData_2[[#This Row],[Units Sold]]</f>
        <v>3680</v>
      </c>
      <c r="I947" s="6">
        <f>SalesData_2[[#This Row],[Unit Cost]]*SalesData_2[[#This Row],[Units Sold]]</f>
        <v>2428.8000000000002</v>
      </c>
      <c r="J947" s="6">
        <f>SalesData_2[[#This Row],[Sales]]-SalesData_2[[#This Row],[COGS]]</f>
        <v>1251.1999999999998</v>
      </c>
      <c r="K947" s="21">
        <f>SalesData_2[[#This Row],[Revenue]]/SalesData_2[[#This Row],[Sales]]</f>
        <v>0.33999999999999997</v>
      </c>
      <c r="L947" s="3" t="s">
        <v>54</v>
      </c>
      <c r="M947" s="3" t="s">
        <v>81</v>
      </c>
      <c r="N947" s="3" t="s">
        <v>85</v>
      </c>
    </row>
    <row r="948" spans="1:14" x14ac:dyDescent="0.3">
      <c r="A948" s="2">
        <v>44794</v>
      </c>
      <c r="B948" s="2">
        <v>44796</v>
      </c>
      <c r="C948">
        <v>2</v>
      </c>
      <c r="D948" s="3" t="s">
        <v>14</v>
      </c>
      <c r="E948" s="6">
        <v>375</v>
      </c>
      <c r="F948" s="6">
        <v>247.5</v>
      </c>
      <c r="G948">
        <v>3</v>
      </c>
      <c r="H948" s="6">
        <f>SalesData_2[[#This Row],[Unit Price]]*SalesData_2[[#This Row],[Units Sold]]</f>
        <v>1125</v>
      </c>
      <c r="I948" s="6">
        <f>SalesData_2[[#This Row],[Unit Cost]]*SalesData_2[[#This Row],[Units Sold]]</f>
        <v>742.5</v>
      </c>
      <c r="J948" s="6">
        <f>SalesData_2[[#This Row],[Sales]]-SalesData_2[[#This Row],[COGS]]</f>
        <v>382.5</v>
      </c>
      <c r="K948" s="21">
        <f>SalesData_2[[#This Row],[Revenue]]/SalesData_2[[#This Row],[Sales]]</f>
        <v>0.34</v>
      </c>
      <c r="L948" s="3" t="s">
        <v>62</v>
      </c>
      <c r="M948" s="3" t="s">
        <v>82</v>
      </c>
      <c r="N948" s="3" t="s">
        <v>85</v>
      </c>
    </row>
    <row r="949" spans="1:14" x14ac:dyDescent="0.3">
      <c r="A949" s="2">
        <v>44794</v>
      </c>
      <c r="B949" s="2">
        <v>44799</v>
      </c>
      <c r="C949">
        <v>5</v>
      </c>
      <c r="D949" s="3" t="s">
        <v>3</v>
      </c>
      <c r="E949" s="6">
        <v>95</v>
      </c>
      <c r="F949" s="6">
        <v>60.8</v>
      </c>
      <c r="G949">
        <v>5</v>
      </c>
      <c r="H949" s="6">
        <f>SalesData_2[[#This Row],[Unit Price]]*SalesData_2[[#This Row],[Units Sold]]</f>
        <v>475</v>
      </c>
      <c r="I949" s="6">
        <f>SalesData_2[[#This Row],[Unit Cost]]*SalesData_2[[#This Row],[Units Sold]]</f>
        <v>304</v>
      </c>
      <c r="J949" s="6">
        <f>SalesData_2[[#This Row],[Sales]]-SalesData_2[[#This Row],[COGS]]</f>
        <v>171</v>
      </c>
      <c r="K949" s="21">
        <f>SalesData_2[[#This Row],[Revenue]]/SalesData_2[[#This Row],[Sales]]</f>
        <v>0.36</v>
      </c>
      <c r="L949" s="3" t="s">
        <v>53</v>
      </c>
      <c r="M949" s="3" t="s">
        <v>80</v>
      </c>
      <c r="N949" s="3" t="s">
        <v>86</v>
      </c>
    </row>
    <row r="950" spans="1:14" x14ac:dyDescent="0.3">
      <c r="A950" s="2">
        <v>44794</v>
      </c>
      <c r="B950" s="2">
        <v>44801</v>
      </c>
      <c r="C950">
        <v>7</v>
      </c>
      <c r="D950" s="3" t="s">
        <v>13</v>
      </c>
      <c r="E950" s="6">
        <v>445</v>
      </c>
      <c r="F950" s="6">
        <v>280.35000000000002</v>
      </c>
      <c r="G950">
        <v>6</v>
      </c>
      <c r="H950" s="6">
        <f>SalesData_2[[#This Row],[Unit Price]]*SalesData_2[[#This Row],[Units Sold]]</f>
        <v>2670</v>
      </c>
      <c r="I950" s="6">
        <f>SalesData_2[[#This Row],[Unit Cost]]*SalesData_2[[#This Row],[Units Sold]]</f>
        <v>1682.1000000000001</v>
      </c>
      <c r="J950" s="6">
        <f>SalesData_2[[#This Row],[Sales]]-SalesData_2[[#This Row],[COGS]]</f>
        <v>987.89999999999986</v>
      </c>
      <c r="K950" s="21">
        <f>SalesData_2[[#This Row],[Revenue]]/SalesData_2[[#This Row],[Sales]]</f>
        <v>0.36999999999999994</v>
      </c>
      <c r="L950" s="3" t="s">
        <v>46</v>
      </c>
      <c r="M950" s="3" t="s">
        <v>80</v>
      </c>
      <c r="N950" s="3" t="s">
        <v>85</v>
      </c>
    </row>
    <row r="951" spans="1:14" x14ac:dyDescent="0.3">
      <c r="A951" s="2">
        <v>44795</v>
      </c>
      <c r="B951" s="2">
        <v>44802</v>
      </c>
      <c r="C951">
        <v>7</v>
      </c>
      <c r="D951" s="3" t="s">
        <v>22</v>
      </c>
      <c r="E951" s="6">
        <v>460</v>
      </c>
      <c r="F951" s="6">
        <v>303.60000000000002</v>
      </c>
      <c r="G951">
        <v>7</v>
      </c>
      <c r="H951" s="6">
        <f>SalesData_2[[#This Row],[Unit Price]]*SalesData_2[[#This Row],[Units Sold]]</f>
        <v>3220</v>
      </c>
      <c r="I951" s="6">
        <f>SalesData_2[[#This Row],[Unit Cost]]*SalesData_2[[#This Row],[Units Sold]]</f>
        <v>2125.2000000000003</v>
      </c>
      <c r="J951" s="6">
        <f>SalesData_2[[#This Row],[Sales]]-SalesData_2[[#This Row],[COGS]]</f>
        <v>1094.7999999999997</v>
      </c>
      <c r="K951" s="21">
        <f>SalesData_2[[#This Row],[Revenue]]/SalesData_2[[#This Row],[Sales]]</f>
        <v>0.33999999999999991</v>
      </c>
      <c r="L951" s="3" t="s">
        <v>76</v>
      </c>
      <c r="M951" s="3" t="s">
        <v>80</v>
      </c>
      <c r="N951" s="3" t="s">
        <v>86</v>
      </c>
    </row>
    <row r="952" spans="1:14" x14ac:dyDescent="0.3">
      <c r="A952" s="2">
        <v>44795</v>
      </c>
      <c r="B952" s="2">
        <v>44802</v>
      </c>
      <c r="C952">
        <v>7</v>
      </c>
      <c r="D952" s="3" t="s">
        <v>6</v>
      </c>
      <c r="E952" s="6">
        <v>99</v>
      </c>
      <c r="F952" s="6">
        <v>62.37</v>
      </c>
      <c r="G952">
        <v>8</v>
      </c>
      <c r="H952" s="6">
        <f>SalesData_2[[#This Row],[Unit Price]]*SalesData_2[[#This Row],[Units Sold]]</f>
        <v>792</v>
      </c>
      <c r="I952" s="6">
        <f>SalesData_2[[#This Row],[Unit Cost]]*SalesData_2[[#This Row],[Units Sold]]</f>
        <v>498.96</v>
      </c>
      <c r="J952" s="6">
        <f>SalesData_2[[#This Row],[Sales]]-SalesData_2[[#This Row],[COGS]]</f>
        <v>293.04000000000002</v>
      </c>
      <c r="K952" s="21">
        <f>SalesData_2[[#This Row],[Revenue]]/SalesData_2[[#This Row],[Sales]]</f>
        <v>0.37000000000000005</v>
      </c>
      <c r="L952" s="3" t="s">
        <v>38</v>
      </c>
      <c r="M952" s="3" t="s">
        <v>80</v>
      </c>
      <c r="N952" s="3" t="s">
        <v>85</v>
      </c>
    </row>
    <row r="953" spans="1:14" x14ac:dyDescent="0.3">
      <c r="A953" s="2">
        <v>44795</v>
      </c>
      <c r="B953" s="2">
        <v>44797</v>
      </c>
      <c r="C953">
        <v>2</v>
      </c>
      <c r="D953" s="3" t="s">
        <v>20</v>
      </c>
      <c r="E953" s="6">
        <v>440</v>
      </c>
      <c r="F953" s="6">
        <v>286</v>
      </c>
      <c r="G953">
        <v>7</v>
      </c>
      <c r="H953" s="6">
        <f>SalesData_2[[#This Row],[Unit Price]]*SalesData_2[[#This Row],[Units Sold]]</f>
        <v>3080</v>
      </c>
      <c r="I953" s="6">
        <f>SalesData_2[[#This Row],[Unit Cost]]*SalesData_2[[#This Row],[Units Sold]]</f>
        <v>2002</v>
      </c>
      <c r="J953" s="6">
        <f>SalesData_2[[#This Row],[Sales]]-SalesData_2[[#This Row],[COGS]]</f>
        <v>1078</v>
      </c>
      <c r="K953" s="21">
        <f>SalesData_2[[#This Row],[Revenue]]/SalesData_2[[#This Row],[Sales]]</f>
        <v>0.35</v>
      </c>
      <c r="L953" s="3" t="s">
        <v>56</v>
      </c>
      <c r="M953" s="3" t="s">
        <v>83</v>
      </c>
      <c r="N953" s="3" t="s">
        <v>86</v>
      </c>
    </row>
    <row r="954" spans="1:14" x14ac:dyDescent="0.3">
      <c r="A954" s="2">
        <v>44795</v>
      </c>
      <c r="B954" s="2">
        <v>44801</v>
      </c>
      <c r="C954">
        <v>6</v>
      </c>
      <c r="D954" s="3" t="s">
        <v>12</v>
      </c>
      <c r="E954" s="6">
        <v>320</v>
      </c>
      <c r="F954" s="6">
        <v>233.6</v>
      </c>
      <c r="G954">
        <v>2</v>
      </c>
      <c r="H954" s="6">
        <f>SalesData_2[[#This Row],[Unit Price]]*SalesData_2[[#This Row],[Units Sold]]</f>
        <v>640</v>
      </c>
      <c r="I954" s="6">
        <f>SalesData_2[[#This Row],[Unit Cost]]*SalesData_2[[#This Row],[Units Sold]]</f>
        <v>467.2</v>
      </c>
      <c r="J954" s="6">
        <f>SalesData_2[[#This Row],[Sales]]-SalesData_2[[#This Row],[COGS]]</f>
        <v>172.8</v>
      </c>
      <c r="K954" s="21">
        <f>SalesData_2[[#This Row],[Revenue]]/SalesData_2[[#This Row],[Sales]]</f>
        <v>0.27</v>
      </c>
      <c r="L954" s="3" t="s">
        <v>39</v>
      </c>
      <c r="M954" s="3" t="s">
        <v>82</v>
      </c>
      <c r="N954" s="3" t="s">
        <v>86</v>
      </c>
    </row>
    <row r="955" spans="1:14" x14ac:dyDescent="0.3">
      <c r="A955" s="2">
        <v>44796</v>
      </c>
      <c r="B955" s="2">
        <v>44802</v>
      </c>
      <c r="C955">
        <v>6</v>
      </c>
      <c r="D955" s="3" t="s">
        <v>7</v>
      </c>
      <c r="E955" s="6">
        <v>250</v>
      </c>
      <c r="F955" s="6">
        <v>167.5</v>
      </c>
      <c r="G955">
        <v>9</v>
      </c>
      <c r="H955" s="6">
        <f>SalesData_2[[#This Row],[Unit Price]]*SalesData_2[[#This Row],[Units Sold]]</f>
        <v>2250</v>
      </c>
      <c r="I955" s="6">
        <f>SalesData_2[[#This Row],[Unit Cost]]*SalesData_2[[#This Row],[Units Sold]]</f>
        <v>1507.5</v>
      </c>
      <c r="J955" s="6">
        <f>SalesData_2[[#This Row],[Sales]]-SalesData_2[[#This Row],[COGS]]</f>
        <v>742.5</v>
      </c>
      <c r="K955" s="21">
        <f>SalesData_2[[#This Row],[Revenue]]/SalesData_2[[#This Row],[Sales]]</f>
        <v>0.33</v>
      </c>
      <c r="L955" s="3" t="s">
        <v>54</v>
      </c>
      <c r="M955" s="3" t="s">
        <v>83</v>
      </c>
      <c r="N955" s="3" t="s">
        <v>85</v>
      </c>
    </row>
    <row r="956" spans="1:14" x14ac:dyDescent="0.3">
      <c r="A956" s="2">
        <v>44796</v>
      </c>
      <c r="B956" s="2">
        <v>44800</v>
      </c>
      <c r="C956">
        <v>4</v>
      </c>
      <c r="D956" s="3" t="s">
        <v>20</v>
      </c>
      <c r="E956" s="6">
        <v>440</v>
      </c>
      <c r="F956" s="6">
        <v>286</v>
      </c>
      <c r="G956">
        <v>9</v>
      </c>
      <c r="H956" s="6">
        <f>SalesData_2[[#This Row],[Unit Price]]*SalesData_2[[#This Row],[Units Sold]]</f>
        <v>3960</v>
      </c>
      <c r="I956" s="6">
        <f>SalesData_2[[#This Row],[Unit Cost]]*SalesData_2[[#This Row],[Units Sold]]</f>
        <v>2574</v>
      </c>
      <c r="J956" s="6">
        <f>SalesData_2[[#This Row],[Sales]]-SalesData_2[[#This Row],[COGS]]</f>
        <v>1386</v>
      </c>
      <c r="K956" s="21">
        <f>SalesData_2[[#This Row],[Revenue]]/SalesData_2[[#This Row],[Sales]]</f>
        <v>0.35</v>
      </c>
      <c r="L956" s="3" t="s">
        <v>60</v>
      </c>
      <c r="M956" s="3" t="s">
        <v>81</v>
      </c>
      <c r="N956" s="3" t="s">
        <v>85</v>
      </c>
    </row>
    <row r="957" spans="1:14" x14ac:dyDescent="0.3">
      <c r="A957" s="2">
        <v>44796</v>
      </c>
      <c r="B957" s="2">
        <v>44799</v>
      </c>
      <c r="C957">
        <v>3</v>
      </c>
      <c r="D957" s="3" t="s">
        <v>18</v>
      </c>
      <c r="E957" s="6">
        <v>80</v>
      </c>
      <c r="F957" s="6">
        <v>48.8</v>
      </c>
      <c r="G957">
        <v>8</v>
      </c>
      <c r="H957" s="6">
        <f>SalesData_2[[#This Row],[Unit Price]]*SalesData_2[[#This Row],[Units Sold]]</f>
        <v>640</v>
      </c>
      <c r="I957" s="6">
        <f>SalesData_2[[#This Row],[Unit Cost]]*SalesData_2[[#This Row],[Units Sold]]</f>
        <v>390.4</v>
      </c>
      <c r="J957" s="6">
        <f>SalesData_2[[#This Row],[Sales]]-SalesData_2[[#This Row],[COGS]]</f>
        <v>249.60000000000002</v>
      </c>
      <c r="K957" s="21">
        <f>SalesData_2[[#This Row],[Revenue]]/SalesData_2[[#This Row],[Sales]]</f>
        <v>0.39</v>
      </c>
      <c r="L957" s="3" t="s">
        <v>46</v>
      </c>
      <c r="M957" s="3" t="s">
        <v>80</v>
      </c>
      <c r="N957" s="3" t="s">
        <v>86</v>
      </c>
    </row>
    <row r="958" spans="1:14" x14ac:dyDescent="0.3">
      <c r="A958" s="2">
        <v>44797</v>
      </c>
      <c r="B958" s="2">
        <v>44803</v>
      </c>
      <c r="C958">
        <v>6</v>
      </c>
      <c r="D958" s="3" t="s">
        <v>19</v>
      </c>
      <c r="E958" s="6">
        <v>220</v>
      </c>
      <c r="F958" s="6">
        <v>154</v>
      </c>
      <c r="G958">
        <v>7</v>
      </c>
      <c r="H958" s="6">
        <f>SalesData_2[[#This Row],[Unit Price]]*SalesData_2[[#This Row],[Units Sold]]</f>
        <v>1540</v>
      </c>
      <c r="I958" s="6">
        <f>SalesData_2[[#This Row],[Unit Cost]]*SalesData_2[[#This Row],[Units Sold]]</f>
        <v>1078</v>
      </c>
      <c r="J958" s="6">
        <f>SalesData_2[[#This Row],[Sales]]-SalesData_2[[#This Row],[COGS]]</f>
        <v>462</v>
      </c>
      <c r="K958" s="21">
        <f>SalesData_2[[#This Row],[Revenue]]/SalesData_2[[#This Row],[Sales]]</f>
        <v>0.3</v>
      </c>
      <c r="L958" s="3" t="s">
        <v>61</v>
      </c>
      <c r="M958" s="3" t="s">
        <v>81</v>
      </c>
      <c r="N958" s="3" t="s">
        <v>85</v>
      </c>
    </row>
    <row r="959" spans="1:14" x14ac:dyDescent="0.3">
      <c r="A959" s="2">
        <v>44798</v>
      </c>
      <c r="B959" s="2">
        <v>44800</v>
      </c>
      <c r="C959">
        <v>2</v>
      </c>
      <c r="D959" s="3" t="s">
        <v>10</v>
      </c>
      <c r="E959" s="6">
        <v>390</v>
      </c>
      <c r="F959" s="6">
        <v>253.5</v>
      </c>
      <c r="G959">
        <v>7</v>
      </c>
      <c r="H959" s="6">
        <f>SalesData_2[[#This Row],[Unit Price]]*SalesData_2[[#This Row],[Units Sold]]</f>
        <v>2730</v>
      </c>
      <c r="I959" s="6">
        <f>SalesData_2[[#This Row],[Unit Cost]]*SalesData_2[[#This Row],[Units Sold]]</f>
        <v>1774.5</v>
      </c>
      <c r="J959" s="6">
        <f>SalesData_2[[#This Row],[Sales]]-SalesData_2[[#This Row],[COGS]]</f>
        <v>955.5</v>
      </c>
      <c r="K959" s="21">
        <f>SalesData_2[[#This Row],[Revenue]]/SalesData_2[[#This Row],[Sales]]</f>
        <v>0.35</v>
      </c>
      <c r="L959" s="3" t="s">
        <v>65</v>
      </c>
      <c r="M959" s="3" t="s">
        <v>79</v>
      </c>
      <c r="N959" s="3" t="s">
        <v>86</v>
      </c>
    </row>
    <row r="960" spans="1:14" x14ac:dyDescent="0.3">
      <c r="A960" s="2">
        <v>44798</v>
      </c>
      <c r="B960" s="2">
        <v>44804</v>
      </c>
      <c r="C960">
        <v>6</v>
      </c>
      <c r="D960" s="3" t="s">
        <v>4</v>
      </c>
      <c r="E960" s="6">
        <v>390</v>
      </c>
      <c r="F960" s="6">
        <v>288.60000000000002</v>
      </c>
      <c r="G960">
        <v>1</v>
      </c>
      <c r="H960" s="6">
        <f>SalesData_2[[#This Row],[Unit Price]]*SalesData_2[[#This Row],[Units Sold]]</f>
        <v>390</v>
      </c>
      <c r="I960" s="6">
        <f>SalesData_2[[#This Row],[Unit Cost]]*SalesData_2[[#This Row],[Units Sold]]</f>
        <v>288.60000000000002</v>
      </c>
      <c r="J960" s="6">
        <f>SalesData_2[[#This Row],[Sales]]-SalesData_2[[#This Row],[COGS]]</f>
        <v>101.39999999999998</v>
      </c>
      <c r="K960" s="21">
        <f>SalesData_2[[#This Row],[Revenue]]/SalesData_2[[#This Row],[Sales]]</f>
        <v>0.25999999999999995</v>
      </c>
      <c r="L960" s="3" t="s">
        <v>42</v>
      </c>
      <c r="M960" s="3" t="s">
        <v>79</v>
      </c>
      <c r="N960" s="3" t="s">
        <v>86</v>
      </c>
    </row>
    <row r="961" spans="1:14" x14ac:dyDescent="0.3">
      <c r="A961" s="2">
        <v>44799</v>
      </c>
      <c r="B961" s="2">
        <v>44803</v>
      </c>
      <c r="C961">
        <v>4</v>
      </c>
      <c r="D961" s="3" t="s">
        <v>16</v>
      </c>
      <c r="E961" s="6">
        <v>145</v>
      </c>
      <c r="F961" s="6">
        <v>105.85</v>
      </c>
      <c r="G961">
        <v>1</v>
      </c>
      <c r="H961" s="6">
        <f>SalesData_2[[#This Row],[Unit Price]]*SalesData_2[[#This Row],[Units Sold]]</f>
        <v>145</v>
      </c>
      <c r="I961" s="6">
        <f>SalesData_2[[#This Row],[Unit Cost]]*SalesData_2[[#This Row],[Units Sold]]</f>
        <v>105.85</v>
      </c>
      <c r="J961" s="6">
        <f>SalesData_2[[#This Row],[Sales]]-SalesData_2[[#This Row],[COGS]]</f>
        <v>39.150000000000006</v>
      </c>
      <c r="K961" s="21">
        <f>SalesData_2[[#This Row],[Revenue]]/SalesData_2[[#This Row],[Sales]]</f>
        <v>0.27</v>
      </c>
      <c r="L961" s="3" t="s">
        <v>32</v>
      </c>
      <c r="M961" s="3" t="s">
        <v>82</v>
      </c>
      <c r="N961" s="3" t="s">
        <v>86</v>
      </c>
    </row>
    <row r="962" spans="1:14" x14ac:dyDescent="0.3">
      <c r="A962" s="2">
        <v>44799</v>
      </c>
      <c r="B962" s="2">
        <v>44801</v>
      </c>
      <c r="C962">
        <v>2</v>
      </c>
      <c r="D962" s="3" t="s">
        <v>22</v>
      </c>
      <c r="E962" s="6">
        <v>460</v>
      </c>
      <c r="F962" s="6">
        <v>303.60000000000002</v>
      </c>
      <c r="G962">
        <v>9</v>
      </c>
      <c r="H962" s="6">
        <f>SalesData_2[[#This Row],[Unit Price]]*SalesData_2[[#This Row],[Units Sold]]</f>
        <v>4140</v>
      </c>
      <c r="I962" s="6">
        <f>SalesData_2[[#This Row],[Unit Cost]]*SalesData_2[[#This Row],[Units Sold]]</f>
        <v>2732.4</v>
      </c>
      <c r="J962" s="6">
        <f>SalesData_2[[#This Row],[Sales]]-SalesData_2[[#This Row],[COGS]]</f>
        <v>1407.6</v>
      </c>
      <c r="K962" s="21">
        <f>SalesData_2[[#This Row],[Revenue]]/SalesData_2[[#This Row],[Sales]]</f>
        <v>0.33999999999999997</v>
      </c>
      <c r="L962" s="3" t="s">
        <v>64</v>
      </c>
      <c r="M962" s="3" t="s">
        <v>83</v>
      </c>
      <c r="N962" s="3" t="s">
        <v>85</v>
      </c>
    </row>
    <row r="963" spans="1:14" x14ac:dyDescent="0.3">
      <c r="A963" s="2">
        <v>44800</v>
      </c>
      <c r="B963" s="2">
        <v>44801</v>
      </c>
      <c r="C963">
        <v>1</v>
      </c>
      <c r="D963" s="3" t="s">
        <v>6</v>
      </c>
      <c r="E963" s="6">
        <v>99</v>
      </c>
      <c r="F963" s="6">
        <v>62.37</v>
      </c>
      <c r="G963">
        <v>7</v>
      </c>
      <c r="H963" s="6">
        <f>SalesData_2[[#This Row],[Unit Price]]*SalesData_2[[#This Row],[Units Sold]]</f>
        <v>693</v>
      </c>
      <c r="I963" s="6">
        <f>SalesData_2[[#This Row],[Unit Cost]]*SalesData_2[[#This Row],[Units Sold]]</f>
        <v>436.59</v>
      </c>
      <c r="J963" s="6">
        <f>SalesData_2[[#This Row],[Sales]]-SalesData_2[[#This Row],[COGS]]</f>
        <v>256.41000000000003</v>
      </c>
      <c r="K963" s="21">
        <f>SalesData_2[[#This Row],[Revenue]]/SalesData_2[[#This Row],[Sales]]</f>
        <v>0.37000000000000005</v>
      </c>
      <c r="L963" s="3" t="s">
        <v>38</v>
      </c>
      <c r="M963" s="3" t="s">
        <v>82</v>
      </c>
      <c r="N963" s="3" t="s">
        <v>86</v>
      </c>
    </row>
    <row r="964" spans="1:14" x14ac:dyDescent="0.3">
      <c r="A964" s="2">
        <v>44800</v>
      </c>
      <c r="B964" s="2">
        <v>44802</v>
      </c>
      <c r="C964">
        <v>2</v>
      </c>
      <c r="D964" s="3" t="s">
        <v>12</v>
      </c>
      <c r="E964" s="6">
        <v>320</v>
      </c>
      <c r="F964" s="6">
        <v>233.6</v>
      </c>
      <c r="G964">
        <v>1</v>
      </c>
      <c r="H964" s="6">
        <f>SalesData_2[[#This Row],[Unit Price]]*SalesData_2[[#This Row],[Units Sold]]</f>
        <v>320</v>
      </c>
      <c r="I964" s="6">
        <f>SalesData_2[[#This Row],[Unit Cost]]*SalesData_2[[#This Row],[Units Sold]]</f>
        <v>233.6</v>
      </c>
      <c r="J964" s="6">
        <f>SalesData_2[[#This Row],[Sales]]-SalesData_2[[#This Row],[COGS]]</f>
        <v>86.4</v>
      </c>
      <c r="K964" s="21">
        <f>SalesData_2[[#This Row],[Revenue]]/SalesData_2[[#This Row],[Sales]]</f>
        <v>0.27</v>
      </c>
      <c r="L964" s="3" t="s">
        <v>70</v>
      </c>
      <c r="M964" s="3" t="s">
        <v>80</v>
      </c>
      <c r="N964" s="3" t="s">
        <v>85</v>
      </c>
    </row>
    <row r="965" spans="1:14" x14ac:dyDescent="0.3">
      <c r="A965" s="2">
        <v>44801</v>
      </c>
      <c r="B965" s="2">
        <v>44807</v>
      </c>
      <c r="C965">
        <v>6</v>
      </c>
      <c r="D965" s="3" t="s">
        <v>8</v>
      </c>
      <c r="E965" s="6">
        <v>59</v>
      </c>
      <c r="F965" s="6">
        <v>41.3</v>
      </c>
      <c r="G965">
        <v>4</v>
      </c>
      <c r="H965" s="6">
        <f>SalesData_2[[#This Row],[Unit Price]]*SalesData_2[[#This Row],[Units Sold]]</f>
        <v>236</v>
      </c>
      <c r="I965" s="6">
        <f>SalesData_2[[#This Row],[Unit Cost]]*SalesData_2[[#This Row],[Units Sold]]</f>
        <v>165.2</v>
      </c>
      <c r="J965" s="6">
        <f>SalesData_2[[#This Row],[Sales]]-SalesData_2[[#This Row],[COGS]]</f>
        <v>70.800000000000011</v>
      </c>
      <c r="K965" s="21">
        <f>SalesData_2[[#This Row],[Revenue]]/SalesData_2[[#This Row],[Sales]]</f>
        <v>0.30000000000000004</v>
      </c>
      <c r="L965" s="3" t="s">
        <v>42</v>
      </c>
      <c r="M965" s="3" t="s">
        <v>83</v>
      </c>
      <c r="N965" s="3" t="s">
        <v>85</v>
      </c>
    </row>
    <row r="966" spans="1:14" x14ac:dyDescent="0.3">
      <c r="A966" s="2">
        <v>44801</v>
      </c>
      <c r="B966" s="2">
        <v>44803</v>
      </c>
      <c r="C966">
        <v>2</v>
      </c>
      <c r="D966" s="3" t="s">
        <v>16</v>
      </c>
      <c r="E966" s="6">
        <v>145</v>
      </c>
      <c r="F966" s="6">
        <v>105.85</v>
      </c>
      <c r="G966">
        <v>7</v>
      </c>
      <c r="H966" s="6">
        <f>SalesData_2[[#This Row],[Unit Price]]*SalesData_2[[#This Row],[Units Sold]]</f>
        <v>1015</v>
      </c>
      <c r="I966" s="6">
        <f>SalesData_2[[#This Row],[Unit Cost]]*SalesData_2[[#This Row],[Units Sold]]</f>
        <v>740.94999999999993</v>
      </c>
      <c r="J966" s="6">
        <f>SalesData_2[[#This Row],[Sales]]-SalesData_2[[#This Row],[COGS]]</f>
        <v>274.05000000000007</v>
      </c>
      <c r="K966" s="21">
        <f>SalesData_2[[#This Row],[Revenue]]/SalesData_2[[#This Row],[Sales]]</f>
        <v>0.27000000000000007</v>
      </c>
      <c r="L966" s="3" t="s">
        <v>48</v>
      </c>
      <c r="M966" s="3" t="s">
        <v>81</v>
      </c>
      <c r="N966" s="3" t="s">
        <v>86</v>
      </c>
    </row>
    <row r="967" spans="1:14" x14ac:dyDescent="0.3">
      <c r="A967" s="2">
        <v>44802</v>
      </c>
      <c r="B967" s="2">
        <v>44803</v>
      </c>
      <c r="C967">
        <v>1</v>
      </c>
      <c r="D967" s="3" t="s">
        <v>21</v>
      </c>
      <c r="E967" s="6">
        <v>355</v>
      </c>
      <c r="F967" s="6">
        <v>252.05</v>
      </c>
      <c r="G967">
        <v>9</v>
      </c>
      <c r="H967" s="6">
        <f>SalesData_2[[#This Row],[Unit Price]]*SalesData_2[[#This Row],[Units Sold]]</f>
        <v>3195</v>
      </c>
      <c r="I967" s="6">
        <f>SalesData_2[[#This Row],[Unit Cost]]*SalesData_2[[#This Row],[Units Sold]]</f>
        <v>2268.4500000000003</v>
      </c>
      <c r="J967" s="6">
        <f>SalesData_2[[#This Row],[Sales]]-SalesData_2[[#This Row],[COGS]]</f>
        <v>926.54999999999973</v>
      </c>
      <c r="K967" s="21">
        <f>SalesData_2[[#This Row],[Revenue]]/SalesData_2[[#This Row],[Sales]]</f>
        <v>0.28999999999999992</v>
      </c>
      <c r="L967" s="3" t="s">
        <v>70</v>
      </c>
      <c r="M967" s="3" t="s">
        <v>79</v>
      </c>
      <c r="N967" s="3" t="s">
        <v>85</v>
      </c>
    </row>
    <row r="968" spans="1:14" x14ac:dyDescent="0.3">
      <c r="A968" s="2">
        <v>44802</v>
      </c>
      <c r="B968" s="2">
        <v>44804</v>
      </c>
      <c r="C968">
        <v>2</v>
      </c>
      <c r="D968" s="3" t="s">
        <v>13</v>
      </c>
      <c r="E968" s="6">
        <v>445</v>
      </c>
      <c r="F968" s="6">
        <v>280.35000000000002</v>
      </c>
      <c r="G968">
        <v>1</v>
      </c>
      <c r="H968" s="6">
        <f>SalesData_2[[#This Row],[Unit Price]]*SalesData_2[[#This Row],[Units Sold]]</f>
        <v>445</v>
      </c>
      <c r="I968" s="6">
        <f>SalesData_2[[#This Row],[Unit Cost]]*SalesData_2[[#This Row],[Units Sold]]</f>
        <v>280.35000000000002</v>
      </c>
      <c r="J968" s="6">
        <f>SalesData_2[[#This Row],[Sales]]-SalesData_2[[#This Row],[COGS]]</f>
        <v>164.64999999999998</v>
      </c>
      <c r="K968" s="21">
        <f>SalesData_2[[#This Row],[Revenue]]/SalesData_2[[#This Row],[Sales]]</f>
        <v>0.36999999999999994</v>
      </c>
      <c r="L968" s="3" t="s">
        <v>37</v>
      </c>
      <c r="M968" s="3" t="s">
        <v>80</v>
      </c>
      <c r="N968" s="3" t="s">
        <v>85</v>
      </c>
    </row>
    <row r="969" spans="1:14" x14ac:dyDescent="0.3">
      <c r="A969" s="2">
        <v>44802</v>
      </c>
      <c r="B969" s="2">
        <v>44803</v>
      </c>
      <c r="C969">
        <v>1</v>
      </c>
      <c r="D969" s="3" t="s">
        <v>21</v>
      </c>
      <c r="E969" s="6">
        <v>355</v>
      </c>
      <c r="F969" s="6">
        <v>252.05</v>
      </c>
      <c r="G969">
        <v>7</v>
      </c>
      <c r="H969" s="6">
        <f>SalesData_2[[#This Row],[Unit Price]]*SalesData_2[[#This Row],[Units Sold]]</f>
        <v>2485</v>
      </c>
      <c r="I969" s="6">
        <f>SalesData_2[[#This Row],[Unit Cost]]*SalesData_2[[#This Row],[Units Sold]]</f>
        <v>1764.3500000000001</v>
      </c>
      <c r="J969" s="6">
        <f>SalesData_2[[#This Row],[Sales]]-SalesData_2[[#This Row],[COGS]]</f>
        <v>720.64999999999986</v>
      </c>
      <c r="K969" s="21">
        <f>SalesData_2[[#This Row],[Revenue]]/SalesData_2[[#This Row],[Sales]]</f>
        <v>0.28999999999999992</v>
      </c>
      <c r="L969" s="3" t="s">
        <v>60</v>
      </c>
      <c r="M969" s="3" t="s">
        <v>80</v>
      </c>
      <c r="N969" s="3" t="s">
        <v>86</v>
      </c>
    </row>
    <row r="970" spans="1:14" x14ac:dyDescent="0.3">
      <c r="A970" s="2">
        <v>44802</v>
      </c>
      <c r="B970" s="2">
        <v>44803</v>
      </c>
      <c r="C970">
        <v>1</v>
      </c>
      <c r="D970" s="3" t="s">
        <v>4</v>
      </c>
      <c r="E970" s="6">
        <v>390</v>
      </c>
      <c r="F970" s="6">
        <v>288.60000000000002</v>
      </c>
      <c r="G970">
        <v>7</v>
      </c>
      <c r="H970" s="6">
        <f>SalesData_2[[#This Row],[Unit Price]]*SalesData_2[[#This Row],[Units Sold]]</f>
        <v>2730</v>
      </c>
      <c r="I970" s="6">
        <f>SalesData_2[[#This Row],[Unit Cost]]*SalesData_2[[#This Row],[Units Sold]]</f>
        <v>2020.2000000000003</v>
      </c>
      <c r="J970" s="6">
        <f>SalesData_2[[#This Row],[Sales]]-SalesData_2[[#This Row],[COGS]]</f>
        <v>709.79999999999973</v>
      </c>
      <c r="K970" s="21">
        <f>SalesData_2[[#This Row],[Revenue]]/SalesData_2[[#This Row],[Sales]]</f>
        <v>0.2599999999999999</v>
      </c>
      <c r="L970" s="3" t="s">
        <v>60</v>
      </c>
      <c r="M970" s="3" t="s">
        <v>81</v>
      </c>
      <c r="N970" s="3" t="s">
        <v>86</v>
      </c>
    </row>
    <row r="971" spans="1:14" x14ac:dyDescent="0.3">
      <c r="A971" s="2">
        <v>44804</v>
      </c>
      <c r="B971" s="2">
        <v>44809</v>
      </c>
      <c r="C971">
        <v>5</v>
      </c>
      <c r="D971" s="3" t="s">
        <v>12</v>
      </c>
      <c r="E971" s="6">
        <v>320</v>
      </c>
      <c r="F971" s="6">
        <v>233.6</v>
      </c>
      <c r="G971">
        <v>8</v>
      </c>
      <c r="H971" s="6">
        <f>SalesData_2[[#This Row],[Unit Price]]*SalesData_2[[#This Row],[Units Sold]]</f>
        <v>2560</v>
      </c>
      <c r="I971" s="6">
        <f>SalesData_2[[#This Row],[Unit Cost]]*SalesData_2[[#This Row],[Units Sold]]</f>
        <v>1868.8</v>
      </c>
      <c r="J971" s="6">
        <f>SalesData_2[[#This Row],[Sales]]-SalesData_2[[#This Row],[COGS]]</f>
        <v>691.2</v>
      </c>
      <c r="K971" s="21">
        <f>SalesData_2[[#This Row],[Revenue]]/SalesData_2[[#This Row],[Sales]]</f>
        <v>0.27</v>
      </c>
      <c r="L971" s="3" t="s">
        <v>38</v>
      </c>
      <c r="M971" s="3" t="s">
        <v>82</v>
      </c>
      <c r="N971" s="3" t="s">
        <v>85</v>
      </c>
    </row>
    <row r="972" spans="1:14" x14ac:dyDescent="0.3">
      <c r="A972" s="2">
        <v>44805</v>
      </c>
      <c r="B972" s="2">
        <v>44812</v>
      </c>
      <c r="C972">
        <v>7</v>
      </c>
      <c r="D972" s="3" t="s">
        <v>19</v>
      </c>
      <c r="E972" s="6">
        <v>220</v>
      </c>
      <c r="F972" s="6">
        <v>154</v>
      </c>
      <c r="G972">
        <v>1</v>
      </c>
      <c r="H972" s="6">
        <f>SalesData_2[[#This Row],[Unit Price]]*SalesData_2[[#This Row],[Units Sold]]</f>
        <v>220</v>
      </c>
      <c r="I972" s="6">
        <f>SalesData_2[[#This Row],[Unit Cost]]*SalesData_2[[#This Row],[Units Sold]]</f>
        <v>154</v>
      </c>
      <c r="J972" s="6">
        <f>SalesData_2[[#This Row],[Sales]]-SalesData_2[[#This Row],[COGS]]</f>
        <v>66</v>
      </c>
      <c r="K972" s="21">
        <f>SalesData_2[[#This Row],[Revenue]]/SalesData_2[[#This Row],[Sales]]</f>
        <v>0.3</v>
      </c>
      <c r="L972" s="3" t="s">
        <v>47</v>
      </c>
      <c r="M972" s="3" t="s">
        <v>82</v>
      </c>
      <c r="N972" s="3" t="s">
        <v>85</v>
      </c>
    </row>
    <row r="973" spans="1:14" x14ac:dyDescent="0.3">
      <c r="A973" s="2">
        <v>44805</v>
      </c>
      <c r="B973" s="2">
        <v>44811</v>
      </c>
      <c r="C973">
        <v>6</v>
      </c>
      <c r="D973" s="3" t="s">
        <v>12</v>
      </c>
      <c r="E973" s="6">
        <v>320</v>
      </c>
      <c r="F973" s="6">
        <v>233.6</v>
      </c>
      <c r="G973">
        <v>8</v>
      </c>
      <c r="H973" s="6">
        <f>SalesData_2[[#This Row],[Unit Price]]*SalesData_2[[#This Row],[Units Sold]]</f>
        <v>2560</v>
      </c>
      <c r="I973" s="6">
        <f>SalesData_2[[#This Row],[Unit Cost]]*SalesData_2[[#This Row],[Units Sold]]</f>
        <v>1868.8</v>
      </c>
      <c r="J973" s="6">
        <f>SalesData_2[[#This Row],[Sales]]-SalesData_2[[#This Row],[COGS]]</f>
        <v>691.2</v>
      </c>
      <c r="K973" s="21">
        <f>SalesData_2[[#This Row],[Revenue]]/SalesData_2[[#This Row],[Sales]]</f>
        <v>0.27</v>
      </c>
      <c r="L973" s="3" t="s">
        <v>65</v>
      </c>
      <c r="M973" s="3" t="s">
        <v>81</v>
      </c>
      <c r="N973" s="3" t="s">
        <v>86</v>
      </c>
    </row>
    <row r="974" spans="1:14" x14ac:dyDescent="0.3">
      <c r="A974" s="2">
        <v>44806</v>
      </c>
      <c r="B974" s="2">
        <v>44811</v>
      </c>
      <c r="C974">
        <v>5</v>
      </c>
      <c r="D974" s="3" t="s">
        <v>7</v>
      </c>
      <c r="E974" s="6">
        <v>250</v>
      </c>
      <c r="F974" s="6">
        <v>167.5</v>
      </c>
      <c r="G974">
        <v>3</v>
      </c>
      <c r="H974" s="6">
        <f>SalesData_2[[#This Row],[Unit Price]]*SalesData_2[[#This Row],[Units Sold]]</f>
        <v>750</v>
      </c>
      <c r="I974" s="6">
        <f>SalesData_2[[#This Row],[Unit Cost]]*SalesData_2[[#This Row],[Units Sold]]</f>
        <v>502.5</v>
      </c>
      <c r="J974" s="6">
        <f>SalesData_2[[#This Row],[Sales]]-SalesData_2[[#This Row],[COGS]]</f>
        <v>247.5</v>
      </c>
      <c r="K974" s="21">
        <f>SalesData_2[[#This Row],[Revenue]]/SalesData_2[[#This Row],[Sales]]</f>
        <v>0.33</v>
      </c>
      <c r="L974" s="3" t="s">
        <v>33</v>
      </c>
      <c r="M974" s="3" t="s">
        <v>83</v>
      </c>
      <c r="N974" s="3" t="s">
        <v>85</v>
      </c>
    </row>
    <row r="975" spans="1:14" x14ac:dyDescent="0.3">
      <c r="A975" s="2">
        <v>44808</v>
      </c>
      <c r="B975" s="2">
        <v>44813</v>
      </c>
      <c r="C975">
        <v>5</v>
      </c>
      <c r="D975" s="3" t="s">
        <v>17</v>
      </c>
      <c r="E975" s="6">
        <v>195</v>
      </c>
      <c r="F975" s="6">
        <v>138.44999999999999</v>
      </c>
      <c r="G975">
        <v>8</v>
      </c>
      <c r="H975" s="6">
        <f>SalesData_2[[#This Row],[Unit Price]]*SalesData_2[[#This Row],[Units Sold]]</f>
        <v>1560</v>
      </c>
      <c r="I975" s="6">
        <f>SalesData_2[[#This Row],[Unit Cost]]*SalesData_2[[#This Row],[Units Sold]]</f>
        <v>1107.5999999999999</v>
      </c>
      <c r="J975" s="6">
        <f>SalesData_2[[#This Row],[Sales]]-SalesData_2[[#This Row],[COGS]]</f>
        <v>452.40000000000009</v>
      </c>
      <c r="K975" s="21">
        <f>SalesData_2[[#This Row],[Revenue]]/SalesData_2[[#This Row],[Sales]]</f>
        <v>0.29000000000000004</v>
      </c>
      <c r="L975" s="3" t="s">
        <v>36</v>
      </c>
      <c r="M975" s="3" t="s">
        <v>83</v>
      </c>
      <c r="N975" s="3" t="s">
        <v>85</v>
      </c>
    </row>
    <row r="976" spans="1:14" x14ac:dyDescent="0.3">
      <c r="A976" s="2">
        <v>44810</v>
      </c>
      <c r="B976" s="2">
        <v>44816</v>
      </c>
      <c r="C976">
        <v>6</v>
      </c>
      <c r="D976" s="3" t="s">
        <v>2</v>
      </c>
      <c r="E976" s="6">
        <v>250</v>
      </c>
      <c r="F976" s="6">
        <v>187.5</v>
      </c>
      <c r="G976">
        <v>8</v>
      </c>
      <c r="H976" s="6">
        <f>SalesData_2[[#This Row],[Unit Price]]*SalesData_2[[#This Row],[Units Sold]]</f>
        <v>2000</v>
      </c>
      <c r="I976" s="6">
        <f>SalesData_2[[#This Row],[Unit Cost]]*SalesData_2[[#This Row],[Units Sold]]</f>
        <v>1500</v>
      </c>
      <c r="J976" s="6">
        <f>SalesData_2[[#This Row],[Sales]]-SalesData_2[[#This Row],[COGS]]</f>
        <v>500</v>
      </c>
      <c r="K976" s="21">
        <f>SalesData_2[[#This Row],[Revenue]]/SalesData_2[[#This Row],[Sales]]</f>
        <v>0.25</v>
      </c>
      <c r="L976" s="3" t="s">
        <v>71</v>
      </c>
      <c r="M976" s="3" t="s">
        <v>79</v>
      </c>
      <c r="N976" s="3" t="s">
        <v>85</v>
      </c>
    </row>
    <row r="977" spans="1:14" x14ac:dyDescent="0.3">
      <c r="A977" s="2">
        <v>44810</v>
      </c>
      <c r="B977" s="2">
        <v>44813</v>
      </c>
      <c r="C977">
        <v>3</v>
      </c>
      <c r="D977" s="3" t="s">
        <v>14</v>
      </c>
      <c r="E977" s="6">
        <v>375</v>
      </c>
      <c r="F977" s="6">
        <v>247.5</v>
      </c>
      <c r="G977">
        <v>6</v>
      </c>
      <c r="H977" s="6">
        <f>SalesData_2[[#This Row],[Unit Price]]*SalesData_2[[#This Row],[Units Sold]]</f>
        <v>2250</v>
      </c>
      <c r="I977" s="6">
        <f>SalesData_2[[#This Row],[Unit Cost]]*SalesData_2[[#This Row],[Units Sold]]</f>
        <v>1485</v>
      </c>
      <c r="J977" s="6">
        <f>SalesData_2[[#This Row],[Sales]]-SalesData_2[[#This Row],[COGS]]</f>
        <v>765</v>
      </c>
      <c r="K977" s="21">
        <f>SalesData_2[[#This Row],[Revenue]]/SalesData_2[[#This Row],[Sales]]</f>
        <v>0.34</v>
      </c>
      <c r="L977" s="3" t="s">
        <v>33</v>
      </c>
      <c r="M977" s="3" t="s">
        <v>83</v>
      </c>
      <c r="N977" s="3" t="s">
        <v>85</v>
      </c>
    </row>
    <row r="978" spans="1:14" x14ac:dyDescent="0.3">
      <c r="A978" s="2">
        <v>44810</v>
      </c>
      <c r="B978" s="2">
        <v>44814</v>
      </c>
      <c r="C978">
        <v>4</v>
      </c>
      <c r="D978" s="3" t="s">
        <v>19</v>
      </c>
      <c r="E978" s="6">
        <v>220</v>
      </c>
      <c r="F978" s="6">
        <v>154</v>
      </c>
      <c r="G978">
        <v>9</v>
      </c>
      <c r="H978" s="6">
        <f>SalesData_2[[#This Row],[Unit Price]]*SalesData_2[[#This Row],[Units Sold]]</f>
        <v>1980</v>
      </c>
      <c r="I978" s="6">
        <f>SalesData_2[[#This Row],[Unit Cost]]*SalesData_2[[#This Row],[Units Sold]]</f>
        <v>1386</v>
      </c>
      <c r="J978" s="6">
        <f>SalesData_2[[#This Row],[Sales]]-SalesData_2[[#This Row],[COGS]]</f>
        <v>594</v>
      </c>
      <c r="K978" s="21">
        <f>SalesData_2[[#This Row],[Revenue]]/SalesData_2[[#This Row],[Sales]]</f>
        <v>0.3</v>
      </c>
      <c r="L978" s="3" t="s">
        <v>56</v>
      </c>
      <c r="M978" s="3" t="s">
        <v>81</v>
      </c>
      <c r="N978" s="3" t="s">
        <v>86</v>
      </c>
    </row>
    <row r="979" spans="1:14" x14ac:dyDescent="0.3">
      <c r="A979" s="2">
        <v>44810</v>
      </c>
      <c r="B979" s="2">
        <v>44814</v>
      </c>
      <c r="C979">
        <v>4</v>
      </c>
      <c r="D979" s="3" t="s">
        <v>23</v>
      </c>
      <c r="E979" s="6">
        <v>275</v>
      </c>
      <c r="F979" s="6">
        <v>200.75</v>
      </c>
      <c r="G979">
        <v>8</v>
      </c>
      <c r="H979" s="6">
        <f>SalesData_2[[#This Row],[Unit Price]]*SalesData_2[[#This Row],[Units Sold]]</f>
        <v>2200</v>
      </c>
      <c r="I979" s="6">
        <f>SalesData_2[[#This Row],[Unit Cost]]*SalesData_2[[#This Row],[Units Sold]]</f>
        <v>1606</v>
      </c>
      <c r="J979" s="6">
        <f>SalesData_2[[#This Row],[Sales]]-SalesData_2[[#This Row],[COGS]]</f>
        <v>594</v>
      </c>
      <c r="K979" s="21">
        <f>SalesData_2[[#This Row],[Revenue]]/SalesData_2[[#This Row],[Sales]]</f>
        <v>0.27</v>
      </c>
      <c r="L979" s="3" t="s">
        <v>62</v>
      </c>
      <c r="M979" s="3" t="s">
        <v>80</v>
      </c>
      <c r="N979" s="3" t="s">
        <v>85</v>
      </c>
    </row>
    <row r="980" spans="1:14" x14ac:dyDescent="0.3">
      <c r="A980" s="2">
        <v>44810</v>
      </c>
      <c r="B980" s="2">
        <v>44816</v>
      </c>
      <c r="C980">
        <v>6</v>
      </c>
      <c r="D980" s="3" t="s">
        <v>15</v>
      </c>
      <c r="E980" s="6">
        <v>110</v>
      </c>
      <c r="F980" s="6">
        <v>78.099999999999994</v>
      </c>
      <c r="G980">
        <v>9</v>
      </c>
      <c r="H980" s="6">
        <f>SalesData_2[[#This Row],[Unit Price]]*SalesData_2[[#This Row],[Units Sold]]</f>
        <v>990</v>
      </c>
      <c r="I980" s="6">
        <f>SalesData_2[[#This Row],[Unit Cost]]*SalesData_2[[#This Row],[Units Sold]]</f>
        <v>702.9</v>
      </c>
      <c r="J980" s="6">
        <f>SalesData_2[[#This Row],[Sales]]-SalesData_2[[#This Row],[COGS]]</f>
        <v>287.10000000000002</v>
      </c>
      <c r="K980" s="21">
        <f>SalesData_2[[#This Row],[Revenue]]/SalesData_2[[#This Row],[Sales]]</f>
        <v>0.29000000000000004</v>
      </c>
      <c r="L980" s="3" t="s">
        <v>60</v>
      </c>
      <c r="M980" s="3" t="s">
        <v>81</v>
      </c>
      <c r="N980" s="3" t="s">
        <v>85</v>
      </c>
    </row>
    <row r="981" spans="1:14" x14ac:dyDescent="0.3">
      <c r="A981" s="2">
        <v>44811</v>
      </c>
      <c r="B981" s="2">
        <v>44814</v>
      </c>
      <c r="C981">
        <v>3</v>
      </c>
      <c r="D981" s="3" t="s">
        <v>9</v>
      </c>
      <c r="E981" s="6">
        <v>215</v>
      </c>
      <c r="F981" s="6">
        <v>152.65</v>
      </c>
      <c r="G981">
        <v>4</v>
      </c>
      <c r="H981" s="6">
        <f>SalesData_2[[#This Row],[Unit Price]]*SalesData_2[[#This Row],[Units Sold]]</f>
        <v>860</v>
      </c>
      <c r="I981" s="6">
        <f>SalesData_2[[#This Row],[Unit Cost]]*SalesData_2[[#This Row],[Units Sold]]</f>
        <v>610.6</v>
      </c>
      <c r="J981" s="6">
        <f>SalesData_2[[#This Row],[Sales]]-SalesData_2[[#This Row],[COGS]]</f>
        <v>249.39999999999998</v>
      </c>
      <c r="K981" s="21">
        <f>SalesData_2[[#This Row],[Revenue]]/SalesData_2[[#This Row],[Sales]]</f>
        <v>0.28999999999999998</v>
      </c>
      <c r="L981" s="3" t="s">
        <v>37</v>
      </c>
      <c r="M981" s="3" t="s">
        <v>80</v>
      </c>
      <c r="N981" s="3" t="s">
        <v>86</v>
      </c>
    </row>
    <row r="982" spans="1:14" x14ac:dyDescent="0.3">
      <c r="A982" s="2">
        <v>44811</v>
      </c>
      <c r="B982" s="2">
        <v>44818</v>
      </c>
      <c r="C982">
        <v>7</v>
      </c>
      <c r="D982" s="3" t="s">
        <v>22</v>
      </c>
      <c r="E982" s="6">
        <v>460</v>
      </c>
      <c r="F982" s="6">
        <v>303.60000000000002</v>
      </c>
      <c r="G982">
        <v>7</v>
      </c>
      <c r="H982" s="6">
        <f>SalesData_2[[#This Row],[Unit Price]]*SalesData_2[[#This Row],[Units Sold]]</f>
        <v>3220</v>
      </c>
      <c r="I982" s="6">
        <f>SalesData_2[[#This Row],[Unit Cost]]*SalesData_2[[#This Row],[Units Sold]]</f>
        <v>2125.2000000000003</v>
      </c>
      <c r="J982" s="6">
        <f>SalesData_2[[#This Row],[Sales]]-SalesData_2[[#This Row],[COGS]]</f>
        <v>1094.7999999999997</v>
      </c>
      <c r="K982" s="21">
        <f>SalesData_2[[#This Row],[Revenue]]/SalesData_2[[#This Row],[Sales]]</f>
        <v>0.33999999999999991</v>
      </c>
      <c r="L982" s="3" t="s">
        <v>44</v>
      </c>
      <c r="M982" s="3" t="s">
        <v>79</v>
      </c>
      <c r="N982" s="3" t="s">
        <v>86</v>
      </c>
    </row>
    <row r="983" spans="1:14" x14ac:dyDescent="0.3">
      <c r="A983" s="2">
        <v>44814</v>
      </c>
      <c r="B983" s="2">
        <v>44820</v>
      </c>
      <c r="C983">
        <v>6</v>
      </c>
      <c r="D983" s="3" t="s">
        <v>7</v>
      </c>
      <c r="E983" s="6">
        <v>250</v>
      </c>
      <c r="F983" s="6">
        <v>167.5</v>
      </c>
      <c r="G983">
        <v>3</v>
      </c>
      <c r="H983" s="6">
        <f>SalesData_2[[#This Row],[Unit Price]]*SalesData_2[[#This Row],[Units Sold]]</f>
        <v>750</v>
      </c>
      <c r="I983" s="6">
        <f>SalesData_2[[#This Row],[Unit Cost]]*SalesData_2[[#This Row],[Units Sold]]</f>
        <v>502.5</v>
      </c>
      <c r="J983" s="6">
        <f>SalesData_2[[#This Row],[Sales]]-SalesData_2[[#This Row],[COGS]]</f>
        <v>247.5</v>
      </c>
      <c r="K983" s="21">
        <f>SalesData_2[[#This Row],[Revenue]]/SalesData_2[[#This Row],[Sales]]</f>
        <v>0.33</v>
      </c>
      <c r="L983" s="3" t="s">
        <v>44</v>
      </c>
      <c r="M983" s="3" t="s">
        <v>79</v>
      </c>
      <c r="N983" s="3" t="s">
        <v>85</v>
      </c>
    </row>
    <row r="984" spans="1:14" x14ac:dyDescent="0.3">
      <c r="A984" s="2">
        <v>44815</v>
      </c>
      <c r="B984" s="2">
        <v>44820</v>
      </c>
      <c r="C984">
        <v>5</v>
      </c>
      <c r="D984" s="3" t="s">
        <v>19</v>
      </c>
      <c r="E984" s="6">
        <v>220</v>
      </c>
      <c r="F984" s="6">
        <v>154</v>
      </c>
      <c r="G984">
        <v>3</v>
      </c>
      <c r="H984" s="6">
        <f>SalesData_2[[#This Row],[Unit Price]]*SalesData_2[[#This Row],[Units Sold]]</f>
        <v>660</v>
      </c>
      <c r="I984" s="6">
        <f>SalesData_2[[#This Row],[Unit Cost]]*SalesData_2[[#This Row],[Units Sold]]</f>
        <v>462</v>
      </c>
      <c r="J984" s="6">
        <f>SalesData_2[[#This Row],[Sales]]-SalesData_2[[#This Row],[COGS]]</f>
        <v>198</v>
      </c>
      <c r="K984" s="21">
        <f>SalesData_2[[#This Row],[Revenue]]/SalesData_2[[#This Row],[Sales]]</f>
        <v>0.3</v>
      </c>
      <c r="L984" s="3" t="s">
        <v>53</v>
      </c>
      <c r="M984" s="3" t="s">
        <v>81</v>
      </c>
      <c r="N984" s="3" t="s">
        <v>85</v>
      </c>
    </row>
    <row r="985" spans="1:14" x14ac:dyDescent="0.3">
      <c r="A985" s="2">
        <v>44815</v>
      </c>
      <c r="B985" s="2">
        <v>44818</v>
      </c>
      <c r="C985">
        <v>3</v>
      </c>
      <c r="D985" s="3" t="s">
        <v>20</v>
      </c>
      <c r="E985" s="6">
        <v>440</v>
      </c>
      <c r="F985" s="6">
        <v>286</v>
      </c>
      <c r="G985">
        <v>8</v>
      </c>
      <c r="H985" s="6">
        <f>SalesData_2[[#This Row],[Unit Price]]*SalesData_2[[#This Row],[Units Sold]]</f>
        <v>3520</v>
      </c>
      <c r="I985" s="6">
        <f>SalesData_2[[#This Row],[Unit Cost]]*SalesData_2[[#This Row],[Units Sold]]</f>
        <v>2288</v>
      </c>
      <c r="J985" s="6">
        <f>SalesData_2[[#This Row],[Sales]]-SalesData_2[[#This Row],[COGS]]</f>
        <v>1232</v>
      </c>
      <c r="K985" s="21">
        <f>SalesData_2[[#This Row],[Revenue]]/SalesData_2[[#This Row],[Sales]]</f>
        <v>0.35</v>
      </c>
      <c r="L985" s="3" t="s">
        <v>71</v>
      </c>
      <c r="M985" s="3" t="s">
        <v>81</v>
      </c>
      <c r="N985" s="3" t="s">
        <v>85</v>
      </c>
    </row>
    <row r="986" spans="1:14" x14ac:dyDescent="0.3">
      <c r="A986" s="2">
        <v>44816</v>
      </c>
      <c r="B986" s="2">
        <v>44819</v>
      </c>
      <c r="C986">
        <v>3</v>
      </c>
      <c r="D986" s="3" t="s">
        <v>21</v>
      </c>
      <c r="E986" s="6">
        <v>355</v>
      </c>
      <c r="F986" s="6">
        <v>252.05</v>
      </c>
      <c r="G986">
        <v>2</v>
      </c>
      <c r="H986" s="6">
        <f>SalesData_2[[#This Row],[Unit Price]]*SalesData_2[[#This Row],[Units Sold]]</f>
        <v>710</v>
      </c>
      <c r="I986" s="6">
        <f>SalesData_2[[#This Row],[Unit Cost]]*SalesData_2[[#This Row],[Units Sold]]</f>
        <v>504.1</v>
      </c>
      <c r="J986" s="6">
        <f>SalesData_2[[#This Row],[Sales]]-SalesData_2[[#This Row],[COGS]]</f>
        <v>205.89999999999998</v>
      </c>
      <c r="K986" s="21">
        <f>SalesData_2[[#This Row],[Revenue]]/SalesData_2[[#This Row],[Sales]]</f>
        <v>0.28999999999999998</v>
      </c>
      <c r="L986" s="3" t="s">
        <v>66</v>
      </c>
      <c r="M986" s="3" t="s">
        <v>83</v>
      </c>
      <c r="N986" s="3" t="s">
        <v>86</v>
      </c>
    </row>
    <row r="987" spans="1:14" x14ac:dyDescent="0.3">
      <c r="A987" s="2">
        <v>44817</v>
      </c>
      <c r="B987" s="2">
        <v>44820</v>
      </c>
      <c r="C987">
        <v>3</v>
      </c>
      <c r="D987" s="3" t="s">
        <v>15</v>
      </c>
      <c r="E987" s="6">
        <v>110</v>
      </c>
      <c r="F987" s="6">
        <v>78.099999999999994</v>
      </c>
      <c r="G987">
        <v>1</v>
      </c>
      <c r="H987" s="6">
        <f>SalesData_2[[#This Row],[Unit Price]]*SalesData_2[[#This Row],[Units Sold]]</f>
        <v>110</v>
      </c>
      <c r="I987" s="6">
        <f>SalesData_2[[#This Row],[Unit Cost]]*SalesData_2[[#This Row],[Units Sold]]</f>
        <v>78.099999999999994</v>
      </c>
      <c r="J987" s="6">
        <f>SalesData_2[[#This Row],[Sales]]-SalesData_2[[#This Row],[COGS]]</f>
        <v>31.900000000000006</v>
      </c>
      <c r="K987" s="21">
        <f>SalesData_2[[#This Row],[Revenue]]/SalesData_2[[#This Row],[Sales]]</f>
        <v>0.29000000000000004</v>
      </c>
      <c r="L987" s="3" t="s">
        <v>56</v>
      </c>
      <c r="M987" s="3" t="s">
        <v>79</v>
      </c>
      <c r="N987" s="3" t="s">
        <v>86</v>
      </c>
    </row>
    <row r="988" spans="1:14" x14ac:dyDescent="0.3">
      <c r="A988" s="2">
        <v>44818</v>
      </c>
      <c r="B988" s="2">
        <v>44825</v>
      </c>
      <c r="C988">
        <v>7</v>
      </c>
      <c r="D988" s="3" t="s">
        <v>19</v>
      </c>
      <c r="E988" s="6">
        <v>220</v>
      </c>
      <c r="F988" s="6">
        <v>154</v>
      </c>
      <c r="G988">
        <v>3</v>
      </c>
      <c r="H988" s="6">
        <f>SalesData_2[[#This Row],[Unit Price]]*SalesData_2[[#This Row],[Units Sold]]</f>
        <v>660</v>
      </c>
      <c r="I988" s="6">
        <f>SalesData_2[[#This Row],[Unit Cost]]*SalesData_2[[#This Row],[Units Sold]]</f>
        <v>462</v>
      </c>
      <c r="J988" s="6">
        <f>SalesData_2[[#This Row],[Sales]]-SalesData_2[[#This Row],[COGS]]</f>
        <v>198</v>
      </c>
      <c r="K988" s="21">
        <f>SalesData_2[[#This Row],[Revenue]]/SalesData_2[[#This Row],[Sales]]</f>
        <v>0.3</v>
      </c>
      <c r="L988" s="3" t="s">
        <v>33</v>
      </c>
      <c r="M988" s="3" t="s">
        <v>83</v>
      </c>
      <c r="N988" s="3" t="s">
        <v>85</v>
      </c>
    </row>
    <row r="989" spans="1:14" x14ac:dyDescent="0.3">
      <c r="A989" s="2">
        <v>44818</v>
      </c>
      <c r="B989" s="2">
        <v>44825</v>
      </c>
      <c r="C989">
        <v>7</v>
      </c>
      <c r="D989" s="3" t="s">
        <v>14</v>
      </c>
      <c r="E989" s="6">
        <v>375</v>
      </c>
      <c r="F989" s="6">
        <v>247.5</v>
      </c>
      <c r="G989">
        <v>1</v>
      </c>
      <c r="H989" s="6">
        <f>SalesData_2[[#This Row],[Unit Price]]*SalesData_2[[#This Row],[Units Sold]]</f>
        <v>375</v>
      </c>
      <c r="I989" s="6">
        <f>SalesData_2[[#This Row],[Unit Cost]]*SalesData_2[[#This Row],[Units Sold]]</f>
        <v>247.5</v>
      </c>
      <c r="J989" s="6">
        <f>SalesData_2[[#This Row],[Sales]]-SalesData_2[[#This Row],[COGS]]</f>
        <v>127.5</v>
      </c>
      <c r="K989" s="21">
        <f>SalesData_2[[#This Row],[Revenue]]/SalesData_2[[#This Row],[Sales]]</f>
        <v>0.34</v>
      </c>
      <c r="L989" s="3" t="s">
        <v>39</v>
      </c>
      <c r="M989" s="3" t="s">
        <v>83</v>
      </c>
      <c r="N989" s="3" t="s">
        <v>86</v>
      </c>
    </row>
    <row r="990" spans="1:14" x14ac:dyDescent="0.3">
      <c r="A990" s="2">
        <v>44818</v>
      </c>
      <c r="B990" s="2">
        <v>44822</v>
      </c>
      <c r="C990">
        <v>4</v>
      </c>
      <c r="D990" s="3" t="s">
        <v>6</v>
      </c>
      <c r="E990" s="6">
        <v>99</v>
      </c>
      <c r="F990" s="6">
        <v>62.37</v>
      </c>
      <c r="G990">
        <v>8</v>
      </c>
      <c r="H990" s="6">
        <f>SalesData_2[[#This Row],[Unit Price]]*SalesData_2[[#This Row],[Units Sold]]</f>
        <v>792</v>
      </c>
      <c r="I990" s="6">
        <f>SalesData_2[[#This Row],[Unit Cost]]*SalesData_2[[#This Row],[Units Sold]]</f>
        <v>498.96</v>
      </c>
      <c r="J990" s="6">
        <f>SalesData_2[[#This Row],[Sales]]-SalesData_2[[#This Row],[COGS]]</f>
        <v>293.04000000000002</v>
      </c>
      <c r="K990" s="21">
        <f>SalesData_2[[#This Row],[Revenue]]/SalesData_2[[#This Row],[Sales]]</f>
        <v>0.37000000000000005</v>
      </c>
      <c r="L990" s="3" t="s">
        <v>69</v>
      </c>
      <c r="M990" s="3" t="s">
        <v>82</v>
      </c>
      <c r="N990" s="3" t="s">
        <v>86</v>
      </c>
    </row>
    <row r="991" spans="1:14" x14ac:dyDescent="0.3">
      <c r="A991" s="2">
        <v>44818</v>
      </c>
      <c r="B991" s="2">
        <v>44824</v>
      </c>
      <c r="C991">
        <v>6</v>
      </c>
      <c r="D991" s="3" t="s">
        <v>7</v>
      </c>
      <c r="E991" s="6">
        <v>250</v>
      </c>
      <c r="F991" s="6">
        <v>167.5</v>
      </c>
      <c r="G991">
        <v>7</v>
      </c>
      <c r="H991" s="6">
        <f>SalesData_2[[#This Row],[Unit Price]]*SalesData_2[[#This Row],[Units Sold]]</f>
        <v>1750</v>
      </c>
      <c r="I991" s="6">
        <f>SalesData_2[[#This Row],[Unit Cost]]*SalesData_2[[#This Row],[Units Sold]]</f>
        <v>1172.5</v>
      </c>
      <c r="J991" s="6">
        <f>SalesData_2[[#This Row],[Sales]]-SalesData_2[[#This Row],[COGS]]</f>
        <v>577.5</v>
      </c>
      <c r="K991" s="21">
        <f>SalesData_2[[#This Row],[Revenue]]/SalesData_2[[#This Row],[Sales]]</f>
        <v>0.33</v>
      </c>
      <c r="L991" s="3" t="s">
        <v>74</v>
      </c>
      <c r="M991" s="3" t="s">
        <v>81</v>
      </c>
      <c r="N991" s="3" t="s">
        <v>85</v>
      </c>
    </row>
    <row r="992" spans="1:14" x14ac:dyDescent="0.3">
      <c r="A992" s="2">
        <v>44819</v>
      </c>
      <c r="B992" s="2">
        <v>44823</v>
      </c>
      <c r="C992">
        <v>4</v>
      </c>
      <c r="D992" s="3" t="s">
        <v>12</v>
      </c>
      <c r="E992" s="6">
        <v>320</v>
      </c>
      <c r="F992" s="6">
        <v>233.6</v>
      </c>
      <c r="G992">
        <v>8</v>
      </c>
      <c r="H992" s="6">
        <f>SalesData_2[[#This Row],[Unit Price]]*SalesData_2[[#This Row],[Units Sold]]</f>
        <v>2560</v>
      </c>
      <c r="I992" s="6">
        <f>SalesData_2[[#This Row],[Unit Cost]]*SalesData_2[[#This Row],[Units Sold]]</f>
        <v>1868.8</v>
      </c>
      <c r="J992" s="6">
        <f>SalesData_2[[#This Row],[Sales]]-SalesData_2[[#This Row],[COGS]]</f>
        <v>691.2</v>
      </c>
      <c r="K992" s="21">
        <f>SalesData_2[[#This Row],[Revenue]]/SalesData_2[[#This Row],[Sales]]</f>
        <v>0.27</v>
      </c>
      <c r="L992" s="3" t="s">
        <v>31</v>
      </c>
      <c r="M992" s="3" t="s">
        <v>80</v>
      </c>
      <c r="N992" s="3" t="s">
        <v>85</v>
      </c>
    </row>
    <row r="993" spans="1:14" x14ac:dyDescent="0.3">
      <c r="A993" s="2">
        <v>44820</v>
      </c>
      <c r="B993" s="2">
        <v>44827</v>
      </c>
      <c r="C993">
        <v>7</v>
      </c>
      <c r="D993" s="3" t="s">
        <v>8</v>
      </c>
      <c r="E993" s="6">
        <v>59</v>
      </c>
      <c r="F993" s="6">
        <v>41.3</v>
      </c>
      <c r="G993">
        <v>1</v>
      </c>
      <c r="H993" s="6">
        <f>SalesData_2[[#This Row],[Unit Price]]*SalesData_2[[#This Row],[Units Sold]]</f>
        <v>59</v>
      </c>
      <c r="I993" s="6">
        <f>SalesData_2[[#This Row],[Unit Cost]]*SalesData_2[[#This Row],[Units Sold]]</f>
        <v>41.3</v>
      </c>
      <c r="J993" s="6">
        <f>SalesData_2[[#This Row],[Sales]]-SalesData_2[[#This Row],[COGS]]</f>
        <v>17.700000000000003</v>
      </c>
      <c r="K993" s="21">
        <f>SalesData_2[[#This Row],[Revenue]]/SalesData_2[[#This Row],[Sales]]</f>
        <v>0.30000000000000004</v>
      </c>
      <c r="L993" s="3" t="s">
        <v>50</v>
      </c>
      <c r="M993" s="3" t="s">
        <v>82</v>
      </c>
      <c r="N993" s="3" t="s">
        <v>86</v>
      </c>
    </row>
    <row r="994" spans="1:14" x14ac:dyDescent="0.3">
      <c r="A994" s="2">
        <v>44823</v>
      </c>
      <c r="B994" s="2">
        <v>44826</v>
      </c>
      <c r="C994">
        <v>3</v>
      </c>
      <c r="D994" s="3" t="s">
        <v>10</v>
      </c>
      <c r="E994" s="6">
        <v>390</v>
      </c>
      <c r="F994" s="6">
        <v>253.5</v>
      </c>
      <c r="G994">
        <v>8</v>
      </c>
      <c r="H994" s="6">
        <f>SalesData_2[[#This Row],[Unit Price]]*SalesData_2[[#This Row],[Units Sold]]</f>
        <v>3120</v>
      </c>
      <c r="I994" s="6">
        <f>SalesData_2[[#This Row],[Unit Cost]]*SalesData_2[[#This Row],[Units Sold]]</f>
        <v>2028</v>
      </c>
      <c r="J994" s="6">
        <f>SalesData_2[[#This Row],[Sales]]-SalesData_2[[#This Row],[COGS]]</f>
        <v>1092</v>
      </c>
      <c r="K994" s="21">
        <f>SalesData_2[[#This Row],[Revenue]]/SalesData_2[[#This Row],[Sales]]</f>
        <v>0.35</v>
      </c>
      <c r="L994" s="3" t="s">
        <v>57</v>
      </c>
      <c r="M994" s="3" t="s">
        <v>82</v>
      </c>
      <c r="N994" s="3" t="s">
        <v>86</v>
      </c>
    </row>
    <row r="995" spans="1:14" x14ac:dyDescent="0.3">
      <c r="A995" s="2">
        <v>44823</v>
      </c>
      <c r="B995" s="2">
        <v>44829</v>
      </c>
      <c r="C995">
        <v>6</v>
      </c>
      <c r="D995" s="3" t="s">
        <v>20</v>
      </c>
      <c r="E995" s="6">
        <v>440</v>
      </c>
      <c r="F995" s="6">
        <v>286</v>
      </c>
      <c r="G995">
        <v>7</v>
      </c>
      <c r="H995" s="6">
        <f>SalesData_2[[#This Row],[Unit Price]]*SalesData_2[[#This Row],[Units Sold]]</f>
        <v>3080</v>
      </c>
      <c r="I995" s="6">
        <f>SalesData_2[[#This Row],[Unit Cost]]*SalesData_2[[#This Row],[Units Sold]]</f>
        <v>2002</v>
      </c>
      <c r="J995" s="6">
        <f>SalesData_2[[#This Row],[Sales]]-SalesData_2[[#This Row],[COGS]]</f>
        <v>1078</v>
      </c>
      <c r="K995" s="21">
        <f>SalesData_2[[#This Row],[Revenue]]/SalesData_2[[#This Row],[Sales]]</f>
        <v>0.35</v>
      </c>
      <c r="L995" s="3" t="s">
        <v>63</v>
      </c>
      <c r="M995" s="3" t="s">
        <v>81</v>
      </c>
      <c r="N995" s="3" t="s">
        <v>85</v>
      </c>
    </row>
    <row r="996" spans="1:14" x14ac:dyDescent="0.3">
      <c r="A996" s="2">
        <v>44824</v>
      </c>
      <c r="B996" s="2">
        <v>44830</v>
      </c>
      <c r="C996">
        <v>6</v>
      </c>
      <c r="D996" s="3" t="s">
        <v>15</v>
      </c>
      <c r="E996" s="6">
        <v>110</v>
      </c>
      <c r="F996" s="6">
        <v>78.099999999999994</v>
      </c>
      <c r="G996">
        <v>3</v>
      </c>
      <c r="H996" s="6">
        <f>SalesData_2[[#This Row],[Unit Price]]*SalesData_2[[#This Row],[Units Sold]]</f>
        <v>330</v>
      </c>
      <c r="I996" s="6">
        <f>SalesData_2[[#This Row],[Unit Cost]]*SalesData_2[[#This Row],[Units Sold]]</f>
        <v>234.29999999999998</v>
      </c>
      <c r="J996" s="6">
        <f>SalesData_2[[#This Row],[Sales]]-SalesData_2[[#This Row],[COGS]]</f>
        <v>95.700000000000017</v>
      </c>
      <c r="K996" s="21">
        <f>SalesData_2[[#This Row],[Revenue]]/SalesData_2[[#This Row],[Sales]]</f>
        <v>0.29000000000000004</v>
      </c>
      <c r="L996" s="3" t="s">
        <v>43</v>
      </c>
      <c r="M996" s="3" t="s">
        <v>79</v>
      </c>
      <c r="N996" s="3" t="s">
        <v>85</v>
      </c>
    </row>
    <row r="997" spans="1:14" x14ac:dyDescent="0.3">
      <c r="A997" s="2">
        <v>44825</v>
      </c>
      <c r="B997" s="2">
        <v>44827</v>
      </c>
      <c r="C997">
        <v>2</v>
      </c>
      <c r="D997" s="3" t="s">
        <v>12</v>
      </c>
      <c r="E997" s="6">
        <v>320</v>
      </c>
      <c r="F997" s="6">
        <v>233.6</v>
      </c>
      <c r="G997">
        <v>7</v>
      </c>
      <c r="H997" s="6">
        <f>SalesData_2[[#This Row],[Unit Price]]*SalesData_2[[#This Row],[Units Sold]]</f>
        <v>2240</v>
      </c>
      <c r="I997" s="6">
        <f>SalesData_2[[#This Row],[Unit Cost]]*SalesData_2[[#This Row],[Units Sold]]</f>
        <v>1635.2</v>
      </c>
      <c r="J997" s="6">
        <f>SalesData_2[[#This Row],[Sales]]-SalesData_2[[#This Row],[COGS]]</f>
        <v>604.79999999999995</v>
      </c>
      <c r="K997" s="21">
        <f>SalesData_2[[#This Row],[Revenue]]/SalesData_2[[#This Row],[Sales]]</f>
        <v>0.26999999999999996</v>
      </c>
      <c r="L997" s="3" t="s">
        <v>53</v>
      </c>
      <c r="M997" s="3" t="s">
        <v>79</v>
      </c>
      <c r="N997" s="3" t="s">
        <v>85</v>
      </c>
    </row>
    <row r="998" spans="1:14" x14ac:dyDescent="0.3">
      <c r="A998" s="2">
        <v>44825</v>
      </c>
      <c r="B998" s="2">
        <v>44831</v>
      </c>
      <c r="C998">
        <v>6</v>
      </c>
      <c r="D998" s="3" t="s">
        <v>5</v>
      </c>
      <c r="E998" s="6">
        <v>290</v>
      </c>
      <c r="F998" s="6">
        <v>185.6</v>
      </c>
      <c r="G998">
        <v>2</v>
      </c>
      <c r="H998" s="6">
        <f>SalesData_2[[#This Row],[Unit Price]]*SalesData_2[[#This Row],[Units Sold]]</f>
        <v>580</v>
      </c>
      <c r="I998" s="6">
        <f>SalesData_2[[#This Row],[Unit Cost]]*SalesData_2[[#This Row],[Units Sold]]</f>
        <v>371.2</v>
      </c>
      <c r="J998" s="6">
        <f>SalesData_2[[#This Row],[Sales]]-SalesData_2[[#This Row],[COGS]]</f>
        <v>208.8</v>
      </c>
      <c r="K998" s="21">
        <f>SalesData_2[[#This Row],[Revenue]]/SalesData_2[[#This Row],[Sales]]</f>
        <v>0.36000000000000004</v>
      </c>
      <c r="L998" s="3" t="s">
        <v>41</v>
      </c>
      <c r="M998" s="3" t="s">
        <v>81</v>
      </c>
      <c r="N998" s="3" t="s">
        <v>86</v>
      </c>
    </row>
    <row r="999" spans="1:14" x14ac:dyDescent="0.3">
      <c r="A999" s="2">
        <v>44826</v>
      </c>
      <c r="B999" s="2">
        <v>44828</v>
      </c>
      <c r="C999">
        <v>2</v>
      </c>
      <c r="D999" s="3" t="s">
        <v>16</v>
      </c>
      <c r="E999" s="6">
        <v>145</v>
      </c>
      <c r="F999" s="6">
        <v>105.85</v>
      </c>
      <c r="G999">
        <v>5</v>
      </c>
      <c r="H999" s="6">
        <f>SalesData_2[[#This Row],[Unit Price]]*SalesData_2[[#This Row],[Units Sold]]</f>
        <v>725</v>
      </c>
      <c r="I999" s="6">
        <f>SalesData_2[[#This Row],[Unit Cost]]*SalesData_2[[#This Row],[Units Sold]]</f>
        <v>529.25</v>
      </c>
      <c r="J999" s="6">
        <f>SalesData_2[[#This Row],[Sales]]-SalesData_2[[#This Row],[COGS]]</f>
        <v>195.75</v>
      </c>
      <c r="K999" s="21">
        <f>SalesData_2[[#This Row],[Revenue]]/SalesData_2[[#This Row],[Sales]]</f>
        <v>0.27</v>
      </c>
      <c r="L999" s="3" t="s">
        <v>48</v>
      </c>
      <c r="M999" s="3" t="s">
        <v>80</v>
      </c>
      <c r="N999" s="3" t="s">
        <v>85</v>
      </c>
    </row>
    <row r="1000" spans="1:14" x14ac:dyDescent="0.3">
      <c r="A1000" s="2">
        <v>44827</v>
      </c>
      <c r="B1000" s="2">
        <v>44833</v>
      </c>
      <c r="C1000">
        <v>6</v>
      </c>
      <c r="D1000" s="3" t="s">
        <v>6</v>
      </c>
      <c r="E1000" s="6">
        <v>99</v>
      </c>
      <c r="F1000" s="6">
        <v>62.37</v>
      </c>
      <c r="G1000">
        <v>2</v>
      </c>
      <c r="H1000" s="6">
        <f>SalesData_2[[#This Row],[Unit Price]]*SalesData_2[[#This Row],[Units Sold]]</f>
        <v>198</v>
      </c>
      <c r="I1000" s="6">
        <f>SalesData_2[[#This Row],[Unit Cost]]*SalesData_2[[#This Row],[Units Sold]]</f>
        <v>124.74</v>
      </c>
      <c r="J1000" s="6">
        <f>SalesData_2[[#This Row],[Sales]]-SalesData_2[[#This Row],[COGS]]</f>
        <v>73.260000000000005</v>
      </c>
      <c r="K1000" s="21">
        <f>SalesData_2[[#This Row],[Revenue]]/SalesData_2[[#This Row],[Sales]]</f>
        <v>0.37000000000000005</v>
      </c>
      <c r="L1000" s="3" t="s">
        <v>35</v>
      </c>
      <c r="M1000" s="3" t="s">
        <v>79</v>
      </c>
      <c r="N1000" s="3" t="s">
        <v>86</v>
      </c>
    </row>
    <row r="1001" spans="1:14" x14ac:dyDescent="0.3">
      <c r="A1001" s="2">
        <v>44827</v>
      </c>
      <c r="B1001" s="2">
        <v>44831</v>
      </c>
      <c r="C1001">
        <v>4</v>
      </c>
      <c r="D1001" s="3" t="s">
        <v>23</v>
      </c>
      <c r="E1001" s="6">
        <v>275</v>
      </c>
      <c r="F1001" s="6">
        <v>200.75</v>
      </c>
      <c r="G1001">
        <v>7</v>
      </c>
      <c r="H1001" s="6">
        <f>SalesData_2[[#This Row],[Unit Price]]*SalesData_2[[#This Row],[Units Sold]]</f>
        <v>1925</v>
      </c>
      <c r="I1001" s="6">
        <f>SalesData_2[[#This Row],[Unit Cost]]*SalesData_2[[#This Row],[Units Sold]]</f>
        <v>1405.25</v>
      </c>
      <c r="J1001" s="6">
        <f>SalesData_2[[#This Row],[Sales]]-SalesData_2[[#This Row],[COGS]]</f>
        <v>519.75</v>
      </c>
      <c r="K1001" s="21">
        <f>SalesData_2[[#This Row],[Revenue]]/SalesData_2[[#This Row],[Sales]]</f>
        <v>0.27</v>
      </c>
      <c r="L1001" s="3" t="s">
        <v>29</v>
      </c>
      <c r="M1001" s="3" t="s">
        <v>81</v>
      </c>
      <c r="N1001" s="3" t="s">
        <v>86</v>
      </c>
    </row>
    <row r="1002" spans="1:14" x14ac:dyDescent="0.3">
      <c r="A1002" s="2">
        <v>44827</v>
      </c>
      <c r="B1002" s="2">
        <v>44831</v>
      </c>
      <c r="C1002">
        <v>4</v>
      </c>
      <c r="D1002" s="3" t="s">
        <v>15</v>
      </c>
      <c r="E1002" s="6">
        <v>110</v>
      </c>
      <c r="F1002" s="6">
        <v>78.099999999999994</v>
      </c>
      <c r="G1002">
        <v>5</v>
      </c>
      <c r="H1002" s="6">
        <f>SalesData_2[[#This Row],[Unit Price]]*SalesData_2[[#This Row],[Units Sold]]</f>
        <v>550</v>
      </c>
      <c r="I1002" s="6">
        <f>SalesData_2[[#This Row],[Unit Cost]]*SalesData_2[[#This Row],[Units Sold]]</f>
        <v>390.5</v>
      </c>
      <c r="J1002" s="6">
        <f>SalesData_2[[#This Row],[Sales]]-SalesData_2[[#This Row],[COGS]]</f>
        <v>159.5</v>
      </c>
      <c r="K1002" s="21">
        <f>SalesData_2[[#This Row],[Revenue]]/SalesData_2[[#This Row],[Sales]]</f>
        <v>0.28999999999999998</v>
      </c>
      <c r="L1002" s="3" t="s">
        <v>49</v>
      </c>
      <c r="M1002" s="3" t="s">
        <v>81</v>
      </c>
      <c r="N1002" s="3" t="s">
        <v>85</v>
      </c>
    </row>
    <row r="1003" spans="1:14" x14ac:dyDescent="0.3">
      <c r="A1003" s="2">
        <v>44828</v>
      </c>
      <c r="B1003" s="2">
        <v>44831</v>
      </c>
      <c r="C1003">
        <v>3</v>
      </c>
      <c r="D1003" s="3" t="s">
        <v>15</v>
      </c>
      <c r="E1003" s="6">
        <v>110</v>
      </c>
      <c r="F1003" s="6">
        <v>78.099999999999994</v>
      </c>
      <c r="G1003">
        <v>9</v>
      </c>
      <c r="H1003" s="6">
        <f>SalesData_2[[#This Row],[Unit Price]]*SalesData_2[[#This Row],[Units Sold]]</f>
        <v>990</v>
      </c>
      <c r="I1003" s="6">
        <f>SalesData_2[[#This Row],[Unit Cost]]*SalesData_2[[#This Row],[Units Sold]]</f>
        <v>702.9</v>
      </c>
      <c r="J1003" s="6">
        <f>SalesData_2[[#This Row],[Sales]]-SalesData_2[[#This Row],[COGS]]</f>
        <v>287.10000000000002</v>
      </c>
      <c r="K1003" s="21">
        <f>SalesData_2[[#This Row],[Revenue]]/SalesData_2[[#This Row],[Sales]]</f>
        <v>0.29000000000000004</v>
      </c>
      <c r="L1003" s="3" t="s">
        <v>49</v>
      </c>
      <c r="M1003" s="3" t="s">
        <v>81</v>
      </c>
      <c r="N1003" s="3" t="s">
        <v>85</v>
      </c>
    </row>
    <row r="1004" spans="1:14" x14ac:dyDescent="0.3">
      <c r="A1004" s="2">
        <v>44829</v>
      </c>
      <c r="B1004" s="2">
        <v>44836</v>
      </c>
      <c r="C1004">
        <v>7</v>
      </c>
      <c r="D1004" s="3" t="s">
        <v>13</v>
      </c>
      <c r="E1004" s="6">
        <v>445</v>
      </c>
      <c r="F1004" s="6">
        <v>280.35000000000002</v>
      </c>
      <c r="G1004">
        <v>1</v>
      </c>
      <c r="H1004" s="6">
        <f>SalesData_2[[#This Row],[Unit Price]]*SalesData_2[[#This Row],[Units Sold]]</f>
        <v>445</v>
      </c>
      <c r="I1004" s="6">
        <f>SalesData_2[[#This Row],[Unit Cost]]*SalesData_2[[#This Row],[Units Sold]]</f>
        <v>280.35000000000002</v>
      </c>
      <c r="J1004" s="6">
        <f>SalesData_2[[#This Row],[Sales]]-SalesData_2[[#This Row],[COGS]]</f>
        <v>164.64999999999998</v>
      </c>
      <c r="K1004" s="21">
        <f>SalesData_2[[#This Row],[Revenue]]/SalesData_2[[#This Row],[Sales]]</f>
        <v>0.36999999999999994</v>
      </c>
      <c r="L1004" s="3" t="s">
        <v>61</v>
      </c>
      <c r="M1004" s="3" t="s">
        <v>82</v>
      </c>
      <c r="N1004" s="3" t="s">
        <v>85</v>
      </c>
    </row>
    <row r="1005" spans="1:14" x14ac:dyDescent="0.3">
      <c r="A1005" s="2">
        <v>44831</v>
      </c>
      <c r="B1005" s="2">
        <v>44838</v>
      </c>
      <c r="C1005">
        <v>7</v>
      </c>
      <c r="D1005" s="3" t="s">
        <v>11</v>
      </c>
      <c r="E1005" s="6">
        <v>490</v>
      </c>
      <c r="F1005" s="6">
        <v>298.89999999999998</v>
      </c>
      <c r="G1005">
        <v>8</v>
      </c>
      <c r="H1005" s="6">
        <f>SalesData_2[[#This Row],[Unit Price]]*SalesData_2[[#This Row],[Units Sold]]</f>
        <v>3920</v>
      </c>
      <c r="I1005" s="6">
        <f>SalesData_2[[#This Row],[Unit Cost]]*SalesData_2[[#This Row],[Units Sold]]</f>
        <v>2391.1999999999998</v>
      </c>
      <c r="J1005" s="6">
        <f>SalesData_2[[#This Row],[Sales]]-SalesData_2[[#This Row],[COGS]]</f>
        <v>1528.8000000000002</v>
      </c>
      <c r="K1005" s="21">
        <f>SalesData_2[[#This Row],[Revenue]]/SalesData_2[[#This Row],[Sales]]</f>
        <v>0.39000000000000007</v>
      </c>
      <c r="L1005" s="3" t="s">
        <v>68</v>
      </c>
      <c r="M1005" s="3" t="s">
        <v>82</v>
      </c>
      <c r="N1005" s="3" t="s">
        <v>85</v>
      </c>
    </row>
    <row r="1006" spans="1:14" x14ac:dyDescent="0.3">
      <c r="A1006" s="2">
        <v>44832</v>
      </c>
      <c r="B1006" s="2">
        <v>44834</v>
      </c>
      <c r="C1006">
        <v>2</v>
      </c>
      <c r="D1006" s="3" t="s">
        <v>15</v>
      </c>
      <c r="E1006" s="6">
        <v>110</v>
      </c>
      <c r="F1006" s="6">
        <v>78.099999999999994</v>
      </c>
      <c r="G1006">
        <v>3</v>
      </c>
      <c r="H1006" s="6">
        <f>SalesData_2[[#This Row],[Unit Price]]*SalesData_2[[#This Row],[Units Sold]]</f>
        <v>330</v>
      </c>
      <c r="I1006" s="6">
        <f>SalesData_2[[#This Row],[Unit Cost]]*SalesData_2[[#This Row],[Units Sold]]</f>
        <v>234.29999999999998</v>
      </c>
      <c r="J1006" s="6">
        <f>SalesData_2[[#This Row],[Sales]]-SalesData_2[[#This Row],[COGS]]</f>
        <v>95.700000000000017</v>
      </c>
      <c r="K1006" s="21">
        <f>SalesData_2[[#This Row],[Revenue]]/SalesData_2[[#This Row],[Sales]]</f>
        <v>0.29000000000000004</v>
      </c>
      <c r="L1006" s="3" t="s">
        <v>68</v>
      </c>
      <c r="M1006" s="3" t="s">
        <v>82</v>
      </c>
      <c r="N1006" s="3" t="s">
        <v>85</v>
      </c>
    </row>
    <row r="1007" spans="1:14" x14ac:dyDescent="0.3">
      <c r="A1007" s="2">
        <v>44834</v>
      </c>
      <c r="B1007" s="2">
        <v>44835</v>
      </c>
      <c r="C1007">
        <v>1</v>
      </c>
      <c r="D1007" s="3" t="s">
        <v>16</v>
      </c>
      <c r="E1007" s="6">
        <v>145</v>
      </c>
      <c r="F1007" s="6">
        <v>105.85</v>
      </c>
      <c r="G1007">
        <v>3</v>
      </c>
      <c r="H1007" s="6">
        <f>SalesData_2[[#This Row],[Unit Price]]*SalesData_2[[#This Row],[Units Sold]]</f>
        <v>435</v>
      </c>
      <c r="I1007" s="6">
        <f>SalesData_2[[#This Row],[Unit Cost]]*SalesData_2[[#This Row],[Units Sold]]</f>
        <v>317.54999999999995</v>
      </c>
      <c r="J1007" s="6">
        <f>SalesData_2[[#This Row],[Sales]]-SalesData_2[[#This Row],[COGS]]</f>
        <v>117.45000000000005</v>
      </c>
      <c r="K1007" s="21">
        <f>SalesData_2[[#This Row],[Revenue]]/SalesData_2[[#This Row],[Sales]]</f>
        <v>0.27000000000000013</v>
      </c>
      <c r="L1007" s="3" t="s">
        <v>50</v>
      </c>
      <c r="M1007" s="3" t="s">
        <v>80</v>
      </c>
      <c r="N1007" s="3" t="s">
        <v>85</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C01375-4830-4425-A0D1-D4FC27D6F20B}">
  <sheetPr codeName="Sheet5"/>
  <dimension ref="A3:AX8"/>
  <sheetViews>
    <sheetView workbookViewId="0">
      <selection activeCell="D4" sqref="D4"/>
    </sheetView>
  </sheetViews>
  <sheetFormatPr defaultRowHeight="14.4" x14ac:dyDescent="0.3"/>
  <cols>
    <col min="1" max="1" width="14.88671875" bestFit="1" customWidth="1"/>
    <col min="2" max="2" width="15.5546875" bestFit="1" customWidth="1"/>
    <col min="3" max="3" width="8" bestFit="1" customWidth="1"/>
    <col min="4" max="4" width="8.5546875" bestFit="1" customWidth="1"/>
    <col min="5" max="5" width="9" bestFit="1" customWidth="1"/>
    <col min="6" max="6" width="8.6640625" bestFit="1" customWidth="1"/>
    <col min="7" max="7" width="11.109375" bestFit="1" customWidth="1"/>
    <col min="8" max="8" width="8.77734375" bestFit="1" customWidth="1"/>
    <col min="9" max="11" width="8" bestFit="1" customWidth="1"/>
    <col min="12" max="12" width="9" bestFit="1" customWidth="1"/>
    <col min="13" max="13" width="8" bestFit="1" customWidth="1"/>
    <col min="14" max="14" width="9" bestFit="1" customWidth="1"/>
    <col min="15" max="15" width="8" bestFit="1" customWidth="1"/>
    <col min="16" max="16" width="8.88671875" bestFit="1" customWidth="1"/>
    <col min="17" max="17" width="9" bestFit="1" customWidth="1"/>
    <col min="18" max="18" width="7" bestFit="1" customWidth="1"/>
    <col min="19" max="19" width="9.109375" bestFit="1" customWidth="1"/>
    <col min="20" max="20" width="13.44140625" bestFit="1" customWidth="1"/>
    <col min="21" max="21" width="8.77734375" bestFit="1" customWidth="1"/>
    <col min="22" max="22" width="10" bestFit="1" customWidth="1"/>
    <col min="23" max="23" width="9.88671875" bestFit="1" customWidth="1"/>
    <col min="24" max="24" width="8.109375" bestFit="1" customWidth="1"/>
    <col min="25" max="25" width="8.77734375" bestFit="1" customWidth="1"/>
    <col min="26" max="26" width="9" bestFit="1" customWidth="1"/>
    <col min="27" max="27" width="8" bestFit="1" customWidth="1"/>
    <col min="28" max="28" width="14.33203125" bestFit="1" customWidth="1"/>
    <col min="29" max="29" width="10.33203125" bestFit="1" customWidth="1"/>
    <col min="30" max="30" width="11.33203125" bestFit="1" customWidth="1"/>
    <col min="31" max="31" width="9" bestFit="1" customWidth="1"/>
    <col min="32" max="32" width="13.33203125" bestFit="1" customWidth="1"/>
    <col min="33" max="33" width="12.33203125" bestFit="1" customWidth="1"/>
    <col min="34" max="34" width="8" bestFit="1" customWidth="1"/>
    <col min="35" max="35" width="9.6640625" bestFit="1" customWidth="1"/>
    <col min="36" max="36" width="7.21875" bestFit="1" customWidth="1"/>
    <col min="37" max="37" width="12.109375" bestFit="1" customWidth="1"/>
    <col min="38" max="38" width="11.88671875" bestFit="1" customWidth="1"/>
    <col min="39" max="39" width="13.44140625" bestFit="1" customWidth="1"/>
    <col min="40" max="40" width="12.44140625" bestFit="1" customWidth="1"/>
    <col min="41" max="41" width="9.77734375" bestFit="1" customWidth="1"/>
    <col min="42" max="42" width="8" bestFit="1" customWidth="1"/>
    <col min="43" max="43" width="7" bestFit="1" customWidth="1"/>
    <col min="44" max="44" width="9" bestFit="1" customWidth="1"/>
    <col min="45" max="45" width="8.44140625" bestFit="1" customWidth="1"/>
    <col min="46" max="46" width="11.109375" bestFit="1" customWidth="1"/>
    <col min="47" max="47" width="13.21875" bestFit="1" customWidth="1"/>
    <col min="48" max="48" width="9.44140625" bestFit="1" customWidth="1"/>
    <col min="49" max="49" width="9.109375" bestFit="1" customWidth="1"/>
    <col min="50" max="50" width="10.77734375" bestFit="1" customWidth="1"/>
  </cols>
  <sheetData>
    <row r="3" spans="1:50" x14ac:dyDescent="0.3">
      <c r="B3" s="12" t="s">
        <v>107</v>
      </c>
    </row>
    <row r="4" spans="1:50" x14ac:dyDescent="0.3">
      <c r="B4" t="s">
        <v>29</v>
      </c>
      <c r="C4" t="s">
        <v>30</v>
      </c>
      <c r="D4" t="s">
        <v>31</v>
      </c>
      <c r="E4" t="s">
        <v>32</v>
      </c>
      <c r="F4" t="s">
        <v>33</v>
      </c>
      <c r="G4" t="s">
        <v>34</v>
      </c>
      <c r="H4" t="s">
        <v>35</v>
      </c>
      <c r="I4" t="s">
        <v>36</v>
      </c>
      <c r="J4" t="s">
        <v>37</v>
      </c>
      <c r="K4" t="s">
        <v>38</v>
      </c>
      <c r="L4" t="s">
        <v>39</v>
      </c>
      <c r="M4" t="s">
        <v>40</v>
      </c>
      <c r="N4" t="s">
        <v>41</v>
      </c>
      <c r="O4" t="s">
        <v>42</v>
      </c>
      <c r="P4" t="s">
        <v>43</v>
      </c>
      <c r="Q4" t="s">
        <v>44</v>
      </c>
      <c r="R4" t="s">
        <v>45</v>
      </c>
      <c r="S4" t="s">
        <v>46</v>
      </c>
      <c r="T4" t="s">
        <v>47</v>
      </c>
      <c r="U4" t="s">
        <v>48</v>
      </c>
      <c r="V4" t="s">
        <v>49</v>
      </c>
      <c r="W4" t="s">
        <v>50</v>
      </c>
      <c r="X4" t="s">
        <v>51</v>
      </c>
      <c r="Y4" t="s">
        <v>52</v>
      </c>
      <c r="Z4" t="s">
        <v>53</v>
      </c>
      <c r="AA4" t="s">
        <v>54</v>
      </c>
      <c r="AB4" t="s">
        <v>55</v>
      </c>
      <c r="AC4" t="s">
        <v>56</v>
      </c>
      <c r="AD4" t="s">
        <v>57</v>
      </c>
      <c r="AE4" t="s">
        <v>58</v>
      </c>
      <c r="AF4" t="s">
        <v>59</v>
      </c>
      <c r="AG4" t="s">
        <v>60</v>
      </c>
      <c r="AH4" t="s">
        <v>61</v>
      </c>
      <c r="AI4" t="s">
        <v>62</v>
      </c>
      <c r="AJ4" t="s">
        <v>63</v>
      </c>
      <c r="AK4" t="s">
        <v>64</v>
      </c>
      <c r="AL4" t="s">
        <v>65</v>
      </c>
      <c r="AM4" t="s">
        <v>66</v>
      </c>
      <c r="AN4" t="s">
        <v>67</v>
      </c>
      <c r="AO4" t="s">
        <v>68</v>
      </c>
      <c r="AP4" t="s">
        <v>69</v>
      </c>
      <c r="AQ4" t="s">
        <v>70</v>
      </c>
      <c r="AR4" t="s">
        <v>71</v>
      </c>
      <c r="AS4" t="s">
        <v>72</v>
      </c>
      <c r="AT4" t="s">
        <v>73</v>
      </c>
      <c r="AU4" t="s">
        <v>74</v>
      </c>
      <c r="AV4" t="s">
        <v>75</v>
      </c>
      <c r="AW4" t="s">
        <v>76</v>
      </c>
      <c r="AX4" t="s">
        <v>108</v>
      </c>
    </row>
    <row r="5" spans="1:50" x14ac:dyDescent="0.3">
      <c r="A5" t="s">
        <v>106</v>
      </c>
      <c r="B5" s="3">
        <v>7182.12</v>
      </c>
      <c r="C5" s="3">
        <v>7413.920000000001</v>
      </c>
      <c r="D5" s="3">
        <v>6755.3999999999987</v>
      </c>
      <c r="E5" s="3">
        <v>8341.5999999999967</v>
      </c>
      <c r="F5" s="3">
        <v>11178.499999999998</v>
      </c>
      <c r="G5" s="3">
        <v>8185.6100000000024</v>
      </c>
      <c r="H5" s="3">
        <v>7766.04</v>
      </c>
      <c r="I5" s="3">
        <v>8658.08</v>
      </c>
      <c r="J5" s="3">
        <v>8129.8099999999986</v>
      </c>
      <c r="K5" s="3">
        <v>6101.73</v>
      </c>
      <c r="L5" s="3">
        <v>10608.75</v>
      </c>
      <c r="M5" s="3">
        <v>7929.6800000000012</v>
      </c>
      <c r="N5" s="3">
        <v>13164.119999999999</v>
      </c>
      <c r="O5" s="3">
        <v>9392.15</v>
      </c>
      <c r="P5" s="3">
        <v>11491.5</v>
      </c>
      <c r="Q5" s="3">
        <v>11623.920000000002</v>
      </c>
      <c r="R5" s="3">
        <v>9705.7999999999993</v>
      </c>
      <c r="S5" s="3">
        <v>11676.849999999997</v>
      </c>
      <c r="T5" s="3">
        <v>8291.8599999999988</v>
      </c>
      <c r="U5" s="3">
        <v>5023.37</v>
      </c>
      <c r="V5" s="3">
        <v>11154.47</v>
      </c>
      <c r="W5" s="3">
        <v>7454.8099999999986</v>
      </c>
      <c r="X5" s="3">
        <v>9782.6999999999989</v>
      </c>
      <c r="Y5" s="3">
        <v>9048.4399999999987</v>
      </c>
      <c r="Z5" s="3">
        <v>12982.63</v>
      </c>
      <c r="AA5" s="3">
        <v>13227.8</v>
      </c>
      <c r="AB5" s="3">
        <v>12158.570000000003</v>
      </c>
      <c r="AC5" s="3">
        <v>11048.049999999997</v>
      </c>
      <c r="AD5" s="3">
        <v>8524.4800000000014</v>
      </c>
      <c r="AE5" s="3">
        <v>7905.7000000000016</v>
      </c>
      <c r="AF5" s="3">
        <v>4849.5599999999995</v>
      </c>
      <c r="AG5" s="3">
        <v>10205.82</v>
      </c>
      <c r="AH5" s="3">
        <v>6869.3499999999995</v>
      </c>
      <c r="AI5" s="3">
        <v>8411.9000000000015</v>
      </c>
      <c r="AJ5" s="3">
        <v>8260.9</v>
      </c>
      <c r="AK5" s="3">
        <v>14372.77</v>
      </c>
      <c r="AL5" s="3">
        <v>8273</v>
      </c>
      <c r="AM5" s="3">
        <v>10492.009999999998</v>
      </c>
      <c r="AN5" s="3">
        <v>8774.84</v>
      </c>
      <c r="AO5" s="3">
        <v>10573.45</v>
      </c>
      <c r="AP5" s="3">
        <v>6661.2499999999991</v>
      </c>
      <c r="AQ5" s="3">
        <v>9995.9</v>
      </c>
      <c r="AR5" s="3">
        <v>14457.829999999998</v>
      </c>
      <c r="AS5" s="3">
        <v>6383.3499999999995</v>
      </c>
      <c r="AT5" s="3">
        <v>6260.56</v>
      </c>
      <c r="AU5" s="3">
        <v>11236.640000000001</v>
      </c>
      <c r="AV5" s="3">
        <v>10681.07</v>
      </c>
      <c r="AW5" s="3">
        <v>9230.65</v>
      </c>
      <c r="AX5" s="3">
        <v>447899.31000000017</v>
      </c>
    </row>
    <row r="7" spans="1:50" x14ac:dyDescent="0.3">
      <c r="A7" s="11"/>
      <c r="B7" s="11" t="s">
        <v>29</v>
      </c>
      <c r="C7" s="11" t="s">
        <v>30</v>
      </c>
      <c r="D7" s="11" t="s">
        <v>31</v>
      </c>
      <c r="E7" s="11" t="s">
        <v>32</v>
      </c>
      <c r="F7" s="11" t="s">
        <v>33</v>
      </c>
      <c r="G7" s="11" t="s">
        <v>34</v>
      </c>
      <c r="H7" s="11" t="s">
        <v>35</v>
      </c>
      <c r="I7" s="11" t="s">
        <v>36</v>
      </c>
      <c r="J7" s="11" t="s">
        <v>37</v>
      </c>
      <c r="K7" s="11" t="s">
        <v>38</v>
      </c>
      <c r="L7" s="11" t="s">
        <v>39</v>
      </c>
      <c r="M7" s="11" t="s">
        <v>40</v>
      </c>
      <c r="N7" s="11" t="s">
        <v>41</v>
      </c>
      <c r="O7" s="11" t="s">
        <v>42</v>
      </c>
      <c r="P7" s="11" t="s">
        <v>43</v>
      </c>
      <c r="Q7" s="11" t="s">
        <v>44</v>
      </c>
      <c r="R7" s="11" t="s">
        <v>45</v>
      </c>
      <c r="S7" s="11" t="s">
        <v>46</v>
      </c>
      <c r="T7" s="11" t="s">
        <v>47</v>
      </c>
      <c r="U7" s="11" t="s">
        <v>48</v>
      </c>
      <c r="V7" s="11" t="s">
        <v>49</v>
      </c>
      <c r="W7" s="11" t="s">
        <v>50</v>
      </c>
      <c r="X7" s="11" t="s">
        <v>51</v>
      </c>
      <c r="Y7" s="11" t="s">
        <v>52</v>
      </c>
      <c r="Z7" s="11" t="s">
        <v>53</v>
      </c>
      <c r="AA7" s="11" t="s">
        <v>54</v>
      </c>
      <c r="AB7" s="11" t="s">
        <v>55</v>
      </c>
      <c r="AC7" s="11" t="s">
        <v>56</v>
      </c>
      <c r="AD7" s="11" t="s">
        <v>57</v>
      </c>
      <c r="AE7" s="11" t="s">
        <v>58</v>
      </c>
      <c r="AF7" s="11" t="s">
        <v>59</v>
      </c>
      <c r="AG7" s="11" t="s">
        <v>60</v>
      </c>
      <c r="AH7" s="11" t="s">
        <v>61</v>
      </c>
      <c r="AI7" s="11" t="s">
        <v>62</v>
      </c>
      <c r="AJ7" s="11" t="s">
        <v>63</v>
      </c>
      <c r="AK7" s="11" t="s">
        <v>64</v>
      </c>
      <c r="AL7" s="11" t="s">
        <v>65</v>
      </c>
      <c r="AM7" s="11" t="s">
        <v>66</v>
      </c>
      <c r="AN7" s="11" t="s">
        <v>67</v>
      </c>
      <c r="AO7" s="11" t="s">
        <v>68</v>
      </c>
      <c r="AP7" s="11" t="s">
        <v>69</v>
      </c>
      <c r="AQ7" s="11" t="s">
        <v>70</v>
      </c>
      <c r="AR7" s="11" t="s">
        <v>71</v>
      </c>
      <c r="AS7" s="11" t="s">
        <v>72</v>
      </c>
      <c r="AT7" s="11" t="s">
        <v>73</v>
      </c>
      <c r="AU7" s="11" t="s">
        <v>74</v>
      </c>
      <c r="AV7" s="11" t="s">
        <v>75</v>
      </c>
      <c r="AW7" s="11" t="s">
        <v>76</v>
      </c>
    </row>
    <row r="8" spans="1:50" s="19" customFormat="1" x14ac:dyDescent="0.3">
      <c r="A8" s="18" t="s">
        <v>105</v>
      </c>
      <c r="B8" s="18">
        <f>GETPIVOTDATA("Revenue",$A$3,"Location","Alabama")</f>
        <v>7182.12</v>
      </c>
      <c r="C8" s="18">
        <f>GETPIVOTDATA("Revenue",$A$3,"Location","Arizona")</f>
        <v>7413.920000000001</v>
      </c>
      <c r="D8" s="18">
        <f>GETPIVOTDATA("Revenue",$A$3,"Location","Arkansas")</f>
        <v>6755.3999999999987</v>
      </c>
      <c r="E8" s="18">
        <f>GETPIVOTDATA("Revenue",$A$3,"Location","California")</f>
        <v>8341.5999999999967</v>
      </c>
      <c r="F8" s="18">
        <f>GETPIVOTDATA("Revenue",$A$3,"Location","Colorado")</f>
        <v>11178.499999999998</v>
      </c>
      <c r="G8" s="18">
        <f>GETPIVOTDATA("Revenue",$A$3,"Location","Connecticut")</f>
        <v>8185.6100000000024</v>
      </c>
      <c r="H8" s="18">
        <f>GETPIVOTDATA("Revenue",$A$3,"Location","Delaware")</f>
        <v>7766.04</v>
      </c>
      <c r="I8" s="18">
        <f>GETPIVOTDATA("Revenue",$A$3,"Location","Florida")</f>
        <v>8658.08</v>
      </c>
      <c r="J8" s="18">
        <f>GETPIVOTDATA("Revenue",$A$3,"Location","Georgia")</f>
        <v>8129.8099999999986</v>
      </c>
      <c r="K8" s="18">
        <f>GETPIVOTDATA("Revenue",$A$3,"Location","Idaho")</f>
        <v>6101.73</v>
      </c>
      <c r="L8" s="18">
        <f>GETPIVOTDATA("Revenue",$A$3,"Location","Illinois")</f>
        <v>10608.75</v>
      </c>
      <c r="M8" s="18">
        <f>GETPIVOTDATA("Revenue",$A$3,"Location","Indiana")</f>
        <v>7929.6800000000012</v>
      </c>
      <c r="N8" s="18">
        <f>GETPIVOTDATA("Revenue",$A$3,"Location","Iowa")</f>
        <v>13164.119999999999</v>
      </c>
      <c r="O8" s="18">
        <f>GETPIVOTDATA("Revenue",$A$3,"Location","Kansas")</f>
        <v>9392.15</v>
      </c>
      <c r="P8" s="18">
        <f>GETPIVOTDATA("Revenue",$A$3,"Location","Kentucky")</f>
        <v>11491.5</v>
      </c>
      <c r="Q8" s="18">
        <f>GETPIVOTDATA("Revenue",$A$3,"Location","Louisiana")</f>
        <v>11623.920000000002</v>
      </c>
      <c r="R8" s="18">
        <f>GETPIVOTDATA("Revenue",$A$3,"Location","Maine")</f>
        <v>9705.7999999999993</v>
      </c>
      <c r="S8" s="18">
        <f>GETPIVOTDATA("Revenue",$A$3,"Location","Maryland")</f>
        <v>11676.849999999997</v>
      </c>
      <c r="T8" s="18">
        <f>GETPIVOTDATA("Revenue",$A$3,"Location","Massachusetts")</f>
        <v>8291.8599999999988</v>
      </c>
      <c r="U8" s="18">
        <f>GETPIVOTDATA("Revenue",$A$3,"Location","Michigan")</f>
        <v>5023.37</v>
      </c>
      <c r="V8" s="18">
        <f>GETPIVOTDATA("Revenue",$A$3,"Location","Minnesota")</f>
        <v>11154.47</v>
      </c>
      <c r="W8" s="18">
        <f>GETPIVOTDATA("Revenue",$A$3,"Location","Mississippi")</f>
        <v>7454.8099999999986</v>
      </c>
      <c r="X8" s="18">
        <f>GETPIVOTDATA("Revenue",$A$3,"Location","Missouri")</f>
        <v>9782.6999999999989</v>
      </c>
      <c r="Y8" s="18">
        <f>GETPIVOTDATA("Revenue",$A$3,"Location","Montana")</f>
        <v>9048.4399999999987</v>
      </c>
      <c r="Z8" s="18">
        <f>GETPIVOTDATA("Revenue",$A$3,"Location","Nebraska")</f>
        <v>12982.63</v>
      </c>
      <c r="AA8" s="18">
        <f>GETPIVOTDATA("Revenue",$A$3,"Location","Nevada")</f>
        <v>13227.8</v>
      </c>
      <c r="AB8" s="18">
        <f>GETPIVOTDATA("Revenue",$A$3,"Location","New Hampshire")</f>
        <v>12158.570000000003</v>
      </c>
      <c r="AC8" s="18">
        <f>GETPIVOTDATA("Revenue",$A$3,"Location","New Jersey")</f>
        <v>11048.049999999997</v>
      </c>
      <c r="AD8" s="18">
        <f>GETPIVOTDATA("Revenue",$A$3,"Location","New Mexico")</f>
        <v>8524.4800000000014</v>
      </c>
      <c r="AE8" s="18">
        <f>GETPIVOTDATA("Revenue",$A$3,"Location","New York")</f>
        <v>7905.7000000000016</v>
      </c>
      <c r="AF8" s="18">
        <f>GETPIVOTDATA("Revenue",$A$3,"Location","North Carolina")</f>
        <v>4849.5599999999995</v>
      </c>
      <c r="AG8" s="18">
        <f>GETPIVOTDATA("Revenue",$A$3,"Location","North Dakota")</f>
        <v>10205.82</v>
      </c>
      <c r="AH8" s="18">
        <f>GETPIVOTDATA("Revenue",$A$3,"Location","Ohio")</f>
        <v>6869.3499999999995</v>
      </c>
      <c r="AI8" s="18">
        <f>GETPIVOTDATA("Revenue",$A$3,"Location","Oklahoma")</f>
        <v>8411.9000000000015</v>
      </c>
      <c r="AJ8" s="18">
        <f>GETPIVOTDATA("Revenue",$A$3,"Location","Oregon")</f>
        <v>8260.9</v>
      </c>
      <c r="AK8" s="18">
        <f>GETPIVOTDATA("Revenue",$A$3,"Location","Pennsylvania")</f>
        <v>14372.77</v>
      </c>
      <c r="AL8" s="18">
        <f>GETPIVOTDATA("Revenue",$A$3,"Location","Rhode Island")</f>
        <v>8273</v>
      </c>
      <c r="AM8" s="18">
        <f>GETPIVOTDATA("Revenue",$A$3,"Location","South Carolina")</f>
        <v>10492.009999999998</v>
      </c>
      <c r="AN8" s="18">
        <f>GETPIVOTDATA("Revenue",$A$3,"Location","South Dakota")</f>
        <v>8774.84</v>
      </c>
      <c r="AO8" s="18">
        <f>GETPIVOTDATA("Revenue",$A$3,"Location","Tennessee")</f>
        <v>10573.45</v>
      </c>
      <c r="AP8" s="18">
        <f>GETPIVOTDATA("Revenue",$A$3,"Location","Texas")</f>
        <v>6661.2499999999991</v>
      </c>
      <c r="AQ8" s="18">
        <f>GETPIVOTDATA("Revenue",$A$3,"Location","Utah")</f>
        <v>9995.9</v>
      </c>
      <c r="AR8" s="18">
        <f>GETPIVOTDATA("Revenue",$A$3,"Location","Vermont")</f>
        <v>14457.829999999998</v>
      </c>
      <c r="AS8" s="18">
        <f>GETPIVOTDATA("Revenue",$A$3,"Location","Virgninia")</f>
        <v>6383.3499999999995</v>
      </c>
      <c r="AT8" s="18">
        <f>GETPIVOTDATA("Revenue",$A$3,"Location","Washington")</f>
        <v>6260.56</v>
      </c>
      <c r="AU8" s="18">
        <f>GETPIVOTDATA("Revenue",$A$3,"Location","West Virginina")</f>
        <v>11236.640000000001</v>
      </c>
      <c r="AV8" s="18">
        <f>GETPIVOTDATA("Revenue",$A$3,"Location","Wisconsin")</f>
        <v>10681.07</v>
      </c>
      <c r="AW8" s="18">
        <f>GETPIVOTDATA("Revenue",$A$3,"Location","Wyoming")</f>
        <v>9230.65</v>
      </c>
    </row>
  </sheetData>
  <pageMargins left="0.7" right="0.7" top="0.75" bottom="0.75" header="0.3" footer="0.3"/>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FB859F-CD39-4B42-9F48-63794FD32A9A}">
  <sheetPr codeName="Sheet6"/>
  <dimension ref="A3:C40"/>
  <sheetViews>
    <sheetView workbookViewId="0">
      <selection activeCell="J33" sqref="J33"/>
    </sheetView>
  </sheetViews>
  <sheetFormatPr defaultRowHeight="14.4" x14ac:dyDescent="0.3"/>
  <cols>
    <col min="1" max="1" width="12.5546875" bestFit="1" customWidth="1"/>
    <col min="2" max="2" width="14.88671875" bestFit="1" customWidth="1"/>
    <col min="3" max="3" width="11.6640625" bestFit="1" customWidth="1"/>
  </cols>
  <sheetData>
    <row r="3" spans="1:3" x14ac:dyDescent="0.3">
      <c r="A3" s="12" t="s">
        <v>109</v>
      </c>
      <c r="B3" t="s">
        <v>106</v>
      </c>
      <c r="C3" t="s">
        <v>130</v>
      </c>
    </row>
    <row r="4" spans="1:3" x14ac:dyDescent="0.3">
      <c r="A4" s="13" t="s">
        <v>110</v>
      </c>
      <c r="B4" s="3">
        <v>161480.39000000001</v>
      </c>
      <c r="C4" s="3">
        <v>506383</v>
      </c>
    </row>
    <row r="5" spans="1:3" x14ac:dyDescent="0.3">
      <c r="A5" s="14" t="s">
        <v>111</v>
      </c>
      <c r="B5" s="3">
        <v>11677.380000000001</v>
      </c>
      <c r="C5" s="3">
        <v>36585</v>
      </c>
    </row>
    <row r="6" spans="1:3" x14ac:dyDescent="0.3">
      <c r="A6" s="14" t="s">
        <v>112</v>
      </c>
      <c r="B6" s="3">
        <v>16987.939999999999</v>
      </c>
      <c r="C6" s="3">
        <v>51765</v>
      </c>
    </row>
    <row r="7" spans="1:3" x14ac:dyDescent="0.3">
      <c r="A7" s="14" t="s">
        <v>113</v>
      </c>
      <c r="B7" s="3">
        <v>15280.6</v>
      </c>
      <c r="C7" s="3">
        <v>47780</v>
      </c>
    </row>
    <row r="8" spans="1:3" x14ac:dyDescent="0.3">
      <c r="A8" s="14" t="s">
        <v>114</v>
      </c>
      <c r="B8" s="3">
        <v>11703.330000000004</v>
      </c>
      <c r="C8" s="3">
        <v>38803</v>
      </c>
    </row>
    <row r="9" spans="1:3" x14ac:dyDescent="0.3">
      <c r="A9" s="14" t="s">
        <v>115</v>
      </c>
      <c r="B9" s="3">
        <v>13162.970000000001</v>
      </c>
      <c r="C9" s="3">
        <v>41138</v>
      </c>
    </row>
    <row r="10" spans="1:3" x14ac:dyDescent="0.3">
      <c r="A10" s="14" t="s">
        <v>116</v>
      </c>
      <c r="B10" s="3">
        <v>13852.31</v>
      </c>
      <c r="C10" s="3">
        <v>42658</v>
      </c>
    </row>
    <row r="11" spans="1:3" x14ac:dyDescent="0.3">
      <c r="A11" s="14" t="s">
        <v>117</v>
      </c>
      <c r="B11" s="3">
        <v>16632.349999999999</v>
      </c>
      <c r="C11" s="3">
        <v>54410</v>
      </c>
    </row>
    <row r="12" spans="1:3" x14ac:dyDescent="0.3">
      <c r="A12" s="14" t="s">
        <v>118</v>
      </c>
      <c r="B12" s="3">
        <v>10924.190000000002</v>
      </c>
      <c r="C12" s="3">
        <v>32386</v>
      </c>
    </row>
    <row r="13" spans="1:3" x14ac:dyDescent="0.3">
      <c r="A13" s="14" t="s">
        <v>119</v>
      </c>
      <c r="B13" s="3">
        <v>14316.199999999999</v>
      </c>
      <c r="C13" s="3">
        <v>44967</v>
      </c>
    </row>
    <row r="14" spans="1:3" x14ac:dyDescent="0.3">
      <c r="A14" s="14" t="s">
        <v>120</v>
      </c>
      <c r="B14" s="3">
        <v>12889.920000000002</v>
      </c>
      <c r="C14" s="3">
        <v>42092</v>
      </c>
    </row>
    <row r="15" spans="1:3" x14ac:dyDescent="0.3">
      <c r="A15" s="14" t="s">
        <v>121</v>
      </c>
      <c r="B15" s="3">
        <v>15818.6</v>
      </c>
      <c r="C15" s="3">
        <v>48370</v>
      </c>
    </row>
    <row r="16" spans="1:3" x14ac:dyDescent="0.3">
      <c r="A16" s="14" t="s">
        <v>122</v>
      </c>
      <c r="B16" s="3">
        <v>8234.5999999999985</v>
      </c>
      <c r="C16" s="3">
        <v>25429</v>
      </c>
    </row>
    <row r="17" spans="1:3" x14ac:dyDescent="0.3">
      <c r="A17" s="13" t="s">
        <v>123</v>
      </c>
      <c r="B17" s="3">
        <v>141371.46000000002</v>
      </c>
      <c r="C17" s="3">
        <v>439064</v>
      </c>
    </row>
    <row r="18" spans="1:3" x14ac:dyDescent="0.3">
      <c r="A18" s="14" t="s">
        <v>111</v>
      </c>
      <c r="B18" s="3">
        <v>10326.889999999998</v>
      </c>
      <c r="C18" s="3">
        <v>33666</v>
      </c>
    </row>
    <row r="19" spans="1:3" x14ac:dyDescent="0.3">
      <c r="A19" s="14" t="s">
        <v>112</v>
      </c>
      <c r="B19" s="3">
        <v>11834.449999999997</v>
      </c>
      <c r="C19" s="3">
        <v>36689</v>
      </c>
    </row>
    <row r="20" spans="1:3" x14ac:dyDescent="0.3">
      <c r="A20" s="14" t="s">
        <v>113</v>
      </c>
      <c r="B20" s="3">
        <v>9890.2400000000016</v>
      </c>
      <c r="C20" s="3">
        <v>31312</v>
      </c>
    </row>
    <row r="21" spans="1:3" x14ac:dyDescent="0.3">
      <c r="A21" s="14" t="s">
        <v>114</v>
      </c>
      <c r="B21" s="3">
        <v>14488.680000000002</v>
      </c>
      <c r="C21" s="3">
        <v>44765</v>
      </c>
    </row>
    <row r="22" spans="1:3" x14ac:dyDescent="0.3">
      <c r="A22" s="14" t="s">
        <v>115</v>
      </c>
      <c r="B22" s="3">
        <v>7544.9</v>
      </c>
      <c r="C22" s="3">
        <v>23242</v>
      </c>
    </row>
    <row r="23" spans="1:3" x14ac:dyDescent="0.3">
      <c r="A23" s="14" t="s">
        <v>116</v>
      </c>
      <c r="B23" s="3">
        <v>12760.440000000002</v>
      </c>
      <c r="C23" s="3">
        <v>37854</v>
      </c>
    </row>
    <row r="24" spans="1:3" x14ac:dyDescent="0.3">
      <c r="A24" s="14" t="s">
        <v>117</v>
      </c>
      <c r="B24" s="3">
        <v>8646.0299999999988</v>
      </c>
      <c r="C24" s="3">
        <v>27242</v>
      </c>
    </row>
    <row r="25" spans="1:3" x14ac:dyDescent="0.3">
      <c r="A25" s="14" t="s">
        <v>118</v>
      </c>
      <c r="B25" s="3">
        <v>15184.859999999999</v>
      </c>
      <c r="C25" s="3">
        <v>46080</v>
      </c>
    </row>
    <row r="26" spans="1:3" x14ac:dyDescent="0.3">
      <c r="A26" s="14" t="s">
        <v>119</v>
      </c>
      <c r="B26" s="3">
        <v>12030.05</v>
      </c>
      <c r="C26" s="3">
        <v>37665</v>
      </c>
    </row>
    <row r="27" spans="1:3" x14ac:dyDescent="0.3">
      <c r="A27" s="14" t="s">
        <v>120</v>
      </c>
      <c r="B27" s="3">
        <v>9724.27</v>
      </c>
      <c r="C27" s="3">
        <v>29361</v>
      </c>
    </row>
    <row r="28" spans="1:3" x14ac:dyDescent="0.3">
      <c r="A28" s="14" t="s">
        <v>121</v>
      </c>
      <c r="B28" s="3">
        <v>12248.099999999999</v>
      </c>
      <c r="C28" s="3">
        <v>39796</v>
      </c>
    </row>
    <row r="29" spans="1:3" x14ac:dyDescent="0.3">
      <c r="A29" s="14" t="s">
        <v>122</v>
      </c>
      <c r="B29" s="3">
        <v>16692.550000000003</v>
      </c>
      <c r="C29" s="3">
        <v>51392</v>
      </c>
    </row>
    <row r="30" spans="1:3" x14ac:dyDescent="0.3">
      <c r="A30" s="13" t="s">
        <v>124</v>
      </c>
      <c r="B30" s="3">
        <v>145047.46</v>
      </c>
      <c r="C30" s="3">
        <v>447942</v>
      </c>
    </row>
    <row r="31" spans="1:3" x14ac:dyDescent="0.3">
      <c r="A31" s="14" t="s">
        <v>111</v>
      </c>
      <c r="B31" s="3">
        <v>13339.279999999997</v>
      </c>
      <c r="C31" s="3">
        <v>40260</v>
      </c>
    </row>
    <row r="32" spans="1:3" x14ac:dyDescent="0.3">
      <c r="A32" s="14" t="s">
        <v>112</v>
      </c>
      <c r="B32" s="3">
        <v>17565.079999999998</v>
      </c>
      <c r="C32" s="3">
        <v>51984</v>
      </c>
    </row>
    <row r="33" spans="1:3" x14ac:dyDescent="0.3">
      <c r="A33" s="14" t="s">
        <v>113</v>
      </c>
      <c r="B33" s="3">
        <v>16599.96</v>
      </c>
      <c r="C33" s="3">
        <v>52528</v>
      </c>
    </row>
    <row r="34" spans="1:3" x14ac:dyDescent="0.3">
      <c r="A34" s="14" t="s">
        <v>114</v>
      </c>
      <c r="B34" s="3">
        <v>10809.949999999997</v>
      </c>
      <c r="C34" s="3">
        <v>33305</v>
      </c>
    </row>
    <row r="35" spans="1:3" x14ac:dyDescent="0.3">
      <c r="A35" s="14" t="s">
        <v>115</v>
      </c>
      <c r="B35" s="3">
        <v>15047.149999999996</v>
      </c>
      <c r="C35" s="3">
        <v>46768</v>
      </c>
    </row>
    <row r="36" spans="1:3" x14ac:dyDescent="0.3">
      <c r="A36" s="14" t="s">
        <v>116</v>
      </c>
      <c r="B36" s="3">
        <v>11340.04</v>
      </c>
      <c r="C36" s="3">
        <v>35132</v>
      </c>
    </row>
    <row r="37" spans="1:3" x14ac:dyDescent="0.3">
      <c r="A37" s="14" t="s">
        <v>117</v>
      </c>
      <c r="B37" s="3">
        <v>20503.190000000006</v>
      </c>
      <c r="C37" s="3">
        <v>62442</v>
      </c>
    </row>
    <row r="38" spans="1:3" x14ac:dyDescent="0.3">
      <c r="A38" s="14" t="s">
        <v>118</v>
      </c>
      <c r="B38" s="3">
        <v>24259.910000000003</v>
      </c>
      <c r="C38" s="3">
        <v>76119</v>
      </c>
    </row>
    <row r="39" spans="1:3" x14ac:dyDescent="0.3">
      <c r="A39" s="14" t="s">
        <v>119</v>
      </c>
      <c r="B39" s="3">
        <v>15582.900000000001</v>
      </c>
      <c r="C39" s="3">
        <v>49404</v>
      </c>
    </row>
    <row r="40" spans="1:3" x14ac:dyDescent="0.3">
      <c r="A40" s="13" t="s">
        <v>108</v>
      </c>
      <c r="B40" s="3">
        <v>447899.30999999994</v>
      </c>
      <c r="C40" s="3">
        <v>1393389</v>
      </c>
    </row>
  </sheetData>
  <pageMargins left="0.7" right="0.7" top="0.75" bottom="0.75" header="0.3" footer="0.3"/>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1D6676-7426-4969-9032-EEF521306AC7}">
  <sheetPr codeName="Sheet7"/>
  <dimension ref="A3:B40"/>
  <sheetViews>
    <sheetView workbookViewId="0">
      <selection activeCell="D38" sqref="D38"/>
    </sheetView>
  </sheetViews>
  <sheetFormatPr defaultRowHeight="14.4" x14ac:dyDescent="0.3"/>
  <cols>
    <col min="1" max="1" width="12.5546875" bestFit="1" customWidth="1"/>
    <col min="2" max="2" width="12.77734375" style="19" bestFit="1" customWidth="1"/>
  </cols>
  <sheetData>
    <row r="3" spans="1:2" x14ac:dyDescent="0.3">
      <c r="A3" s="12" t="s">
        <v>109</v>
      </c>
      <c r="B3" s="19" t="s">
        <v>130</v>
      </c>
    </row>
    <row r="4" spans="1:2" x14ac:dyDescent="0.3">
      <c r="A4" s="13" t="s">
        <v>110</v>
      </c>
    </row>
    <row r="5" spans="1:2" x14ac:dyDescent="0.3">
      <c r="A5" s="14" t="s">
        <v>111</v>
      </c>
      <c r="B5" s="19">
        <v>36585</v>
      </c>
    </row>
    <row r="6" spans="1:2" x14ac:dyDescent="0.3">
      <c r="A6" s="14" t="s">
        <v>112</v>
      </c>
      <c r="B6" s="19">
        <v>51765</v>
      </c>
    </row>
    <row r="7" spans="1:2" x14ac:dyDescent="0.3">
      <c r="A7" s="14" t="s">
        <v>113</v>
      </c>
      <c r="B7" s="19">
        <v>47780</v>
      </c>
    </row>
    <row r="8" spans="1:2" x14ac:dyDescent="0.3">
      <c r="A8" s="14" t="s">
        <v>114</v>
      </c>
      <c r="B8" s="19">
        <v>38803</v>
      </c>
    </row>
    <row r="9" spans="1:2" x14ac:dyDescent="0.3">
      <c r="A9" s="14" t="s">
        <v>115</v>
      </c>
      <c r="B9" s="19">
        <v>41138</v>
      </c>
    </row>
    <row r="10" spans="1:2" x14ac:dyDescent="0.3">
      <c r="A10" s="14" t="s">
        <v>116</v>
      </c>
      <c r="B10" s="19">
        <v>42658</v>
      </c>
    </row>
    <row r="11" spans="1:2" x14ac:dyDescent="0.3">
      <c r="A11" s="14" t="s">
        <v>117</v>
      </c>
      <c r="B11" s="19">
        <v>54410</v>
      </c>
    </row>
    <row r="12" spans="1:2" x14ac:dyDescent="0.3">
      <c r="A12" s="14" t="s">
        <v>118</v>
      </c>
      <c r="B12" s="19">
        <v>32386</v>
      </c>
    </row>
    <row r="13" spans="1:2" x14ac:dyDescent="0.3">
      <c r="A13" s="14" t="s">
        <v>119</v>
      </c>
      <c r="B13" s="19">
        <v>44967</v>
      </c>
    </row>
    <row r="14" spans="1:2" x14ac:dyDescent="0.3">
      <c r="A14" s="14" t="s">
        <v>120</v>
      </c>
      <c r="B14" s="19">
        <v>42092</v>
      </c>
    </row>
    <row r="15" spans="1:2" x14ac:dyDescent="0.3">
      <c r="A15" s="14" t="s">
        <v>121</v>
      </c>
      <c r="B15" s="19">
        <v>48370</v>
      </c>
    </row>
    <row r="16" spans="1:2" x14ac:dyDescent="0.3">
      <c r="A16" s="14" t="s">
        <v>122</v>
      </c>
      <c r="B16" s="19">
        <v>25429</v>
      </c>
    </row>
    <row r="17" spans="1:2" x14ac:dyDescent="0.3">
      <c r="A17" s="13" t="s">
        <v>123</v>
      </c>
    </row>
    <row r="18" spans="1:2" x14ac:dyDescent="0.3">
      <c r="A18" s="14" t="s">
        <v>111</v>
      </c>
      <c r="B18" s="19">
        <v>33666</v>
      </c>
    </row>
    <row r="19" spans="1:2" x14ac:dyDescent="0.3">
      <c r="A19" s="14" t="s">
        <v>112</v>
      </c>
      <c r="B19" s="19">
        <v>36689</v>
      </c>
    </row>
    <row r="20" spans="1:2" x14ac:dyDescent="0.3">
      <c r="A20" s="14" t="s">
        <v>113</v>
      </c>
      <c r="B20" s="19">
        <v>31312</v>
      </c>
    </row>
    <row r="21" spans="1:2" x14ac:dyDescent="0.3">
      <c r="A21" s="14" t="s">
        <v>114</v>
      </c>
      <c r="B21" s="19">
        <v>44765</v>
      </c>
    </row>
    <row r="22" spans="1:2" x14ac:dyDescent="0.3">
      <c r="A22" s="14" t="s">
        <v>115</v>
      </c>
      <c r="B22" s="19">
        <v>23242</v>
      </c>
    </row>
    <row r="23" spans="1:2" x14ac:dyDescent="0.3">
      <c r="A23" s="14" t="s">
        <v>116</v>
      </c>
      <c r="B23" s="19">
        <v>37854</v>
      </c>
    </row>
    <row r="24" spans="1:2" x14ac:dyDescent="0.3">
      <c r="A24" s="14" t="s">
        <v>117</v>
      </c>
      <c r="B24" s="19">
        <v>27242</v>
      </c>
    </row>
    <row r="25" spans="1:2" x14ac:dyDescent="0.3">
      <c r="A25" s="14" t="s">
        <v>118</v>
      </c>
      <c r="B25" s="19">
        <v>46080</v>
      </c>
    </row>
    <row r="26" spans="1:2" x14ac:dyDescent="0.3">
      <c r="A26" s="14" t="s">
        <v>119</v>
      </c>
      <c r="B26" s="19">
        <v>37665</v>
      </c>
    </row>
    <row r="27" spans="1:2" x14ac:dyDescent="0.3">
      <c r="A27" s="14" t="s">
        <v>120</v>
      </c>
      <c r="B27" s="19">
        <v>29361</v>
      </c>
    </row>
    <row r="28" spans="1:2" x14ac:dyDescent="0.3">
      <c r="A28" s="14" t="s">
        <v>121</v>
      </c>
      <c r="B28" s="19">
        <v>39796</v>
      </c>
    </row>
    <row r="29" spans="1:2" x14ac:dyDescent="0.3">
      <c r="A29" s="14" t="s">
        <v>122</v>
      </c>
      <c r="B29" s="19">
        <v>51392</v>
      </c>
    </row>
    <row r="30" spans="1:2" x14ac:dyDescent="0.3">
      <c r="A30" s="13" t="s">
        <v>124</v>
      </c>
    </row>
    <row r="31" spans="1:2" x14ac:dyDescent="0.3">
      <c r="A31" s="14" t="s">
        <v>111</v>
      </c>
      <c r="B31" s="19">
        <v>40260</v>
      </c>
    </row>
    <row r="32" spans="1:2" x14ac:dyDescent="0.3">
      <c r="A32" s="14" t="s">
        <v>112</v>
      </c>
      <c r="B32" s="19">
        <v>51984</v>
      </c>
    </row>
    <row r="33" spans="1:2" x14ac:dyDescent="0.3">
      <c r="A33" s="14" t="s">
        <v>113</v>
      </c>
      <c r="B33" s="19">
        <v>52528</v>
      </c>
    </row>
    <row r="34" spans="1:2" x14ac:dyDescent="0.3">
      <c r="A34" s="14" t="s">
        <v>114</v>
      </c>
      <c r="B34" s="19">
        <v>33305</v>
      </c>
    </row>
    <row r="35" spans="1:2" x14ac:dyDescent="0.3">
      <c r="A35" s="14" t="s">
        <v>115</v>
      </c>
      <c r="B35" s="19">
        <v>46768</v>
      </c>
    </row>
    <row r="36" spans="1:2" x14ac:dyDescent="0.3">
      <c r="A36" s="14" t="s">
        <v>116</v>
      </c>
      <c r="B36" s="19">
        <v>35132</v>
      </c>
    </row>
    <row r="37" spans="1:2" x14ac:dyDescent="0.3">
      <c r="A37" s="14" t="s">
        <v>117</v>
      </c>
      <c r="B37" s="19">
        <v>62442</v>
      </c>
    </row>
    <row r="38" spans="1:2" x14ac:dyDescent="0.3">
      <c r="A38" s="14" t="s">
        <v>118</v>
      </c>
      <c r="B38" s="19">
        <v>76119</v>
      </c>
    </row>
    <row r="39" spans="1:2" x14ac:dyDescent="0.3">
      <c r="A39" s="14" t="s">
        <v>119</v>
      </c>
      <c r="B39" s="19">
        <v>49404</v>
      </c>
    </row>
    <row r="40" spans="1:2" x14ac:dyDescent="0.3">
      <c r="A40" s="13" t="s">
        <v>108</v>
      </c>
      <c r="B40" s="19">
        <v>1393389</v>
      </c>
    </row>
  </sheetData>
  <pageMargins left="0.7" right="0.7" top="0.75" bottom="0.75" header="0.3" footer="0.3"/>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D1CA41-97A0-4FB3-882D-7E323E9C0127}">
  <sheetPr codeName="Sheet3"/>
  <dimension ref="A3:B40"/>
  <sheetViews>
    <sheetView workbookViewId="0">
      <selection activeCell="H32" sqref="H32"/>
    </sheetView>
  </sheetViews>
  <sheetFormatPr defaultRowHeight="14.4" x14ac:dyDescent="0.3"/>
  <cols>
    <col min="1" max="1" width="12.5546875" bestFit="1" customWidth="1"/>
    <col min="2" max="2" width="14.88671875" bestFit="1" customWidth="1"/>
  </cols>
  <sheetData>
    <row r="3" spans="1:2" x14ac:dyDescent="0.3">
      <c r="A3" s="12" t="s">
        <v>109</v>
      </c>
      <c r="B3" t="s">
        <v>106</v>
      </c>
    </row>
    <row r="4" spans="1:2" x14ac:dyDescent="0.3">
      <c r="A4" s="13" t="s">
        <v>110</v>
      </c>
      <c r="B4" s="3"/>
    </row>
    <row r="5" spans="1:2" x14ac:dyDescent="0.3">
      <c r="A5" s="14" t="s">
        <v>111</v>
      </c>
      <c r="B5" s="3">
        <v>11677.380000000001</v>
      </c>
    </row>
    <row r="6" spans="1:2" x14ac:dyDescent="0.3">
      <c r="A6" s="14" t="s">
        <v>112</v>
      </c>
      <c r="B6" s="3">
        <v>16987.939999999999</v>
      </c>
    </row>
    <row r="7" spans="1:2" x14ac:dyDescent="0.3">
      <c r="A7" s="14" t="s">
        <v>113</v>
      </c>
      <c r="B7" s="3">
        <v>15280.6</v>
      </c>
    </row>
    <row r="8" spans="1:2" x14ac:dyDescent="0.3">
      <c r="A8" s="14" t="s">
        <v>114</v>
      </c>
      <c r="B8" s="3">
        <v>11703.330000000004</v>
      </c>
    </row>
    <row r="9" spans="1:2" x14ac:dyDescent="0.3">
      <c r="A9" s="14" t="s">
        <v>115</v>
      </c>
      <c r="B9" s="3">
        <v>13162.970000000001</v>
      </c>
    </row>
    <row r="10" spans="1:2" x14ac:dyDescent="0.3">
      <c r="A10" s="14" t="s">
        <v>116</v>
      </c>
      <c r="B10" s="3">
        <v>13852.31</v>
      </c>
    </row>
    <row r="11" spans="1:2" x14ac:dyDescent="0.3">
      <c r="A11" s="14" t="s">
        <v>117</v>
      </c>
      <c r="B11" s="3">
        <v>16632.349999999999</v>
      </c>
    </row>
    <row r="12" spans="1:2" x14ac:dyDescent="0.3">
      <c r="A12" s="14" t="s">
        <v>118</v>
      </c>
      <c r="B12" s="3">
        <v>10924.190000000002</v>
      </c>
    </row>
    <row r="13" spans="1:2" x14ac:dyDescent="0.3">
      <c r="A13" s="14" t="s">
        <v>119</v>
      </c>
      <c r="B13" s="3">
        <v>14316.199999999999</v>
      </c>
    </row>
    <row r="14" spans="1:2" x14ac:dyDescent="0.3">
      <c r="A14" s="14" t="s">
        <v>120</v>
      </c>
      <c r="B14" s="3">
        <v>12889.920000000002</v>
      </c>
    </row>
    <row r="15" spans="1:2" x14ac:dyDescent="0.3">
      <c r="A15" s="14" t="s">
        <v>121</v>
      </c>
      <c r="B15" s="3">
        <v>15818.6</v>
      </c>
    </row>
    <row r="16" spans="1:2" x14ac:dyDescent="0.3">
      <c r="A16" s="14" t="s">
        <v>122</v>
      </c>
      <c r="B16" s="3">
        <v>8234.5999999999985</v>
      </c>
    </row>
    <row r="17" spans="1:2" x14ac:dyDescent="0.3">
      <c r="A17" s="13" t="s">
        <v>123</v>
      </c>
      <c r="B17" s="3"/>
    </row>
    <row r="18" spans="1:2" x14ac:dyDescent="0.3">
      <c r="A18" s="14" t="s">
        <v>111</v>
      </c>
      <c r="B18" s="3">
        <v>10326.889999999998</v>
      </c>
    </row>
    <row r="19" spans="1:2" x14ac:dyDescent="0.3">
      <c r="A19" s="14" t="s">
        <v>112</v>
      </c>
      <c r="B19" s="3">
        <v>11834.449999999997</v>
      </c>
    </row>
    <row r="20" spans="1:2" x14ac:dyDescent="0.3">
      <c r="A20" s="14" t="s">
        <v>113</v>
      </c>
      <c r="B20" s="3">
        <v>9890.2400000000016</v>
      </c>
    </row>
    <row r="21" spans="1:2" x14ac:dyDescent="0.3">
      <c r="A21" s="14" t="s">
        <v>114</v>
      </c>
      <c r="B21" s="3">
        <v>14488.680000000002</v>
      </c>
    </row>
    <row r="22" spans="1:2" x14ac:dyDescent="0.3">
      <c r="A22" s="14" t="s">
        <v>115</v>
      </c>
      <c r="B22" s="3">
        <v>7544.9</v>
      </c>
    </row>
    <row r="23" spans="1:2" x14ac:dyDescent="0.3">
      <c r="A23" s="14" t="s">
        <v>116</v>
      </c>
      <c r="B23" s="3">
        <v>12760.440000000002</v>
      </c>
    </row>
    <row r="24" spans="1:2" x14ac:dyDescent="0.3">
      <c r="A24" s="14" t="s">
        <v>117</v>
      </c>
      <c r="B24" s="3">
        <v>8646.0299999999988</v>
      </c>
    </row>
    <row r="25" spans="1:2" x14ac:dyDescent="0.3">
      <c r="A25" s="14" t="s">
        <v>118</v>
      </c>
      <c r="B25" s="3">
        <v>15184.859999999999</v>
      </c>
    </row>
    <row r="26" spans="1:2" x14ac:dyDescent="0.3">
      <c r="A26" s="14" t="s">
        <v>119</v>
      </c>
      <c r="B26" s="3">
        <v>12030.05</v>
      </c>
    </row>
    <row r="27" spans="1:2" x14ac:dyDescent="0.3">
      <c r="A27" s="14" t="s">
        <v>120</v>
      </c>
      <c r="B27" s="3">
        <v>9724.27</v>
      </c>
    </row>
    <row r="28" spans="1:2" x14ac:dyDescent="0.3">
      <c r="A28" s="14" t="s">
        <v>121</v>
      </c>
      <c r="B28" s="3">
        <v>12248.099999999999</v>
      </c>
    </row>
    <row r="29" spans="1:2" x14ac:dyDescent="0.3">
      <c r="A29" s="14" t="s">
        <v>122</v>
      </c>
      <c r="B29" s="3">
        <v>16692.550000000003</v>
      </c>
    </row>
    <row r="30" spans="1:2" x14ac:dyDescent="0.3">
      <c r="A30" s="13" t="s">
        <v>124</v>
      </c>
      <c r="B30" s="3"/>
    </row>
    <row r="31" spans="1:2" x14ac:dyDescent="0.3">
      <c r="A31" s="14" t="s">
        <v>111</v>
      </c>
      <c r="B31" s="3">
        <v>13339.279999999997</v>
      </c>
    </row>
    <row r="32" spans="1:2" x14ac:dyDescent="0.3">
      <c r="A32" s="14" t="s">
        <v>112</v>
      </c>
      <c r="B32" s="3">
        <v>17565.079999999998</v>
      </c>
    </row>
    <row r="33" spans="1:2" x14ac:dyDescent="0.3">
      <c r="A33" s="14" t="s">
        <v>113</v>
      </c>
      <c r="B33" s="3">
        <v>16599.96</v>
      </c>
    </row>
    <row r="34" spans="1:2" x14ac:dyDescent="0.3">
      <c r="A34" s="14" t="s">
        <v>114</v>
      </c>
      <c r="B34" s="3">
        <v>10809.949999999997</v>
      </c>
    </row>
    <row r="35" spans="1:2" x14ac:dyDescent="0.3">
      <c r="A35" s="14" t="s">
        <v>115</v>
      </c>
      <c r="B35" s="3">
        <v>15047.149999999996</v>
      </c>
    </row>
    <row r="36" spans="1:2" x14ac:dyDescent="0.3">
      <c r="A36" s="14" t="s">
        <v>116</v>
      </c>
      <c r="B36" s="3">
        <v>11340.04</v>
      </c>
    </row>
    <row r="37" spans="1:2" x14ac:dyDescent="0.3">
      <c r="A37" s="14" t="s">
        <v>117</v>
      </c>
      <c r="B37" s="3">
        <v>20503.190000000006</v>
      </c>
    </row>
    <row r="38" spans="1:2" x14ac:dyDescent="0.3">
      <c r="A38" s="14" t="s">
        <v>118</v>
      </c>
      <c r="B38" s="3">
        <v>24259.910000000003</v>
      </c>
    </row>
    <row r="39" spans="1:2" x14ac:dyDescent="0.3">
      <c r="A39" s="14" t="s">
        <v>119</v>
      </c>
      <c r="B39" s="3">
        <v>15582.900000000001</v>
      </c>
    </row>
    <row r="40" spans="1:2" x14ac:dyDescent="0.3">
      <c r="A40" s="13" t="s">
        <v>108</v>
      </c>
      <c r="B40" s="3">
        <v>447899.30999999994</v>
      </c>
    </row>
  </sheetData>
  <pageMargins left="0.7" right="0.7" top="0.75" bottom="0.75" header="0.3" footer="0.3"/>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C88B9D-4A97-4A45-8003-41C3BFD8B3BC}">
  <sheetPr codeName="Sheet8"/>
  <dimension ref="A3:D7"/>
  <sheetViews>
    <sheetView workbookViewId="0">
      <selection activeCell="B1" sqref="B1:D1048576"/>
    </sheetView>
  </sheetViews>
  <sheetFormatPr defaultRowHeight="14.4" x14ac:dyDescent="0.3"/>
  <cols>
    <col min="1" max="1" width="12.5546875" bestFit="1" customWidth="1"/>
    <col min="2" max="2" width="11.44140625" style="19" bestFit="1" customWidth="1"/>
    <col min="3" max="3" width="14.21875" style="19" bestFit="1" customWidth="1"/>
    <col min="4" max="4" width="11.21875" style="19" bestFit="1" customWidth="1"/>
    <col min="5" max="8" width="7.6640625" bestFit="1" customWidth="1"/>
    <col min="9" max="121" width="8.6640625" bestFit="1" customWidth="1"/>
    <col min="122" max="198" width="10.21875" bestFit="1" customWidth="1"/>
    <col min="199" max="199" width="11.88671875" bestFit="1" customWidth="1"/>
  </cols>
  <sheetData>
    <row r="3" spans="1:4" x14ac:dyDescent="0.3">
      <c r="A3" s="12" t="s">
        <v>109</v>
      </c>
      <c r="B3" s="19" t="s">
        <v>126</v>
      </c>
      <c r="C3" s="19" t="s">
        <v>127</v>
      </c>
      <c r="D3" s="19" t="s">
        <v>128</v>
      </c>
    </row>
    <row r="4" spans="1:4" x14ac:dyDescent="0.3">
      <c r="A4" s="13" t="s">
        <v>110</v>
      </c>
      <c r="B4" s="19">
        <v>344902.6100000001</v>
      </c>
      <c r="C4" s="19">
        <v>161480.39000000004</v>
      </c>
      <c r="D4" s="19">
        <v>506383</v>
      </c>
    </row>
    <row r="5" spans="1:4" x14ac:dyDescent="0.3">
      <c r="A5" s="13" t="s">
        <v>123</v>
      </c>
      <c r="B5" s="19">
        <v>297692.53999999992</v>
      </c>
      <c r="C5" s="19">
        <v>141371.46</v>
      </c>
      <c r="D5" s="19">
        <v>439064</v>
      </c>
    </row>
    <row r="6" spans="1:4" x14ac:dyDescent="0.3">
      <c r="A6" s="13" t="s">
        <v>124</v>
      </c>
      <c r="B6" s="19">
        <v>302894.53999999986</v>
      </c>
      <c r="C6" s="19">
        <v>145047.46</v>
      </c>
      <c r="D6" s="19">
        <v>447942</v>
      </c>
    </row>
    <row r="7" spans="1:4" x14ac:dyDescent="0.3">
      <c r="A7" s="13" t="s">
        <v>108</v>
      </c>
      <c r="B7" s="19">
        <v>945489.69</v>
      </c>
      <c r="C7" s="19">
        <v>447899.31000000006</v>
      </c>
      <c r="D7" s="19">
        <v>1393389</v>
      </c>
    </row>
  </sheetData>
  <pageMargins left="0.7" right="0.7" top="0.75" bottom="0.75" header="0.3" footer="0.3"/>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160798-0EDE-44BC-8480-886D79309EAF}">
  <sheetPr codeName="Sheet9"/>
  <dimension ref="A3:E23"/>
  <sheetViews>
    <sheetView workbookViewId="0">
      <selection activeCell="B24" sqref="B24"/>
    </sheetView>
  </sheetViews>
  <sheetFormatPr defaultRowHeight="14.4" x14ac:dyDescent="0.3"/>
  <cols>
    <col min="1" max="1" width="14.88671875" bestFit="1" customWidth="1"/>
    <col min="2" max="2" width="15.5546875" bestFit="1" customWidth="1"/>
    <col min="3" max="4" width="5" bestFit="1" customWidth="1"/>
    <col min="5" max="5" width="10.77734375" bestFit="1" customWidth="1"/>
    <col min="6" max="6" width="4.77734375" bestFit="1" customWidth="1"/>
    <col min="7" max="7" width="3.88671875" bestFit="1" customWidth="1"/>
    <col min="8" max="8" width="3.21875" bestFit="1" customWidth="1"/>
    <col min="9" max="9" width="4.33203125" bestFit="1" customWidth="1"/>
    <col min="10" max="10" width="4.109375" bestFit="1" customWidth="1"/>
    <col min="11" max="11" width="3.88671875" bestFit="1" customWidth="1"/>
    <col min="12" max="12" width="4.44140625" bestFit="1" customWidth="1"/>
    <col min="13" max="13" width="4.109375" bestFit="1" customWidth="1"/>
    <col min="14" max="14" width="10.77734375" bestFit="1" customWidth="1"/>
    <col min="15" max="15" width="4" bestFit="1" customWidth="1"/>
    <col min="16" max="16" width="4.44140625" bestFit="1" customWidth="1"/>
    <col min="17" max="17" width="6.6640625" bestFit="1" customWidth="1"/>
    <col min="18" max="18" width="4.77734375" bestFit="1" customWidth="1"/>
    <col min="19" max="19" width="3.88671875" bestFit="1" customWidth="1"/>
    <col min="20" max="20" width="6.6640625" bestFit="1" customWidth="1"/>
    <col min="21" max="21" width="4.33203125" bestFit="1" customWidth="1"/>
    <col min="22" max="22" width="4.109375" bestFit="1" customWidth="1"/>
    <col min="23" max="23" width="6.6640625" bestFit="1" customWidth="1"/>
    <col min="24" max="24" width="4.44140625" bestFit="1" customWidth="1"/>
    <col min="25" max="25" width="4.109375" bestFit="1" customWidth="1"/>
    <col min="26" max="26" width="7" bestFit="1" customWidth="1"/>
    <col min="27" max="27" width="4" bestFit="1" customWidth="1"/>
    <col min="28" max="28" width="4.44140625" bestFit="1" customWidth="1"/>
    <col min="29" max="29" width="6.6640625" bestFit="1" customWidth="1"/>
    <col min="30" max="30" width="4.77734375" bestFit="1" customWidth="1"/>
    <col min="31" max="31" width="3.88671875" bestFit="1" customWidth="1"/>
    <col min="32" max="32" width="6.6640625" bestFit="1" customWidth="1"/>
    <col min="33" max="33" width="4.33203125" bestFit="1" customWidth="1"/>
    <col min="34" max="34" width="4.109375" bestFit="1" customWidth="1"/>
    <col min="35" max="35" width="10.77734375" bestFit="1" customWidth="1"/>
  </cols>
  <sheetData>
    <row r="3" spans="1:5" x14ac:dyDescent="0.3">
      <c r="A3" s="12" t="s">
        <v>129</v>
      </c>
      <c r="B3" s="12" t="s">
        <v>107</v>
      </c>
    </row>
    <row r="4" spans="1:5" x14ac:dyDescent="0.3">
      <c r="A4" s="12" t="s">
        <v>109</v>
      </c>
      <c r="B4" t="s">
        <v>110</v>
      </c>
      <c r="C4" t="s">
        <v>123</v>
      </c>
      <c r="D4" t="s">
        <v>124</v>
      </c>
      <c r="E4" t="s">
        <v>108</v>
      </c>
    </row>
    <row r="5" spans="1:5" x14ac:dyDescent="0.3">
      <c r="A5" s="13" t="s">
        <v>79</v>
      </c>
      <c r="B5" s="3">
        <v>69</v>
      </c>
      <c r="C5" s="3">
        <v>79</v>
      </c>
      <c r="D5" s="3">
        <v>62</v>
      </c>
      <c r="E5" s="3">
        <v>210</v>
      </c>
    </row>
    <row r="6" spans="1:5" x14ac:dyDescent="0.3">
      <c r="A6" s="13" t="s">
        <v>82</v>
      </c>
      <c r="B6" s="3">
        <v>92</v>
      </c>
      <c r="C6" s="3">
        <v>70</v>
      </c>
      <c r="D6" s="3">
        <v>64</v>
      </c>
      <c r="E6" s="3">
        <v>226</v>
      </c>
    </row>
    <row r="7" spans="1:5" x14ac:dyDescent="0.3">
      <c r="A7" s="13" t="s">
        <v>81</v>
      </c>
      <c r="B7" s="3">
        <v>63</v>
      </c>
      <c r="C7" s="3">
        <v>60</v>
      </c>
      <c r="D7" s="3">
        <v>55</v>
      </c>
      <c r="E7" s="3">
        <v>178</v>
      </c>
    </row>
    <row r="8" spans="1:5" x14ac:dyDescent="0.3">
      <c r="A8" s="13" t="s">
        <v>83</v>
      </c>
      <c r="B8" s="3">
        <v>65</v>
      </c>
      <c r="C8" s="3">
        <v>82</v>
      </c>
      <c r="D8" s="3">
        <v>57</v>
      </c>
      <c r="E8" s="3">
        <v>204</v>
      </c>
    </row>
    <row r="9" spans="1:5" x14ac:dyDescent="0.3">
      <c r="A9" s="13" t="s">
        <v>80</v>
      </c>
      <c r="B9" s="3">
        <v>65</v>
      </c>
      <c r="C9" s="3">
        <v>59</v>
      </c>
      <c r="D9" s="3">
        <v>64</v>
      </c>
      <c r="E9" s="3">
        <v>188</v>
      </c>
    </row>
    <row r="10" spans="1:5" x14ac:dyDescent="0.3">
      <c r="A10" s="13" t="s">
        <v>108</v>
      </c>
      <c r="B10" s="3">
        <v>354</v>
      </c>
      <c r="C10" s="3">
        <v>350</v>
      </c>
      <c r="D10" s="3">
        <v>302</v>
      </c>
      <c r="E10" s="3">
        <v>1006</v>
      </c>
    </row>
    <row r="15" spans="1:5" x14ac:dyDescent="0.3">
      <c r="A15" s="15"/>
      <c r="B15" s="15"/>
    </row>
    <row r="16" spans="1:5" x14ac:dyDescent="0.3">
      <c r="A16" s="15"/>
      <c r="B16" s="15"/>
    </row>
    <row r="17" spans="1:2" x14ac:dyDescent="0.3">
      <c r="A17" s="11" t="s">
        <v>109</v>
      </c>
      <c r="B17" s="11"/>
    </row>
    <row r="18" spans="1:2" x14ac:dyDescent="0.3">
      <c r="A18" s="13" t="s">
        <v>79</v>
      </c>
      <c r="B18" s="3">
        <f>GETPIVOTDATA("Sales",$A$3,"Customer Acquisition","Online Ads")</f>
        <v>210</v>
      </c>
    </row>
    <row r="19" spans="1:2" x14ac:dyDescent="0.3">
      <c r="A19" s="13" t="s">
        <v>82</v>
      </c>
      <c r="B19" s="3">
        <f>GETPIVOTDATA("Sales",$A$3,"Customer Acquisition","Organic")</f>
        <v>226</v>
      </c>
    </row>
    <row r="20" spans="1:2" x14ac:dyDescent="0.3">
      <c r="A20" s="13" t="s">
        <v>81</v>
      </c>
      <c r="B20" s="3">
        <f>GETPIVOTDATA("Sales",$A$3,"Customer Acquisition","Referral Promo")</f>
        <v>178</v>
      </c>
    </row>
    <row r="21" spans="1:2" x14ac:dyDescent="0.3">
      <c r="A21" s="13" t="s">
        <v>132</v>
      </c>
      <c r="B21" s="3">
        <f>GETPIVOTDATA("Sales",$A$3,"Customer Acquisition","Return Customer")</f>
        <v>204</v>
      </c>
    </row>
    <row r="22" spans="1:2" x14ac:dyDescent="0.3">
      <c r="A22" s="13" t="s">
        <v>80</v>
      </c>
      <c r="B22" s="3">
        <f>GETPIVOTDATA("Sales",$A$3,"Customer Acquisition","TV Ads")</f>
        <v>188</v>
      </c>
    </row>
    <row r="23" spans="1:2" x14ac:dyDescent="0.3">
      <c r="A23" s="16" t="s">
        <v>131</v>
      </c>
      <c r="B23" s="17">
        <f>GETPIVOTDATA("Sales",$A$3)</f>
        <v>1006</v>
      </c>
    </row>
  </sheetData>
  <pageMargins left="0.7" right="0.7" top="0.75" bottom="0.75" header="0.3" footer="0.3"/>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0AC3E3-7B22-42ED-93AD-14283A681F3A}">
  <sheetPr codeName="Sheet10"/>
  <dimension ref="A3:D9"/>
  <sheetViews>
    <sheetView workbookViewId="0">
      <selection activeCell="L18" sqref="L18"/>
    </sheetView>
  </sheetViews>
  <sheetFormatPr defaultRowHeight="14.4" x14ac:dyDescent="0.3"/>
  <cols>
    <col min="1" max="1" width="12.5546875" bestFit="1" customWidth="1"/>
    <col min="2" max="2" width="16" style="19" bestFit="1" customWidth="1"/>
    <col min="3" max="3" width="12.77734375" style="19" bestFit="1" customWidth="1"/>
    <col min="4" max="4" width="8.88671875" style="25"/>
  </cols>
  <sheetData>
    <row r="3" spans="1:4" s="24" customFormat="1" x14ac:dyDescent="0.3">
      <c r="A3" s="22" t="s">
        <v>109</v>
      </c>
      <c r="B3" s="23" t="s">
        <v>106</v>
      </c>
      <c r="C3" s="23" t="s">
        <v>130</v>
      </c>
      <c r="D3" s="26" t="s">
        <v>134</v>
      </c>
    </row>
    <row r="4" spans="1:4" x14ac:dyDescent="0.3">
      <c r="A4" s="13" t="s">
        <v>14</v>
      </c>
      <c r="B4" s="19">
        <v>26520</v>
      </c>
      <c r="C4" s="19">
        <v>78000</v>
      </c>
      <c r="D4" s="25">
        <f>GETPIVOTDATA("Sum of Revenue",$A$3,"Product","Product 13")/GETPIVOTDATA("Sum of Sales",$A$3,"Product","Product 13")</f>
        <v>0.34</v>
      </c>
    </row>
    <row r="5" spans="1:4" x14ac:dyDescent="0.3">
      <c r="A5" s="13" t="s">
        <v>22</v>
      </c>
      <c r="B5" s="19">
        <v>33938.800000000003</v>
      </c>
      <c r="C5" s="19">
        <v>99820</v>
      </c>
      <c r="D5" s="25">
        <f>GETPIVOTDATA("Sum of Revenue",$A$3,"Product","Product 21")/GETPIVOTDATA("Sum of Sales",$A$3,"Product","Product 21")</f>
        <v>0.34</v>
      </c>
    </row>
    <row r="6" spans="1:4" x14ac:dyDescent="0.3">
      <c r="A6" s="13" t="s">
        <v>10</v>
      </c>
      <c r="B6" s="19">
        <v>35217</v>
      </c>
      <c r="C6" s="19">
        <v>100620</v>
      </c>
      <c r="D6" s="25">
        <f>GETPIVOTDATA("Sum of Revenue",$A$3,"Product","Product 9")/GETPIVOTDATA("Sum of Sales",$A$3,"Product","Product 9")</f>
        <v>0.35</v>
      </c>
    </row>
    <row r="7" spans="1:4" x14ac:dyDescent="0.3">
      <c r="A7" s="13" t="s">
        <v>11</v>
      </c>
      <c r="B7" s="19">
        <v>43188.600000000013</v>
      </c>
      <c r="C7" s="19">
        <v>110740</v>
      </c>
      <c r="D7" s="25">
        <f>GETPIVOTDATA("Sum of Revenue",$A$3,"Product","Product 10")/GETPIVOTDATA("Sum of Sales",$A$3,"Product","Product 10")</f>
        <v>0.39000000000000012</v>
      </c>
    </row>
    <row r="8" spans="1:4" x14ac:dyDescent="0.3">
      <c r="A8" s="13" t="s">
        <v>20</v>
      </c>
      <c r="B8" s="19">
        <v>50358</v>
      </c>
      <c r="C8" s="19">
        <v>143880</v>
      </c>
      <c r="D8" s="25">
        <f>GETPIVOTDATA("Sum of Revenue",$A$3,"Product","Product 19")/GETPIVOTDATA("Sum of Sales",$A$3,"Product","Product 19")</f>
        <v>0.35</v>
      </c>
    </row>
    <row r="9" spans="1:4" x14ac:dyDescent="0.3">
      <c r="A9" s="13" t="s">
        <v>108</v>
      </c>
      <c r="B9" s="19">
        <v>189222.39999999999</v>
      </c>
      <c r="C9" s="19">
        <v>533060</v>
      </c>
    </row>
  </sheetData>
  <pageMargins left="0.7" right="0.7" top="0.75" bottom="0.75" header="0.3" footer="0.3"/>
  <pageSetup orientation="portrait" r:id="rId2"/>
  <drawing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31EB99-C38B-4448-8F91-A18110FBAF19}">
  <sheetPr codeName="Sheet11"/>
  <dimension ref="A3:C40"/>
  <sheetViews>
    <sheetView workbookViewId="0">
      <selection activeCell="B7" sqref="B7"/>
    </sheetView>
  </sheetViews>
  <sheetFormatPr defaultRowHeight="14.4" x14ac:dyDescent="0.3"/>
  <cols>
    <col min="1" max="1" width="12.5546875" bestFit="1" customWidth="1"/>
    <col min="2" max="2" width="12.77734375" style="19" bestFit="1" customWidth="1"/>
    <col min="3" max="3" width="12.109375" style="6" bestFit="1" customWidth="1"/>
  </cols>
  <sheetData>
    <row r="3" spans="1:3" x14ac:dyDescent="0.3">
      <c r="A3" s="12" t="s">
        <v>109</v>
      </c>
      <c r="B3" s="19" t="s">
        <v>130</v>
      </c>
    </row>
    <row r="4" spans="1:3" x14ac:dyDescent="0.3">
      <c r="A4" s="13" t="s">
        <v>110</v>
      </c>
    </row>
    <row r="5" spans="1:3" x14ac:dyDescent="0.3">
      <c r="A5" s="14" t="s">
        <v>111</v>
      </c>
      <c r="B5" s="19">
        <v>36585</v>
      </c>
    </row>
    <row r="6" spans="1:3" x14ac:dyDescent="0.3">
      <c r="A6" s="14" t="s">
        <v>112</v>
      </c>
      <c r="B6" s="19">
        <v>51765</v>
      </c>
    </row>
    <row r="7" spans="1:3" x14ac:dyDescent="0.3">
      <c r="A7" s="14" t="s">
        <v>113</v>
      </c>
      <c r="B7" s="19">
        <v>47780</v>
      </c>
    </row>
    <row r="8" spans="1:3" x14ac:dyDescent="0.3">
      <c r="A8" s="14" t="s">
        <v>114</v>
      </c>
      <c r="B8" s="19">
        <v>38803</v>
      </c>
    </row>
    <row r="9" spans="1:3" x14ac:dyDescent="0.3">
      <c r="A9" s="14" t="s">
        <v>115</v>
      </c>
      <c r="B9" s="19">
        <v>41138</v>
      </c>
    </row>
    <row r="10" spans="1:3" x14ac:dyDescent="0.3">
      <c r="A10" s="14" t="s">
        <v>116</v>
      </c>
      <c r="B10" s="19">
        <v>42658</v>
      </c>
    </row>
    <row r="11" spans="1:3" x14ac:dyDescent="0.3">
      <c r="A11" s="14" t="s">
        <v>117</v>
      </c>
      <c r="B11" s="19">
        <v>54410</v>
      </c>
    </row>
    <row r="12" spans="1:3" x14ac:dyDescent="0.3">
      <c r="A12" s="14" t="s">
        <v>118</v>
      </c>
      <c r="B12" s="19">
        <v>32386</v>
      </c>
    </row>
    <row r="13" spans="1:3" x14ac:dyDescent="0.3">
      <c r="A13" s="14" t="s">
        <v>119</v>
      </c>
      <c r="B13" s="19">
        <v>44967</v>
      </c>
    </row>
    <row r="14" spans="1:3" x14ac:dyDescent="0.3">
      <c r="A14" s="14" t="s">
        <v>120</v>
      </c>
      <c r="B14" s="19">
        <v>42092</v>
      </c>
      <c r="C14" s="19">
        <f>GETPIVOTDATA("Sales",$A$3)</f>
        <v>1393389</v>
      </c>
    </row>
    <row r="15" spans="1:3" x14ac:dyDescent="0.3">
      <c r="A15" s="14" t="s">
        <v>121</v>
      </c>
      <c r="B15" s="19">
        <v>48370</v>
      </c>
    </row>
    <row r="16" spans="1:3" x14ac:dyDescent="0.3">
      <c r="A16" s="14" t="s">
        <v>122</v>
      </c>
      <c r="B16" s="19">
        <v>25429</v>
      </c>
    </row>
    <row r="17" spans="1:2" x14ac:dyDescent="0.3">
      <c r="A17" s="13" t="s">
        <v>123</v>
      </c>
    </row>
    <row r="18" spans="1:2" x14ac:dyDescent="0.3">
      <c r="A18" s="14" t="s">
        <v>111</v>
      </c>
      <c r="B18" s="19">
        <v>33666</v>
      </c>
    </row>
    <row r="19" spans="1:2" x14ac:dyDescent="0.3">
      <c r="A19" s="14" t="s">
        <v>112</v>
      </c>
      <c r="B19" s="19">
        <v>36689</v>
      </c>
    </row>
    <row r="20" spans="1:2" x14ac:dyDescent="0.3">
      <c r="A20" s="14" t="s">
        <v>113</v>
      </c>
      <c r="B20" s="19">
        <v>31312</v>
      </c>
    </row>
    <row r="21" spans="1:2" x14ac:dyDescent="0.3">
      <c r="A21" s="14" t="s">
        <v>114</v>
      </c>
      <c r="B21" s="19">
        <v>44765</v>
      </c>
    </row>
    <row r="22" spans="1:2" x14ac:dyDescent="0.3">
      <c r="A22" s="14" t="s">
        <v>115</v>
      </c>
      <c r="B22" s="19">
        <v>23242</v>
      </c>
    </row>
    <row r="23" spans="1:2" x14ac:dyDescent="0.3">
      <c r="A23" s="14" t="s">
        <v>116</v>
      </c>
      <c r="B23" s="19">
        <v>37854</v>
      </c>
    </row>
    <row r="24" spans="1:2" x14ac:dyDescent="0.3">
      <c r="A24" s="14" t="s">
        <v>117</v>
      </c>
      <c r="B24" s="19">
        <v>27242</v>
      </c>
    </row>
    <row r="25" spans="1:2" x14ac:dyDescent="0.3">
      <c r="A25" s="14" t="s">
        <v>118</v>
      </c>
      <c r="B25" s="19">
        <v>46080</v>
      </c>
    </row>
    <row r="26" spans="1:2" x14ac:dyDescent="0.3">
      <c r="A26" s="14" t="s">
        <v>119</v>
      </c>
      <c r="B26" s="19">
        <v>37665</v>
      </c>
    </row>
    <row r="27" spans="1:2" x14ac:dyDescent="0.3">
      <c r="A27" s="14" t="s">
        <v>120</v>
      </c>
      <c r="B27" s="19">
        <v>29361</v>
      </c>
    </row>
    <row r="28" spans="1:2" x14ac:dyDescent="0.3">
      <c r="A28" s="14" t="s">
        <v>121</v>
      </c>
      <c r="B28" s="19">
        <v>39796</v>
      </c>
    </row>
    <row r="29" spans="1:2" x14ac:dyDescent="0.3">
      <c r="A29" s="14" t="s">
        <v>122</v>
      </c>
      <c r="B29" s="19">
        <v>51392</v>
      </c>
    </row>
    <row r="30" spans="1:2" x14ac:dyDescent="0.3">
      <c r="A30" s="13" t="s">
        <v>124</v>
      </c>
    </row>
    <row r="31" spans="1:2" x14ac:dyDescent="0.3">
      <c r="A31" s="14" t="s">
        <v>111</v>
      </c>
      <c r="B31" s="19">
        <v>40260</v>
      </c>
    </row>
    <row r="32" spans="1:2" x14ac:dyDescent="0.3">
      <c r="A32" s="14" t="s">
        <v>112</v>
      </c>
      <c r="B32" s="19">
        <v>51984</v>
      </c>
    </row>
    <row r="33" spans="1:2" x14ac:dyDescent="0.3">
      <c r="A33" s="14" t="s">
        <v>113</v>
      </c>
      <c r="B33" s="19">
        <v>52528</v>
      </c>
    </row>
    <row r="34" spans="1:2" x14ac:dyDescent="0.3">
      <c r="A34" s="14" t="s">
        <v>114</v>
      </c>
      <c r="B34" s="19">
        <v>33305</v>
      </c>
    </row>
    <row r="35" spans="1:2" x14ac:dyDescent="0.3">
      <c r="A35" s="14" t="s">
        <v>115</v>
      </c>
      <c r="B35" s="19">
        <v>46768</v>
      </c>
    </row>
    <row r="36" spans="1:2" x14ac:dyDescent="0.3">
      <c r="A36" s="14" t="s">
        <v>116</v>
      </c>
      <c r="B36" s="19">
        <v>35132</v>
      </c>
    </row>
    <row r="37" spans="1:2" x14ac:dyDescent="0.3">
      <c r="A37" s="14" t="s">
        <v>117</v>
      </c>
      <c r="B37" s="19">
        <v>62442</v>
      </c>
    </row>
    <row r="38" spans="1:2" x14ac:dyDescent="0.3">
      <c r="A38" s="14" t="s">
        <v>118</v>
      </c>
      <c r="B38" s="19">
        <v>76119</v>
      </c>
    </row>
    <row r="39" spans="1:2" x14ac:dyDescent="0.3">
      <c r="A39" s="14" t="s">
        <v>119</v>
      </c>
      <c r="B39" s="19">
        <v>49404</v>
      </c>
    </row>
    <row r="40" spans="1:2" x14ac:dyDescent="0.3">
      <c r="A40" s="13" t="s">
        <v>108</v>
      </c>
      <c r="B40" s="19">
        <v>1393389</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34CCE0-BE1B-42B2-A87E-03B0B88CB209}">
  <sheetPr codeName="Sheet12"/>
  <dimension ref="A3:C40"/>
  <sheetViews>
    <sheetView workbookViewId="0">
      <selection activeCell="C14" sqref="C14"/>
    </sheetView>
  </sheetViews>
  <sheetFormatPr defaultRowHeight="14.4" x14ac:dyDescent="0.3"/>
  <cols>
    <col min="1" max="1" width="12.5546875" bestFit="1" customWidth="1"/>
    <col min="2" max="2" width="14.88671875" bestFit="1" customWidth="1"/>
    <col min="3" max="3" width="12.109375" bestFit="1" customWidth="1"/>
  </cols>
  <sheetData>
    <row r="3" spans="1:3" x14ac:dyDescent="0.3">
      <c r="A3" s="12" t="s">
        <v>109</v>
      </c>
      <c r="B3" t="s">
        <v>106</v>
      </c>
    </row>
    <row r="4" spans="1:3" x14ac:dyDescent="0.3">
      <c r="A4" s="13" t="s">
        <v>110</v>
      </c>
      <c r="B4" s="3"/>
    </row>
    <row r="5" spans="1:3" x14ac:dyDescent="0.3">
      <c r="A5" s="14" t="s">
        <v>111</v>
      </c>
      <c r="B5" s="3">
        <v>11677.380000000001</v>
      </c>
    </row>
    <row r="6" spans="1:3" x14ac:dyDescent="0.3">
      <c r="A6" s="14" t="s">
        <v>112</v>
      </c>
      <c r="B6" s="3">
        <v>16987.939999999999</v>
      </c>
    </row>
    <row r="7" spans="1:3" x14ac:dyDescent="0.3">
      <c r="A7" s="14" t="s">
        <v>113</v>
      </c>
      <c r="B7" s="3">
        <v>15280.6</v>
      </c>
      <c r="C7" s="27"/>
    </row>
    <row r="8" spans="1:3" x14ac:dyDescent="0.3">
      <c r="A8" s="14" t="s">
        <v>114</v>
      </c>
      <c r="B8" s="3">
        <v>11703.330000000004</v>
      </c>
    </row>
    <row r="9" spans="1:3" x14ac:dyDescent="0.3">
      <c r="A9" s="14" t="s">
        <v>115</v>
      </c>
      <c r="B9" s="3">
        <v>13162.970000000001</v>
      </c>
    </row>
    <row r="10" spans="1:3" x14ac:dyDescent="0.3">
      <c r="A10" s="14" t="s">
        <v>116</v>
      </c>
      <c r="B10" s="3">
        <v>13852.31</v>
      </c>
    </row>
    <row r="11" spans="1:3" x14ac:dyDescent="0.3">
      <c r="A11" s="14" t="s">
        <v>117</v>
      </c>
      <c r="B11" s="3">
        <v>16632.349999999999</v>
      </c>
    </row>
    <row r="12" spans="1:3" x14ac:dyDescent="0.3">
      <c r="A12" s="14" t="s">
        <v>118</v>
      </c>
      <c r="B12" s="3">
        <v>10924.190000000002</v>
      </c>
    </row>
    <row r="13" spans="1:3" x14ac:dyDescent="0.3">
      <c r="A13" s="14" t="s">
        <v>119</v>
      </c>
      <c r="B13" s="3">
        <v>14316.199999999999</v>
      </c>
    </row>
    <row r="14" spans="1:3" x14ac:dyDescent="0.3">
      <c r="A14" s="14" t="s">
        <v>120</v>
      </c>
      <c r="B14" s="3">
        <v>12889.920000000002</v>
      </c>
      <c r="C14" s="19">
        <f>GETPIVOTDATA("Revenue",$A$3)</f>
        <v>447899.30999999994</v>
      </c>
    </row>
    <row r="15" spans="1:3" x14ac:dyDescent="0.3">
      <c r="A15" s="14" t="s">
        <v>121</v>
      </c>
      <c r="B15" s="3">
        <v>15818.6</v>
      </c>
    </row>
    <row r="16" spans="1:3" x14ac:dyDescent="0.3">
      <c r="A16" s="14" t="s">
        <v>122</v>
      </c>
      <c r="B16" s="3">
        <v>8234.5999999999985</v>
      </c>
    </row>
    <row r="17" spans="1:2" x14ac:dyDescent="0.3">
      <c r="A17" s="13" t="s">
        <v>123</v>
      </c>
      <c r="B17" s="3"/>
    </row>
    <row r="18" spans="1:2" x14ac:dyDescent="0.3">
      <c r="A18" s="14" t="s">
        <v>111</v>
      </c>
      <c r="B18" s="3">
        <v>10326.889999999998</v>
      </c>
    </row>
    <row r="19" spans="1:2" x14ac:dyDescent="0.3">
      <c r="A19" s="14" t="s">
        <v>112</v>
      </c>
      <c r="B19" s="3">
        <v>11834.449999999997</v>
      </c>
    </row>
    <row r="20" spans="1:2" x14ac:dyDescent="0.3">
      <c r="A20" s="14" t="s">
        <v>113</v>
      </c>
      <c r="B20" s="3">
        <v>9890.2400000000016</v>
      </c>
    </row>
    <row r="21" spans="1:2" x14ac:dyDescent="0.3">
      <c r="A21" s="14" t="s">
        <v>114</v>
      </c>
      <c r="B21" s="3">
        <v>14488.680000000002</v>
      </c>
    </row>
    <row r="22" spans="1:2" x14ac:dyDescent="0.3">
      <c r="A22" s="14" t="s">
        <v>115</v>
      </c>
      <c r="B22" s="3">
        <v>7544.9</v>
      </c>
    </row>
    <row r="23" spans="1:2" x14ac:dyDescent="0.3">
      <c r="A23" s="14" t="s">
        <v>116</v>
      </c>
      <c r="B23" s="3">
        <v>12760.440000000002</v>
      </c>
    </row>
    <row r="24" spans="1:2" x14ac:dyDescent="0.3">
      <c r="A24" s="14" t="s">
        <v>117</v>
      </c>
      <c r="B24" s="3">
        <v>8646.0299999999988</v>
      </c>
    </row>
    <row r="25" spans="1:2" x14ac:dyDescent="0.3">
      <c r="A25" s="14" t="s">
        <v>118</v>
      </c>
      <c r="B25" s="3">
        <v>15184.859999999999</v>
      </c>
    </row>
    <row r="26" spans="1:2" x14ac:dyDescent="0.3">
      <c r="A26" s="14" t="s">
        <v>119</v>
      </c>
      <c r="B26" s="3">
        <v>12030.05</v>
      </c>
    </row>
    <row r="27" spans="1:2" x14ac:dyDescent="0.3">
      <c r="A27" s="14" t="s">
        <v>120</v>
      </c>
      <c r="B27" s="3">
        <v>9724.27</v>
      </c>
    </row>
    <row r="28" spans="1:2" x14ac:dyDescent="0.3">
      <c r="A28" s="14" t="s">
        <v>121</v>
      </c>
      <c r="B28" s="3">
        <v>12248.099999999999</v>
      </c>
    </row>
    <row r="29" spans="1:2" x14ac:dyDescent="0.3">
      <c r="A29" s="14" t="s">
        <v>122</v>
      </c>
      <c r="B29" s="3">
        <v>16692.550000000003</v>
      </c>
    </row>
    <row r="30" spans="1:2" x14ac:dyDescent="0.3">
      <c r="A30" s="13" t="s">
        <v>124</v>
      </c>
      <c r="B30" s="3"/>
    </row>
    <row r="31" spans="1:2" x14ac:dyDescent="0.3">
      <c r="A31" s="14" t="s">
        <v>111</v>
      </c>
      <c r="B31" s="3">
        <v>13339.279999999997</v>
      </c>
    </row>
    <row r="32" spans="1:2" x14ac:dyDescent="0.3">
      <c r="A32" s="14" t="s">
        <v>112</v>
      </c>
      <c r="B32" s="3">
        <v>17565.079999999998</v>
      </c>
    </row>
    <row r="33" spans="1:2" x14ac:dyDescent="0.3">
      <c r="A33" s="14" t="s">
        <v>113</v>
      </c>
      <c r="B33" s="3">
        <v>16599.96</v>
      </c>
    </row>
    <row r="34" spans="1:2" x14ac:dyDescent="0.3">
      <c r="A34" s="14" t="s">
        <v>114</v>
      </c>
      <c r="B34" s="3">
        <v>10809.949999999997</v>
      </c>
    </row>
    <row r="35" spans="1:2" x14ac:dyDescent="0.3">
      <c r="A35" s="14" t="s">
        <v>115</v>
      </c>
      <c r="B35" s="3">
        <v>15047.149999999996</v>
      </c>
    </row>
    <row r="36" spans="1:2" x14ac:dyDescent="0.3">
      <c r="A36" s="14" t="s">
        <v>116</v>
      </c>
      <c r="B36" s="3">
        <v>11340.04</v>
      </c>
    </row>
    <row r="37" spans="1:2" x14ac:dyDescent="0.3">
      <c r="A37" s="14" t="s">
        <v>117</v>
      </c>
      <c r="B37" s="3">
        <v>20503.190000000006</v>
      </c>
    </row>
    <row r="38" spans="1:2" x14ac:dyDescent="0.3">
      <c r="A38" s="14" t="s">
        <v>118</v>
      </c>
      <c r="B38" s="3">
        <v>24259.910000000003</v>
      </c>
    </row>
    <row r="39" spans="1:2" x14ac:dyDescent="0.3">
      <c r="A39" s="14" t="s">
        <v>119</v>
      </c>
      <c r="B39" s="3">
        <v>15582.900000000001</v>
      </c>
    </row>
    <row r="40" spans="1:2" x14ac:dyDescent="0.3">
      <c r="A40" s="13" t="s">
        <v>108</v>
      </c>
      <c r="B40" s="3">
        <v>447899.30999999994</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94194A-6849-4B1E-B31E-3EC8C9D0E168}">
  <sheetPr codeName="Sheet13"/>
  <dimension ref="A3:C7"/>
  <sheetViews>
    <sheetView workbookViewId="0">
      <selection activeCell="B36" sqref="B36"/>
    </sheetView>
  </sheetViews>
  <sheetFormatPr defaultRowHeight="14.4" x14ac:dyDescent="0.3"/>
  <cols>
    <col min="1" max="1" width="12.5546875" bestFit="1" customWidth="1"/>
    <col min="2" max="2" width="22.88671875" style="20" bestFit="1" customWidth="1"/>
    <col min="3" max="3" width="8.88671875" style="20"/>
  </cols>
  <sheetData>
    <row r="3" spans="1:3" x14ac:dyDescent="0.3">
      <c r="A3" s="12" t="s">
        <v>109</v>
      </c>
      <c r="B3" t="s">
        <v>135</v>
      </c>
    </row>
    <row r="4" spans="1:3" x14ac:dyDescent="0.3">
      <c r="A4" s="13" t="s">
        <v>110</v>
      </c>
      <c r="B4" s="3">
        <v>0.31723163841807939</v>
      </c>
    </row>
    <row r="5" spans="1:3" x14ac:dyDescent="0.3">
      <c r="A5" s="13" t="s">
        <v>123</v>
      </c>
      <c r="B5" s="3">
        <v>0.31968571428571441</v>
      </c>
      <c r="C5" s="20">
        <f>GETPIVOTDATA("Profit  Margin ",$A$3)</f>
        <v>0.31887673956262469</v>
      </c>
    </row>
    <row r="6" spans="1:3" x14ac:dyDescent="0.3">
      <c r="A6" s="13" t="s">
        <v>124</v>
      </c>
      <c r="B6" s="3">
        <v>0.31986754966887448</v>
      </c>
    </row>
    <row r="7" spans="1:3" x14ac:dyDescent="0.3">
      <c r="A7" s="13" t="s">
        <v>108</v>
      </c>
      <c r="B7" s="3">
        <v>0.31887673956262469</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488F0A-70AE-42B4-8F92-1F6962A4B096}">
  <sheetPr codeName="Sheet14"/>
  <dimension ref="A3:C40"/>
  <sheetViews>
    <sheetView workbookViewId="0">
      <selection activeCell="B27" sqref="B27"/>
    </sheetView>
  </sheetViews>
  <sheetFormatPr defaultRowHeight="14.4" x14ac:dyDescent="0.3"/>
  <cols>
    <col min="1" max="1" width="12.5546875" bestFit="1" customWidth="1"/>
    <col min="2" max="2" width="31.44140625" style="28" bestFit="1" customWidth="1"/>
    <col min="3" max="3" width="8.88671875" style="28"/>
  </cols>
  <sheetData>
    <row r="3" spans="1:3" x14ac:dyDescent="0.3">
      <c r="A3" s="12" t="s">
        <v>109</v>
      </c>
      <c r="B3" s="28" t="s">
        <v>136</v>
      </c>
    </row>
    <row r="4" spans="1:3" x14ac:dyDescent="0.3">
      <c r="A4" s="13" t="s">
        <v>110</v>
      </c>
      <c r="B4" s="28">
        <v>4.1045197740112993</v>
      </c>
    </row>
    <row r="5" spans="1:3" x14ac:dyDescent="0.3">
      <c r="A5" s="13" t="s">
        <v>123</v>
      </c>
      <c r="B5" s="28">
        <v>4.194285714285714</v>
      </c>
    </row>
    <row r="6" spans="1:3" x14ac:dyDescent="0.3">
      <c r="A6" s="13" t="s">
        <v>124</v>
      </c>
    </row>
    <row r="7" spans="1:3" x14ac:dyDescent="0.3">
      <c r="A7" s="14" t="s">
        <v>111</v>
      </c>
      <c r="B7" s="28">
        <v>3.8787878787878789</v>
      </c>
    </row>
    <row r="8" spans="1:3" x14ac:dyDescent="0.3">
      <c r="A8" s="14" t="s">
        <v>112</v>
      </c>
      <c r="B8" s="28">
        <v>3.7941176470588234</v>
      </c>
    </row>
    <row r="9" spans="1:3" x14ac:dyDescent="0.3">
      <c r="A9" s="14" t="s">
        <v>113</v>
      </c>
      <c r="B9" s="28">
        <v>4.8787878787878789</v>
      </c>
    </row>
    <row r="10" spans="1:3" x14ac:dyDescent="0.3">
      <c r="A10" s="14" t="s">
        <v>114</v>
      </c>
      <c r="B10" s="28">
        <v>3.625</v>
      </c>
    </row>
    <row r="11" spans="1:3" x14ac:dyDescent="0.3">
      <c r="A11" s="14" t="s">
        <v>115</v>
      </c>
      <c r="B11" s="28">
        <v>3.9428571428571431</v>
      </c>
    </row>
    <row r="12" spans="1:3" x14ac:dyDescent="0.3">
      <c r="A12" s="14" t="s">
        <v>116</v>
      </c>
      <c r="B12" s="28">
        <v>3.44</v>
      </c>
    </row>
    <row r="13" spans="1:3" x14ac:dyDescent="0.3">
      <c r="A13" s="14" t="s">
        <v>117</v>
      </c>
      <c r="B13" s="28">
        <v>3.6</v>
      </c>
    </row>
    <row r="14" spans="1:3" x14ac:dyDescent="0.3">
      <c r="A14" s="14" t="s">
        <v>118</v>
      </c>
      <c r="B14" s="28">
        <v>3.6595744680851063</v>
      </c>
      <c r="C14" s="28">
        <f>GETPIVOTDATA("Delivery Duration (Days)",$A$3)</f>
        <v>4.0934393638170974</v>
      </c>
    </row>
    <row r="15" spans="1:3" x14ac:dyDescent="0.3">
      <c r="A15" s="14" t="s">
        <v>119</v>
      </c>
      <c r="B15" s="28">
        <v>4.7222222222222223</v>
      </c>
    </row>
    <row r="16" spans="1:3" x14ac:dyDescent="0.3">
      <c r="A16" s="13" t="s">
        <v>108</v>
      </c>
      <c r="B16" s="28">
        <v>4.0934393638170974</v>
      </c>
    </row>
    <row r="17" spans="2:2" x14ac:dyDescent="0.3">
      <c r="B17"/>
    </row>
    <row r="18" spans="2:2" x14ac:dyDescent="0.3">
      <c r="B18"/>
    </row>
    <row r="19" spans="2:2" x14ac:dyDescent="0.3">
      <c r="B19"/>
    </row>
    <row r="20" spans="2:2" x14ac:dyDescent="0.3">
      <c r="B20"/>
    </row>
    <row r="21" spans="2:2" x14ac:dyDescent="0.3">
      <c r="B21"/>
    </row>
    <row r="22" spans="2:2" x14ac:dyDescent="0.3">
      <c r="B22"/>
    </row>
    <row r="23" spans="2:2" x14ac:dyDescent="0.3">
      <c r="B23"/>
    </row>
    <row r="24" spans="2:2" x14ac:dyDescent="0.3">
      <c r="B24"/>
    </row>
    <row r="25" spans="2:2" x14ac:dyDescent="0.3">
      <c r="B25"/>
    </row>
    <row r="26" spans="2:2" x14ac:dyDescent="0.3">
      <c r="B26"/>
    </row>
    <row r="27" spans="2:2" x14ac:dyDescent="0.3">
      <c r="B27"/>
    </row>
    <row r="28" spans="2:2" x14ac:dyDescent="0.3">
      <c r="B28"/>
    </row>
    <row r="29" spans="2:2" x14ac:dyDescent="0.3">
      <c r="B29"/>
    </row>
    <row r="30" spans="2:2" x14ac:dyDescent="0.3">
      <c r="B30"/>
    </row>
    <row r="31" spans="2:2" x14ac:dyDescent="0.3">
      <c r="B31"/>
    </row>
    <row r="32" spans="2:2" x14ac:dyDescent="0.3">
      <c r="B32"/>
    </row>
    <row r="33" spans="2:2" x14ac:dyDescent="0.3">
      <c r="B33"/>
    </row>
    <row r="34" spans="2:2" x14ac:dyDescent="0.3">
      <c r="B34"/>
    </row>
    <row r="35" spans="2:2" x14ac:dyDescent="0.3">
      <c r="B35"/>
    </row>
    <row r="36" spans="2:2" x14ac:dyDescent="0.3">
      <c r="B36"/>
    </row>
    <row r="37" spans="2:2" x14ac:dyDescent="0.3">
      <c r="B37"/>
    </row>
    <row r="38" spans="2:2" x14ac:dyDescent="0.3">
      <c r="B38"/>
    </row>
    <row r="39" spans="2:2" x14ac:dyDescent="0.3">
      <c r="B39"/>
    </row>
    <row r="40" spans="2:2" x14ac:dyDescent="0.3">
      <c r="B40"/>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4F6A16-88FE-42E9-8A55-22914F99A6EE}">
  <sheetPr codeName="Sheet15"/>
  <dimension ref="A3:C6"/>
  <sheetViews>
    <sheetView workbookViewId="0">
      <selection activeCell="D11" sqref="D11"/>
    </sheetView>
  </sheetViews>
  <sheetFormatPr defaultRowHeight="14.4" x14ac:dyDescent="0.3"/>
  <cols>
    <col min="1" max="1" width="12.5546875" bestFit="1" customWidth="1"/>
    <col min="2" max="2" width="17" bestFit="1" customWidth="1"/>
    <col min="3" max="3" width="10.44140625" style="20" bestFit="1" customWidth="1"/>
    <col min="4" max="4" width="10.77734375" bestFit="1" customWidth="1"/>
  </cols>
  <sheetData>
    <row r="3" spans="1:3" x14ac:dyDescent="0.3">
      <c r="A3" s="12" t="s">
        <v>109</v>
      </c>
      <c r="B3" t="s">
        <v>137</v>
      </c>
    </row>
    <row r="4" spans="1:3" x14ac:dyDescent="0.3">
      <c r="A4" s="13" t="s">
        <v>85</v>
      </c>
      <c r="B4" s="3">
        <v>502</v>
      </c>
    </row>
    <row r="5" spans="1:3" x14ac:dyDescent="0.3">
      <c r="A5" s="13" t="s">
        <v>86</v>
      </c>
      <c r="B5" s="3">
        <v>504</v>
      </c>
    </row>
    <row r="6" spans="1:3" x14ac:dyDescent="0.3">
      <c r="A6" s="13" t="s">
        <v>108</v>
      </c>
      <c r="B6" s="3">
        <v>1006</v>
      </c>
      <c r="C6" s="20">
        <f>GETPIVOTDATA("Unit Price",$A$3,"Payment Mode","Cash")/GETPIVOTDATA("Unit Price",$A$3)</f>
        <v>0.49900596421471172</v>
      </c>
    </row>
  </sheetData>
  <pageMargins left="0.7" right="0.7" top="0.75" bottom="0.75" header="0.3" footer="0.3"/>
  <pageSetup orientation="portrait" r:id="rId2"/>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B805EE3-F8AD-49B8-8C06-86CDB72CA30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15</vt:i4>
      </vt:variant>
    </vt:vector>
  </HeadingPairs>
  <TitlesOfParts>
    <vt:vector size="15" baseType="lpstr">
      <vt:lpstr>Dashboard</vt:lpstr>
      <vt:lpstr>Original Data</vt:lpstr>
      <vt:lpstr>SalesData</vt:lpstr>
      <vt:lpstr>Revenue Map</vt:lpstr>
      <vt:lpstr>Sales-Revenue Chart</vt:lpstr>
      <vt:lpstr>Sales Chart</vt:lpstr>
      <vt:lpstr>Revenue Chart</vt:lpstr>
      <vt:lpstr>Revenue vs Cost</vt:lpstr>
      <vt:lpstr>Customer Acquisition Source</vt:lpstr>
      <vt:lpstr>Top 5</vt:lpstr>
      <vt:lpstr>Total Sales</vt:lpstr>
      <vt:lpstr>Total Revenue</vt:lpstr>
      <vt:lpstr>Ave Margin</vt:lpstr>
      <vt:lpstr>Delivery Duration (Days)</vt:lpstr>
      <vt:lpstr>Payment Mode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Eliel John J Malabar</dc:creator>
  <cp:lastModifiedBy>Eliel John J Malabar</cp:lastModifiedBy>
  <dcterms:created xsi:type="dcterms:W3CDTF">2022-10-06T15:25:20Z</dcterms:created>
  <dcterms:modified xsi:type="dcterms:W3CDTF">2022-10-20T10:35:41Z</dcterms:modified>
</cp:coreProperties>
</file>