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 Watson\Dropbox\MORU\COVID\Chloroquine Poisoning\Code\Chloroquine-concentration-fatality\"/>
    </mc:Choice>
  </mc:AlternateContent>
  <bookViews>
    <workbookView xWindow="6675" yWindow="3060" windowWidth="34695" windowHeight="16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59" i="1" l="1"/>
  <c r="M59" i="1" s="1"/>
  <c r="L58" i="1"/>
  <c r="M58" i="1" s="1"/>
  <c r="M57" i="1"/>
  <c r="M56" i="1"/>
  <c r="M55" i="1"/>
  <c r="L54" i="1"/>
  <c r="M54" i="1" s="1"/>
  <c r="L53" i="1"/>
  <c r="M53" i="1" s="1"/>
  <c r="L52" i="1"/>
  <c r="M52" i="1" s="1"/>
  <c r="L51" i="1"/>
  <c r="M51" i="1" s="1"/>
  <c r="M50" i="1"/>
  <c r="L49" i="1"/>
  <c r="M49" i="1" s="1"/>
  <c r="L48" i="1"/>
  <c r="M48" i="1" s="1"/>
  <c r="L47" i="1"/>
  <c r="M47" i="1" s="1"/>
  <c r="L46" i="1"/>
  <c r="M46" i="1" s="1"/>
  <c r="M45" i="1"/>
  <c r="L45" i="1"/>
  <c r="L44" i="1"/>
  <c r="M44" i="1" s="1"/>
  <c r="M43" i="1"/>
  <c r="L42" i="1"/>
  <c r="M42" i="1" s="1"/>
  <c r="M41" i="1"/>
  <c r="L41" i="1"/>
  <c r="L39" i="1"/>
  <c r="M39" i="1" s="1"/>
  <c r="M38" i="1"/>
  <c r="L37" i="1"/>
  <c r="M37" i="1" s="1"/>
  <c r="L36" i="1"/>
  <c r="M36" i="1" s="1"/>
  <c r="L35" i="1"/>
  <c r="M35" i="1" s="1"/>
  <c r="L34" i="1"/>
  <c r="M34" i="1" s="1"/>
  <c r="L33" i="1"/>
  <c r="M33" i="1" s="1"/>
  <c r="M32" i="1"/>
  <c r="L32" i="1"/>
  <c r="L31" i="1"/>
  <c r="M31" i="1" s="1"/>
  <c r="L30" i="1"/>
  <c r="M30" i="1" s="1"/>
  <c r="M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M21" i="1"/>
  <c r="L20" i="1"/>
  <c r="M20" i="1" s="1"/>
  <c r="L19" i="1"/>
  <c r="M19" i="1" s="1"/>
  <c r="M18" i="1"/>
  <c r="L17" i="1"/>
  <c r="M17" i="1" s="1"/>
  <c r="M16" i="1"/>
  <c r="L15" i="1"/>
  <c r="M15" i="1" s="1"/>
  <c r="L14" i="1"/>
  <c r="M14" i="1" s="1"/>
  <c r="M13" i="1"/>
  <c r="M11" i="1"/>
  <c r="M10" i="1"/>
  <c r="M9" i="1"/>
  <c r="L8" i="1"/>
  <c r="M8" i="1" s="1"/>
  <c r="M7" i="1"/>
  <c r="L6" i="1"/>
  <c r="M6" i="1" s="1"/>
  <c r="M4" i="1"/>
  <c r="L3" i="1"/>
  <c r="M3" i="1" s="1"/>
  <c r="L2" i="1"/>
  <c r="M2" i="1" s="1"/>
</calcChain>
</file>

<file path=xl/sharedStrings.xml><?xml version="1.0" encoding="utf-8"?>
<sst xmlns="http://schemas.openxmlformats.org/spreadsheetml/2006/main" count="387" uniqueCount="227">
  <si>
    <t>Title</t>
  </si>
  <si>
    <t>Conditions</t>
  </si>
  <si>
    <t>Interventions</t>
  </si>
  <si>
    <t>URL</t>
  </si>
  <si>
    <t>Type</t>
  </si>
  <si>
    <t>Loading Dose</t>
  </si>
  <si>
    <t>Maintenance dose</t>
  </si>
  <si>
    <t>Times per day</t>
  </si>
  <si>
    <t>Total Duration</t>
  </si>
  <si>
    <t>Drug</t>
  </si>
  <si>
    <t>Weight based</t>
  </si>
  <si>
    <t>Total dose (salt)</t>
  </si>
  <si>
    <t>Total dose (base)</t>
  </si>
  <si>
    <t>Hydroxychloroquine Treatment for Severe COVID-19 Pulmonary Infection (HYDRA Trial)</t>
  </si>
  <si>
    <t>COVID-19|Severe Acute Respiratory Syndrome</t>
  </si>
  <si>
    <t>Drug: Hydroxychloroquine|Drug: Placebo oral tablet</t>
  </si>
  <si>
    <t>https://ClinicalTrials.gov/show/NCT04315896</t>
  </si>
  <si>
    <t>treatment</t>
  </si>
  <si>
    <t>none</t>
  </si>
  <si>
    <t>HCQ</t>
  </si>
  <si>
    <t>The Efficacy of Different Anti-viral Drugs in COVID 19 Infected Patients</t>
  </si>
  <si>
    <t>SARS-CoV Infection|COVID 19|Acute Respiratory Distress Syndrome ARDS</t>
  </si>
  <si>
    <t>Drug: Hydroxychloroquine|Drug: Remdesivir|Other: (Standard of Care) SoC</t>
  </si>
  <si>
    <t>https://ClinicalTrials.gov/show/NCT04321616</t>
  </si>
  <si>
    <t>Treatments for COVID-19: Canadian Arm of the SOLIDARITY Trial</t>
  </si>
  <si>
    <t>COVID-19</t>
  </si>
  <si>
    <t>Drug: Lopinavir/ritonavir|Drug: Hydroxychloroquine|Drug: remdesivir</t>
  </si>
  <si>
    <t>https://ClinicalTrials.gov/show/NCT04330690</t>
  </si>
  <si>
    <t>Use of Bromhexine and Hydroxychloroquine for Treatment of COVID-19 Pneumonia</t>
  </si>
  <si>
    <t>Covid-19</t>
  </si>
  <si>
    <t>Drug: Bromhexine Oral Tablet and/or hydroxychloroquine tablet</t>
  </si>
  <si>
    <t>https://ClinicalTrials.gov/show/NCT04355026</t>
  </si>
  <si>
    <t>NA</t>
  </si>
  <si>
    <t>Hydroxychloroquine and Ivermectin for the Treatment of COVID-19 Infection</t>
  </si>
  <si>
    <t>Drug: Hydroxychloroquine|Drug: Ivermectin|Drug: Placebo</t>
  </si>
  <si>
    <t>https://ClinicalTrials.gov/show/NCT04391127</t>
  </si>
  <si>
    <t>Hydroxychloroquine vs. Azithromycin for Outpatients in Utah With COVID-19</t>
  </si>
  <si>
    <t>Drug: Hydroxychloroquine|Drug: Azithromycin</t>
  </si>
  <si>
    <t>https://ClinicalTrials.gov/show/NCT04334382</t>
  </si>
  <si>
    <t>Clinical Trial of Combined Use of Hydroxychloroquine, Azithromycin, and Tocilizumab for the Treatment of COVID-19</t>
  </si>
  <si>
    <t>Drug: Tocilizumab|Drug: Hydroxychloroquine|Drug: Azithromycin</t>
  </si>
  <si>
    <t>https://ClinicalTrials.gov/show/NCT04332094</t>
  </si>
  <si>
    <t>Hydroxychloroquine and Zinc With Either Azithromycin or Doxycycline for Treatment of COVID-19 in Outpatient Setting</t>
  </si>
  <si>
    <t>Drug: Hydroxychloroquine|Drug: Azithromycin|Drug: Zinc Sulfate|Drug: Doxycycline</t>
  </si>
  <si>
    <t>https://ClinicalTrials.gov/show/NCT04370782</t>
  </si>
  <si>
    <t>Evaluating the Efficacy of Hydroxychloroquine and Azithromycin to Prevent Hospitalization or Death in Persons With COVID-19</t>
  </si>
  <si>
    <t>COVID-19|SARS-CoV 2</t>
  </si>
  <si>
    <t>Drug: Hydroxychloroquine (HCQ)|Drug: Azithromycin (Azithro)|Drug: Placebo for Hydroxychloroquine|Drug: Placebo for Azithromycin</t>
  </si>
  <si>
    <t>https://ClinicalTrials.gov/show/NCT04358068</t>
  </si>
  <si>
    <t>Outcomes Related to COVID-19 Treated With Hydroxychloroquine Among In-patients With Symptomatic Disease</t>
  </si>
  <si>
    <t>Coronavirus|Acute Respiratory Infection|SARS-CoV Infection</t>
  </si>
  <si>
    <t>Drug: Hydroxychloroquine|Drug: Placebo</t>
  </si>
  <si>
    <t>https://ClinicalTrials.gov/show/NCT04332991</t>
  </si>
  <si>
    <t>Proactive Prophylaxis With Azithromycin and hydroxyChloroquine in Hospitalized Patients With COVID-19</t>
  </si>
  <si>
    <t>Virus Diseases|Infection Viral|Corona Virus Infection</t>
  </si>
  <si>
    <t>Drug: Azithromycin|Drug: Hydroxychloroquine|Drug: Placebo oral tablet</t>
  </si>
  <si>
    <t>https://ClinicalTrials.gov/show/NCT04322396</t>
  </si>
  <si>
    <t>A Randomized Controlled Clinical Trial: Hydroxychloroquine for the Treatment of COVID-19 in Hospitalized Patients</t>
  </si>
  <si>
    <t>Drug: Hydroxychloroquine</t>
  </si>
  <si>
    <t>https://ClinicalTrials.gov/show/NCT04345692</t>
  </si>
  <si>
    <t>Hydroxychloroquine Plus Azithromycin Versus Hydroxychloroquine for COVID-19 Pneumonia (COVIDOC Trial)</t>
  </si>
  <si>
    <t>Coronavirus Infection|Pneumonia, Viral</t>
  </si>
  <si>
    <t>Drug: Hydroxychloroquine + placebo|Drug: hydroxychloroquine + azithromycin</t>
  </si>
  <si>
    <t>https://ClinicalTrials.gov/show/NCT04345861</t>
  </si>
  <si>
    <t>The PATCH Trial (Prevention And Treatment of COVID-19 With Hydroxychloroquine)</t>
  </si>
  <si>
    <t>Drug: Hydroxychloroquine Sulfate 400 mg twice a day|Drug: Hydroxychloroquine Sulfate 600 mg twice a day|Drug: Hydroxychloroquine Sulfate 600 mg once a day|Drug: Placebo oral tablet</t>
  </si>
  <si>
    <t>https://ClinicalTrials.gov/show/NCT04329923</t>
  </si>
  <si>
    <t>Treating COVID-19 With Hydroxychloroquine (TEACH)</t>
  </si>
  <si>
    <t>Drug: Hydroxychloroquine (HCQ)|Other: Pacebo: Calcium citrate</t>
  </si>
  <si>
    <t>https://ClinicalTrials.gov/show/NCT04369742</t>
  </si>
  <si>
    <t>Hydroxychloroquine for COVID-19</t>
  </si>
  <si>
    <t>COVID-19, Hydroxychloroquine Sulfate</t>
  </si>
  <si>
    <t>Drug: Hydroxychloroquine Sulfate|Drug: Placebo</t>
  </si>
  <si>
    <t>https://ClinicalTrials.gov/show/NCT04342221</t>
  </si>
  <si>
    <t>Efficacy and Tolerability of Hydroxychloroquine in Adult Patients With COVID-19</t>
  </si>
  <si>
    <t>Coronavirus Infection</t>
  </si>
  <si>
    <t>Drug: Hydroxychloroquine Sulfate 200 MG [Plaquenil]</t>
  </si>
  <si>
    <t>https://ClinicalTrials.gov/show/NCT04384380</t>
  </si>
  <si>
    <t>Open Label Study to Compare Efficacy, Safety and Tolerability of Hydroxychloroquine Combined With Azithromycin Compared to Hydroxychloroquine Combined With Camostat Mesylate and to "no Treatment" in SARS CoV 2 Virus</t>
  </si>
  <si>
    <t>COVID - 19</t>
  </si>
  <si>
    <t>Drug: hydroxychloroquine in combination with camostat mesylate|Drug: Hydroxychloroquine in combination of Azithromycin</t>
  </si>
  <si>
    <t>https://ClinicalTrials.gov/show/NCT04355052</t>
  </si>
  <si>
    <t>ALBERTA HOPE COVID-19 for the Prevention of Severe COVID19 Disease</t>
  </si>
  <si>
    <t>https://ClinicalTrials.gov/show/NCT04329611</t>
  </si>
  <si>
    <t>Safety and Efficacy of Hydroxychloroquine Associated With Azithromycin in SARS-CoV2 Virus (Coalition Covid-19 Brasil II)</t>
  </si>
  <si>
    <t>Coronavirus Infections|Pneumonia, Viral</t>
  </si>
  <si>
    <t>Drug: Hydroxychloroquine + azithromycin|Drug: Hydroxychloroquine</t>
  </si>
  <si>
    <t>https://ClinicalTrials.gov/show/NCT04321278</t>
  </si>
  <si>
    <t>Clinical Trial to Evaluate Efficacy of 3 Types of Treatment in Patients With Pneumonia by COVID-19</t>
  </si>
  <si>
    <t>COVID-19 Pneumonia</t>
  </si>
  <si>
    <t>Drug: Hidroxicloroquine|Drug: Lopinavir/ritonavir|Drug: Imatinib tablets|Drug: Baricitinib Oral Tablet</t>
  </si>
  <si>
    <t>https://ClinicalTrials.gov/show/NCT04346147</t>
  </si>
  <si>
    <t>Pragmatic Factorial Trial of Hydroxychloroquine, Azithromycin, or Both for Treatment of Severe SARS-CoV-2 Infection</t>
  </si>
  <si>
    <t>SARS-CoV-2</t>
  </si>
  <si>
    <t>Other: Standard of care|Drug: Hydroxychloroquine|Drug: Azithromycin</t>
  </si>
  <si>
    <t>https://ClinicalTrials.gov/show/NCT04335552</t>
  </si>
  <si>
    <t>Treatment in Patients With Suspected or Confirmed COVID-19 With Early Moderate or Severe Disease</t>
  </si>
  <si>
    <t>https://ClinicalTrials.gov/show/NCT04344444</t>
  </si>
  <si>
    <t>Multi-site Adaptive Trials Using Hydroxycholoroquine for COVID-19</t>
  </si>
  <si>
    <t>Drug: HCQ + Intravenous Famotidine|Drug: HCQ + Placebo</t>
  </si>
  <si>
    <t>https://ClinicalTrials.gov/show/NCT04370262</t>
  </si>
  <si>
    <t>The Phase 2 Study to Evaluate the Safety and Efficacy of Clevudine in Patients With Moderate COVID-19</t>
  </si>
  <si>
    <t>Drug: Clevudine|Drug: Hydroxychloroquine</t>
  </si>
  <si>
    <t>https://ClinicalTrials.gov/show/NCT04347915</t>
  </si>
  <si>
    <t>Hydroxychloroquine vs Nitazoxanide in Patients With COVID-19</t>
  </si>
  <si>
    <t>Drug: Nitazoxanide 500 MG|Drug: Hydroxychloroquine</t>
  </si>
  <si>
    <t>https://ClinicalTrials.gov/show/NCT04341493</t>
  </si>
  <si>
    <t>Hydroxychloroquine for the Treatment of Mild COVID-19 Disease</t>
  </si>
  <si>
    <t>https://ClinicalTrials.gov/show/NCT04340544</t>
  </si>
  <si>
    <t>Double Therapy With IFN-beta 1b and Hydroxychloroquine</t>
  </si>
  <si>
    <t>COVID</t>
  </si>
  <si>
    <t>Drug: Interferon Beta-1B|Drug: Hydroxychloroquine</t>
  </si>
  <si>
    <t>https://ClinicalTrials.gov/show/NCT04350281</t>
  </si>
  <si>
    <t>Hydroxychloroquine and Lopinavir/ Ritonavir to Improve the Health of People With COVID-19: "The Hope Coalition - 1"</t>
  </si>
  <si>
    <t>COVID-19|Coronavirus Infection|Virus Disease|Acute Respiratory Infection|SARS-CoV Infection</t>
  </si>
  <si>
    <t>Drug: Hydroxychloroquine Sulfate Tablets|Drug: Lopinavir/ Ritonavir Oral Tablet|Drug: Hydroxychloroquine Sulfate Tablets plus Lopinavir/ Ritonavir Oral Tablets|Drug: Placebo</t>
  </si>
  <si>
    <t>https://ClinicalTrials.gov/show/NCT04403100</t>
  </si>
  <si>
    <t>Test and Treat COVID 65plus+</t>
  </si>
  <si>
    <t>SARS-CoV 2|COVID-19</t>
  </si>
  <si>
    <t>Drug: Hydroxychloroquine|Other: Placebo</t>
  </si>
  <si>
    <t>https://ClinicalTrials.gov/show/NCT04351516</t>
  </si>
  <si>
    <t>Hydroxychloroquine vs. Azithromycin for Hospitalized Patients With Suspected or Confirmed COVID-19</t>
  </si>
  <si>
    <t>https://ClinicalTrials.gov/show/NCT04329832</t>
  </si>
  <si>
    <t>yes</t>
  </si>
  <si>
    <t>Azithromycin Added to Hydrochloroquine in Patients Admitted to Intensive Care With COVID-19: Randomised Controlled Trial</t>
  </si>
  <si>
    <t>COVID-19|Respiratory Failure</t>
  </si>
  <si>
    <t>Drug: Azithromycin|Drug: Hydroxychloroquine|Drug: Placebo</t>
  </si>
  <si>
    <t>https://ClinicalTrials.gov/show/NCT04339816</t>
  </si>
  <si>
    <t>Efficacy and Safety of Novel Treatment Options for Adults With COVID-19 Pneumonia</t>
  </si>
  <si>
    <t>COVID|Corona Virus Infection|Viral Pneumonia</t>
  </si>
  <si>
    <t>Biological: Convalescent anti-SARS-CoV-2 plasma|Drug: Sarilumab|Drug: Baricitinib|Drug: Hydroxychloroquine|Other: Injective placebo|Other: Oral placebo</t>
  </si>
  <si>
    <t>https://ClinicalTrials.gov/show/NCT04345289</t>
  </si>
  <si>
    <t>Treatment for COVID-19 in High-Risk Adult Outpatients</t>
  </si>
  <si>
    <t>COVID-19|SARS-CoV-2</t>
  </si>
  <si>
    <t>Drug: Ascorbic Acid|Drug: Hydroxychloroquine Sulfate|Drug: Azithromycin|Drug: Folic Acid</t>
  </si>
  <si>
    <t>https://ClinicalTrials.gov/show/NCT04354428</t>
  </si>
  <si>
    <t>University of Utah COVID-19 Hydrochloroquine Trial</t>
  </si>
  <si>
    <t>Coronavirus Infection|Coronavirus|Infectious Disease</t>
  </si>
  <si>
    <t>https://ClinicalTrials.gov/show/NCT04342169</t>
  </si>
  <si>
    <t>PRophylaxis of Exposed COVID-19 Individuals With Mild Symptoms Using choloroquinE Compounds</t>
  </si>
  <si>
    <t>Sars-CoV2|Symptomatic Condition|Covid-19</t>
  </si>
  <si>
    <t>Drug: Hydroxychloroquine Sulfate Regular dose|Drug: Hydroxychloroquine Sulfate Loading Dose|Drug: Chloroquine|Drug: Placebo</t>
  </si>
  <si>
    <t>https://ClinicalTrials.gov/show/NCT04351191</t>
  </si>
  <si>
    <t>High-dose Hydroxychloroquine for the Treatment of Ambulatory Patients With Mild COVID-19</t>
  </si>
  <si>
    <t>https://ClinicalTrials.gov/show/NCT04351620</t>
  </si>
  <si>
    <t>Hydroxychloroquine Efficacy and Safety in Preventing SARS-CoV-2 Infection and COVID-19 Disease Severity During Pregnancy</t>
  </si>
  <si>
    <t>Pregnancy Related|COVID|Covid-19</t>
  </si>
  <si>
    <t>https://ClinicalTrials.gov/show/NCT04410562</t>
  </si>
  <si>
    <t>400 x3 days</t>
  </si>
  <si>
    <t>Austrian CoronaVirus Adaptive Clinical Trial (COVID-19)</t>
  </si>
  <si>
    <t>Drug: Chloroquine or Hydroxychloroquine|Drug: Lopinavir/Ritonavir|Other: Best standard of care|Drug: Rivaroxaban|Drug: Thromboprophylaxis|Drug: Candesartan|Drug: non-RAS blocking antihypertensives|Drug: Clazakizumab|Drug: placebo for clazakizumab</t>
  </si>
  <si>
    <t>https://ClinicalTrials.gov/show/NCT04351724</t>
  </si>
  <si>
    <t>COVID MED Trial - Comparison Of Therapeutics for Hospitalized Patients Infected With SARS-CoV-2</t>
  </si>
  <si>
    <t>SARS-CoV-2 Infection</t>
  </si>
  <si>
    <t>Drug: lopinavir/ritonavir|Drug: Hydroxychloroquine Sulfate|Drug: Losartan|Drug: Placebos</t>
  </si>
  <si>
    <t>https://ClinicalTrials.gov/show/NCT04328012</t>
  </si>
  <si>
    <t>Hydroxychloroquine Versus Placebo in COVID-19 Patients at Risk for Severe Disease</t>
  </si>
  <si>
    <t>Coronavirus</t>
  </si>
  <si>
    <t>https://ClinicalTrials.gov/show/NCT04325893</t>
  </si>
  <si>
    <t>Randomised Evaluation of COVID-19 Therapy</t>
  </si>
  <si>
    <t>Severe Acute Respiratory Syndrome</t>
  </si>
  <si>
    <t>Drug: Lopinavir-Ritonavir|Drug: Corticosteroid|Drug: Hydroxychloroquine|Drug: Azithromycin|Biological: Convalescent plasma|Drug: Tocilizumab</t>
  </si>
  <si>
    <t>https://ClinicalTrials.gov/show/NCT04381936</t>
  </si>
  <si>
    <t>800&amp;800&amp;400</t>
  </si>
  <si>
    <t>Evaluation of Efficacy of Levamisole and Formoterol+Budesonide in Treatment of COVID-19</t>
  </si>
  <si>
    <t>Drug: Levamisole Pill + Budesonide+Formoterol inhaler|Drug: Lopinavir/Ritonavir + hydoxychloroquine</t>
  </si>
  <si>
    <t>https://ClinicalTrials.gov/show/NCT04331470</t>
  </si>
  <si>
    <t>Randomized, Embedded, Multifactorial Adaptive Platform Trial for Community- Acquired Pneumonia</t>
  </si>
  <si>
    <t>Community-acquired Pneumonia, Influenza, COVID-19</t>
  </si>
  <si>
    <t>Drug: Fixed-duration Hydrocortisone|Drug: Shock-dependent hydrocortisone|Drug: Ceftriaxone|Drug: Moxifloxacin or Levofloxacin|Drug: Piperacillin-tazobactam|Drug: Ceftaroline|Drug: Amoxicillin-clavulanate|Drug: Macrolide administered for 3-5 days|Drug: Macrolide administered for up to 14 days|Drug: Five-days oseltamivir|Drug: Ten-days oseltamivir|Drug: Lopinavir/ritonavir|Drug: Hydroxychloroquine|Drug: Hydroxychloroquine + lopinavir/ritonavir|Drug: Interferon-Œ≤1a|Drug: Anakinra|Drug: Fixed-duration higher dose Hydrocortisone|Drug: Tocilizumab|Drug: Sarilumab</t>
  </si>
  <si>
    <t>https://ClinicalTrials.gov/show/NCT02735707</t>
  </si>
  <si>
    <t>Low Dose Anti-inflammatory Radiotherapy for the Treatment of Pneumonia by COVID-19</t>
  </si>
  <si>
    <t>Pneumonia, Viral</t>
  </si>
  <si>
    <t>Radiation: Low-dose radiotherapy|Drug: Hydroxychloroquine Sulfate|Drug: Ritonavir/lopinavir|Drug: Tocilizumab Injection [Actemra]|Drug: Azithromycin|Drug: Corticosteroid|Drug: Low molecular weight heparin|Device: Oxygen supply</t>
  </si>
  <si>
    <t>https://ClinicalTrials.gov/show/NCT04380818</t>
  </si>
  <si>
    <t>Trial of Treatments for COVID-19 in Hospitalized Adults</t>
  </si>
  <si>
    <t>Corona Virus Infection</t>
  </si>
  <si>
    <t>Drug: Remdesivir|Drug: Lopinavir/ritonavir|Drug: Interferon Beta-1A|Drug: Hydroxychloroquine|Other: Standard of care</t>
  </si>
  <si>
    <t>https://ClinicalTrials.gov/show/NCT04315948</t>
  </si>
  <si>
    <t>Novel Agents for Treatment of High-risk COVID-19 Positive Patients</t>
  </si>
  <si>
    <t>COVID|Sars-CoV2</t>
  </si>
  <si>
    <t>Drug: Hydroxychloroquine|Drug: Hydroxychloroquine and Azithromycin|Drug: Hydroxychloroquine and Ivermectin|Drug: Camostat Mesilate</t>
  </si>
  <si>
    <t>https://ClinicalTrials.gov/show/NCT04374019</t>
  </si>
  <si>
    <t>Plasma Exchange in Patients With COVID-19 Disease and Invasive Mechanical Ventilation: a Randomized Controlled Trial</t>
  </si>
  <si>
    <t>Biological: Plasma exchange|Drug: Standar medical treatmen</t>
  </si>
  <si>
    <t>https://ClinicalTrials.gov/show/NCT04374539</t>
  </si>
  <si>
    <t>Randomized Comparison of Combination Azithromycin and Hydroxychloroquine vs. Hydroxychloroquine Alone for the Treatment of Confirmed COVID-19</t>
  </si>
  <si>
    <t>SARS-CoV-2|COVID-19</t>
  </si>
  <si>
    <t>Combination Product: Hydroxychloroquine Sulfate + Azithromycin|Drug: Hydroxychloroquine Sulfate</t>
  </si>
  <si>
    <t>https://ClinicalTrials.gov/show/NCT04336332</t>
  </si>
  <si>
    <t>Efficacy and Safety of Hydroxychloroquine and Favipiravir in the Treatment of Mild to Moderate COVID-19</t>
  </si>
  <si>
    <t>Sars-CoV2|COVID-19</t>
  </si>
  <si>
    <t>Drug: Favipiravir (3200 mg + 1200 mg)|Drug: Favipiravir (3600 mg + 1600 mg)|Drug: Favipiravir (3200 mg + 1200 mg) combined with Hydroxychloroquine|Drug: Favipiravir (3200 mg + 1200 mg) combined with Azithromycin|Drug: Hydroxychloroquine|Drug: Hydroxychloroquine combined with Azithromycin</t>
  </si>
  <si>
    <t>https://ClinicalTrials.gov/show/NCT04411433</t>
  </si>
  <si>
    <t>The Vietnam Chloroquine Treatment on COVID-19</t>
  </si>
  <si>
    <t>SARS-CoV-2 Infection|COVID-19</t>
  </si>
  <si>
    <t>Drug: Chloroquine phosphate</t>
  </si>
  <si>
    <t>https://ClinicalTrials.gov/show/NCT04328493</t>
  </si>
  <si>
    <t>CQ</t>
  </si>
  <si>
    <t>Chloroquine, Hydroxychloroquine or Only Supportive Care in Patients AdmItted With Moderate to Severe COVID-19</t>
  </si>
  <si>
    <t>Drug: Chloroquine Sulfate|Drug: Hydroxychloroquine|Other: Standard supportive care</t>
  </si>
  <si>
    <t>https://ClinicalTrials.gov/show/NCT04362332</t>
  </si>
  <si>
    <t>1000&amp;500</t>
  </si>
  <si>
    <t>Anti-Coronavirus Therapies to Prevent Progression of Coronavirus Disease 2019 (COVID-19) Trial</t>
  </si>
  <si>
    <t>Coronavirus|Severe Acute Respiratory Syndrome</t>
  </si>
  <si>
    <t>Drug: Azithromycin|Drug: Hydoxychloroquine or Chloroquine|Drug: Interferon-Beta</t>
  </si>
  <si>
    <t>https://ClinicalTrials.gov/show/NCT04324463</t>
  </si>
  <si>
    <t>Chloroquine Diphosphate for the Treatment of Severe Acute Respiratory Syndrome Secondary to SARS-CoV2</t>
  </si>
  <si>
    <t>SARS-CoV Infection|Severe Acute Respiratory Syndrome (SARS) Pneumonia</t>
  </si>
  <si>
    <t>Drug: Chloroquine diphosphate</t>
  </si>
  <si>
    <t>https://ClinicalTrials.gov/show/NCT04323527</t>
  </si>
  <si>
    <t>Chloroquine Phosphate Against Infection by the Novel Coronavirus SARS-CoV-2 (COVID-19): The HOPE Open-Label, Non Randomized Clinical Trial</t>
  </si>
  <si>
    <t>Pneumonia, Viral|Covid-19</t>
  </si>
  <si>
    <t>Drug: UNIKINON (Chloroquine phosphate) 200mg tablets</t>
  </si>
  <si>
    <t>https://ClinicalTrials.gov/show/NCT04344951</t>
  </si>
  <si>
    <t>Post-Exposure Prophylaxis for Asymptomatic SARS-CoV-2 COVID-19 Patients With choloroquinE Compounds</t>
  </si>
  <si>
    <t>SARS-CoV-2|Coronavirus Infection|Asymptomatic Condition|COVID-19</t>
  </si>
  <si>
    <t>https://ClinicalTrials.gov/show/NCT04346667</t>
  </si>
  <si>
    <t>Chloroquine Diphosphate in the Prevention of SARS in Covid-19 Infection</t>
  </si>
  <si>
    <t>COVID-19|SARS-CoV Infection|Severe Acute Respiratory Syndrome (SARS) Pneumonia|Clinical Trial</t>
  </si>
  <si>
    <t>Drug: Chloroquine Diphosphate|Drug: Placebo oral tablet</t>
  </si>
  <si>
    <t>https://ClinicalTrials.gov/show/NCT04342650</t>
  </si>
  <si>
    <t>Prospective Study in Patients With Advanced or Metastatic Cancer and SARS-CoV-2 Infection</t>
  </si>
  <si>
    <t>SARS-CoV-2 (COVID-19) Infection|Advanced or Metastatic Hematological or Solid Tumor</t>
  </si>
  <si>
    <t>Drug: Chloroquine analog (GNS651)|Drug: Nivolumab|Drug: Tocilizumab|Other: Standard of care|Drug: Avdoralimab|Drug: Monalizumab</t>
  </si>
  <si>
    <t>https://ClinicalTrials.gov/show/NCT04333914</t>
  </si>
  <si>
    <t>Chloroquine analog (GNS651)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</si>
</sst>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linicaltrials.gov/show/NCT04381936" TargetMode="External"/><Relationship Id="rId1" Type="http://schemas.openxmlformats.org/officeDocument/2006/relationships/hyperlink" Target="https://clinicaltrials.gov/show/NCT043306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B1" workbookViewId="0">
      <selection activeCell="I5" sqref="I5"/>
    </sheetView>
  </sheetViews>
  <sheetFormatPr defaultColWidth="11" defaultRowHeight="15.75" x14ac:dyDescent="0.25"/>
  <cols>
    <col min="1" max="1" width="13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200</v>
      </c>
      <c r="H2">
        <v>2</v>
      </c>
      <c r="I2">
        <v>10</v>
      </c>
      <c r="J2" t="s">
        <v>19</v>
      </c>
      <c r="L2">
        <f>G2*H2*I2</f>
        <v>4000</v>
      </c>
      <c r="M2">
        <f>L2*155/200</f>
        <v>3100</v>
      </c>
    </row>
    <row r="3" spans="1:13" x14ac:dyDescent="0.25">
      <c r="A3" t="s">
        <v>20</v>
      </c>
      <c r="B3" t="s">
        <v>21</v>
      </c>
      <c r="C3" t="s">
        <v>22</v>
      </c>
      <c r="D3" t="s">
        <v>23</v>
      </c>
      <c r="E3" t="s">
        <v>17</v>
      </c>
      <c r="F3">
        <v>800</v>
      </c>
      <c r="G3">
        <v>400</v>
      </c>
      <c r="H3">
        <v>2</v>
      </c>
      <c r="I3">
        <v>10</v>
      </c>
      <c r="J3" t="s">
        <v>19</v>
      </c>
      <c r="L3">
        <f>F3*H3+(G3*H3)*9</f>
        <v>8800</v>
      </c>
      <c r="M3">
        <f t="shared" ref="M3:M4" si="0">L3*155/200</f>
        <v>6820</v>
      </c>
    </row>
    <row r="4" spans="1:13" s="1" customFormat="1" x14ac:dyDescent="0.25">
      <c r="A4" s="1" t="s">
        <v>24</v>
      </c>
      <c r="B4" s="1" t="s">
        <v>25</v>
      </c>
      <c r="C4" s="1" t="s">
        <v>26</v>
      </c>
      <c r="D4" s="2" t="s">
        <v>27</v>
      </c>
      <c r="E4" s="1" t="s">
        <v>17</v>
      </c>
      <c r="F4" s="1">
        <v>800</v>
      </c>
      <c r="G4" s="1">
        <v>400</v>
      </c>
      <c r="H4" s="1">
        <v>2</v>
      </c>
      <c r="I4" s="1">
        <v>10</v>
      </c>
      <c r="J4" s="1" t="s">
        <v>19</v>
      </c>
      <c r="L4" s="1">
        <v>9600</v>
      </c>
      <c r="M4" s="1">
        <f t="shared" si="0"/>
        <v>7440</v>
      </c>
    </row>
    <row r="5" spans="1:13" x14ac:dyDescent="0.25">
      <c r="A5" t="s">
        <v>28</v>
      </c>
      <c r="B5" t="s">
        <v>29</v>
      </c>
      <c r="C5" t="s">
        <v>30</v>
      </c>
      <c r="D5" t="s">
        <v>31</v>
      </c>
      <c r="E5" t="s">
        <v>17</v>
      </c>
      <c r="F5" t="s">
        <v>18</v>
      </c>
      <c r="G5">
        <v>200</v>
      </c>
      <c r="H5">
        <v>2</v>
      </c>
      <c r="I5" t="s">
        <v>32</v>
      </c>
      <c r="J5" t="s">
        <v>19</v>
      </c>
    </row>
    <row r="6" spans="1:13" x14ac:dyDescent="0.25">
      <c r="A6" t="s">
        <v>33</v>
      </c>
      <c r="B6" t="s">
        <v>25</v>
      </c>
      <c r="C6" t="s">
        <v>34</v>
      </c>
      <c r="D6" t="s">
        <v>35</v>
      </c>
      <c r="E6" t="s">
        <v>17</v>
      </c>
      <c r="F6">
        <v>400</v>
      </c>
      <c r="G6">
        <v>200</v>
      </c>
      <c r="H6">
        <v>2</v>
      </c>
      <c r="I6">
        <v>5</v>
      </c>
      <c r="J6" t="s">
        <v>19</v>
      </c>
      <c r="L6">
        <f>800+(400*4)</f>
        <v>2400</v>
      </c>
      <c r="M6">
        <f t="shared" ref="M6:M11" si="1">L6*155/200</f>
        <v>1860</v>
      </c>
    </row>
    <row r="7" spans="1:13" x14ac:dyDescent="0.25">
      <c r="A7" t="s">
        <v>36</v>
      </c>
      <c r="B7" t="s">
        <v>25</v>
      </c>
      <c r="C7" t="s">
        <v>37</v>
      </c>
      <c r="D7" t="s">
        <v>38</v>
      </c>
      <c r="E7" t="s">
        <v>17</v>
      </c>
      <c r="F7">
        <v>400</v>
      </c>
      <c r="G7">
        <v>200</v>
      </c>
      <c r="H7">
        <v>2</v>
      </c>
      <c r="I7">
        <v>5</v>
      </c>
      <c r="J7" t="s">
        <v>19</v>
      </c>
      <c r="L7">
        <v>2400</v>
      </c>
      <c r="M7">
        <f t="shared" si="1"/>
        <v>1860</v>
      </c>
    </row>
    <row r="8" spans="1:13" x14ac:dyDescent="0.25">
      <c r="A8" t="s">
        <v>39</v>
      </c>
      <c r="B8" t="s">
        <v>25</v>
      </c>
      <c r="C8" t="s">
        <v>40</v>
      </c>
      <c r="D8" t="s">
        <v>41</v>
      </c>
      <c r="E8" t="s">
        <v>17</v>
      </c>
      <c r="F8">
        <v>400</v>
      </c>
      <c r="G8">
        <v>200</v>
      </c>
      <c r="H8">
        <v>2</v>
      </c>
      <c r="I8">
        <v>7</v>
      </c>
      <c r="J8" t="s">
        <v>19</v>
      </c>
      <c r="L8">
        <f>800+(400*6)</f>
        <v>3200</v>
      </c>
      <c r="M8">
        <f t="shared" si="1"/>
        <v>2480</v>
      </c>
    </row>
    <row r="9" spans="1:13" x14ac:dyDescent="0.25">
      <c r="A9" t="s">
        <v>42</v>
      </c>
      <c r="B9" t="s">
        <v>25</v>
      </c>
      <c r="C9" t="s">
        <v>43</v>
      </c>
      <c r="D9" t="s">
        <v>44</v>
      </c>
      <c r="E9" t="s">
        <v>17</v>
      </c>
      <c r="F9">
        <v>400</v>
      </c>
      <c r="G9">
        <v>200</v>
      </c>
      <c r="H9">
        <v>2</v>
      </c>
      <c r="I9">
        <v>5</v>
      </c>
      <c r="J9" t="s">
        <v>19</v>
      </c>
      <c r="L9">
        <v>2400</v>
      </c>
      <c r="M9">
        <f t="shared" si="1"/>
        <v>1860</v>
      </c>
    </row>
    <row r="10" spans="1:13" x14ac:dyDescent="0.25">
      <c r="A10" t="s">
        <v>45</v>
      </c>
      <c r="B10" t="s">
        <v>46</v>
      </c>
      <c r="C10" t="s">
        <v>47</v>
      </c>
      <c r="D10" t="s">
        <v>48</v>
      </c>
      <c r="E10" t="s">
        <v>17</v>
      </c>
      <c r="F10">
        <v>400</v>
      </c>
      <c r="G10">
        <v>200</v>
      </c>
      <c r="H10">
        <v>2</v>
      </c>
      <c r="I10">
        <v>7</v>
      </c>
      <c r="J10" t="s">
        <v>19</v>
      </c>
      <c r="L10">
        <v>3200</v>
      </c>
      <c r="M10">
        <f t="shared" si="1"/>
        <v>2480</v>
      </c>
    </row>
    <row r="11" spans="1:13" x14ac:dyDescent="0.25">
      <c r="A11" t="s">
        <v>49</v>
      </c>
      <c r="B11" t="s">
        <v>50</v>
      </c>
      <c r="C11" t="s">
        <v>51</v>
      </c>
      <c r="D11" t="s">
        <v>52</v>
      </c>
      <c r="E11" t="s">
        <v>17</v>
      </c>
      <c r="F11">
        <v>400</v>
      </c>
      <c r="G11">
        <v>200</v>
      </c>
      <c r="H11">
        <v>2</v>
      </c>
      <c r="I11">
        <v>5</v>
      </c>
      <c r="J11" t="s">
        <v>19</v>
      </c>
      <c r="L11">
        <v>2400</v>
      </c>
      <c r="M11">
        <f t="shared" si="1"/>
        <v>1860</v>
      </c>
    </row>
    <row r="12" spans="1:13" x14ac:dyDescent="0.25">
      <c r="A12" t="s">
        <v>53</v>
      </c>
      <c r="B12" t="s">
        <v>54</v>
      </c>
      <c r="C12" t="s">
        <v>55</v>
      </c>
      <c r="D12" t="s">
        <v>56</v>
      </c>
      <c r="E12" t="s">
        <v>17</v>
      </c>
      <c r="F12" t="s">
        <v>32</v>
      </c>
      <c r="G12" t="s">
        <v>32</v>
      </c>
      <c r="H12" t="s">
        <v>32</v>
      </c>
      <c r="I12" t="s">
        <v>32</v>
      </c>
      <c r="J12" t="s">
        <v>19</v>
      </c>
    </row>
    <row r="13" spans="1:13" x14ac:dyDescent="0.25">
      <c r="A13" t="s">
        <v>57</v>
      </c>
      <c r="B13" t="s">
        <v>25</v>
      </c>
      <c r="C13" t="s">
        <v>58</v>
      </c>
      <c r="D13" t="s">
        <v>59</v>
      </c>
      <c r="E13" t="s">
        <v>17</v>
      </c>
      <c r="F13">
        <v>400</v>
      </c>
      <c r="G13">
        <v>200</v>
      </c>
      <c r="H13">
        <v>2</v>
      </c>
      <c r="I13">
        <v>5</v>
      </c>
      <c r="J13" t="s">
        <v>19</v>
      </c>
      <c r="L13">
        <v>2400</v>
      </c>
      <c r="M13">
        <f>L13*155/200</f>
        <v>1860</v>
      </c>
    </row>
    <row r="14" spans="1:13" x14ac:dyDescent="0.25">
      <c r="A14" t="s">
        <v>60</v>
      </c>
      <c r="B14" t="s">
        <v>61</v>
      </c>
      <c r="C14" t="s">
        <v>62</v>
      </c>
      <c r="D14" t="s">
        <v>63</v>
      </c>
      <c r="E14" t="s">
        <v>17</v>
      </c>
      <c r="F14">
        <v>800</v>
      </c>
      <c r="G14">
        <v>600</v>
      </c>
      <c r="H14">
        <v>1</v>
      </c>
      <c r="I14">
        <v>5</v>
      </c>
      <c r="J14" t="s">
        <v>19</v>
      </c>
      <c r="L14">
        <f>800+(600*4)</f>
        <v>3200</v>
      </c>
      <c r="M14">
        <f>L14*155/200</f>
        <v>2480</v>
      </c>
    </row>
    <row r="15" spans="1:13" x14ac:dyDescent="0.25">
      <c r="A15" s="1" t="s">
        <v>64</v>
      </c>
      <c r="B15" s="1" t="s">
        <v>25</v>
      </c>
      <c r="C15" s="1" t="s">
        <v>65</v>
      </c>
      <c r="D15" s="1" t="s">
        <v>66</v>
      </c>
      <c r="E15" s="1" t="s">
        <v>17</v>
      </c>
      <c r="F15" s="1" t="s">
        <v>18</v>
      </c>
      <c r="G15" s="1">
        <v>600</v>
      </c>
      <c r="H15" s="1">
        <v>2</v>
      </c>
      <c r="I15" s="1">
        <v>14</v>
      </c>
      <c r="J15" s="1" t="s">
        <v>19</v>
      </c>
      <c r="K15" s="1"/>
      <c r="L15" s="1">
        <f>14*600*2</f>
        <v>16800</v>
      </c>
      <c r="M15" s="1">
        <f t="shared" ref="M15:M22" si="2">L15*155/200</f>
        <v>13020</v>
      </c>
    </row>
    <row r="16" spans="1:13" x14ac:dyDescent="0.25">
      <c r="A16" t="s">
        <v>67</v>
      </c>
      <c r="B16" t="s">
        <v>25</v>
      </c>
      <c r="C16" t="s">
        <v>68</v>
      </c>
      <c r="D16" t="s">
        <v>69</v>
      </c>
      <c r="E16" t="s">
        <v>17</v>
      </c>
      <c r="F16">
        <v>400</v>
      </c>
      <c r="G16">
        <v>200</v>
      </c>
      <c r="H16">
        <v>2</v>
      </c>
      <c r="I16">
        <v>5</v>
      </c>
      <c r="J16" t="s">
        <v>19</v>
      </c>
      <c r="L16">
        <v>2400</v>
      </c>
      <c r="M16">
        <f t="shared" si="2"/>
        <v>1860</v>
      </c>
    </row>
    <row r="17" spans="1:13" x14ac:dyDescent="0.25">
      <c r="A17" t="s">
        <v>70</v>
      </c>
      <c r="B17" t="s">
        <v>71</v>
      </c>
      <c r="C17" t="s">
        <v>72</v>
      </c>
      <c r="D17" t="s">
        <v>73</v>
      </c>
      <c r="E17" t="s">
        <v>17</v>
      </c>
      <c r="F17">
        <v>800</v>
      </c>
      <c r="G17">
        <v>600</v>
      </c>
      <c r="H17">
        <v>1</v>
      </c>
      <c r="I17">
        <v>7</v>
      </c>
      <c r="J17" t="s">
        <v>19</v>
      </c>
      <c r="L17">
        <f>800+(600*6)</f>
        <v>4400</v>
      </c>
      <c r="M17">
        <f t="shared" si="2"/>
        <v>3410</v>
      </c>
    </row>
    <row r="18" spans="1:13" x14ac:dyDescent="0.25">
      <c r="A18" t="s">
        <v>74</v>
      </c>
      <c r="B18" t="s">
        <v>75</v>
      </c>
      <c r="C18" t="s">
        <v>76</v>
      </c>
      <c r="D18" t="s">
        <v>77</v>
      </c>
      <c r="E18" t="s">
        <v>17</v>
      </c>
      <c r="F18">
        <v>400</v>
      </c>
      <c r="G18">
        <v>200</v>
      </c>
      <c r="H18">
        <v>2</v>
      </c>
      <c r="I18">
        <v>7</v>
      </c>
      <c r="J18" t="s">
        <v>19</v>
      </c>
      <c r="L18">
        <v>3200</v>
      </c>
      <c r="M18">
        <f t="shared" si="2"/>
        <v>2480</v>
      </c>
    </row>
    <row r="19" spans="1:13" x14ac:dyDescent="0.25">
      <c r="A19" t="s">
        <v>78</v>
      </c>
      <c r="B19" t="s">
        <v>79</v>
      </c>
      <c r="C19" t="s">
        <v>80</v>
      </c>
      <c r="D19" t="s">
        <v>81</v>
      </c>
      <c r="E19" t="s">
        <v>17</v>
      </c>
      <c r="F19">
        <v>400</v>
      </c>
      <c r="G19">
        <v>200</v>
      </c>
      <c r="H19">
        <v>2</v>
      </c>
      <c r="I19">
        <v>5</v>
      </c>
      <c r="J19" t="s">
        <v>19</v>
      </c>
      <c r="L19">
        <f>800+(400*4)</f>
        <v>2400</v>
      </c>
      <c r="M19">
        <f t="shared" si="2"/>
        <v>1860</v>
      </c>
    </row>
    <row r="20" spans="1:13" x14ac:dyDescent="0.25">
      <c r="A20" t="s">
        <v>82</v>
      </c>
      <c r="B20" t="s">
        <v>25</v>
      </c>
      <c r="C20" t="s">
        <v>58</v>
      </c>
      <c r="D20" t="s">
        <v>83</v>
      </c>
      <c r="E20" t="s">
        <v>17</v>
      </c>
      <c r="F20">
        <v>400</v>
      </c>
      <c r="G20">
        <v>200</v>
      </c>
      <c r="H20">
        <v>2</v>
      </c>
      <c r="I20">
        <v>5</v>
      </c>
      <c r="J20" t="s">
        <v>19</v>
      </c>
      <c r="L20">
        <f>800+(400*4)</f>
        <v>2400</v>
      </c>
      <c r="M20">
        <f t="shared" si="2"/>
        <v>1860</v>
      </c>
    </row>
    <row r="21" spans="1:13" x14ac:dyDescent="0.25">
      <c r="A21" t="s">
        <v>84</v>
      </c>
      <c r="B21" t="s">
        <v>85</v>
      </c>
      <c r="C21" t="s">
        <v>86</v>
      </c>
      <c r="D21" t="s">
        <v>87</v>
      </c>
      <c r="E21" t="s">
        <v>17</v>
      </c>
      <c r="F21" t="s">
        <v>18</v>
      </c>
      <c r="G21">
        <v>400</v>
      </c>
      <c r="H21">
        <v>2</v>
      </c>
      <c r="I21">
        <v>10</v>
      </c>
      <c r="J21" t="s">
        <v>19</v>
      </c>
      <c r="L21">
        <v>8000</v>
      </c>
      <c r="M21">
        <f t="shared" si="2"/>
        <v>6200</v>
      </c>
    </row>
    <row r="22" spans="1:13" x14ac:dyDescent="0.25">
      <c r="A22" t="s">
        <v>88</v>
      </c>
      <c r="B22" t="s">
        <v>89</v>
      </c>
      <c r="C22" t="s">
        <v>90</v>
      </c>
      <c r="D22" t="s">
        <v>91</v>
      </c>
      <c r="E22" t="s">
        <v>17</v>
      </c>
      <c r="F22" t="s">
        <v>18</v>
      </c>
      <c r="G22">
        <v>200</v>
      </c>
      <c r="H22">
        <v>2</v>
      </c>
      <c r="I22">
        <v>7</v>
      </c>
      <c r="J22" t="s">
        <v>19</v>
      </c>
      <c r="L22">
        <f>400*7</f>
        <v>2800</v>
      </c>
      <c r="M22">
        <f t="shared" si="2"/>
        <v>2170</v>
      </c>
    </row>
    <row r="23" spans="1:13" x14ac:dyDescent="0.25">
      <c r="A23" t="s">
        <v>92</v>
      </c>
      <c r="B23" t="s">
        <v>93</v>
      </c>
      <c r="C23" t="s">
        <v>94</v>
      </c>
      <c r="D23" t="s">
        <v>95</v>
      </c>
      <c r="E23" t="s">
        <v>17</v>
      </c>
      <c r="F23">
        <v>800</v>
      </c>
      <c r="G23">
        <v>600</v>
      </c>
      <c r="H23">
        <v>1</v>
      </c>
      <c r="I23">
        <v>5</v>
      </c>
      <c r="J23" t="s">
        <v>19</v>
      </c>
      <c r="L23">
        <f>800+(600*4)</f>
        <v>3200</v>
      </c>
      <c r="M23">
        <f>L23*155/200</f>
        <v>2480</v>
      </c>
    </row>
    <row r="24" spans="1:13" x14ac:dyDescent="0.25">
      <c r="A24" t="s">
        <v>96</v>
      </c>
      <c r="B24" t="s">
        <v>25</v>
      </c>
      <c r="C24" t="s">
        <v>37</v>
      </c>
      <c r="D24" t="s">
        <v>97</v>
      </c>
      <c r="E24" t="s">
        <v>17</v>
      </c>
      <c r="F24">
        <v>400</v>
      </c>
      <c r="G24">
        <v>200</v>
      </c>
      <c r="H24">
        <v>2</v>
      </c>
      <c r="I24">
        <v>5</v>
      </c>
      <c r="J24" t="s">
        <v>19</v>
      </c>
      <c r="L24">
        <f>800+(400*4)</f>
        <v>2400</v>
      </c>
      <c r="M24">
        <f>L24*155/200</f>
        <v>1860</v>
      </c>
    </row>
    <row r="25" spans="1:13" x14ac:dyDescent="0.25">
      <c r="A25" t="s">
        <v>98</v>
      </c>
      <c r="B25" t="s">
        <v>25</v>
      </c>
      <c r="C25" t="s">
        <v>99</v>
      </c>
      <c r="D25" t="s">
        <v>100</v>
      </c>
      <c r="E25" t="s">
        <v>17</v>
      </c>
      <c r="F25">
        <v>400</v>
      </c>
      <c r="G25">
        <v>200</v>
      </c>
      <c r="H25">
        <v>2</v>
      </c>
      <c r="I25">
        <v>5</v>
      </c>
      <c r="J25" t="s">
        <v>19</v>
      </c>
      <c r="L25">
        <f>800+(400*4)</f>
        <v>2400</v>
      </c>
      <c r="M25">
        <f>L25*155/200</f>
        <v>1860</v>
      </c>
    </row>
    <row r="26" spans="1:13" x14ac:dyDescent="0.25">
      <c r="A26" t="s">
        <v>101</v>
      </c>
      <c r="B26" t="s">
        <v>25</v>
      </c>
      <c r="C26" t="s">
        <v>102</v>
      </c>
      <c r="D26" t="s">
        <v>103</v>
      </c>
      <c r="E26" t="s">
        <v>17</v>
      </c>
      <c r="F26" t="s">
        <v>18</v>
      </c>
      <c r="G26">
        <v>200</v>
      </c>
      <c r="H26">
        <v>2</v>
      </c>
      <c r="I26">
        <v>21</v>
      </c>
      <c r="J26" t="s">
        <v>19</v>
      </c>
      <c r="L26">
        <f>400*21</f>
        <v>8400</v>
      </c>
      <c r="M26">
        <f>L26*155/200</f>
        <v>6510</v>
      </c>
    </row>
    <row r="27" spans="1:13" x14ac:dyDescent="0.25">
      <c r="A27" t="s">
        <v>104</v>
      </c>
      <c r="B27" t="s">
        <v>75</v>
      </c>
      <c r="C27" t="s">
        <v>105</v>
      </c>
      <c r="D27" t="s">
        <v>106</v>
      </c>
      <c r="E27" t="s">
        <v>17</v>
      </c>
      <c r="F27">
        <v>400</v>
      </c>
      <c r="G27">
        <v>200</v>
      </c>
      <c r="H27">
        <v>2</v>
      </c>
      <c r="I27">
        <v>6</v>
      </c>
      <c r="J27" t="s">
        <v>19</v>
      </c>
      <c r="L27">
        <f>800+(400*5)</f>
        <v>2800</v>
      </c>
      <c r="M27">
        <f>L27*155/200</f>
        <v>2170</v>
      </c>
    </row>
    <row r="28" spans="1:13" x14ac:dyDescent="0.25">
      <c r="A28" t="s">
        <v>107</v>
      </c>
      <c r="B28" t="s">
        <v>25</v>
      </c>
      <c r="C28" t="s">
        <v>51</v>
      </c>
      <c r="D28" t="s">
        <v>108</v>
      </c>
      <c r="E28" t="s">
        <v>17</v>
      </c>
      <c r="F28" t="s">
        <v>18</v>
      </c>
      <c r="G28">
        <v>600</v>
      </c>
      <c r="H28">
        <v>1</v>
      </c>
      <c r="I28">
        <v>7</v>
      </c>
      <c r="J28" t="s">
        <v>19</v>
      </c>
      <c r="L28">
        <f>600*7</f>
        <v>4200</v>
      </c>
      <c r="M28">
        <f t="shared" ref="M28:M39" si="3">L28*155/200</f>
        <v>3255</v>
      </c>
    </row>
    <row r="29" spans="1:13" x14ac:dyDescent="0.25">
      <c r="A29" t="s">
        <v>109</v>
      </c>
      <c r="B29" t="s">
        <v>110</v>
      </c>
      <c r="C29" t="s">
        <v>111</v>
      </c>
      <c r="D29" t="s">
        <v>112</v>
      </c>
      <c r="E29" t="s">
        <v>17</v>
      </c>
      <c r="F29">
        <v>800</v>
      </c>
      <c r="G29">
        <v>400</v>
      </c>
      <c r="H29">
        <v>1</v>
      </c>
      <c r="I29">
        <v>3</v>
      </c>
      <c r="J29" t="s">
        <v>19</v>
      </c>
      <c r="L29">
        <v>1600</v>
      </c>
      <c r="M29">
        <f t="shared" si="3"/>
        <v>1240</v>
      </c>
    </row>
    <row r="30" spans="1:13" x14ac:dyDescent="0.25">
      <c r="A30" t="s">
        <v>113</v>
      </c>
      <c r="B30" t="s">
        <v>114</v>
      </c>
      <c r="C30" t="s">
        <v>115</v>
      </c>
      <c r="D30" t="s">
        <v>116</v>
      </c>
      <c r="E30" t="s">
        <v>17</v>
      </c>
      <c r="F30">
        <v>800</v>
      </c>
      <c r="G30">
        <v>400</v>
      </c>
      <c r="H30">
        <v>1</v>
      </c>
      <c r="I30">
        <v>10</v>
      </c>
      <c r="J30" t="s">
        <v>19</v>
      </c>
      <c r="L30">
        <f>800+(9*400)</f>
        <v>4400</v>
      </c>
      <c r="M30">
        <f t="shared" si="3"/>
        <v>3410</v>
      </c>
    </row>
    <row r="31" spans="1:13" x14ac:dyDescent="0.25">
      <c r="A31" t="s">
        <v>117</v>
      </c>
      <c r="B31" t="s">
        <v>118</v>
      </c>
      <c r="C31" t="s">
        <v>119</v>
      </c>
      <c r="D31" t="s">
        <v>120</v>
      </c>
      <c r="E31" t="s">
        <v>17</v>
      </c>
      <c r="F31">
        <v>600</v>
      </c>
      <c r="G31">
        <v>400</v>
      </c>
      <c r="H31">
        <v>1</v>
      </c>
      <c r="I31">
        <v>7</v>
      </c>
      <c r="J31" t="s">
        <v>19</v>
      </c>
      <c r="L31">
        <f>600+(400*6)</f>
        <v>3000</v>
      </c>
      <c r="M31">
        <f t="shared" si="3"/>
        <v>2325</v>
      </c>
    </row>
    <row r="32" spans="1:13" x14ac:dyDescent="0.25">
      <c r="A32" t="s">
        <v>121</v>
      </c>
      <c r="B32" t="s">
        <v>25</v>
      </c>
      <c r="C32" t="s">
        <v>37</v>
      </c>
      <c r="D32" t="s">
        <v>122</v>
      </c>
      <c r="E32" t="s">
        <v>17</v>
      </c>
      <c r="F32">
        <v>400</v>
      </c>
      <c r="G32">
        <v>200</v>
      </c>
      <c r="H32">
        <v>2</v>
      </c>
      <c r="I32">
        <v>5</v>
      </c>
      <c r="J32" t="s">
        <v>19</v>
      </c>
      <c r="K32" t="s">
        <v>123</v>
      </c>
      <c r="L32">
        <f>800+(400*4)</f>
        <v>2400</v>
      </c>
      <c r="M32">
        <f t="shared" si="3"/>
        <v>1860</v>
      </c>
    </row>
    <row r="33" spans="1:13" x14ac:dyDescent="0.25">
      <c r="A33" t="s">
        <v>124</v>
      </c>
      <c r="B33" t="s">
        <v>125</v>
      </c>
      <c r="C33" t="s">
        <v>126</v>
      </c>
      <c r="D33" t="s">
        <v>127</v>
      </c>
      <c r="E33" t="s">
        <v>17</v>
      </c>
      <c r="F33">
        <v>400</v>
      </c>
      <c r="G33">
        <v>200</v>
      </c>
      <c r="H33">
        <v>2</v>
      </c>
      <c r="I33">
        <v>5</v>
      </c>
      <c r="J33" t="s">
        <v>19</v>
      </c>
      <c r="L33">
        <f>800+(400*4)</f>
        <v>2400</v>
      </c>
      <c r="M33">
        <f t="shared" si="3"/>
        <v>1860</v>
      </c>
    </row>
    <row r="34" spans="1:13" x14ac:dyDescent="0.25">
      <c r="A34" t="s">
        <v>128</v>
      </c>
      <c r="B34" t="s">
        <v>129</v>
      </c>
      <c r="C34" t="s">
        <v>130</v>
      </c>
      <c r="D34" t="s">
        <v>131</v>
      </c>
      <c r="E34" t="s">
        <v>17</v>
      </c>
      <c r="F34" t="s">
        <v>18</v>
      </c>
      <c r="G34">
        <v>600</v>
      </c>
      <c r="H34">
        <v>1</v>
      </c>
      <c r="I34">
        <v>7</v>
      </c>
      <c r="J34" t="s">
        <v>19</v>
      </c>
      <c r="L34">
        <f>600*7</f>
        <v>4200</v>
      </c>
      <c r="M34">
        <f t="shared" si="3"/>
        <v>3255</v>
      </c>
    </row>
    <row r="35" spans="1:13" x14ac:dyDescent="0.25">
      <c r="A35" t="s">
        <v>132</v>
      </c>
      <c r="B35" t="s">
        <v>133</v>
      </c>
      <c r="C35" t="s">
        <v>134</v>
      </c>
      <c r="D35" t="s">
        <v>135</v>
      </c>
      <c r="E35" t="s">
        <v>17</v>
      </c>
      <c r="F35">
        <v>400</v>
      </c>
      <c r="G35">
        <v>200</v>
      </c>
      <c r="H35">
        <v>2</v>
      </c>
      <c r="I35">
        <v>10</v>
      </c>
      <c r="J35" t="s">
        <v>19</v>
      </c>
      <c r="L35">
        <f>800+(400*9)</f>
        <v>4400</v>
      </c>
      <c r="M35">
        <f t="shared" si="3"/>
        <v>3410</v>
      </c>
    </row>
    <row r="36" spans="1:13" x14ac:dyDescent="0.25">
      <c r="A36" t="s">
        <v>136</v>
      </c>
      <c r="B36" t="s">
        <v>137</v>
      </c>
      <c r="C36" t="s">
        <v>15</v>
      </c>
      <c r="D36" t="s">
        <v>138</v>
      </c>
      <c r="E36" t="s">
        <v>17</v>
      </c>
      <c r="F36">
        <v>400</v>
      </c>
      <c r="G36">
        <v>200</v>
      </c>
      <c r="H36">
        <v>2</v>
      </c>
      <c r="I36">
        <v>5</v>
      </c>
      <c r="J36" t="s">
        <v>19</v>
      </c>
      <c r="L36">
        <f>800+(400*4)</f>
        <v>2400</v>
      </c>
      <c r="M36">
        <f t="shared" si="3"/>
        <v>1860</v>
      </c>
    </row>
    <row r="37" spans="1:13" x14ac:dyDescent="0.25">
      <c r="A37" t="s">
        <v>139</v>
      </c>
      <c r="B37" t="s">
        <v>140</v>
      </c>
      <c r="C37" t="s">
        <v>141</v>
      </c>
      <c r="D37" t="s">
        <v>142</v>
      </c>
      <c r="E37" t="s">
        <v>17</v>
      </c>
      <c r="F37">
        <v>400</v>
      </c>
      <c r="G37">
        <v>200</v>
      </c>
      <c r="H37">
        <v>2</v>
      </c>
      <c r="I37">
        <v>5</v>
      </c>
      <c r="J37" t="s">
        <v>19</v>
      </c>
      <c r="L37">
        <f>800+(400*4)</f>
        <v>2400</v>
      </c>
      <c r="M37">
        <f t="shared" si="3"/>
        <v>1860</v>
      </c>
    </row>
    <row r="38" spans="1:13" x14ac:dyDescent="0.25">
      <c r="A38" s="1" t="s">
        <v>143</v>
      </c>
      <c r="B38" s="1" t="s">
        <v>25</v>
      </c>
      <c r="C38" s="1" t="s">
        <v>58</v>
      </c>
      <c r="D38" s="1" t="s">
        <v>144</v>
      </c>
      <c r="E38" s="1" t="s">
        <v>17</v>
      </c>
      <c r="F38" s="1" t="s">
        <v>18</v>
      </c>
      <c r="G38" s="1">
        <v>600</v>
      </c>
      <c r="H38" s="1">
        <v>2</v>
      </c>
      <c r="I38" s="1">
        <v>10</v>
      </c>
      <c r="J38" s="1" t="s">
        <v>19</v>
      </c>
      <c r="K38" s="1"/>
      <c r="L38" s="1">
        <v>12000</v>
      </c>
      <c r="M38" s="1">
        <f t="shared" si="3"/>
        <v>9300</v>
      </c>
    </row>
    <row r="39" spans="1:13" x14ac:dyDescent="0.25">
      <c r="A39" t="s">
        <v>145</v>
      </c>
      <c r="B39" t="s">
        <v>146</v>
      </c>
      <c r="C39" t="s">
        <v>51</v>
      </c>
      <c r="D39" t="s">
        <v>147</v>
      </c>
      <c r="E39" t="s">
        <v>17</v>
      </c>
      <c r="F39" t="s">
        <v>148</v>
      </c>
      <c r="G39">
        <v>200</v>
      </c>
      <c r="H39">
        <v>1</v>
      </c>
      <c r="I39">
        <v>14</v>
      </c>
      <c r="J39" t="s">
        <v>19</v>
      </c>
      <c r="L39">
        <f>1200+(200*11)</f>
        <v>3400</v>
      </c>
      <c r="M39">
        <f t="shared" si="3"/>
        <v>2635</v>
      </c>
    </row>
    <row r="40" spans="1:13" x14ac:dyDescent="0.25">
      <c r="A40" t="s">
        <v>149</v>
      </c>
      <c r="B40" t="s">
        <v>25</v>
      </c>
      <c r="C40" t="s">
        <v>150</v>
      </c>
      <c r="D40" t="s">
        <v>151</v>
      </c>
      <c r="E40" t="s">
        <v>17</v>
      </c>
      <c r="F40">
        <v>400</v>
      </c>
      <c r="G40">
        <v>200</v>
      </c>
      <c r="H40">
        <v>2</v>
      </c>
      <c r="J40" t="s">
        <v>19</v>
      </c>
    </row>
    <row r="41" spans="1:13" x14ac:dyDescent="0.25">
      <c r="A41" t="s">
        <v>152</v>
      </c>
      <c r="B41" t="s">
        <v>153</v>
      </c>
      <c r="C41" t="s">
        <v>154</v>
      </c>
      <c r="D41" t="s">
        <v>155</v>
      </c>
      <c r="E41" t="s">
        <v>17</v>
      </c>
      <c r="F41">
        <v>400</v>
      </c>
      <c r="G41">
        <v>200</v>
      </c>
      <c r="H41">
        <v>2</v>
      </c>
      <c r="I41">
        <v>5</v>
      </c>
      <c r="J41" t="s">
        <v>19</v>
      </c>
      <c r="L41">
        <f>800+(400*4)</f>
        <v>2400</v>
      </c>
      <c r="M41">
        <f>L41*155/200</f>
        <v>1860</v>
      </c>
    </row>
    <row r="42" spans="1:13" x14ac:dyDescent="0.25">
      <c r="A42" t="s">
        <v>156</v>
      </c>
      <c r="B42" t="s">
        <v>157</v>
      </c>
      <c r="C42" t="s">
        <v>51</v>
      </c>
      <c r="D42" t="s">
        <v>158</v>
      </c>
      <c r="E42" t="s">
        <v>17</v>
      </c>
      <c r="F42">
        <v>400</v>
      </c>
      <c r="G42">
        <v>200</v>
      </c>
      <c r="H42">
        <v>2</v>
      </c>
      <c r="I42">
        <v>9</v>
      </c>
      <c r="J42" t="s">
        <v>19</v>
      </c>
      <c r="L42">
        <f>800+(200*2*8)</f>
        <v>4000</v>
      </c>
      <c r="M42">
        <f t="shared" ref="M42:M51" si="4">L42*155/200</f>
        <v>3100</v>
      </c>
    </row>
    <row r="43" spans="1:13" s="1" customFormat="1" x14ac:dyDescent="0.25">
      <c r="A43" s="1" t="s">
        <v>159</v>
      </c>
      <c r="B43" s="1" t="s">
        <v>160</v>
      </c>
      <c r="C43" s="1" t="s">
        <v>161</v>
      </c>
      <c r="D43" s="2" t="s">
        <v>162</v>
      </c>
      <c r="E43" s="1" t="s">
        <v>17</v>
      </c>
      <c r="F43" s="1" t="s">
        <v>163</v>
      </c>
      <c r="G43" s="1">
        <v>400</v>
      </c>
      <c r="H43" s="1">
        <v>2</v>
      </c>
      <c r="I43" s="1">
        <v>10</v>
      </c>
      <c r="J43" s="1" t="s">
        <v>19</v>
      </c>
      <c r="L43" s="1">
        <f>800*2 + 400+ (400*2*9) + 400</f>
        <v>9600</v>
      </c>
      <c r="M43" s="1">
        <f t="shared" si="4"/>
        <v>7440</v>
      </c>
    </row>
    <row r="44" spans="1:13" x14ac:dyDescent="0.25">
      <c r="A44" t="s">
        <v>164</v>
      </c>
      <c r="B44" t="s">
        <v>25</v>
      </c>
      <c r="C44" t="s">
        <v>165</v>
      </c>
      <c r="D44" t="s">
        <v>166</v>
      </c>
      <c r="E44" t="s">
        <v>17</v>
      </c>
      <c r="F44" t="s">
        <v>18</v>
      </c>
      <c r="G44">
        <v>200</v>
      </c>
      <c r="H44">
        <v>2</v>
      </c>
      <c r="I44">
        <v>7</v>
      </c>
      <c r="J44" t="s">
        <v>19</v>
      </c>
      <c r="L44">
        <f>200*2*7</f>
        <v>2800</v>
      </c>
      <c r="M44">
        <f t="shared" si="4"/>
        <v>2170</v>
      </c>
    </row>
    <row r="45" spans="1:13" x14ac:dyDescent="0.25">
      <c r="A45" t="s">
        <v>167</v>
      </c>
      <c r="B45" t="s">
        <v>168</v>
      </c>
      <c r="C45" t="s">
        <v>169</v>
      </c>
      <c r="D45" t="s">
        <v>170</v>
      </c>
      <c r="E45" t="s">
        <v>17</v>
      </c>
      <c r="F45">
        <v>800</v>
      </c>
      <c r="G45">
        <v>400</v>
      </c>
      <c r="H45">
        <v>2</v>
      </c>
      <c r="I45">
        <v>7</v>
      </c>
      <c r="J45" t="s">
        <v>19</v>
      </c>
      <c r="L45">
        <f>1600+(6*800)</f>
        <v>6400</v>
      </c>
      <c r="M45">
        <f t="shared" si="4"/>
        <v>4960</v>
      </c>
    </row>
    <row r="46" spans="1:13" x14ac:dyDescent="0.25">
      <c r="A46" t="s">
        <v>171</v>
      </c>
      <c r="B46" t="s">
        <v>172</v>
      </c>
      <c r="C46" t="s">
        <v>173</v>
      </c>
      <c r="D46" t="s">
        <v>174</v>
      </c>
      <c r="E46" t="s">
        <v>17</v>
      </c>
      <c r="F46" t="s">
        <v>18</v>
      </c>
      <c r="G46">
        <v>200</v>
      </c>
      <c r="H46">
        <v>2</v>
      </c>
      <c r="I46">
        <v>5</v>
      </c>
      <c r="J46" t="s">
        <v>19</v>
      </c>
      <c r="L46">
        <f>400*5</f>
        <v>2000</v>
      </c>
      <c r="M46">
        <f t="shared" si="4"/>
        <v>1550</v>
      </c>
    </row>
    <row r="47" spans="1:13" x14ac:dyDescent="0.25">
      <c r="A47" t="s">
        <v>175</v>
      </c>
      <c r="B47" t="s">
        <v>176</v>
      </c>
      <c r="C47" t="s">
        <v>177</v>
      </c>
      <c r="D47" t="s">
        <v>178</v>
      </c>
      <c r="E47" t="s">
        <v>17</v>
      </c>
      <c r="F47">
        <v>800</v>
      </c>
      <c r="G47">
        <v>400</v>
      </c>
      <c r="H47">
        <v>1</v>
      </c>
      <c r="I47">
        <v>10</v>
      </c>
      <c r="J47" t="s">
        <v>19</v>
      </c>
      <c r="L47">
        <f>800+400*9</f>
        <v>4400</v>
      </c>
      <c r="M47">
        <f t="shared" si="4"/>
        <v>3410</v>
      </c>
    </row>
    <row r="48" spans="1:13" x14ac:dyDescent="0.25">
      <c r="A48" t="s">
        <v>179</v>
      </c>
      <c r="B48" t="s">
        <v>180</v>
      </c>
      <c r="C48" t="s">
        <v>181</v>
      </c>
      <c r="D48" t="s">
        <v>182</v>
      </c>
      <c r="E48" t="s">
        <v>17</v>
      </c>
      <c r="F48" t="s">
        <v>18</v>
      </c>
      <c r="G48">
        <v>600</v>
      </c>
      <c r="H48">
        <v>1</v>
      </c>
      <c r="I48">
        <v>14</v>
      </c>
      <c r="J48" t="s">
        <v>19</v>
      </c>
      <c r="L48">
        <f>600*14</f>
        <v>8400</v>
      </c>
      <c r="M48">
        <f t="shared" si="4"/>
        <v>6510</v>
      </c>
    </row>
    <row r="49" spans="1:13" x14ac:dyDescent="0.25">
      <c r="A49" t="s">
        <v>183</v>
      </c>
      <c r="B49" t="s">
        <v>157</v>
      </c>
      <c r="C49" t="s">
        <v>184</v>
      </c>
      <c r="D49" t="s">
        <v>185</v>
      </c>
      <c r="E49" t="s">
        <v>17</v>
      </c>
      <c r="F49">
        <v>400</v>
      </c>
      <c r="G49">
        <v>200</v>
      </c>
      <c r="H49">
        <v>2</v>
      </c>
      <c r="I49">
        <v>5</v>
      </c>
      <c r="J49" t="s">
        <v>19</v>
      </c>
      <c r="L49">
        <f>800+(400*4)</f>
        <v>2400</v>
      </c>
      <c r="M49">
        <f t="shared" si="4"/>
        <v>1860</v>
      </c>
    </row>
    <row r="50" spans="1:13" x14ac:dyDescent="0.25">
      <c r="A50" t="s">
        <v>186</v>
      </c>
      <c r="B50" t="s">
        <v>187</v>
      </c>
      <c r="C50" t="s">
        <v>188</v>
      </c>
      <c r="D50" t="s">
        <v>189</v>
      </c>
      <c r="E50" t="s">
        <v>17</v>
      </c>
      <c r="F50" t="s">
        <v>18</v>
      </c>
      <c r="G50">
        <v>200</v>
      </c>
      <c r="H50">
        <v>3</v>
      </c>
      <c r="I50">
        <v>10</v>
      </c>
      <c r="J50" t="s">
        <v>19</v>
      </c>
      <c r="L50">
        <v>6000</v>
      </c>
      <c r="M50">
        <f t="shared" si="4"/>
        <v>4650</v>
      </c>
    </row>
    <row r="51" spans="1:13" x14ac:dyDescent="0.25">
      <c r="A51" t="s">
        <v>190</v>
      </c>
      <c r="B51" t="s">
        <v>191</v>
      </c>
      <c r="C51" t="s">
        <v>192</v>
      </c>
      <c r="D51" t="s">
        <v>193</v>
      </c>
      <c r="E51" t="s">
        <v>17</v>
      </c>
      <c r="F51">
        <v>400</v>
      </c>
      <c r="G51">
        <v>200</v>
      </c>
      <c r="H51">
        <v>2</v>
      </c>
      <c r="I51">
        <v>5</v>
      </c>
      <c r="J51" t="s">
        <v>19</v>
      </c>
      <c r="L51">
        <f>800+(400*4)</f>
        <v>2400</v>
      </c>
      <c r="M51">
        <f t="shared" si="4"/>
        <v>1860</v>
      </c>
    </row>
    <row r="52" spans="1:13" x14ac:dyDescent="0.25">
      <c r="A52" t="s">
        <v>194</v>
      </c>
      <c r="B52" t="s">
        <v>195</v>
      </c>
      <c r="C52" t="s">
        <v>196</v>
      </c>
      <c r="D52" t="s">
        <v>197</v>
      </c>
      <c r="E52" t="s">
        <v>17</v>
      </c>
      <c r="F52">
        <v>1500</v>
      </c>
      <c r="G52">
        <v>500</v>
      </c>
      <c r="H52">
        <v>1</v>
      </c>
      <c r="I52">
        <v>10</v>
      </c>
      <c r="J52" t="s">
        <v>198</v>
      </c>
      <c r="K52" t="s">
        <v>123</v>
      </c>
      <c r="L52">
        <f>1500+(9*500)</f>
        <v>6000</v>
      </c>
      <c r="M52">
        <f>L52*155/250</f>
        <v>3720</v>
      </c>
    </row>
    <row r="53" spans="1:13" x14ac:dyDescent="0.25">
      <c r="A53" t="s">
        <v>199</v>
      </c>
      <c r="B53" t="s">
        <v>25</v>
      </c>
      <c r="C53" t="s">
        <v>200</v>
      </c>
      <c r="D53" t="s">
        <v>201</v>
      </c>
      <c r="E53" t="s">
        <v>17</v>
      </c>
      <c r="F53" t="s">
        <v>202</v>
      </c>
      <c r="G53">
        <v>500</v>
      </c>
      <c r="H53">
        <v>2</v>
      </c>
      <c r="I53">
        <v>5</v>
      </c>
      <c r="J53" t="s">
        <v>198</v>
      </c>
      <c r="L53">
        <f>1500+4000</f>
        <v>5500</v>
      </c>
      <c r="M53">
        <f t="shared" ref="M53:M59" si="5">L53*155/250</f>
        <v>3410</v>
      </c>
    </row>
    <row r="54" spans="1:13" x14ac:dyDescent="0.25">
      <c r="A54" t="s">
        <v>203</v>
      </c>
      <c r="B54" t="s">
        <v>204</v>
      </c>
      <c r="C54" t="s">
        <v>205</v>
      </c>
      <c r="D54" t="s">
        <v>206</v>
      </c>
      <c r="E54" t="s">
        <v>17</v>
      </c>
      <c r="F54">
        <v>1000</v>
      </c>
      <c r="G54">
        <v>500</v>
      </c>
      <c r="H54">
        <v>2</v>
      </c>
      <c r="I54">
        <v>7</v>
      </c>
      <c r="J54" t="s">
        <v>198</v>
      </c>
      <c r="L54">
        <f>2000+(6*1000)</f>
        <v>8000</v>
      </c>
      <c r="M54">
        <f t="shared" si="5"/>
        <v>4960</v>
      </c>
    </row>
    <row r="55" spans="1:13" x14ac:dyDescent="0.25">
      <c r="A55" s="1" t="s">
        <v>207</v>
      </c>
      <c r="B55" s="1" t="s">
        <v>208</v>
      </c>
      <c r="C55" s="1" t="s">
        <v>209</v>
      </c>
      <c r="D55" s="1" t="s">
        <v>210</v>
      </c>
      <c r="E55" s="1" t="s">
        <v>17</v>
      </c>
      <c r="F55" s="1" t="s">
        <v>18</v>
      </c>
      <c r="G55" s="1">
        <v>1000</v>
      </c>
      <c r="H55" s="1">
        <v>2</v>
      </c>
      <c r="I55" s="1">
        <v>10</v>
      </c>
      <c r="J55" s="1" t="s">
        <v>198</v>
      </c>
      <c r="K55" s="1"/>
      <c r="L55" s="1">
        <v>20000</v>
      </c>
      <c r="M55" s="1">
        <f t="shared" si="5"/>
        <v>12400</v>
      </c>
    </row>
    <row r="56" spans="1:13" x14ac:dyDescent="0.25">
      <c r="A56" t="s">
        <v>211</v>
      </c>
      <c r="B56" t="s">
        <v>212</v>
      </c>
      <c r="C56" t="s">
        <v>213</v>
      </c>
      <c r="D56" t="s">
        <v>214</v>
      </c>
      <c r="E56" t="s">
        <v>17</v>
      </c>
      <c r="F56" t="s">
        <v>18</v>
      </c>
      <c r="G56">
        <v>500</v>
      </c>
      <c r="H56">
        <v>2</v>
      </c>
      <c r="I56">
        <v>7</v>
      </c>
      <c r="J56" t="s">
        <v>198</v>
      </c>
      <c r="L56">
        <v>7000</v>
      </c>
      <c r="M56">
        <f t="shared" si="5"/>
        <v>4340</v>
      </c>
    </row>
    <row r="57" spans="1:13" x14ac:dyDescent="0.25">
      <c r="A57" t="s">
        <v>215</v>
      </c>
      <c r="B57" t="s">
        <v>216</v>
      </c>
      <c r="C57" t="s">
        <v>141</v>
      </c>
      <c r="D57" t="s">
        <v>217</v>
      </c>
      <c r="E57" t="s">
        <v>17</v>
      </c>
      <c r="F57" t="s">
        <v>18</v>
      </c>
      <c r="G57">
        <v>500</v>
      </c>
      <c r="H57">
        <v>2</v>
      </c>
      <c r="I57">
        <v>5</v>
      </c>
      <c r="J57" t="s">
        <v>198</v>
      </c>
      <c r="L57">
        <v>5000</v>
      </c>
      <c r="M57">
        <f t="shared" si="5"/>
        <v>3100</v>
      </c>
    </row>
    <row r="58" spans="1:13" x14ac:dyDescent="0.25">
      <c r="A58" t="s">
        <v>218</v>
      </c>
      <c r="B58" t="s">
        <v>219</v>
      </c>
      <c r="C58" t="s">
        <v>220</v>
      </c>
      <c r="D58" t="s">
        <v>221</v>
      </c>
      <c r="E58" t="s">
        <v>17</v>
      </c>
      <c r="F58">
        <v>1400</v>
      </c>
      <c r="G58">
        <v>750</v>
      </c>
      <c r="H58">
        <v>1</v>
      </c>
      <c r="I58">
        <v>5</v>
      </c>
      <c r="J58" t="s">
        <v>198</v>
      </c>
      <c r="L58">
        <f>1400+750*4</f>
        <v>4400</v>
      </c>
      <c r="M58">
        <f t="shared" si="5"/>
        <v>2728</v>
      </c>
    </row>
    <row r="59" spans="1:13" x14ac:dyDescent="0.25">
      <c r="A59" t="s">
        <v>222</v>
      </c>
      <c r="B59" t="s">
        <v>223</v>
      </c>
      <c r="C59" t="s">
        <v>224</v>
      </c>
      <c r="D59" t="s">
        <v>225</v>
      </c>
      <c r="E59" t="s">
        <v>17</v>
      </c>
      <c r="F59">
        <v>400</v>
      </c>
      <c r="G59">
        <v>200</v>
      </c>
      <c r="H59">
        <v>1</v>
      </c>
      <c r="I59">
        <v>14</v>
      </c>
      <c r="J59" t="s">
        <v>226</v>
      </c>
      <c r="L59">
        <f>400+(200*13)</f>
        <v>3000</v>
      </c>
      <c r="M59">
        <f t="shared" si="5"/>
        <v>1860</v>
      </c>
    </row>
  </sheetData>
  <hyperlinks>
    <hyperlink ref="D4" r:id="rId1"/>
    <hyperlink ref="D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Watson</cp:lastModifiedBy>
  <dcterms:created xsi:type="dcterms:W3CDTF">2020-06-11T02:52:10Z</dcterms:created>
  <dcterms:modified xsi:type="dcterms:W3CDTF">2020-07-04T07:34:10Z</dcterms:modified>
</cp:coreProperties>
</file>