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elif\Desktop\"/>
    </mc:Choice>
  </mc:AlternateContent>
  <xr:revisionPtr revIDLastSave="0" documentId="13_ncr:1_{ECD87880-52D8-4796-AEB7-848053CFE81C}" xr6:coauthVersionLast="47" xr6:coauthVersionMax="47" xr10:uidLastSave="{00000000-0000-0000-0000-000000000000}"/>
  <bookViews>
    <workbookView xWindow="-108" yWindow="-108" windowWidth="30936" windowHeight="16896" tabRatio="776" activeTab="3" xr2:uid="{00000000-000D-0000-FFFF-FFFF00000000}"/>
  </bookViews>
  <sheets>
    <sheet name="1.MOTOR DATA" sheetId="3" r:id="rId1"/>
    <sheet name="2.TEST DATA" sheetId="4" r:id="rId2"/>
    <sheet name="3.PARAMETERS (FROM TEST DATA)" sheetId="5" r:id="rId3"/>
    <sheet name="4.PARAMETERS ( FROM MOTOR DATA)" sheetId="6" r:id="rId4"/>
    <sheet name="5.PERFORMANCE"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6" l="1"/>
  <c r="D13" i="6"/>
  <c r="D8" i="5"/>
  <c r="T10" i="8"/>
  <c r="F10" i="8"/>
  <c r="D14" i="3" l="1"/>
  <c r="C17" i="8" l="1"/>
  <c r="Q64" i="8"/>
  <c r="Q56" i="8"/>
  <c r="Q48" i="8"/>
  <c r="Q40" i="8"/>
  <c r="Q32" i="8"/>
  <c r="Q24" i="8"/>
  <c r="Q16" i="8"/>
  <c r="Q70" i="8"/>
  <c r="Q54" i="8"/>
  <c r="Q46" i="8"/>
  <c r="Q30" i="8"/>
  <c r="Q14" i="8"/>
  <c r="Q69" i="8"/>
  <c r="Q61" i="8"/>
  <c r="Q53" i="8"/>
  <c r="Q45" i="8"/>
  <c r="Q37" i="8"/>
  <c r="Q29" i="8"/>
  <c r="Q13" i="8"/>
  <c r="Q27" i="8"/>
  <c r="Q58" i="8"/>
  <c r="Q42" i="8"/>
  <c r="Q18" i="8"/>
  <c r="Q25" i="8"/>
  <c r="Q63" i="8"/>
  <c r="Q55" i="8"/>
  <c r="Q47" i="8"/>
  <c r="Q39" i="8"/>
  <c r="Q31" i="8"/>
  <c r="Q23" i="8"/>
  <c r="Q15" i="8"/>
  <c r="C10" i="8"/>
  <c r="Q62" i="8"/>
  <c r="Q38" i="8"/>
  <c r="Q22" i="8"/>
  <c r="Q21" i="8"/>
  <c r="Q11" i="8"/>
  <c r="Q34" i="8"/>
  <c r="Q57" i="8"/>
  <c r="Q41" i="8"/>
  <c r="Q17" i="8"/>
  <c r="Q68" i="8"/>
  <c r="Q60" i="8"/>
  <c r="Q52" i="8"/>
  <c r="Q44" i="8"/>
  <c r="Q36" i="8"/>
  <c r="Q28" i="8"/>
  <c r="Q20" i="8"/>
  <c r="Q12" i="8"/>
  <c r="Q67" i="8"/>
  <c r="Q59" i="8"/>
  <c r="Q51" i="8"/>
  <c r="Q43" i="8"/>
  <c r="Q35" i="8"/>
  <c r="Q19" i="8"/>
  <c r="Q66" i="8"/>
  <c r="Q50" i="8"/>
  <c r="Q26" i="8"/>
  <c r="Q10" i="8"/>
  <c r="Q65" i="8"/>
  <c r="Q49" i="8"/>
  <c r="Q33" i="8"/>
  <c r="C46" i="8"/>
  <c r="C54" i="8"/>
  <c r="C70" i="8"/>
  <c r="C67" i="8"/>
  <c r="C62" i="8"/>
  <c r="C64" i="8"/>
  <c r="C56" i="8"/>
  <c r="C48" i="8"/>
  <c r="C40" i="8"/>
  <c r="C32" i="8"/>
  <c r="C24" i="8"/>
  <c r="C16" i="8"/>
  <c r="C63" i="8"/>
  <c r="C55" i="8"/>
  <c r="C47" i="8"/>
  <c r="C39" i="8"/>
  <c r="C31" i="8"/>
  <c r="C23" i="8"/>
  <c r="C15" i="8"/>
  <c r="C38" i="8"/>
  <c r="C30" i="8"/>
  <c r="C22" i="8"/>
  <c r="C14" i="8"/>
  <c r="C69" i="8"/>
  <c r="C61" i="8"/>
  <c r="C53" i="8"/>
  <c r="C45" i="8"/>
  <c r="C37" i="8"/>
  <c r="C29" i="8"/>
  <c r="C21" i="8"/>
  <c r="C13" i="8"/>
  <c r="C68" i="8"/>
  <c r="C60" i="8"/>
  <c r="C52" i="8"/>
  <c r="C44" i="8"/>
  <c r="C36" i="8"/>
  <c r="C28" i="8"/>
  <c r="C20" i="8"/>
  <c r="C12" i="8"/>
  <c r="C59" i="8"/>
  <c r="C51" i="8"/>
  <c r="C43" i="8"/>
  <c r="C35" i="8"/>
  <c r="C27" i="8"/>
  <c r="C19" i="8"/>
  <c r="C11" i="8"/>
  <c r="C66" i="8"/>
  <c r="C58" i="8"/>
  <c r="C50" i="8"/>
  <c r="C42" i="8"/>
  <c r="C34" i="8"/>
  <c r="C26" i="8"/>
  <c r="C18" i="8"/>
  <c r="C65" i="8"/>
  <c r="C57" i="8"/>
  <c r="C49" i="8"/>
  <c r="C41" i="8"/>
  <c r="C33" i="8"/>
  <c r="C25" i="8"/>
  <c r="D25" i="6"/>
  <c r="D26" i="6" s="1"/>
  <c r="G25" i="6"/>
  <c r="G18" i="6"/>
  <c r="G13" i="6"/>
  <c r="G14" i="6"/>
  <c r="G16" i="6" s="1"/>
  <c r="G12" i="6"/>
  <c r="D10" i="6"/>
  <c r="D21" i="3"/>
  <c r="D18" i="3"/>
  <c r="D11" i="6" s="1"/>
  <c r="D14" i="6"/>
  <c r="D9" i="4"/>
  <c r="D8" i="4"/>
  <c r="D10" i="5" s="1"/>
  <c r="D9" i="5"/>
  <c r="D14" i="5" s="1"/>
  <c r="G26" i="6" l="1"/>
  <c r="G27" i="6" s="1"/>
  <c r="G28" i="6" s="1"/>
  <c r="G10" i="6"/>
  <c r="D15" i="6"/>
  <c r="G17" i="6"/>
  <c r="G11" i="6"/>
  <c r="G15" i="6" s="1"/>
  <c r="D7" i="5"/>
  <c r="D11" i="5" s="1"/>
  <c r="D12" i="5" s="1"/>
  <c r="D15" i="5"/>
  <c r="G20" i="6" l="1"/>
  <c r="G21" i="6" s="1"/>
  <c r="R20" i="8" s="1"/>
  <c r="S20" i="8" s="1"/>
  <c r="T20" i="8" s="1"/>
  <c r="D18" i="6"/>
  <c r="D19" i="6" s="1"/>
  <c r="D16" i="5"/>
  <c r="D17" i="5" s="1"/>
  <c r="D10" i="8" s="1"/>
  <c r="E10" i="8" s="1"/>
  <c r="R53" i="8" l="1"/>
  <c r="S53" i="8" s="1"/>
  <c r="T53" i="8" s="1"/>
  <c r="R38" i="8"/>
  <c r="S38" i="8" s="1"/>
  <c r="T38" i="8" s="1"/>
  <c r="R19" i="8"/>
  <c r="S19" i="8" s="1"/>
  <c r="T19" i="8" s="1"/>
  <c r="R64" i="8"/>
  <c r="S64" i="8" s="1"/>
  <c r="T64" i="8" s="1"/>
  <c r="R15" i="8"/>
  <c r="S15" i="8" s="1"/>
  <c r="T15" i="8" s="1"/>
  <c r="R70" i="8"/>
  <c r="S70" i="8" s="1"/>
  <c r="T70" i="8" s="1"/>
  <c r="R34" i="8"/>
  <c r="S34" i="8" s="1"/>
  <c r="T34" i="8" s="1"/>
  <c r="R52" i="8"/>
  <c r="S52" i="8" s="1"/>
  <c r="T52" i="8" s="1"/>
  <c r="R61" i="8"/>
  <c r="S61" i="8" s="1"/>
  <c r="T61" i="8" s="1"/>
  <c r="R58" i="8"/>
  <c r="S58" i="8" s="1"/>
  <c r="T58" i="8" s="1"/>
  <c r="R45" i="8"/>
  <c r="S45" i="8" s="1"/>
  <c r="T45" i="8" s="1"/>
  <c r="R68" i="8"/>
  <c r="S68" i="8" s="1"/>
  <c r="T68" i="8" s="1"/>
  <c r="R17" i="8"/>
  <c r="S17" i="8" s="1"/>
  <c r="T17" i="8" s="1"/>
  <c r="R56" i="8"/>
  <c r="S56" i="8" s="1"/>
  <c r="T56" i="8" s="1"/>
  <c r="R59" i="8"/>
  <c r="S59" i="8" s="1"/>
  <c r="T59" i="8" s="1"/>
  <c r="R26" i="8"/>
  <c r="S26" i="8" s="1"/>
  <c r="T26" i="8" s="1"/>
  <c r="R40" i="8"/>
  <c r="S40" i="8" s="1"/>
  <c r="T40" i="8" s="1"/>
  <c r="R60" i="8"/>
  <c r="S60" i="8" s="1"/>
  <c r="T60" i="8" s="1"/>
  <c r="R54" i="8"/>
  <c r="S54" i="8" s="1"/>
  <c r="T54" i="8" s="1"/>
  <c r="R37" i="8"/>
  <c r="S37" i="8" s="1"/>
  <c r="T37" i="8" s="1"/>
  <c r="R66" i="8"/>
  <c r="S66" i="8" s="1"/>
  <c r="T66" i="8" s="1"/>
  <c r="R62" i="8"/>
  <c r="S62" i="8" s="1"/>
  <c r="T62" i="8" s="1"/>
  <c r="R25" i="8"/>
  <c r="S25" i="8" s="1"/>
  <c r="T25" i="8" s="1"/>
  <c r="R28" i="8"/>
  <c r="S28" i="8" s="1"/>
  <c r="T28" i="8" s="1"/>
  <c r="R21" i="8"/>
  <c r="S21" i="8" s="1"/>
  <c r="T21" i="8" s="1"/>
  <c r="R35" i="8"/>
  <c r="S35" i="8" s="1"/>
  <c r="T35" i="8" s="1"/>
  <c r="R42" i="8"/>
  <c r="S42" i="8" s="1"/>
  <c r="T42" i="8" s="1"/>
  <c r="R41" i="8"/>
  <c r="S41" i="8" s="1"/>
  <c r="T41" i="8" s="1"/>
  <c r="R16" i="8"/>
  <c r="S16" i="8" s="1"/>
  <c r="T16" i="8" s="1"/>
  <c r="R10" i="8"/>
  <c r="D70" i="8"/>
  <c r="E70" i="8" s="1"/>
  <c r="F70" i="8" s="1"/>
  <c r="D14" i="8"/>
  <c r="E14" i="8" s="1"/>
  <c r="F14" i="8" s="1"/>
  <c r="D19" i="8"/>
  <c r="E19" i="8" s="1"/>
  <c r="F19" i="8" s="1"/>
  <c r="D62" i="8"/>
  <c r="E62" i="8" s="1"/>
  <c r="F62" i="8" s="1"/>
  <c r="D61" i="8"/>
  <c r="E61" i="8" s="1"/>
  <c r="F61" i="8" s="1"/>
  <c r="D16" i="8"/>
  <c r="E16" i="8" s="1"/>
  <c r="F16" i="8" s="1"/>
  <c r="D60" i="8"/>
  <c r="E60" i="8" s="1"/>
  <c r="F60" i="8" s="1"/>
  <c r="D28" i="8"/>
  <c r="E28" i="8" s="1"/>
  <c r="F28" i="8" s="1"/>
  <c r="D21" i="8"/>
  <c r="E21" i="8" s="1"/>
  <c r="F21" i="8" s="1"/>
  <c r="D67" i="8"/>
  <c r="E67" i="8" s="1"/>
  <c r="F67" i="8" s="1"/>
  <c r="D23" i="8"/>
  <c r="E23" i="8" s="1"/>
  <c r="F23" i="8" s="1"/>
  <c r="D42" i="8"/>
  <c r="E42" i="8" s="1"/>
  <c r="F42" i="8" s="1"/>
  <c r="D56" i="8"/>
  <c r="E56" i="8" s="1"/>
  <c r="F56" i="8" s="1"/>
  <c r="D64" i="8"/>
  <c r="E64" i="8" s="1"/>
  <c r="F64" i="8" s="1"/>
  <c r="D59" i="8"/>
  <c r="E59" i="8" s="1"/>
  <c r="F59" i="8" s="1"/>
  <c r="D57" i="8"/>
  <c r="E57" i="8" s="1"/>
  <c r="F57" i="8" s="1"/>
  <c r="D55" i="8"/>
  <c r="E55" i="8" s="1"/>
  <c r="F55" i="8" s="1"/>
  <c r="D36" i="8"/>
  <c r="E36" i="8" s="1"/>
  <c r="F36" i="8" s="1"/>
  <c r="D44" i="8"/>
  <c r="E44" i="8" s="1"/>
  <c r="F44" i="8" s="1"/>
  <c r="D66" i="8"/>
  <c r="E66" i="8" s="1"/>
  <c r="F66" i="8" s="1"/>
  <c r="D38" i="8"/>
  <c r="E38" i="8" s="1"/>
  <c r="F38" i="8" s="1"/>
  <c r="D51" i="8"/>
  <c r="E51" i="8" s="1"/>
  <c r="F51" i="8" s="1"/>
  <c r="D32" i="8"/>
  <c r="E32" i="8" s="1"/>
  <c r="F32" i="8" s="1"/>
  <c r="D29" i="8"/>
  <c r="E29" i="8" s="1"/>
  <c r="F29" i="8" s="1"/>
  <c r="D41" i="8"/>
  <c r="E41" i="8" s="1"/>
  <c r="F41" i="8" s="1"/>
  <c r="D49" i="8"/>
  <c r="E49" i="8" s="1"/>
  <c r="F49" i="8" s="1"/>
  <c r="D25" i="8"/>
  <c r="E25" i="8" s="1"/>
  <c r="F25" i="8" s="1"/>
  <c r="D54" i="8"/>
  <c r="E54" i="8" s="1"/>
  <c r="F54" i="8" s="1"/>
  <c r="D11" i="8"/>
  <c r="E11" i="8" s="1"/>
  <c r="F11" i="8" s="1"/>
  <c r="D30" i="8"/>
  <c r="E30" i="8" s="1"/>
  <c r="F30" i="8" s="1"/>
  <c r="D31" i="8"/>
  <c r="E31" i="8" s="1"/>
  <c r="F31" i="8" s="1"/>
  <c r="D65" i="8"/>
  <c r="E65" i="8" s="1"/>
  <c r="F65" i="8" s="1"/>
  <c r="D26" i="8"/>
  <c r="E26" i="8" s="1"/>
  <c r="F26" i="8" s="1"/>
  <c r="D68" i="8"/>
  <c r="E68" i="8" s="1"/>
  <c r="F68" i="8" s="1"/>
  <c r="D34" i="8"/>
  <c r="E34" i="8" s="1"/>
  <c r="F34" i="8" s="1"/>
  <c r="D47" i="8"/>
  <c r="E47" i="8" s="1"/>
  <c r="F47" i="8" s="1"/>
  <c r="D17" i="8"/>
  <c r="E17" i="8" s="1"/>
  <c r="F17" i="8" s="1"/>
  <c r="D22" i="8"/>
  <c r="E22" i="8" s="1"/>
  <c r="F22" i="8" s="1"/>
  <c r="D63" i="8"/>
  <c r="E63" i="8" s="1"/>
  <c r="F63" i="8" s="1"/>
  <c r="D20" i="8"/>
  <c r="E20" i="8" s="1"/>
  <c r="F20" i="8" s="1"/>
  <c r="D27" i="8"/>
  <c r="E27" i="8" s="1"/>
  <c r="F27" i="8" s="1"/>
  <c r="D40" i="8"/>
  <c r="E40" i="8" s="1"/>
  <c r="F40" i="8" s="1"/>
  <c r="D35" i="8"/>
  <c r="E35" i="8" s="1"/>
  <c r="F35" i="8" s="1"/>
  <c r="D33" i="8"/>
  <c r="E33" i="8" s="1"/>
  <c r="F33" i="8" s="1"/>
  <c r="D53" i="8"/>
  <c r="E53" i="8" s="1"/>
  <c r="F53" i="8" s="1"/>
  <c r="D52" i="8"/>
  <c r="E52" i="8" s="1"/>
  <c r="F52" i="8" s="1"/>
  <c r="D13" i="8"/>
  <c r="E13" i="8" s="1"/>
  <c r="F13" i="8" s="1"/>
  <c r="D37" i="8"/>
  <c r="E37" i="8" s="1"/>
  <c r="F37" i="8" s="1"/>
  <c r="D12" i="8"/>
  <c r="E12" i="8" s="1"/>
  <c r="F12" i="8" s="1"/>
  <c r="D18" i="8"/>
  <c r="E18" i="8" s="1"/>
  <c r="F18" i="8" s="1"/>
  <c r="D24" i="8"/>
  <c r="E24" i="8" s="1"/>
  <c r="F24" i="8" s="1"/>
  <c r="D46" i="8"/>
  <c r="E46" i="8" s="1"/>
  <c r="F46" i="8" s="1"/>
  <c r="D48" i="8"/>
  <c r="E48" i="8" s="1"/>
  <c r="F48" i="8" s="1"/>
  <c r="D58" i="8"/>
  <c r="E58" i="8" s="1"/>
  <c r="F58" i="8" s="1"/>
  <c r="D39" i="8"/>
  <c r="E39" i="8" s="1"/>
  <c r="F39" i="8" s="1"/>
  <c r="D69" i="8"/>
  <c r="E69" i="8" s="1"/>
  <c r="F69" i="8" s="1"/>
  <c r="D45" i="8"/>
  <c r="E45" i="8" s="1"/>
  <c r="F45" i="8" s="1"/>
  <c r="D43" i="8"/>
  <c r="E43" i="8" s="1"/>
  <c r="F43" i="8" s="1"/>
  <c r="D50" i="8"/>
  <c r="E50" i="8" s="1"/>
  <c r="F50" i="8" s="1"/>
  <c r="D15" i="8"/>
  <c r="E15" i="8" s="1"/>
  <c r="F15" i="8" s="1"/>
  <c r="R57" i="8"/>
  <c r="S57" i="8" s="1"/>
  <c r="T57" i="8" s="1"/>
  <c r="R24" i="8"/>
  <c r="S24" i="8" s="1"/>
  <c r="T24" i="8" s="1"/>
  <c r="R47" i="8"/>
  <c r="S47" i="8" s="1"/>
  <c r="T47" i="8" s="1"/>
  <c r="R36" i="8"/>
  <c r="S36" i="8" s="1"/>
  <c r="T36" i="8" s="1"/>
  <c r="R63" i="8"/>
  <c r="S63" i="8" s="1"/>
  <c r="R39" i="8"/>
  <c r="S39" i="8" s="1"/>
  <c r="T39" i="8" s="1"/>
  <c r="R27" i="8"/>
  <c r="S27" i="8" s="1"/>
  <c r="T27" i="8" s="1"/>
  <c r="R14" i="8"/>
  <c r="S14" i="8" s="1"/>
  <c r="T14" i="8" s="1"/>
  <c r="R13" i="8"/>
  <c r="S13" i="8" s="1"/>
  <c r="T13" i="8" s="1"/>
  <c r="R30" i="8"/>
  <c r="S30" i="8" s="1"/>
  <c r="T30" i="8" s="1"/>
  <c r="R49" i="8"/>
  <c r="S49" i="8" s="1"/>
  <c r="T49" i="8" s="1"/>
  <c r="R46" i="8"/>
  <c r="S46" i="8" s="1"/>
  <c r="T46" i="8" s="1"/>
  <c r="R55" i="8"/>
  <c r="S55" i="8" s="1"/>
  <c r="T55" i="8" s="1"/>
  <c r="R31" i="8"/>
  <c r="S31" i="8" s="1"/>
  <c r="T31" i="8" s="1"/>
  <c r="R65" i="8"/>
  <c r="S65" i="8" s="1"/>
  <c r="T65" i="8" s="1"/>
  <c r="R29" i="8"/>
  <c r="S29" i="8" s="1"/>
  <c r="T29" i="8" s="1"/>
  <c r="R50" i="8"/>
  <c r="S50" i="8" s="1"/>
  <c r="T50" i="8" s="1"/>
  <c r="R43" i="8"/>
  <c r="S43" i="8" s="1"/>
  <c r="T43" i="8" s="1"/>
  <c r="R18" i="8"/>
  <c r="S18" i="8" s="1"/>
  <c r="T18" i="8" s="1"/>
  <c r="R48" i="8"/>
  <c r="S48" i="8" s="1"/>
  <c r="T48" i="8" s="1"/>
  <c r="R51" i="8"/>
  <c r="S51" i="8" s="1"/>
  <c r="T51" i="8" s="1"/>
  <c r="R33" i="8"/>
  <c r="S33" i="8" s="1"/>
  <c r="T33" i="8" s="1"/>
  <c r="R11" i="8"/>
  <c r="S11" i="8" s="1"/>
  <c r="T11" i="8" s="1"/>
  <c r="R23" i="8"/>
  <c r="S23" i="8" s="1"/>
  <c r="T23" i="8" s="1"/>
  <c r="R32" i="8"/>
  <c r="S32" i="8" s="1"/>
  <c r="T32" i="8" s="1"/>
  <c r="R67" i="8"/>
  <c r="S67" i="8" s="1"/>
  <c r="T67" i="8" s="1"/>
  <c r="R44" i="8"/>
  <c r="S44" i="8" s="1"/>
  <c r="T44" i="8" s="1"/>
  <c r="R69" i="8"/>
  <c r="S69" i="8" s="1"/>
  <c r="T69" i="8" s="1"/>
  <c r="R22" i="8"/>
  <c r="S22" i="8" s="1"/>
  <c r="T22" i="8" s="1"/>
  <c r="R12" i="8"/>
  <c r="S12" i="8" s="1"/>
  <c r="T12" i="8" s="1"/>
  <c r="T63" i="8" l="1"/>
  <c r="AF15" i="8" s="1"/>
  <c r="AF14" i="8"/>
  <c r="S10" i="8"/>
  <c r="AF13" i="8"/>
</calcChain>
</file>

<file path=xl/sharedStrings.xml><?xml version="1.0" encoding="utf-8"?>
<sst xmlns="http://schemas.openxmlformats.org/spreadsheetml/2006/main" count="124" uniqueCount="103">
  <si>
    <t>Delta</t>
  </si>
  <si>
    <t>MOTOR DATA</t>
  </si>
  <si>
    <t>200/2</t>
  </si>
  <si>
    <t>Power (kW)</t>
  </si>
  <si>
    <t>Conductor per slot</t>
  </si>
  <si>
    <t>Parallel path</t>
  </si>
  <si>
    <t>Air gap (cm)</t>
  </si>
  <si>
    <t>Voltage (V)</t>
  </si>
  <si>
    <t>Current (A)</t>
  </si>
  <si>
    <t>Real Power (P)</t>
  </si>
  <si>
    <t>Open Circuit Test</t>
  </si>
  <si>
    <t>End Ring</t>
  </si>
  <si>
    <t>Inertia (Kgm^2)</t>
  </si>
  <si>
    <t>h (mm)</t>
  </si>
  <si>
    <t>Do (mm)</t>
  </si>
  <si>
    <t>di (mm)</t>
  </si>
  <si>
    <t>Lc (mm)</t>
  </si>
  <si>
    <t>Frequency (Hz)</t>
  </si>
  <si>
    <t>Number of phases (q)</t>
  </si>
  <si>
    <t>Reactive Power (Q)</t>
  </si>
  <si>
    <t>Xbl</t>
  </si>
  <si>
    <t>Rbl</t>
  </si>
  <si>
    <t>Assume X1 = X2</t>
  </si>
  <si>
    <t>X1</t>
  </si>
  <si>
    <t>Xm</t>
  </si>
  <si>
    <t>X2</t>
  </si>
  <si>
    <t>Xnl</t>
  </si>
  <si>
    <t>Rc</t>
  </si>
  <si>
    <t>Number of poles</t>
  </si>
  <si>
    <t>Line voltage (V)</t>
  </si>
  <si>
    <t>Di (mm)</t>
  </si>
  <si>
    <t>Stator</t>
  </si>
  <si>
    <t>Rotor</t>
  </si>
  <si>
    <t>TEST DATA</t>
  </si>
  <si>
    <t>Resistane (Ω)</t>
  </si>
  <si>
    <t>Short Circuit Test</t>
  </si>
  <si>
    <t>R2 (Ω)</t>
  </si>
  <si>
    <t>Phase resistance - R1 (Ω)</t>
  </si>
  <si>
    <t>Parameters From Test Data</t>
  </si>
  <si>
    <t>Parameters From Motor Data</t>
  </si>
  <si>
    <t>Stator Resistance Calculation</t>
  </si>
  <si>
    <t>Resistivity (ρ, Ω.mm )</t>
  </si>
  <si>
    <t xml:space="preserve">Turns per phase </t>
  </si>
  <si>
    <t>Slot per pole per phase (q)</t>
  </si>
  <si>
    <t>Coil pitch</t>
  </si>
  <si>
    <t>Pole pitch</t>
  </si>
  <si>
    <t>Wire size (mm^2)</t>
  </si>
  <si>
    <t>SCHEMATICS</t>
  </si>
  <si>
    <t>SOURCE: Electric Machinery by A.E. Fitzgerald</t>
  </si>
  <si>
    <t>MLT (mm)</t>
  </si>
  <si>
    <t>R1 (Ω)</t>
  </si>
  <si>
    <t>kws</t>
  </si>
  <si>
    <t>Do_r (mm)</t>
  </si>
  <si>
    <t>End ring mean diameter (Dm, mm)</t>
  </si>
  <si>
    <t>Bar length (lbar, mm)</t>
  </si>
  <si>
    <t>End ring length (lend,mm)</t>
  </si>
  <si>
    <t>End ring area (Ae, mm^2)</t>
  </si>
  <si>
    <t>Rb (Ω)</t>
  </si>
  <si>
    <t>Rber (Ω)</t>
  </si>
  <si>
    <t>R2' (Ω)</t>
  </si>
  <si>
    <t>Assume X1=X2</t>
  </si>
  <si>
    <t>Tip width (mm)</t>
  </si>
  <si>
    <t>Connection type</t>
  </si>
  <si>
    <t>Stator slot</t>
  </si>
  <si>
    <t>Rotor slot</t>
  </si>
  <si>
    <t>Slot height (mm)</t>
  </si>
  <si>
    <t>Slot width (mm)</t>
  </si>
  <si>
    <t>Tip height (mm)</t>
  </si>
  <si>
    <t>Frame type</t>
  </si>
  <si>
    <t>Slot leakage reactance</t>
  </si>
  <si>
    <t>Bar area (mm^2)</t>
  </si>
  <si>
    <t>λs</t>
  </si>
  <si>
    <t>Rotor Resistance Calculation</t>
  </si>
  <si>
    <t>Leakage Reactances Calculation</t>
  </si>
  <si>
    <t>Magetizing Reactance Calculation</t>
  </si>
  <si>
    <t>Core Resistance Calculation</t>
  </si>
  <si>
    <t>Mass (Kg)</t>
  </si>
  <si>
    <t>Mean B (T)</t>
  </si>
  <si>
    <t>Core loss ratio</t>
  </si>
  <si>
    <t>Core loss (Watt)</t>
  </si>
  <si>
    <t>Rc (Ω)</t>
  </si>
  <si>
    <t>X</t>
  </si>
  <si>
    <t>C</t>
  </si>
  <si>
    <t>E</t>
  </si>
  <si>
    <t>Bar current (Ib, A)</t>
  </si>
  <si>
    <t>Magnetizing Current (A)</t>
  </si>
  <si>
    <t>Synchronous speed</t>
  </si>
  <si>
    <t>Slip</t>
  </si>
  <si>
    <t>Synchronous speed (rpm)</t>
  </si>
  <si>
    <t>DIMENTIONS</t>
  </si>
  <si>
    <t>CURVES</t>
  </si>
  <si>
    <t>Torque (Nm)</t>
  </si>
  <si>
    <t>Current I'2 (A)</t>
  </si>
  <si>
    <t>Speed (rpm)</t>
  </si>
  <si>
    <t>PERFORMANCE</t>
  </si>
  <si>
    <t>Torque &amp; Speed Characteristic (Test Data)</t>
  </si>
  <si>
    <t>Torque &amp; Speed Characteristic (Motor Data)</t>
  </si>
  <si>
    <t>Pcore (W)</t>
  </si>
  <si>
    <t>Since parameters calculated from motor data deviates from the parameters calculated from the test data, the performance of the analytical calculations are less than the test results. But still, the results are pretty close.</t>
  </si>
  <si>
    <t>Current Error</t>
  </si>
  <si>
    <t>Torque Error</t>
  </si>
  <si>
    <t>Power Error</t>
  </si>
  <si>
    <t xml:space="preserve">ELİF TOPALOĞLU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</si>
</sst>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
    <numFmt numFmtId="166" formatCode="0.0"/>
  </numFmts>
  <fonts count="17" x14ac:knownFonts="1">
    <font>
      <sz val="11"/>
      <color theme="1"/>
      <name val="Calibri"/>
      <family val="2"/>
      <scheme val="minor"/>
    </font>
    <font>
      <sz val="11"/>
      <color rgb="FFFF0000"/>
      <name val="Calibri"/>
      <family val="2"/>
      <scheme val="minor"/>
    </font>
    <font>
      <sz val="14"/>
      <color theme="1"/>
      <name val="Calibri"/>
      <family val="2"/>
      <scheme val="minor"/>
    </font>
    <font>
      <b/>
      <sz val="14"/>
      <color theme="1"/>
      <name val="Calibri"/>
      <family val="2"/>
      <scheme val="minor"/>
    </font>
    <font>
      <b/>
      <i/>
      <sz val="18"/>
      <color theme="1"/>
      <name val="Calibri"/>
      <family val="2"/>
      <scheme val="minor"/>
    </font>
    <font>
      <sz val="14"/>
      <color rgb="FFFF0000"/>
      <name val="Calibri"/>
      <family val="2"/>
      <scheme val="minor"/>
    </font>
    <font>
      <b/>
      <sz val="15"/>
      <color theme="1"/>
      <name val="Calibri"/>
      <family val="2"/>
      <scheme val="minor"/>
    </font>
    <font>
      <sz val="14"/>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22"/>
      <color theme="1"/>
      <name val="Calibri"/>
      <family val="2"/>
      <scheme val="minor"/>
    </font>
    <font>
      <b/>
      <sz val="22"/>
      <color theme="1"/>
      <name val="Calibri"/>
      <family val="2"/>
      <scheme val="minor"/>
    </font>
    <font>
      <sz val="10"/>
      <color theme="1"/>
      <name val="Calibri"/>
      <family val="2"/>
      <scheme val="minor"/>
    </font>
    <font>
      <b/>
      <i/>
      <sz val="10"/>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8">
    <xf numFmtId="0" fontId="0" fillId="0" borderId="0" xfId="0"/>
    <xf numFmtId="1" fontId="0" fillId="0" borderId="0" xfId="0" applyNumberFormat="1"/>
    <xf numFmtId="0" fontId="2" fillId="0" borderId="0" xfId="0" applyFont="1"/>
    <xf numFmtId="0" fontId="2" fillId="0" borderId="1" xfId="0" applyFont="1" applyBorder="1"/>
    <xf numFmtId="0" fontId="2" fillId="0" borderId="2" xfId="0" applyFont="1" applyBorder="1" applyAlignment="1">
      <alignment horizontal="center" vertical="center"/>
    </xf>
    <xf numFmtId="0" fontId="2" fillId="0" borderId="3" xfId="0" applyFont="1" applyBorder="1"/>
    <xf numFmtId="0" fontId="2" fillId="0" borderId="4" xfId="0" applyFont="1" applyBorder="1" applyAlignment="1">
      <alignment horizontal="center" vertical="center"/>
    </xf>
    <xf numFmtId="0" fontId="2" fillId="0" borderId="5" xfId="0" applyFont="1" applyBorder="1"/>
    <xf numFmtId="0" fontId="2" fillId="0" borderId="6" xfId="0" applyFont="1" applyBorder="1" applyAlignment="1">
      <alignment horizontal="center" vertical="center"/>
    </xf>
    <xf numFmtId="0" fontId="2" fillId="3" borderId="3" xfId="0" applyFont="1" applyFill="1" applyBorder="1"/>
    <xf numFmtId="0" fontId="4" fillId="0" borderId="0" xfId="0" applyFont="1"/>
    <xf numFmtId="0" fontId="2" fillId="0" borderId="0" xfId="0" applyFont="1" applyAlignment="1">
      <alignment horizontal="center" vertical="center"/>
    </xf>
    <xf numFmtId="0" fontId="2" fillId="3" borderId="1" xfId="0" applyFont="1" applyFill="1" applyBorder="1"/>
    <xf numFmtId="0" fontId="2" fillId="3" borderId="5" xfId="0" applyFont="1" applyFill="1" applyBorder="1"/>
    <xf numFmtId="0" fontId="2" fillId="0" borderId="0" xfId="0" applyFont="1" applyAlignment="1">
      <alignment vertical="center"/>
    </xf>
    <xf numFmtId="0" fontId="2" fillId="0" borderId="2" xfId="0" applyFont="1" applyBorder="1"/>
    <xf numFmtId="0" fontId="2" fillId="0" borderId="4" xfId="0" applyFont="1" applyBorder="1"/>
    <xf numFmtId="0" fontId="2" fillId="0" borderId="6" xfId="0" applyFont="1" applyBorder="1"/>
    <xf numFmtId="0" fontId="2" fillId="2" borderId="1" xfId="0" applyFont="1" applyFill="1" applyBorder="1"/>
    <xf numFmtId="0" fontId="2" fillId="2" borderId="3" xfId="0" applyFont="1" applyFill="1" applyBorder="1"/>
    <xf numFmtId="0" fontId="2" fillId="2" borderId="5" xfId="0" applyFont="1" applyFill="1" applyBorder="1"/>
    <xf numFmtId="164" fontId="2" fillId="0" borderId="4" xfId="0" applyNumberFormat="1" applyFont="1" applyBorder="1"/>
    <xf numFmtId="165" fontId="2" fillId="0" borderId="4" xfId="0" applyNumberFormat="1" applyFont="1" applyBorder="1"/>
    <xf numFmtId="0" fontId="0" fillId="0" borderId="0" xfId="0" applyAlignment="1">
      <alignment horizontal="center"/>
    </xf>
    <xf numFmtId="0" fontId="3" fillId="0" borderId="0" xfId="0" applyFont="1" applyAlignment="1">
      <alignment vertical="center" wrapText="1"/>
    </xf>
    <xf numFmtId="0" fontId="1" fillId="0" borderId="0" xfId="0" applyFont="1"/>
    <xf numFmtId="0" fontId="5" fillId="0" borderId="3" xfId="0" applyFont="1" applyBorder="1"/>
    <xf numFmtId="0" fontId="2" fillId="5" borderId="5" xfId="0" applyFont="1" applyFill="1" applyBorder="1"/>
    <xf numFmtId="0" fontId="7" fillId="0" borderId="3" xfId="0" applyFont="1" applyBorder="1"/>
    <xf numFmtId="0" fontId="2" fillId="5" borderId="3" xfId="0" applyFont="1" applyFill="1" applyBorder="1"/>
    <xf numFmtId="0" fontId="2" fillId="5" borderId="1" xfId="0" applyFont="1" applyFill="1" applyBorder="1"/>
    <xf numFmtId="166" fontId="2" fillId="0" borderId="2" xfId="0" applyNumberFormat="1" applyFont="1" applyBorder="1"/>
    <xf numFmtId="0" fontId="0" fillId="0" borderId="0" xfId="0" applyAlignment="1">
      <alignment horizontal="center" vertical="center"/>
    </xf>
    <xf numFmtId="0" fontId="4" fillId="0" borderId="0" xfId="0" applyFont="1" applyAlignment="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3" borderId="5" xfId="0" applyFill="1" applyBorder="1" applyAlignment="1">
      <alignment horizontal="center" vertical="center"/>
    </xf>
    <xf numFmtId="0" fontId="9" fillId="3" borderId="0" xfId="0" applyFont="1" applyFill="1" applyAlignment="1">
      <alignment horizontal="center" vertical="center"/>
    </xf>
    <xf numFmtId="0" fontId="8" fillId="3" borderId="0" xfId="0" applyFont="1" applyFill="1" applyAlignment="1">
      <alignment horizontal="center" vertical="center" wrapText="1"/>
    </xf>
    <xf numFmtId="0" fontId="2" fillId="3" borderId="9" xfId="0" applyFont="1" applyFill="1" applyBorder="1"/>
    <xf numFmtId="0" fontId="2" fillId="3" borderId="10" xfId="0" applyFont="1" applyFill="1" applyBorder="1"/>
    <xf numFmtId="0" fontId="2" fillId="3" borderId="11" xfId="0" applyFont="1" applyFill="1" applyBorder="1"/>
    <xf numFmtId="0" fontId="10" fillId="6" borderId="1" xfId="0" applyFont="1" applyFill="1" applyBorder="1"/>
    <xf numFmtId="0" fontId="10" fillId="6" borderId="3" xfId="0" applyFont="1" applyFill="1" applyBorder="1"/>
    <xf numFmtId="0" fontId="10" fillId="6" borderId="5" xfId="0" applyFont="1" applyFill="1" applyBorder="1"/>
    <xf numFmtId="2" fontId="0" fillId="0" borderId="8" xfId="0" applyNumberFormat="1" applyBorder="1" applyAlignment="1">
      <alignment horizontal="center" vertical="center"/>
    </xf>
    <xf numFmtId="2" fontId="0" fillId="0" borderId="2" xfId="0" applyNumberFormat="1" applyBorder="1" applyAlignment="1">
      <alignment horizontal="center" vertical="center"/>
    </xf>
    <xf numFmtId="2" fontId="0" fillId="0" borderId="0" xfId="0" applyNumberFormat="1" applyAlignment="1">
      <alignment horizontal="center" vertical="center"/>
    </xf>
    <xf numFmtId="2" fontId="0" fillId="0" borderId="4" xfId="0" applyNumberFormat="1" applyBorder="1" applyAlignment="1">
      <alignment horizontal="center" vertical="center"/>
    </xf>
    <xf numFmtId="2" fontId="0" fillId="3" borderId="7" xfId="0" applyNumberFormat="1" applyFill="1" applyBorder="1" applyAlignment="1">
      <alignment horizontal="center" vertical="center"/>
    </xf>
    <xf numFmtId="2" fontId="0" fillId="3" borderId="6" xfId="0" applyNumberFormat="1" applyFill="1" applyBorder="1" applyAlignment="1">
      <alignment horizontal="center" vertical="center"/>
    </xf>
    <xf numFmtId="2" fontId="11" fillId="0" borderId="2" xfId="0" applyNumberFormat="1" applyFont="1" applyBorder="1"/>
    <xf numFmtId="2" fontId="11" fillId="0" borderId="4" xfId="0" applyNumberFormat="1" applyFont="1" applyBorder="1"/>
    <xf numFmtId="2" fontId="11" fillId="0" borderId="6" xfId="0" applyNumberFormat="1" applyFont="1" applyBorder="1"/>
    <xf numFmtId="2" fontId="2" fillId="0" borderId="4" xfId="0" applyNumberFormat="1" applyFont="1" applyBorder="1"/>
    <xf numFmtId="2" fontId="2" fillId="5" borderId="6" xfId="0" applyNumberFormat="1" applyFont="1" applyFill="1" applyBorder="1"/>
    <xf numFmtId="2" fontId="2" fillId="0" borderId="2" xfId="0" applyNumberFormat="1" applyFont="1" applyBorder="1"/>
    <xf numFmtId="2" fontId="2" fillId="5" borderId="4" xfId="0" applyNumberFormat="1" applyFont="1" applyFill="1" applyBorder="1"/>
    <xf numFmtId="2" fontId="2" fillId="5" borderId="2" xfId="0" applyNumberFormat="1" applyFont="1" applyFill="1" applyBorder="1"/>
    <xf numFmtId="0" fontId="12" fillId="7" borderId="0" xfId="0" applyFont="1" applyFill="1"/>
    <xf numFmtId="0" fontId="14" fillId="0" borderId="0" xfId="0" applyFont="1"/>
    <xf numFmtId="0" fontId="15" fillId="0" borderId="0" xfId="0" applyFont="1"/>
    <xf numFmtId="0" fontId="16" fillId="0" borderId="0" xfId="0" applyFont="1" applyAlignment="1">
      <alignment horizont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13" fillId="7" borderId="0" xfId="0" applyFont="1" applyFill="1" applyAlignment="1">
      <alignment horizontal="center"/>
    </xf>
    <xf numFmtId="0" fontId="3"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xf>
    <xf numFmtId="0" fontId="6" fillId="4" borderId="7" xfId="0" applyFont="1" applyFill="1" applyBorder="1" applyAlignment="1">
      <alignment horizontal="center"/>
    </xf>
    <xf numFmtId="0" fontId="6" fillId="4" borderId="0" xfId="0" applyFont="1" applyFill="1" applyAlignment="1">
      <alignment horizontal="center"/>
    </xf>
    <xf numFmtId="0" fontId="4" fillId="0" borderId="0" xfId="0" applyFont="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Input Current </a:t>
            </a:r>
            <a:r>
              <a:rPr lang="en-US"/>
              <a:t>vs. Speed</a:t>
            </a:r>
            <a:r>
              <a:rPr lang="tr-TR"/>
              <a:t> (Test</a:t>
            </a:r>
            <a:r>
              <a:rPr lang="tr-TR" baseline="0"/>
              <a:t> Data)</a:t>
            </a:r>
            <a:endParaRPr lang="en-US"/>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'5.PERFORMANCE'!$D$9</c:f>
              <c:strCache>
                <c:ptCount val="1"/>
                <c:pt idx="0">
                  <c:v>Current I'2 (A)</c:v>
                </c:pt>
              </c:strCache>
            </c:strRef>
          </c:tx>
          <c:spPr>
            <a:ln w="19050" cap="rnd">
              <a:solidFill>
                <a:schemeClr val="accent1"/>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'5.PERFORMANCE'!$D$10:$D$70</c:f>
              <c:numCache>
                <c:formatCode>0.00</c:formatCode>
                <c:ptCount val="61"/>
                <c:pt idx="0">
                  <c:v>75.465398795809051</c:v>
                </c:pt>
                <c:pt idx="1">
                  <c:v>75.449064613637233</c:v>
                </c:pt>
                <c:pt idx="2">
                  <c:v>75.431957348460571</c:v>
                </c:pt>
                <c:pt idx="3">
                  <c:v>75.414025543691722</c:v>
                </c:pt>
                <c:pt idx="4">
                  <c:v>75.395213325103171</c:v>
                </c:pt>
                <c:pt idx="5">
                  <c:v>75.37545993488915</c:v>
                </c:pt>
                <c:pt idx="6">
                  <c:v>75.354699207234475</c:v>
                </c:pt>
                <c:pt idx="7">
                  <c:v>75.33285897684388</c:v>
                </c:pt>
                <c:pt idx="8">
                  <c:v>75.309860410455912</c:v>
                </c:pt>
                <c:pt idx="9">
                  <c:v>75.285617249666075</c:v>
                </c:pt>
                <c:pt idx="10">
                  <c:v>75.260034951357653</c:v>
                </c:pt>
                <c:pt idx="11">
                  <c:v>75.233009709614223</c:v>
                </c:pt>
                <c:pt idx="12">
                  <c:v>75.204427340079974</c:v>
                </c:pt>
                <c:pt idx="13">
                  <c:v>75.174162004231334</c:v>
                </c:pt>
                <c:pt idx="14">
                  <c:v>75.142074746793881</c:v>
                </c:pt>
                <c:pt idx="15">
                  <c:v>75.108011814410077</c:v>
                </c:pt>
                <c:pt idx="16">
                  <c:v>75.07180271742422</c:v>
                </c:pt>
                <c:pt idx="17">
                  <c:v>75.033257989030986</c:v>
                </c:pt>
                <c:pt idx="18">
                  <c:v>74.992166586691141</c:v>
                </c:pt>
                <c:pt idx="19">
                  <c:v>74.948292869216985</c:v>
                </c:pt>
                <c:pt idx="20">
                  <c:v>74.901373068711365</c:v>
                </c:pt>
                <c:pt idx="21">
                  <c:v>74.851111158890433</c:v>
                </c:pt>
                <c:pt idx="22">
                  <c:v>74.797173999300753</c:v>
                </c:pt>
                <c:pt idx="23">
                  <c:v>74.739185607348318</c:v>
                </c:pt>
                <c:pt idx="24">
                  <c:v>74.676720375309628</c:v>
                </c:pt>
                <c:pt idx="25">
                  <c:v>74.609295005516586</c:v>
                </c:pt>
                <c:pt idx="26">
                  <c:v>74.53635888095242</c:v>
                </c:pt>
                <c:pt idx="27">
                  <c:v>74.457282516911803</c:v>
                </c:pt>
                <c:pt idx="28">
                  <c:v>74.371343647280014</c:v>
                </c:pt>
                <c:pt idx="29">
                  <c:v>74.277710379794087</c:v>
                </c:pt>
                <c:pt idx="30">
                  <c:v>74.175420699445951</c:v>
                </c:pt>
                <c:pt idx="31">
                  <c:v>74.063357395810669</c:v>
                </c:pt>
                <c:pt idx="32">
                  <c:v>73.940217221823701</c:v>
                </c:pt>
                <c:pt idx="33">
                  <c:v>73.804472735281578</c:v>
                </c:pt>
                <c:pt idx="34">
                  <c:v>73.654324797917923</c:v>
                </c:pt>
                <c:pt idx="35">
                  <c:v>73.487643065172605</c:v>
                </c:pt>
                <c:pt idx="36">
                  <c:v>73.301890928979873</c:v>
                </c:pt>
                <c:pt idx="37">
                  <c:v>73.094030185411967</c:v>
                </c:pt>
                <c:pt idx="38">
                  <c:v>72.860399059137151</c:v>
                </c:pt>
                <c:pt idx="39">
                  <c:v>72.596554940743061</c:v>
                </c:pt>
                <c:pt idx="40">
                  <c:v>72.29707001119705</c:v>
                </c:pt>
                <c:pt idx="41">
                  <c:v>71.955263448752618</c:v>
                </c:pt>
                <c:pt idx="42">
                  <c:v>71.562847569811595</c:v>
                </c:pt>
                <c:pt idx="43">
                  <c:v>71.109456226326628</c:v>
                </c:pt>
                <c:pt idx="44">
                  <c:v>70.582010895782972</c:v>
                </c:pt>
                <c:pt idx="45">
                  <c:v>69.963861518302778</c:v>
                </c:pt>
                <c:pt idx="46">
                  <c:v>69.233613078275823</c:v>
                </c:pt>
                <c:pt idx="47">
                  <c:v>68.363512574118232</c:v>
                </c:pt>
                <c:pt idx="48">
                  <c:v>67.31722199696199</c:v>
                </c:pt>
                <c:pt idx="49">
                  <c:v>66.046741434164446</c:v>
                </c:pt>
                <c:pt idx="50">
                  <c:v>64.48818162865669</c:v>
                </c:pt>
                <c:pt idx="51">
                  <c:v>62.556051915052713</c:v>
                </c:pt>
                <c:pt idx="52">
                  <c:v>60.135826395888671</c:v>
                </c:pt>
                <c:pt idx="53">
                  <c:v>57.075025699078807</c:v>
                </c:pt>
                <c:pt idx="54">
                  <c:v>53.174452573821341</c:v>
                </c:pt>
                <c:pt idx="55">
                  <c:v>48.184574997504548</c:v>
                </c:pt>
                <c:pt idx="56">
                  <c:v>41.818657606229884</c:v>
                </c:pt>
                <c:pt idx="57">
                  <c:v>33.803571045886827</c:v>
                </c:pt>
                <c:pt idx="58">
                  <c:v>23.992188289309095</c:v>
                </c:pt>
                <c:pt idx="59">
                  <c:v>12.531959097131995</c:v>
                </c:pt>
                <c:pt idx="60">
                  <c:v>7.6624503173364272E-13</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Input</a:t>
                </a:r>
                <a:r>
                  <a:rPr lang="en-US"/>
                  <a:t> 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Torque </a:t>
            </a:r>
            <a:r>
              <a:rPr lang="en-US"/>
              <a:t>vs. Speed</a:t>
            </a:r>
            <a:r>
              <a:rPr lang="tr-TR"/>
              <a:t> (Test</a:t>
            </a:r>
            <a:r>
              <a:rPr lang="tr-TR" baseline="0"/>
              <a:t> Data)</a:t>
            </a:r>
            <a:endParaRPr lang="en-US"/>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'5.PERFORMANCE'!$E$9</c:f>
              <c:strCache>
                <c:ptCount val="1"/>
                <c:pt idx="0">
                  <c:v>Torque (Nm)</c:v>
                </c:pt>
              </c:strCache>
            </c:strRef>
          </c:tx>
          <c:spPr>
            <a:ln w="19050" cap="rnd">
              <a:solidFill>
                <a:schemeClr val="accent2"/>
              </a:solidFill>
              <a:round/>
            </a:ln>
            <a:effectLst/>
          </c:spPr>
          <c:marker>
            <c:symbol val="none"/>
          </c:marker>
          <c:dLbls>
            <c:dLbl>
              <c:idx val="55"/>
              <c:layout>
                <c:manualLayout>
                  <c:x val="-6.9066797130820506E-2"/>
                  <c:y val="-5.48342052862156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B33BC36-F91D-47FE-A7BB-A828C73FCC31}" type="YVALUE">
                      <a:rPr lang="en-US" sz="1600"/>
                      <a:pPr>
                        <a:defRPr/>
                      </a:pPr>
                      <a:t>[Y DEĞERİ]</a:t>
                    </a:fld>
                    <a:endParaRPr lang="tr-T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15:layout>
                    <c:manualLayout>
                      <c:w val="0.29717317673172655"/>
                      <c:h val="0.19896708924238926"/>
                    </c:manualLayout>
                  </c15:layout>
                  <c15:dlblFieldTable/>
                  <c15:showDataLabelsRange val="0"/>
                </c:ext>
                <c:ext xmlns:c16="http://schemas.microsoft.com/office/drawing/2014/chart" uri="{C3380CC4-5D6E-409C-BE32-E72D297353CC}">
                  <c16:uniqueId val="{00000000-D436-4A5A-93A2-9DCDBA4D88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'5.PERFORMANCE'!$E$10:$E$70</c:f>
              <c:numCache>
                <c:formatCode>0.00</c:formatCode>
                <c:ptCount val="61"/>
                <c:pt idx="0">
                  <c:v>26.97013062312142</c:v>
                </c:pt>
                <c:pt idx="1">
                  <c:v>27.415379729444226</c:v>
                </c:pt>
                <c:pt idx="2">
                  <c:v>27.875413488387778</c:v>
                </c:pt>
                <c:pt idx="3">
                  <c:v>28.350971746181642</c:v>
                </c:pt>
                <c:pt idx="4">
                  <c:v>28.84284387254878</c:v>
                </c:pt>
                <c:pt idx="5">
                  <c:v>29.351872908987286</c:v>
                </c:pt>
                <c:pt idx="6">
                  <c:v>29.878960133167269</c:v>
                </c:pt>
                <c:pt idx="7">
                  <c:v>30.425070087807068</c:v>
                </c:pt>
                <c:pt idx="8">
                  <c:v>30.991236128723791</c:v>
                </c:pt>
                <c:pt idx="9">
                  <c:v>31.578566553991568</c:v>
                </c:pt>
                <c:pt idx="10">
                  <c:v>32.188251384422387</c:v>
                </c:pt>
                <c:pt idx="11">
                  <c:v>32.821569875066636</c:v>
                </c:pt>
                <c:pt idx="12">
                  <c:v>33.479898848293814</c:v>
                </c:pt>
                <c:pt idx="13">
                  <c:v>34.164721951461544</c:v>
                </c:pt>
                <c:pt idx="14">
                  <c:v>34.877639956446117</c:v>
                </c:pt>
                <c:pt idx="15">
                  <c:v>35.620382234649973</c:v>
                </c:pt>
                <c:pt idx="16">
                  <c:v>36.394819559807715</c:v>
                </c:pt>
                <c:pt idx="17">
                  <c:v>37.202978412296972</c:v>
                </c:pt>
                <c:pt idx="18">
                  <c:v>38.047056983053899</c:v>
                </c:pt>
                <c:pt idx="19">
                  <c:v>38.929443102935601</c:v>
                </c:pt>
                <c:pt idx="20">
                  <c:v>39.852734354779507</c:v>
                </c:pt>
                <c:pt idx="21">
                  <c:v>40.819760660750035</c:v>
                </c:pt>
                <c:pt idx="22">
                  <c:v>41.833609676976423</c:v>
                </c:pt>
                <c:pt idx="23">
                  <c:v>42.897655370897148</c:v>
                </c:pt>
                <c:pt idx="24">
                  <c:v>44.015590203675401</c:v>
                </c:pt>
                <c:pt idx="25">
                  <c:v>45.191461389455966</c:v>
                </c:pt>
                <c:pt idx="26">
                  <c:v>46.429711752997676</c:v>
                </c:pt>
                <c:pt idx="27">
                  <c:v>47.735225753639142</c:v>
                </c:pt>
                <c:pt idx="28">
                  <c:v>49.113381280419397</c:v>
                </c:pt>
                <c:pt idx="29">
                  <c:v>50.570107840322777</c:v>
                </c:pt>
                <c:pt idx="30">
                  <c:v>52.11195174275754</c:v>
                </c:pt>
                <c:pt idx="31">
                  <c:v>53.746148802676672</c:v>
                </c:pt>
                <c:pt idx="32">
                  <c:v>55.480704901492579</c:v>
                </c:pt>
                <c:pt idx="33">
                  <c:v>57.32448439517826</c:v>
                </c:pt>
                <c:pt idx="34">
                  <c:v>59.287305742319624</c:v>
                </c:pt>
                <c:pt idx="35">
                  <c:v>61.380042683680529</c:v>
                </c:pt>
                <c:pt idx="36">
                  <c:v>63.614727590620248</c:v>
                </c:pt>
                <c:pt idx="37">
                  <c:v>66.004650819581329</c:v>
                </c:pt>
                <c:pt idx="38">
                  <c:v>68.564445439656836</c:v>
                </c:pt>
                <c:pt idx="39">
                  <c:v>71.310139542922471</c:v>
                </c:pt>
                <c:pt idx="40">
                  <c:v>74.259146901063716</c:v>
                </c:pt>
                <c:pt idx="41">
                  <c:v>77.430148408546145</c:v>
                </c:pt>
                <c:pt idx="42">
                  <c:v>80.842787346452567</c:v>
                </c:pt>
                <c:pt idx="43">
                  <c:v>84.517054146445105</c:v>
                </c:pt>
                <c:pt idx="44">
                  <c:v>88.472159790584357</c:v>
                </c:pt>
                <c:pt idx="45">
                  <c:v>92.724572850944995</c:v>
                </c:pt>
                <c:pt idx="46">
                  <c:v>97.284693504991225</c:v>
                </c:pt>
                <c:pt idx="47">
                  <c:v>102.15131064272119</c:v>
                </c:pt>
                <c:pt idx="48">
                  <c:v>107.30246091596335</c:v>
                </c:pt>
                <c:pt idx="49">
                  <c:v>112.6804735321174</c:v>
                </c:pt>
                <c:pt idx="50">
                  <c:v>118.16771020298484</c:v>
                </c:pt>
                <c:pt idx="51">
                  <c:v>123.54771305950871</c:v>
                </c:pt>
                <c:pt idx="52">
                  <c:v>128.44438906749113</c:v>
                </c:pt>
                <c:pt idx="53">
                  <c:v>132.2308375685808</c:v>
                </c:pt>
                <c:pt idx="54">
                  <c:v>133.9039419333416</c:v>
                </c:pt>
                <c:pt idx="55">
                  <c:v>131.94247261397172</c:v>
                </c:pt>
                <c:pt idx="56">
                  <c:v>124.22778492309162</c:v>
                </c:pt>
                <c:pt idx="57">
                  <c:v>108.22870619888023</c:v>
                </c:pt>
                <c:pt idx="58">
                  <c:v>81.780221767882949</c:v>
                </c:pt>
                <c:pt idx="59">
                  <c:v>44.624821800976719</c:v>
                </c:pt>
                <c:pt idx="60">
                  <c:v>2.7804984047763515E-21</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Torque</a:t>
                </a:r>
                <a:r>
                  <a:rPr lang="tr-TR" baseline="0"/>
                  <a:t> (Nm)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Power </a:t>
            </a:r>
            <a:r>
              <a:rPr lang="en-US"/>
              <a:t>vs. Speed</a:t>
            </a:r>
            <a:r>
              <a:rPr lang="tr-TR"/>
              <a:t> (Test Data)</a:t>
            </a:r>
            <a:endParaRPr lang="en-US"/>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'5.PERFORMANCE'!$F$9</c:f>
              <c:strCache>
                <c:ptCount val="1"/>
                <c:pt idx="0">
                  <c:v>Power (kW)</c:v>
                </c:pt>
              </c:strCache>
            </c:strRef>
          </c:tx>
          <c:spPr>
            <a:ln w="19050" cap="rnd">
              <a:solidFill>
                <a:schemeClr val="accent6"/>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'5.PERFORMANCE'!$F$10:$F$70</c:f>
              <c:numCache>
                <c:formatCode>0.00</c:formatCode>
                <c:ptCount val="61"/>
                <c:pt idx="0">
                  <c:v>0</c:v>
                </c:pt>
                <c:pt idx="1">
                  <c:v>0.14354659258899422</c:v>
                </c:pt>
                <c:pt idx="2">
                  <c:v>0.29191064743632283</c:v>
                </c:pt>
                <c:pt idx="3">
                  <c:v>0.4453360227996801</c:v>
                </c:pt>
                <c:pt idx="4">
                  <c:v>0.60408310945757737</c:v>
                </c:pt>
                <c:pt idx="5">
                  <c:v>0.76843023583313108</c:v>
                </c:pt>
                <c:pt idx="6">
                  <c:v>0.93867521651260599</c:v>
                </c:pt>
                <c:pt idx="7">
                  <c:v>1.1151370611827744</c:v>
                </c:pt>
                <c:pt idx="8">
                  <c:v>1.2981578633022031</c:v>
                </c:pt>
                <c:pt idx="9">
                  <c:v>1.4881048904537439</c:v>
                </c:pt>
                <c:pt idx="10">
                  <c:v>1.6853729013533809</c:v>
                </c:pt>
                <c:pt idx="11">
                  <c:v>1.890386717977879</c:v>
                </c:pt>
                <c:pt idx="12">
                  <c:v>2.1036040852945845</c:v>
                </c:pt>
                <c:pt idx="13">
                  <c:v>2.325518855717406</c:v>
                </c:pt>
                <c:pt idx="14">
                  <c:v>2.5566645407734891</c:v>
                </c:pt>
                <c:pt idx="15">
                  <c:v>2.7976182786609187</c:v>
                </c:pt>
                <c:pt idx="16">
                  <c:v>3.0490052735418138</c:v>
                </c:pt>
                <c:pt idx="17">
                  <c:v>3.3115037706990686</c:v>
                </c:pt>
                <c:pt idx="18">
                  <c:v>3.5858506412602309</c:v>
                </c:pt>
                <c:pt idx="19">
                  <c:v>3.8728476612499367</c:v>
                </c:pt>
                <c:pt idx="20">
                  <c:v>4.1733685824813618</c:v>
                </c:pt>
                <c:pt idx="21">
                  <c:v>4.4883671074587079</c:v>
                </c:pt>
                <c:pt idx="22">
                  <c:v>4.8188858972588404</c:v>
                </c:pt>
                <c:pt idx="23">
                  <c:v>5.1660667604950934</c:v>
                </c:pt>
                <c:pt idx="24">
                  <c:v>5.5311621930914203</c:v>
                </c:pt>
                <c:pt idx="25">
                  <c:v>5.9155484627542352</c:v>
                </c:pt>
                <c:pt idx="26">
                  <c:v>6.3207404585653979</c:v>
                </c:pt>
                <c:pt idx="27">
                  <c:v>6.7484085545287362</c:v>
                </c:pt>
                <c:pt idx="28">
                  <c:v>7.2003977650976019</c:v>
                </c:pt>
                <c:pt idx="29">
                  <c:v>7.6787494986494131</c:v>
                </c:pt>
                <c:pt idx="30">
                  <c:v>8.185726237963646</c:v>
                </c:pt>
                <c:pt idx="31">
                  <c:v>8.7238394889236996</c:v>
                </c:pt>
                <c:pt idx="32">
                  <c:v>9.2958813298406575</c:v>
                </c:pt>
                <c:pt idx="33">
                  <c:v>9.9049598475693106</c:v>
                </c:pt>
                <c:pt idx="34">
                  <c:v>10.554538636368184</c:v>
                </c:pt>
                <c:pt idx="35">
                  <c:v>11.248480318371255</c:v>
                </c:pt>
                <c:pt idx="36">
                  <c:v>11.991093651528509</c:v>
                </c:pt>
                <c:pt idx="37">
                  <c:v>12.787183110582635</c:v>
                </c:pt>
                <c:pt idx="38">
                  <c:v>13.642098679076661</c:v>
                </c:pt>
                <c:pt idx="39">
                  <c:v>14.561781683443034</c:v>
                </c:pt>
                <c:pt idx="40">
                  <c:v>15.552799357748468</c:v>
                </c:pt>
                <c:pt idx="41">
                  <c:v>16.622355669454823</c:v>
                </c:pt>
                <c:pt idx="42">
                  <c:v>17.778257477633613</c:v>
                </c:pt>
                <c:pt idx="43">
                  <c:v>19.028801209349126</c:v>
                </c:pt>
                <c:pt idx="44">
                  <c:v>20.382522397990286</c:v>
                </c:pt>
                <c:pt idx="45">
                  <c:v>21.847712765683529</c:v>
                </c:pt>
                <c:pt idx="46">
                  <c:v>23.431547345687825</c:v>
                </c:pt>
                <c:pt idx="47">
                  <c:v>25.138561553796436</c:v>
                </c:pt>
                <c:pt idx="48">
                  <c:v>26.968049834055709</c:v>
                </c:pt>
                <c:pt idx="49">
                  <c:v>28.909685407874065</c:v>
                </c:pt>
                <c:pt idx="50">
                  <c:v>30.936234188768733</c:v>
                </c:pt>
                <c:pt idx="51">
                  <c:v>32.991609955823648</c:v>
                </c:pt>
                <c:pt idx="52">
                  <c:v>34.971728921069136</c:v>
                </c:pt>
                <c:pt idx="53">
                  <c:v>36.695029463040612</c:v>
                </c:pt>
                <c:pt idx="54">
                  <c:v>37.860447623805022</c:v>
                </c:pt>
                <c:pt idx="55">
                  <c:v>37.996704410548219</c:v>
                </c:pt>
                <c:pt idx="56">
                  <c:v>36.42548900537097</c:v>
                </c:pt>
                <c:pt idx="57">
                  <c:v>32.300998288683374</c:v>
                </c:pt>
                <c:pt idx="58">
                  <c:v>24.835613911776097</c:v>
                </c:pt>
                <c:pt idx="59">
                  <c:v>13.785646213207373</c:v>
                </c:pt>
                <c:pt idx="60">
                  <c:v>8.7351933617635254E-22</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Power</a:t>
                </a:r>
                <a:r>
                  <a:rPr lang="tr-TR" baseline="0"/>
                  <a:t> (kW)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Input Current </a:t>
            </a:r>
            <a:r>
              <a:rPr lang="en-US"/>
              <a:t>vs. Speed</a:t>
            </a:r>
            <a:r>
              <a:rPr lang="tr-TR"/>
              <a:t> (Motor Data)</a:t>
            </a:r>
            <a:endParaRPr lang="en-US"/>
          </a:p>
        </c:rich>
      </c:tx>
      <c:layout>
        <c:manualLayout>
          <c:xMode val="edge"/>
          <c:yMode val="edge"/>
          <c:x val="0.23518694354251216"/>
          <c:y val="5.497293988553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'5.PERFORMANCE'!$R$9</c:f>
              <c:strCache>
                <c:ptCount val="1"/>
                <c:pt idx="0">
                  <c:v>Current I'2 (A)</c:v>
                </c:pt>
              </c:strCache>
            </c:strRef>
          </c:tx>
          <c:spPr>
            <a:ln w="19050" cap="rnd">
              <a:solidFill>
                <a:schemeClr val="accent1"/>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'5.PERFORMANCE'!$R$10:$R$70</c:f>
              <c:numCache>
                <c:formatCode>0.00</c:formatCode>
                <c:ptCount val="61"/>
                <c:pt idx="0">
                  <c:v>78.317295512746767</c:v>
                </c:pt>
                <c:pt idx="1">
                  <c:v>78.292361878037838</c:v>
                </c:pt>
                <c:pt idx="2">
                  <c:v>78.266243002922593</c:v>
                </c:pt>
                <c:pt idx="3">
                  <c:v>78.238860159165085</c:v>
                </c:pt>
                <c:pt idx="4">
                  <c:v>78.210127899925766</c:v>
                </c:pt>
                <c:pt idx="5">
                  <c:v>78.179953357519366</c:v>
                </c:pt>
                <c:pt idx="6">
                  <c:v>78.148235454048518</c:v>
                </c:pt>
                <c:pt idx="7">
                  <c:v>78.114864012365814</c:v>
                </c:pt>
                <c:pt idx="8">
                  <c:v>78.079718752754772</c:v>
                </c:pt>
                <c:pt idx="9">
                  <c:v>78.042668158276001</c:v>
                </c:pt>
                <c:pt idx="10">
                  <c:v>78.003568188819514</c:v>
                </c:pt>
                <c:pt idx="11">
                  <c:v>77.962260820441898</c:v>
                </c:pt>
                <c:pt idx="12">
                  <c:v>77.918572382427797</c:v>
                </c:pt>
                <c:pt idx="13">
                  <c:v>77.872311659552153</c:v>
                </c:pt>
                <c:pt idx="14">
                  <c:v>77.823267721049845</c:v>
                </c:pt>
                <c:pt idx="15">
                  <c:v>77.771207430595041</c:v>
                </c:pt>
                <c:pt idx="16">
                  <c:v>77.71587258287029</c:v>
                </c:pt>
                <c:pt idx="17">
                  <c:v>77.656976601707342</c:v>
                </c:pt>
                <c:pt idx="18">
                  <c:v>77.594200721860204</c:v>
                </c:pt>
                <c:pt idx="19">
                  <c:v>77.527189560657987</c:v>
                </c:pt>
                <c:pt idx="20">
                  <c:v>77.455545966360773</c:v>
                </c:pt>
                <c:pt idx="21">
                  <c:v>77.37882500608805</c:v>
                </c:pt>
                <c:pt idx="22">
                  <c:v>77.296526926532806</c:v>
                </c:pt>
                <c:pt idx="23">
                  <c:v>77.208088883803242</c:v>
                </c:pt>
                <c:pt idx="24">
                  <c:v>77.112875192702049</c:v>
                </c:pt>
                <c:pt idx="25">
                  <c:v>77.010165788029482</c:v>
                </c:pt>
                <c:pt idx="26">
                  <c:v>76.89914251779085</c:v>
                </c:pt>
                <c:pt idx="27">
                  <c:v>76.77887279618983</c:v>
                </c:pt>
                <c:pt idx="28">
                  <c:v>76.648290027333218</c:v>
                </c:pt>
                <c:pt idx="29">
                  <c:v>76.506170061177713</c:v>
                </c:pt>
                <c:pt idx="30">
                  <c:v>76.351102751493627</c:v>
                </c:pt>
                <c:pt idx="31">
                  <c:v>76.181457438288049</c:v>
                </c:pt>
                <c:pt idx="32">
                  <c:v>75.995340856545027</c:v>
                </c:pt>
                <c:pt idx="33">
                  <c:v>75.790545555584387</c:v>
                </c:pt>
                <c:pt idx="34">
                  <c:v>75.564486366883557</c:v>
                </c:pt>
                <c:pt idx="35">
                  <c:v>75.314121739772816</c:v>
                </c:pt>
                <c:pt idx="36">
                  <c:v>75.035855815844371</c:v>
                </c:pt>
                <c:pt idx="37">
                  <c:v>74.725415855733814</c:v>
                </c:pt>
                <c:pt idx="38">
                  <c:v>74.377697960625667</c:v>
                </c:pt>
                <c:pt idx="39">
                  <c:v>73.986571804559432</c:v>
                </c:pt>
                <c:pt idx="40">
                  <c:v>73.544632126906762</c:v>
                </c:pt>
                <c:pt idx="41">
                  <c:v>73.042880788785197</c:v>
                </c:pt>
                <c:pt idx="42">
                  <c:v>72.470317978909023</c:v>
                </c:pt>
                <c:pt idx="43">
                  <c:v>71.813414330261125</c:v>
                </c:pt>
                <c:pt idx="44">
                  <c:v>71.055426967249517</c:v>
                </c:pt>
                <c:pt idx="45">
                  <c:v>70.175511716208192</c:v>
                </c:pt>
                <c:pt idx="46">
                  <c:v>69.147571319553336</c:v>
                </c:pt>
                <c:pt idx="47">
                  <c:v>67.938767339802226</c:v>
                </c:pt>
                <c:pt idx="48">
                  <c:v>66.507616521260488</c:v>
                </c:pt>
                <c:pt idx="49">
                  <c:v>64.801602329974244</c:v>
                </c:pt>
                <c:pt idx="50">
                  <c:v>62.754284062158717</c:v>
                </c:pt>
                <c:pt idx="51">
                  <c:v>60.282028722674859</c:v>
                </c:pt>
                <c:pt idx="52">
                  <c:v>57.28081546922845</c:v>
                </c:pt>
                <c:pt idx="53">
                  <c:v>53.62421553417736</c:v>
                </c:pt>
                <c:pt idx="54">
                  <c:v>49.164815735964574</c:v>
                </c:pt>
                <c:pt idx="55">
                  <c:v>43.743103175454884</c:v>
                </c:pt>
                <c:pt idx="56">
                  <c:v>37.209657688940851</c:v>
                </c:pt>
                <c:pt idx="57">
                  <c:v>29.466404790614099</c:v>
                </c:pt>
                <c:pt idx="58">
                  <c:v>20.526472641659041</c:v>
                </c:pt>
                <c:pt idx="59">
                  <c:v>10.575941129741235</c:v>
                </c:pt>
                <c:pt idx="60">
                  <c:v>6.4304089401154597E-5</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Input</a:t>
                </a:r>
                <a:r>
                  <a:rPr lang="en-US"/>
                  <a:t> 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Torque </a:t>
            </a:r>
            <a:r>
              <a:rPr lang="en-US"/>
              <a:t>vs. Speed</a:t>
            </a:r>
            <a:r>
              <a:rPr lang="tr-TR"/>
              <a:t> (Motor Data)</a:t>
            </a:r>
            <a:endParaRPr lang="en-US"/>
          </a:p>
        </c:rich>
      </c:tx>
      <c:layout>
        <c:manualLayout>
          <c:xMode val="edge"/>
          <c:yMode val="edge"/>
          <c:x val="0.23962141689844063"/>
          <c:y val="5.9139057148121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'5.PERFORMANCE'!$S$9</c:f>
              <c:strCache>
                <c:ptCount val="1"/>
                <c:pt idx="0">
                  <c:v>Torque (Nm)</c:v>
                </c:pt>
              </c:strCache>
            </c:strRef>
          </c:tx>
          <c:spPr>
            <a:ln w="19050" cap="rnd">
              <a:solidFill>
                <a:schemeClr val="accent2"/>
              </a:solidFill>
              <a:round/>
            </a:ln>
            <a:effectLst/>
          </c:spPr>
          <c:marker>
            <c:symbol val="none"/>
          </c:marker>
          <c:dLbls>
            <c:dLbl>
              <c:idx val="45"/>
              <c:delete val="1"/>
              <c:extLst>
                <c:ext xmlns:c15="http://schemas.microsoft.com/office/drawing/2012/chart" uri="{CE6537A1-D6FC-4f65-9D91-7224C49458BB}">
                  <c15:layout>
                    <c:manualLayout>
                      <c:w val="0.27326543926336561"/>
                      <c:h val="0.11366943657494263"/>
                    </c:manualLayout>
                  </c15:layout>
                </c:ext>
                <c:ext xmlns:c16="http://schemas.microsoft.com/office/drawing/2014/chart" uri="{C3380CC4-5D6E-409C-BE32-E72D297353CC}">
                  <c16:uniqueId val="{00000000-5714-4B9C-9086-1A66E9525885}"/>
                </c:ext>
              </c:extLst>
            </c:dLbl>
            <c:dLbl>
              <c:idx val="52"/>
              <c:layout>
                <c:manualLayout>
                  <c:x val="-7.437962767934525E-2"/>
                  <c:y val="-4.569389798387531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78-48A9-A8F8-196B09D3449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'5.PERFORMANCE'!$S$10:$S$70</c:f>
              <c:numCache>
                <c:formatCode>0.00</c:formatCode>
                <c:ptCount val="61"/>
                <c:pt idx="0">
                  <c:v>34.612401942178089</c:v>
                </c:pt>
                <c:pt idx="1">
                  <c:v>35.17664396347331</c:v>
                </c:pt>
                <c:pt idx="2">
                  <c:v>35.759266801262449</c:v>
                </c:pt>
                <c:pt idx="3">
                  <c:v>36.361165793029777</c:v>
                </c:pt>
                <c:pt idx="4">
                  <c:v>36.983294034772044</c:v>
                </c:pt>
                <c:pt idx="5">
                  <c:v>37.626666980926096</c:v>
                </c:pt>
                <c:pt idx="6">
                  <c:v>38.292367474392719</c:v>
                </c:pt>
                <c:pt idx="7">
                  <c:v>38.981551251786897</c:v>
                </c:pt>
                <c:pt idx="8">
                  <c:v>39.695452974072595</c:v>
                </c:pt>
                <c:pt idx="9">
                  <c:v>40.435392838303954</c:v>
                </c:pt>
                <c:pt idx="10">
                  <c:v>41.202783832326354</c:v>
                </c:pt>
                <c:pt idx="11">
                  <c:v>41.999139701021129</c:v>
                </c:pt>
                <c:pt idx="12">
                  <c:v>42.826083700014429</c:v>
                </c:pt>
                <c:pt idx="13">
                  <c:v>43.685358220707613</c:v>
                </c:pt>
                <c:pt idx="14">
                  <c:v>44.578835378973167</c:v>
                </c:pt>
                <c:pt idx="15">
                  <c:v>45.508528668800835</c:v>
                </c:pt>
                <c:pt idx="16">
                  <c:v>46.476605791390575</c:v>
                </c:pt>
                <c:pt idx="17">
                  <c:v>47.485402779382333</c:v>
                </c:pt>
                <c:pt idx="18">
                  <c:v>48.537439544622622</c:v>
                </c:pt>
                <c:pt idx="19">
                  <c:v>49.635436985398549</c:v>
                </c:pt>
                <c:pt idx="20">
                  <c:v>50.782335794373282</c:v>
                </c:pt>
                <c:pt idx="21">
                  <c:v>51.981317110001498</c:v>
                </c:pt>
                <c:pt idx="22">
                  <c:v>53.235825149752948</c:v>
                </c:pt>
                <c:pt idx="23">
                  <c:v>54.549591949788258</c:v>
                </c:pt>
                <c:pt idx="24">
                  <c:v>55.926664308151096</c:v>
                </c:pt>
                <c:pt idx="25">
                  <c:v>57.371432980346128</c:v>
                </c:pt>
                <c:pt idx="26">
                  <c:v>58.888664097716578</c:v>
                </c:pt>
                <c:pt idx="27">
                  <c:v>60.483532656443451</c:v>
                </c:pt>
                <c:pt idx="28">
                  <c:v>62.161657738296945</c:v>
                </c:pt>
                <c:pt idx="29">
                  <c:v>63.929138844698244</c:v>
                </c:pt>
                <c:pt idx="30">
                  <c:v>65.792592311603599</c:v>
                </c:pt>
                <c:pt idx="31">
                  <c:v>67.7591861639239</c:v>
                </c:pt>
                <c:pt idx="32">
                  <c:v>69.836670876989871</c:v>
                </c:pt>
                <c:pt idx="33">
                  <c:v>72.033402211056782</c:v>
                </c:pt>
                <c:pt idx="34">
                  <c:v>74.358350385644968</c:v>
                </c:pt>
                <c:pt idx="35">
                  <c:v>76.821087088111895</c:v>
                </c:pt>
                <c:pt idx="36">
                  <c:v>79.431737758578649</c:v>
                </c:pt>
                <c:pt idx="37">
                  <c:v>82.200880658877466</c:v>
                </c:pt>
                <c:pt idx="38">
                  <c:v>85.139365521911159</c:v>
                </c:pt>
                <c:pt idx="39">
                  <c:v>88.258011758406795</c:v>
                </c:pt>
                <c:pt idx="40">
                  <c:v>91.567127288666285</c:v>
                </c:pt>
                <c:pt idx="41">
                  <c:v>95.07576112340459</c:v>
                </c:pt>
                <c:pt idx="42">
                  <c:v>98.790561491647821</c:v>
                </c:pt>
                <c:pt idx="43">
                  <c:v>102.71405025739759</c:v>
                </c:pt>
                <c:pt idx="44">
                  <c:v>106.84203451429961</c:v>
                </c:pt>
                <c:pt idx="45">
                  <c:v>111.15974515581811</c:v>
                </c:pt>
                <c:pt idx="46">
                  <c:v>115.6361040769002</c:v>
                </c:pt>
                <c:pt idx="47">
                  <c:v>120.21525961123191</c:v>
                </c:pt>
                <c:pt idx="48">
                  <c:v>124.80418458058094</c:v>
                </c:pt>
                <c:pt idx="49">
                  <c:v>129.25472539996193</c:v>
                </c:pt>
                <c:pt idx="50">
                  <c:v>133.3381372441435</c:v>
                </c:pt>
                <c:pt idx="51">
                  <c:v>136.71017362440253</c:v>
                </c:pt>
                <c:pt idx="52">
                  <c:v>138.86603083796516</c:v>
                </c:pt>
                <c:pt idx="53">
                  <c:v>139.08858505583962</c:v>
                </c:pt>
                <c:pt idx="54">
                  <c:v>136.40340336045165</c:v>
                </c:pt>
                <c:pt idx="55">
                  <c:v>129.57368168153641</c:v>
                </c:pt>
                <c:pt idx="56">
                  <c:v>117.19767154443782</c:v>
                </c:pt>
                <c:pt idx="57">
                  <c:v>97.994267665477068</c:v>
                </c:pt>
                <c:pt idx="58">
                  <c:v>71.329023568804445</c:v>
                </c:pt>
                <c:pt idx="59">
                  <c:v>37.870904210472304</c:v>
                </c:pt>
                <c:pt idx="60">
                  <c:v>2.3334234608344184E-4</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Torque</a:t>
                </a:r>
                <a:r>
                  <a:rPr lang="tr-TR" baseline="0"/>
                  <a:t> (Nm)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Power </a:t>
            </a:r>
            <a:r>
              <a:rPr lang="en-US"/>
              <a:t>vs. Speed</a:t>
            </a:r>
            <a:r>
              <a:rPr lang="tr-TR"/>
              <a:t> (Motor Data)</a:t>
            </a:r>
            <a:endParaRPr lang="en-US"/>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'5.PERFORMANCE'!$F$9</c:f>
              <c:strCache>
                <c:ptCount val="1"/>
                <c:pt idx="0">
                  <c:v>Power (kW)</c:v>
                </c:pt>
              </c:strCache>
            </c:strRef>
          </c:tx>
          <c:spPr>
            <a:ln w="19050" cap="rnd">
              <a:solidFill>
                <a:schemeClr val="accent6"/>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'5.PERFORMANCE'!$T$10:$T$70</c:f>
              <c:numCache>
                <c:formatCode>0.00</c:formatCode>
                <c:ptCount val="61"/>
                <c:pt idx="0">
                  <c:v>0</c:v>
                </c:pt>
                <c:pt idx="1">
                  <c:v>0.18418447708931915</c:v>
                </c:pt>
                <c:pt idx="2">
                  <c:v>0.3744701662686783</c:v>
                </c:pt>
                <c:pt idx="3">
                  <c:v>0.5711598566567142</c:v>
                </c:pt>
                <c:pt idx="4">
                  <c:v>0.77457629896794045</c:v>
                </c:pt>
                <c:pt idx="5">
                  <c:v>0.9850638380528921</c:v>
                </c:pt>
                <c:pt idx="6">
                  <c:v>1.2029902034611291</c:v>
                </c:pt>
                <c:pt idx="7">
                  <c:v>1.4287484754450568</c:v>
                </c:pt>
                <c:pt idx="8">
                  <c:v>1.662759245923541</c:v>
                </c:pt>
                <c:pt idx="9">
                  <c:v>1.9054729962874952</c:v>
                </c:pt>
                <c:pt idx="10">
                  <c:v>2.1573727165847463</c:v>
                </c:pt>
                <c:pt idx="11">
                  <c:v>2.4189767936000219</c:v>
                </c:pt>
                <c:pt idx="12">
                  <c:v>2.6908421986797384</c:v>
                </c:pt>
                <c:pt idx="13">
                  <c:v>2.973568009871626</c:v>
                </c:pt>
                <c:pt idx="14">
                  <c:v>3.2677993070839872</c:v>
                </c:pt>
                <c:pt idx="15">
                  <c:v>3.5742314835396303</c:v>
                </c:pt>
                <c:pt idx="16">
                  <c:v>3.8936150218139058</c:v>
                </c:pt>
                <c:pt idx="17">
                  <c:v>4.2267607881930296</c:v>
                </c:pt>
                <c:pt idx="18">
                  <c:v>4.5745459049233528</c:v>
                </c:pt>
                <c:pt idx="19">
                  <c:v>4.9379202660498276</c:v>
                </c:pt>
                <c:pt idx="20">
                  <c:v>5.3179137687911036</c:v>
                </c:pt>
                <c:pt idx="21">
                  <c:v>5.7156443384845739</c:v>
                </c:pt>
                <c:pt idx="22">
                  <c:v>6.1323268306026693</c:v>
                </c:pt>
                <c:pt idx="23">
                  <c:v>6.5692828974880682</c:v>
                </c:pt>
                <c:pt idx="24">
                  <c:v>7.027951909210798</c:v>
                </c:pt>
                <c:pt idx="25">
                  <c:v>7.5099030157072741</c:v>
                </c:pt>
                <c:pt idx="26">
                  <c:v>8.0168484287278137</c:v>
                </c:pt>
                <c:pt idx="27">
                  <c:v>8.5506579835488488</c:v>
                </c:pt>
                <c:pt idx="28">
                  <c:v>9.1133750066611849</c:v>
                </c:pt>
                <c:pt idx="29">
                  <c:v>9.7072334589999194</c:v>
                </c:pt>
                <c:pt idx="30">
                  <c:v>10.334676233338108</c:v>
                </c:pt>
                <c:pt idx="31">
                  <c:v>10.9983743424</c:v>
                </c:pt>
                <c:pt idx="32">
                  <c:v>11.701246516177049</c:v>
                </c:pt>
                <c:pt idx="33">
                  <c:v>12.44647839596341</c:v>
                </c:pt>
                <c:pt idx="34">
                  <c:v>13.237540013927219</c:v>
                </c:pt>
                <c:pt idx="35">
                  <c:v>14.078199498812985</c:v>
                </c:pt>
                <c:pt idx="36">
                  <c:v>14.972529828253299</c:v>
                </c:pt>
                <c:pt idx="37">
                  <c:v>15.924903772453346</c:v>
                </c:pt>
                <c:pt idx="38">
                  <c:v>16.939969666145711</c:v>
                </c:pt>
                <c:pt idx="39">
                  <c:v>18.022596888442404</c:v>
                </c:pt>
                <c:pt idx="40">
                  <c:v>19.1777742933597</c:v>
                </c:pt>
                <c:pt idx="41">
                  <c:v>20.410436366449304</c:v>
                </c:pt>
                <c:pt idx="42">
                  <c:v>21.725179155832002</c:v>
                </c:pt>
                <c:pt idx="43">
                  <c:v>23.125808909151665</c:v>
                </c:pt>
                <c:pt idx="44">
                  <c:v>24.614637719812123</c:v>
                </c:pt>
                <c:pt idx="45">
                  <c:v>26.191397906732384</c:v>
                </c:pt>
                <c:pt idx="46">
                  <c:v>27.851584354426301</c:v>
                </c:pt>
                <c:pt idx="47">
                  <c:v>29.583944488116146</c:v>
                </c:pt>
                <c:pt idx="48">
                  <c:v>31.366712753249409</c:v>
                </c:pt>
                <c:pt idx="49">
                  <c:v>33.162031820260061</c:v>
                </c:pt>
                <c:pt idx="50">
                  <c:v>34.907842700795726</c:v>
                </c:pt>
                <c:pt idx="51">
                  <c:v>36.506452555999694</c:v>
                </c:pt>
                <c:pt idx="52">
                  <c:v>37.809243533856161</c:v>
                </c:pt>
                <c:pt idx="53">
                  <c:v>38.598104802516858</c:v>
                </c:pt>
                <c:pt idx="54">
                  <c:v>38.567153692965611</c:v>
                </c:pt>
                <c:pt idx="55">
                  <c:v>37.314541593018902</c:v>
                </c:pt>
                <c:pt idx="56">
                  <c:v>34.364152101237977</c:v>
                </c:pt>
                <c:pt idx="57">
                  <c:v>29.246516782218588</c:v>
                </c:pt>
                <c:pt idx="58">
                  <c:v>21.661717855043957</c:v>
                </c:pt>
                <c:pt idx="59">
                  <c:v>11.699203854488218</c:v>
                </c:pt>
                <c:pt idx="60">
                  <c:v>7.3306660022714792E-5</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Power</a:t>
                </a:r>
                <a:r>
                  <a:rPr lang="tr-TR" baseline="0"/>
                  <a:t> (kW)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503816</xdr:colOff>
      <xdr:row>26</xdr:row>
      <xdr:rowOff>140746</xdr:rowOff>
    </xdr:from>
    <xdr:to>
      <xdr:col>11</xdr:col>
      <xdr:colOff>71177</xdr:colOff>
      <xdr:row>46</xdr:row>
      <xdr:rowOff>95921</xdr:rowOff>
    </xdr:to>
    <xdr:pic>
      <xdr:nvPicPr>
        <xdr:cNvPr id="7" name="Resim 6">
          <a:extLst>
            <a:ext uri="{FF2B5EF4-FFF2-40B4-BE49-F238E27FC236}">
              <a16:creationId xmlns:a16="http://schemas.microsoft.com/office/drawing/2014/main" id="{2CDC401B-0215-132E-6C43-B5F08F463FA5}"/>
            </a:ext>
          </a:extLst>
        </xdr:cNvPr>
        <xdr:cNvPicPr>
          <a:picLocks noChangeAspect="1"/>
        </xdr:cNvPicPr>
      </xdr:nvPicPr>
      <xdr:blipFill rotWithShape="1">
        <a:blip xmlns:r="http://schemas.openxmlformats.org/officeDocument/2006/relationships" r:embed="rId1"/>
        <a:srcRect l="3135"/>
        <a:stretch/>
      </xdr:blipFill>
      <xdr:spPr>
        <a:xfrm>
          <a:off x="4349675" y="6469828"/>
          <a:ext cx="5923337" cy="4303057"/>
        </a:xfrm>
        <a:prstGeom prst="rect">
          <a:avLst/>
        </a:prstGeom>
      </xdr:spPr>
    </xdr:pic>
    <xdr:clientData/>
  </xdr:twoCellAnchor>
  <xdr:twoCellAnchor editAs="oneCell">
    <xdr:from>
      <xdr:col>5</xdr:col>
      <xdr:colOff>32271</xdr:colOff>
      <xdr:row>5</xdr:row>
      <xdr:rowOff>134471</xdr:rowOff>
    </xdr:from>
    <xdr:to>
      <xdr:col>11</xdr:col>
      <xdr:colOff>35771</xdr:colOff>
      <xdr:row>24</xdr:row>
      <xdr:rowOff>8197</xdr:rowOff>
    </xdr:to>
    <xdr:pic>
      <xdr:nvPicPr>
        <xdr:cNvPr id="2" name="Resim 1">
          <a:extLst>
            <a:ext uri="{FF2B5EF4-FFF2-40B4-BE49-F238E27FC236}">
              <a16:creationId xmlns:a16="http://schemas.microsoft.com/office/drawing/2014/main" id="{486621C1-4A53-D7CB-15A2-E31572EB8C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33942" y="788895"/>
          <a:ext cx="5749876" cy="430229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4930</xdr:colOff>
      <xdr:row>5</xdr:row>
      <xdr:rowOff>143435</xdr:rowOff>
    </xdr:from>
    <xdr:to>
      <xdr:col>24</xdr:col>
      <xdr:colOff>20809</xdr:colOff>
      <xdr:row>24</xdr:row>
      <xdr:rowOff>22352</xdr:rowOff>
    </xdr:to>
    <xdr:pic>
      <xdr:nvPicPr>
        <xdr:cNvPr id="6" name="Resim 5">
          <a:extLst>
            <a:ext uri="{FF2B5EF4-FFF2-40B4-BE49-F238E27FC236}">
              <a16:creationId xmlns:a16="http://schemas.microsoft.com/office/drawing/2014/main" id="{41E714EC-EEFB-FD06-58CB-DB568911B80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7282" r="7423"/>
        <a:stretch/>
      </xdr:blipFill>
      <xdr:spPr>
        <a:xfrm>
          <a:off x="10816365" y="797859"/>
          <a:ext cx="7331079" cy="4307481"/>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182881</xdr:colOff>
      <xdr:row>12</xdr:row>
      <xdr:rowOff>152400</xdr:rowOff>
    </xdr:from>
    <xdr:to>
      <xdr:col>10</xdr:col>
      <xdr:colOff>167640</xdr:colOff>
      <xdr:row>20</xdr:row>
      <xdr:rowOff>37185</xdr:rowOff>
    </xdr:to>
    <xdr:pic>
      <xdr:nvPicPr>
        <xdr:cNvPr id="3" name="Resim 2">
          <a:extLst>
            <a:ext uri="{FF2B5EF4-FFF2-40B4-BE49-F238E27FC236}">
              <a16:creationId xmlns:a16="http://schemas.microsoft.com/office/drawing/2014/main" id="{FAF5F0F4-8C2E-11B5-0115-4C7B5E86CC87}"/>
            </a:ext>
          </a:extLst>
        </xdr:cNvPr>
        <xdr:cNvPicPr>
          <a:picLocks noChangeAspect="1"/>
        </xdr:cNvPicPr>
      </xdr:nvPicPr>
      <xdr:blipFill>
        <a:blip xmlns:r="http://schemas.openxmlformats.org/officeDocument/2006/relationships" r:embed="rId1"/>
        <a:stretch>
          <a:fillRect/>
        </a:stretch>
      </xdr:blipFill>
      <xdr:spPr>
        <a:xfrm>
          <a:off x="4739641" y="2956560"/>
          <a:ext cx="3825239" cy="1683105"/>
        </a:xfrm>
        <a:prstGeom prst="rect">
          <a:avLst/>
        </a:prstGeom>
      </xdr:spPr>
    </xdr:pic>
    <xdr:clientData/>
  </xdr:twoCellAnchor>
  <xdr:twoCellAnchor>
    <xdr:from>
      <xdr:col>4</xdr:col>
      <xdr:colOff>266700</xdr:colOff>
      <xdr:row>6</xdr:row>
      <xdr:rowOff>114300</xdr:rowOff>
    </xdr:from>
    <xdr:to>
      <xdr:col>5</xdr:col>
      <xdr:colOff>160020</xdr:colOff>
      <xdr:row>8</xdr:row>
      <xdr:rowOff>129540</xdr:rowOff>
    </xdr:to>
    <xdr:sp macro="" textlink="">
      <xdr:nvSpPr>
        <xdr:cNvPr id="5" name="Ok: Sağ 4">
          <a:extLst>
            <a:ext uri="{FF2B5EF4-FFF2-40B4-BE49-F238E27FC236}">
              <a16:creationId xmlns:a16="http://schemas.microsoft.com/office/drawing/2014/main" id="{7EB6652B-98A1-93E4-355A-D15FF5DF8C23}"/>
            </a:ext>
          </a:extLst>
        </xdr:cNvPr>
        <xdr:cNvSpPr/>
      </xdr:nvSpPr>
      <xdr:spPr>
        <a:xfrm>
          <a:off x="4213860" y="1424940"/>
          <a:ext cx="502920" cy="472440"/>
        </a:xfrm>
        <a:prstGeom prst="right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tr-TR" sz="1100" kern="1200"/>
        </a:p>
      </xdr:txBody>
    </xdr:sp>
    <xdr:clientData/>
  </xdr:twoCellAnchor>
  <xdr:twoCellAnchor>
    <xdr:from>
      <xdr:col>4</xdr:col>
      <xdr:colOff>251460</xdr:colOff>
      <xdr:row>15</xdr:row>
      <xdr:rowOff>160020</xdr:rowOff>
    </xdr:from>
    <xdr:to>
      <xdr:col>5</xdr:col>
      <xdr:colOff>144780</xdr:colOff>
      <xdr:row>17</xdr:row>
      <xdr:rowOff>175260</xdr:rowOff>
    </xdr:to>
    <xdr:sp macro="" textlink="">
      <xdr:nvSpPr>
        <xdr:cNvPr id="6" name="Ok: Sağ 5">
          <a:extLst>
            <a:ext uri="{FF2B5EF4-FFF2-40B4-BE49-F238E27FC236}">
              <a16:creationId xmlns:a16="http://schemas.microsoft.com/office/drawing/2014/main" id="{830FF2DB-F1A4-29BB-8227-6B5FA72633E9}"/>
            </a:ext>
          </a:extLst>
        </xdr:cNvPr>
        <xdr:cNvSpPr/>
      </xdr:nvSpPr>
      <xdr:spPr>
        <a:xfrm>
          <a:off x="4198620" y="3543300"/>
          <a:ext cx="502920" cy="472440"/>
        </a:xfrm>
        <a:prstGeom prst="right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tr-TR" sz="1100" kern="1200"/>
        </a:p>
      </xdr:txBody>
    </xdr:sp>
    <xdr:clientData/>
  </xdr:twoCellAnchor>
  <xdr:twoCellAnchor editAs="oneCell">
    <xdr:from>
      <xdr:col>5</xdr:col>
      <xdr:colOff>281940</xdr:colOff>
      <xdr:row>3</xdr:row>
      <xdr:rowOff>243840</xdr:rowOff>
    </xdr:from>
    <xdr:to>
      <xdr:col>10</xdr:col>
      <xdr:colOff>563936</xdr:colOff>
      <xdr:row>11</xdr:row>
      <xdr:rowOff>220980</xdr:rowOff>
    </xdr:to>
    <xdr:pic>
      <xdr:nvPicPr>
        <xdr:cNvPr id="7" name="Resim 6">
          <a:extLst>
            <a:ext uri="{FF2B5EF4-FFF2-40B4-BE49-F238E27FC236}">
              <a16:creationId xmlns:a16="http://schemas.microsoft.com/office/drawing/2014/main" id="{987C51D6-0323-8BBA-5FE0-6521E85F5B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8700" y="906780"/>
          <a:ext cx="4122476"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5</xdr:row>
      <xdr:rowOff>83820</xdr:rowOff>
    </xdr:from>
    <xdr:to>
      <xdr:col>14</xdr:col>
      <xdr:colOff>5608</xdr:colOff>
      <xdr:row>9</xdr:row>
      <xdr:rowOff>68580</xdr:rowOff>
    </xdr:to>
    <xdr:pic>
      <xdr:nvPicPr>
        <xdr:cNvPr id="2" name="Resim 1">
          <a:extLst>
            <a:ext uri="{FF2B5EF4-FFF2-40B4-BE49-F238E27FC236}">
              <a16:creationId xmlns:a16="http://schemas.microsoft.com/office/drawing/2014/main" id="{CABBE41D-A3B7-4078-A6F9-A825401817B0}"/>
            </a:ext>
          </a:extLst>
        </xdr:cNvPr>
        <xdr:cNvPicPr>
          <a:picLocks noChangeAspect="1"/>
        </xdr:cNvPicPr>
      </xdr:nvPicPr>
      <xdr:blipFill>
        <a:blip xmlns:r="http://schemas.openxmlformats.org/officeDocument/2006/relationships" r:embed="rId1"/>
        <a:stretch>
          <a:fillRect/>
        </a:stretch>
      </xdr:blipFill>
      <xdr:spPr>
        <a:xfrm>
          <a:off x="5730240" y="1226820"/>
          <a:ext cx="4272808" cy="861060"/>
        </a:xfrm>
        <a:prstGeom prst="rect">
          <a:avLst/>
        </a:prstGeom>
      </xdr:spPr>
    </xdr:pic>
    <xdr:clientData/>
  </xdr:twoCellAnchor>
  <xdr:twoCellAnchor editAs="oneCell">
    <xdr:from>
      <xdr:col>7</xdr:col>
      <xdr:colOff>7620</xdr:colOff>
      <xdr:row>9</xdr:row>
      <xdr:rowOff>190500</xdr:rowOff>
    </xdr:from>
    <xdr:to>
      <xdr:col>11</xdr:col>
      <xdr:colOff>560487</xdr:colOff>
      <xdr:row>12</xdr:row>
      <xdr:rowOff>38174</xdr:rowOff>
    </xdr:to>
    <xdr:pic>
      <xdr:nvPicPr>
        <xdr:cNvPr id="3" name="Resim 2">
          <a:extLst>
            <a:ext uri="{FF2B5EF4-FFF2-40B4-BE49-F238E27FC236}">
              <a16:creationId xmlns:a16="http://schemas.microsoft.com/office/drawing/2014/main" id="{E8624D0D-149D-7558-31EF-5ED4275C0653}"/>
            </a:ext>
          </a:extLst>
        </xdr:cNvPr>
        <xdr:cNvPicPr>
          <a:picLocks noChangeAspect="1"/>
        </xdr:cNvPicPr>
      </xdr:nvPicPr>
      <xdr:blipFill>
        <a:blip xmlns:r="http://schemas.openxmlformats.org/officeDocument/2006/relationships" r:embed="rId2"/>
        <a:stretch>
          <a:fillRect/>
        </a:stretch>
      </xdr:blipFill>
      <xdr:spPr>
        <a:xfrm>
          <a:off x="5737860" y="2095500"/>
          <a:ext cx="2991267" cy="533474"/>
        </a:xfrm>
        <a:prstGeom prst="rect">
          <a:avLst/>
        </a:prstGeom>
      </xdr:spPr>
    </xdr:pic>
    <xdr:clientData/>
  </xdr:twoCellAnchor>
  <xdr:twoCellAnchor editAs="oneCell">
    <xdr:from>
      <xdr:col>7</xdr:col>
      <xdr:colOff>167640</xdr:colOff>
      <xdr:row>11</xdr:row>
      <xdr:rowOff>114300</xdr:rowOff>
    </xdr:from>
    <xdr:to>
      <xdr:col>9</xdr:col>
      <xdr:colOff>377389</xdr:colOff>
      <xdr:row>15</xdr:row>
      <xdr:rowOff>28691</xdr:rowOff>
    </xdr:to>
    <xdr:pic>
      <xdr:nvPicPr>
        <xdr:cNvPr id="4" name="Resim 3">
          <a:extLst>
            <a:ext uri="{FF2B5EF4-FFF2-40B4-BE49-F238E27FC236}">
              <a16:creationId xmlns:a16="http://schemas.microsoft.com/office/drawing/2014/main" id="{F824DF3E-18E5-ADED-8277-91E68385F61E}"/>
            </a:ext>
          </a:extLst>
        </xdr:cNvPr>
        <xdr:cNvPicPr>
          <a:picLocks noChangeAspect="1"/>
        </xdr:cNvPicPr>
      </xdr:nvPicPr>
      <xdr:blipFill>
        <a:blip xmlns:r="http://schemas.openxmlformats.org/officeDocument/2006/relationships" r:embed="rId3"/>
        <a:stretch>
          <a:fillRect/>
        </a:stretch>
      </xdr:blipFill>
      <xdr:spPr>
        <a:xfrm>
          <a:off x="5897880" y="2476500"/>
          <a:ext cx="1428949" cy="828791"/>
        </a:xfrm>
        <a:prstGeom prst="rect">
          <a:avLst/>
        </a:prstGeom>
      </xdr:spPr>
    </xdr:pic>
    <xdr:clientData/>
  </xdr:twoCellAnchor>
  <xdr:twoCellAnchor editAs="oneCell">
    <xdr:from>
      <xdr:col>6</xdr:col>
      <xdr:colOff>586740</xdr:colOff>
      <xdr:row>15</xdr:row>
      <xdr:rowOff>7620</xdr:rowOff>
    </xdr:from>
    <xdr:to>
      <xdr:col>9</xdr:col>
      <xdr:colOff>358363</xdr:colOff>
      <xdr:row>18</xdr:row>
      <xdr:rowOff>102974</xdr:rowOff>
    </xdr:to>
    <xdr:pic>
      <xdr:nvPicPr>
        <xdr:cNvPr id="6" name="Resim 5">
          <a:extLst>
            <a:ext uri="{FF2B5EF4-FFF2-40B4-BE49-F238E27FC236}">
              <a16:creationId xmlns:a16="http://schemas.microsoft.com/office/drawing/2014/main" id="{46F4BD18-C0DE-A1C9-63FF-FFCB5FD24409}"/>
            </a:ext>
          </a:extLst>
        </xdr:cNvPr>
        <xdr:cNvPicPr>
          <a:picLocks noChangeAspect="1"/>
        </xdr:cNvPicPr>
      </xdr:nvPicPr>
      <xdr:blipFill>
        <a:blip xmlns:r="http://schemas.openxmlformats.org/officeDocument/2006/relationships" r:embed="rId4"/>
        <a:stretch>
          <a:fillRect/>
        </a:stretch>
      </xdr:blipFill>
      <xdr:spPr>
        <a:xfrm>
          <a:off x="5707380" y="3284220"/>
          <a:ext cx="1600423" cy="743054"/>
        </a:xfrm>
        <a:prstGeom prst="rect">
          <a:avLst/>
        </a:prstGeom>
      </xdr:spPr>
    </xdr:pic>
    <xdr:clientData/>
  </xdr:twoCellAnchor>
  <xdr:twoCellAnchor editAs="oneCell">
    <xdr:from>
      <xdr:col>14</xdr:col>
      <xdr:colOff>563881</xdr:colOff>
      <xdr:row>5</xdr:row>
      <xdr:rowOff>144780</xdr:rowOff>
    </xdr:from>
    <xdr:to>
      <xdr:col>21</xdr:col>
      <xdr:colOff>594361</xdr:colOff>
      <xdr:row>10</xdr:row>
      <xdr:rowOff>136812</xdr:rowOff>
    </xdr:to>
    <xdr:pic>
      <xdr:nvPicPr>
        <xdr:cNvPr id="7" name="Resim 6">
          <a:extLst>
            <a:ext uri="{FF2B5EF4-FFF2-40B4-BE49-F238E27FC236}">
              <a16:creationId xmlns:a16="http://schemas.microsoft.com/office/drawing/2014/main" id="{D5FA200E-2FEF-7F0E-0019-E248612782B0}"/>
            </a:ext>
          </a:extLst>
        </xdr:cNvPr>
        <xdr:cNvPicPr>
          <a:picLocks noChangeAspect="1"/>
        </xdr:cNvPicPr>
      </xdr:nvPicPr>
      <xdr:blipFill>
        <a:blip xmlns:r="http://schemas.openxmlformats.org/officeDocument/2006/relationships" r:embed="rId5"/>
        <a:stretch>
          <a:fillRect/>
        </a:stretch>
      </xdr:blipFill>
      <xdr:spPr>
        <a:xfrm>
          <a:off x="10561321" y="1287780"/>
          <a:ext cx="4297680" cy="1096932"/>
        </a:xfrm>
        <a:prstGeom prst="rect">
          <a:avLst/>
        </a:prstGeom>
      </xdr:spPr>
    </xdr:pic>
    <xdr:clientData/>
  </xdr:twoCellAnchor>
  <xdr:twoCellAnchor editAs="oneCell">
    <xdr:from>
      <xdr:col>15</xdr:col>
      <xdr:colOff>0</xdr:colOff>
      <xdr:row>11</xdr:row>
      <xdr:rowOff>1</xdr:rowOff>
    </xdr:from>
    <xdr:to>
      <xdr:col>19</xdr:col>
      <xdr:colOff>257551</xdr:colOff>
      <xdr:row>14</xdr:row>
      <xdr:rowOff>38101</xdr:rowOff>
    </xdr:to>
    <xdr:pic>
      <xdr:nvPicPr>
        <xdr:cNvPr id="8" name="Resim 7">
          <a:extLst>
            <a:ext uri="{FF2B5EF4-FFF2-40B4-BE49-F238E27FC236}">
              <a16:creationId xmlns:a16="http://schemas.microsoft.com/office/drawing/2014/main" id="{DF7986E2-1969-B159-3241-6CB5C352C25D}"/>
            </a:ext>
          </a:extLst>
        </xdr:cNvPr>
        <xdr:cNvPicPr>
          <a:picLocks noChangeAspect="1"/>
        </xdr:cNvPicPr>
      </xdr:nvPicPr>
      <xdr:blipFill rotWithShape="1">
        <a:blip xmlns:r="http://schemas.openxmlformats.org/officeDocument/2006/relationships" r:embed="rId6"/>
        <a:srcRect b="63815"/>
        <a:stretch/>
      </xdr:blipFill>
      <xdr:spPr>
        <a:xfrm>
          <a:off x="10607040" y="2362201"/>
          <a:ext cx="2695951" cy="723900"/>
        </a:xfrm>
        <a:prstGeom prst="rect">
          <a:avLst/>
        </a:prstGeom>
      </xdr:spPr>
    </xdr:pic>
    <xdr:clientData/>
  </xdr:twoCellAnchor>
  <xdr:twoCellAnchor editAs="oneCell">
    <xdr:from>
      <xdr:col>15</xdr:col>
      <xdr:colOff>76201</xdr:colOff>
      <xdr:row>17</xdr:row>
      <xdr:rowOff>129540</xdr:rowOff>
    </xdr:from>
    <xdr:to>
      <xdr:col>17</xdr:col>
      <xdr:colOff>487681</xdr:colOff>
      <xdr:row>21</xdr:row>
      <xdr:rowOff>95529</xdr:rowOff>
    </xdr:to>
    <xdr:pic>
      <xdr:nvPicPr>
        <xdr:cNvPr id="9" name="Resim 8">
          <a:extLst>
            <a:ext uri="{FF2B5EF4-FFF2-40B4-BE49-F238E27FC236}">
              <a16:creationId xmlns:a16="http://schemas.microsoft.com/office/drawing/2014/main" id="{1965BCE8-E31C-DCC3-BAFC-EB1871CEA983}"/>
            </a:ext>
          </a:extLst>
        </xdr:cNvPr>
        <xdr:cNvPicPr>
          <a:picLocks noChangeAspect="1"/>
        </xdr:cNvPicPr>
      </xdr:nvPicPr>
      <xdr:blipFill rotWithShape="1">
        <a:blip xmlns:r="http://schemas.openxmlformats.org/officeDocument/2006/relationships" r:embed="rId6"/>
        <a:srcRect l="24308" t="65134" r="15206"/>
        <a:stretch/>
      </xdr:blipFill>
      <xdr:spPr>
        <a:xfrm>
          <a:off x="10683241" y="3870960"/>
          <a:ext cx="1630680" cy="697509"/>
        </a:xfrm>
        <a:prstGeom prst="rect">
          <a:avLst/>
        </a:prstGeom>
      </xdr:spPr>
    </xdr:pic>
    <xdr:clientData/>
  </xdr:twoCellAnchor>
  <xdr:twoCellAnchor editAs="oneCell">
    <xdr:from>
      <xdr:col>15</xdr:col>
      <xdr:colOff>106680</xdr:colOff>
      <xdr:row>14</xdr:row>
      <xdr:rowOff>30480</xdr:rowOff>
    </xdr:from>
    <xdr:to>
      <xdr:col>19</xdr:col>
      <xdr:colOff>292259</xdr:colOff>
      <xdr:row>17</xdr:row>
      <xdr:rowOff>109766</xdr:rowOff>
    </xdr:to>
    <xdr:pic>
      <xdr:nvPicPr>
        <xdr:cNvPr id="10" name="Resim 9">
          <a:extLst>
            <a:ext uri="{FF2B5EF4-FFF2-40B4-BE49-F238E27FC236}">
              <a16:creationId xmlns:a16="http://schemas.microsoft.com/office/drawing/2014/main" id="{C5109FA5-E86B-5DAF-4568-531041EA7289}"/>
            </a:ext>
          </a:extLst>
        </xdr:cNvPr>
        <xdr:cNvPicPr>
          <a:picLocks noChangeAspect="1"/>
        </xdr:cNvPicPr>
      </xdr:nvPicPr>
      <xdr:blipFill>
        <a:blip xmlns:r="http://schemas.openxmlformats.org/officeDocument/2006/relationships" r:embed="rId7"/>
        <a:stretch>
          <a:fillRect/>
        </a:stretch>
      </xdr:blipFill>
      <xdr:spPr>
        <a:xfrm>
          <a:off x="10713720" y="3078480"/>
          <a:ext cx="2623979" cy="772706"/>
        </a:xfrm>
        <a:prstGeom prst="rect">
          <a:avLst/>
        </a:prstGeom>
      </xdr:spPr>
    </xdr:pic>
    <xdr:clientData/>
  </xdr:twoCellAnchor>
  <xdr:twoCellAnchor editAs="oneCell">
    <xdr:from>
      <xdr:col>6</xdr:col>
      <xdr:colOff>556260</xdr:colOff>
      <xdr:row>20</xdr:row>
      <xdr:rowOff>38100</xdr:rowOff>
    </xdr:from>
    <xdr:to>
      <xdr:col>12</xdr:col>
      <xdr:colOff>99507</xdr:colOff>
      <xdr:row>24</xdr:row>
      <xdr:rowOff>11528</xdr:rowOff>
    </xdr:to>
    <xdr:pic>
      <xdr:nvPicPr>
        <xdr:cNvPr id="11" name="Resim 10">
          <a:extLst>
            <a:ext uri="{FF2B5EF4-FFF2-40B4-BE49-F238E27FC236}">
              <a16:creationId xmlns:a16="http://schemas.microsoft.com/office/drawing/2014/main" id="{5A16E428-E704-3CCA-50E0-EE78BFC84E04}"/>
            </a:ext>
          </a:extLst>
        </xdr:cNvPr>
        <xdr:cNvPicPr>
          <a:picLocks noChangeAspect="1"/>
        </xdr:cNvPicPr>
      </xdr:nvPicPr>
      <xdr:blipFill>
        <a:blip xmlns:r="http://schemas.openxmlformats.org/officeDocument/2006/relationships" r:embed="rId8"/>
        <a:stretch>
          <a:fillRect/>
        </a:stretch>
      </xdr:blipFill>
      <xdr:spPr>
        <a:xfrm>
          <a:off x="5676900" y="4328160"/>
          <a:ext cx="3200847" cy="704948"/>
        </a:xfrm>
        <a:prstGeom prst="rect">
          <a:avLst/>
        </a:prstGeom>
      </xdr:spPr>
    </xdr:pic>
    <xdr:clientData/>
  </xdr:twoCellAnchor>
  <xdr:twoCellAnchor editAs="oneCell">
    <xdr:from>
      <xdr:col>7</xdr:col>
      <xdr:colOff>76200</xdr:colOff>
      <xdr:row>18</xdr:row>
      <xdr:rowOff>38100</xdr:rowOff>
    </xdr:from>
    <xdr:to>
      <xdr:col>9</xdr:col>
      <xdr:colOff>466950</xdr:colOff>
      <xdr:row>20</xdr:row>
      <xdr:rowOff>139130</xdr:rowOff>
    </xdr:to>
    <xdr:pic>
      <xdr:nvPicPr>
        <xdr:cNvPr id="12" name="Resim 11">
          <a:extLst>
            <a:ext uri="{FF2B5EF4-FFF2-40B4-BE49-F238E27FC236}">
              <a16:creationId xmlns:a16="http://schemas.microsoft.com/office/drawing/2014/main" id="{5F858224-8FB7-F78C-FD68-EAA60F9E069F}"/>
            </a:ext>
          </a:extLst>
        </xdr:cNvPr>
        <xdr:cNvPicPr>
          <a:picLocks noChangeAspect="1"/>
        </xdr:cNvPicPr>
      </xdr:nvPicPr>
      <xdr:blipFill>
        <a:blip xmlns:r="http://schemas.openxmlformats.org/officeDocument/2006/relationships" r:embed="rId9"/>
        <a:stretch>
          <a:fillRect/>
        </a:stretch>
      </xdr:blipFill>
      <xdr:spPr>
        <a:xfrm>
          <a:off x="5806440" y="3962400"/>
          <a:ext cx="1609950" cy="4667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394446</xdr:colOff>
      <xdr:row>7</xdr:row>
      <xdr:rowOff>176606</xdr:rowOff>
    </xdr:from>
    <xdr:to>
      <xdr:col>14</xdr:col>
      <xdr:colOff>331693</xdr:colOff>
      <xdr:row>24</xdr:row>
      <xdr:rowOff>107577</xdr:rowOff>
    </xdr:to>
    <xdr:graphicFrame macro="">
      <xdr:nvGraphicFramePr>
        <xdr:cNvPr id="4" name="Chart 2">
          <a:extLst>
            <a:ext uri="{FF2B5EF4-FFF2-40B4-BE49-F238E27FC236}">
              <a16:creationId xmlns:a16="http://schemas.microsoft.com/office/drawing/2014/main" id="{0B019118-8D3C-4C24-87EE-154A84385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409686</xdr:colOff>
      <xdr:row>26</xdr:row>
      <xdr:rowOff>64098</xdr:rowOff>
    </xdr:from>
    <xdr:to>
      <xdr:col>14</xdr:col>
      <xdr:colOff>313765</xdr:colOff>
      <xdr:row>43</xdr:row>
      <xdr:rowOff>44824</xdr:rowOff>
    </xdr:to>
    <xdr:graphicFrame macro="">
      <xdr:nvGraphicFramePr>
        <xdr:cNvPr id="5" name="Chart 2">
          <a:extLst>
            <a:ext uri="{FF2B5EF4-FFF2-40B4-BE49-F238E27FC236}">
              <a16:creationId xmlns:a16="http://schemas.microsoft.com/office/drawing/2014/main" id="{791CD02B-5BEB-73C3-9D65-6DF20C37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432546</xdr:colOff>
      <xdr:row>44</xdr:row>
      <xdr:rowOff>136712</xdr:rowOff>
    </xdr:from>
    <xdr:to>
      <xdr:col>14</xdr:col>
      <xdr:colOff>331693</xdr:colOff>
      <xdr:row>61</xdr:row>
      <xdr:rowOff>62752</xdr:rowOff>
    </xdr:to>
    <xdr:graphicFrame macro="">
      <xdr:nvGraphicFramePr>
        <xdr:cNvPr id="6" name="Chart 2">
          <a:extLst>
            <a:ext uri="{FF2B5EF4-FFF2-40B4-BE49-F238E27FC236}">
              <a16:creationId xmlns:a16="http://schemas.microsoft.com/office/drawing/2014/main" id="{EC37E7C8-1581-F6DF-EB77-2BBEF5354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584946</xdr:colOff>
      <xdr:row>9</xdr:row>
      <xdr:rowOff>24206</xdr:rowOff>
    </xdr:from>
    <xdr:to>
      <xdr:col>28</xdr:col>
      <xdr:colOff>522193</xdr:colOff>
      <xdr:row>25</xdr:row>
      <xdr:rowOff>164727</xdr:rowOff>
    </xdr:to>
    <xdr:graphicFrame macro="">
      <xdr:nvGraphicFramePr>
        <xdr:cNvPr id="7" name="Chart 2">
          <a:extLst>
            <a:ext uri="{FF2B5EF4-FFF2-40B4-BE49-F238E27FC236}">
              <a16:creationId xmlns:a16="http://schemas.microsoft.com/office/drawing/2014/main" id="{9BC5A8C3-15E4-A3E9-941B-B3148DA31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600186</xdr:colOff>
      <xdr:row>27</xdr:row>
      <xdr:rowOff>121248</xdr:rowOff>
    </xdr:from>
    <xdr:to>
      <xdr:col>28</xdr:col>
      <xdr:colOff>504265</xdr:colOff>
      <xdr:row>44</xdr:row>
      <xdr:rowOff>101974</xdr:rowOff>
    </xdr:to>
    <xdr:graphicFrame macro="">
      <xdr:nvGraphicFramePr>
        <xdr:cNvPr id="8" name="Chart 2">
          <a:extLst>
            <a:ext uri="{FF2B5EF4-FFF2-40B4-BE49-F238E27FC236}">
              <a16:creationId xmlns:a16="http://schemas.microsoft.com/office/drawing/2014/main" id="{C16C1AA5-21B6-92D3-CE21-183D1BC00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584946</xdr:colOff>
      <xdr:row>46</xdr:row>
      <xdr:rowOff>60512</xdr:rowOff>
    </xdr:from>
    <xdr:to>
      <xdr:col>28</xdr:col>
      <xdr:colOff>484093</xdr:colOff>
      <xdr:row>62</xdr:row>
      <xdr:rowOff>177052</xdr:rowOff>
    </xdr:to>
    <xdr:graphicFrame macro="">
      <xdr:nvGraphicFramePr>
        <xdr:cNvPr id="9" name="Chart 2">
          <a:extLst>
            <a:ext uri="{FF2B5EF4-FFF2-40B4-BE49-F238E27FC236}">
              <a16:creationId xmlns:a16="http://schemas.microsoft.com/office/drawing/2014/main" id="{2ADCADE1-725E-B5F6-5E72-DA83C4AC4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587828</xdr:colOff>
      <xdr:row>27</xdr:row>
      <xdr:rowOff>76200</xdr:rowOff>
    </xdr:from>
    <xdr:to>
      <xdr:col>12</xdr:col>
      <xdr:colOff>587828</xdr:colOff>
      <xdr:row>29</xdr:row>
      <xdr:rowOff>43543</xdr:rowOff>
    </xdr:to>
    <xdr:cxnSp macro="">
      <xdr:nvCxnSpPr>
        <xdr:cNvPr id="11" name="Düz Ok Bağlayıcısı 10">
          <a:extLst>
            <a:ext uri="{FF2B5EF4-FFF2-40B4-BE49-F238E27FC236}">
              <a16:creationId xmlns:a16="http://schemas.microsoft.com/office/drawing/2014/main" id="{127CAE9C-FA37-ACD0-75FB-8D1C4B38D77C}"/>
            </a:ext>
          </a:extLst>
        </xdr:cNvPr>
        <xdr:cNvCxnSpPr/>
      </xdr:nvCxnSpPr>
      <xdr:spPr>
        <a:xfrm>
          <a:off x="9470571" y="5127171"/>
          <a:ext cx="0" cy="33745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11</xdr:col>
      <xdr:colOff>424543</xdr:colOff>
      <xdr:row>25</xdr:row>
      <xdr:rowOff>130629</xdr:rowOff>
    </xdr:from>
    <xdr:ext cx="1507529" cy="374141"/>
    <xdr:sp macro="" textlink="">
      <xdr:nvSpPr>
        <xdr:cNvPr id="13" name="Metin kutusu 12">
          <a:extLst>
            <a:ext uri="{FF2B5EF4-FFF2-40B4-BE49-F238E27FC236}">
              <a16:creationId xmlns:a16="http://schemas.microsoft.com/office/drawing/2014/main" id="{C2106A88-36B7-52F4-D722-F59C17AAC499}"/>
            </a:ext>
          </a:extLst>
        </xdr:cNvPr>
        <xdr:cNvSpPr txBox="1"/>
      </xdr:nvSpPr>
      <xdr:spPr>
        <a:xfrm>
          <a:off x="8697686" y="4811486"/>
          <a:ext cx="150752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r-TR" sz="1800" b="1" kern="1200" baseline="0">
              <a:solidFill>
                <a:schemeClr val="tx1"/>
              </a:solidFill>
              <a:latin typeface="+mn-lt"/>
              <a:ea typeface="+mn-ea"/>
              <a:cs typeface="+mn-cs"/>
            </a:rPr>
            <a:t>MAX</a:t>
          </a:r>
          <a:r>
            <a:rPr lang="tr-TR" sz="1400" b="1" kern="1200" baseline="0"/>
            <a:t> </a:t>
          </a:r>
          <a:r>
            <a:rPr lang="tr-TR" sz="1800" b="1" kern="1200" baseline="0"/>
            <a:t>TORQUE</a:t>
          </a:r>
          <a:endParaRPr lang="tr-TR" sz="1400" b="1" kern="1200"/>
        </a:p>
      </xdr:txBody>
    </xdr:sp>
    <xdr:clientData/>
  </xdr:oneCellAnchor>
  <xdr:twoCellAnchor>
    <xdr:from>
      <xdr:col>26</xdr:col>
      <xdr:colOff>500742</xdr:colOff>
      <xdr:row>28</xdr:row>
      <xdr:rowOff>65313</xdr:rowOff>
    </xdr:from>
    <xdr:to>
      <xdr:col>26</xdr:col>
      <xdr:colOff>500742</xdr:colOff>
      <xdr:row>30</xdr:row>
      <xdr:rowOff>32657</xdr:rowOff>
    </xdr:to>
    <xdr:cxnSp macro="">
      <xdr:nvCxnSpPr>
        <xdr:cNvPr id="14" name="Düz Ok Bağlayıcısı 13">
          <a:extLst>
            <a:ext uri="{FF2B5EF4-FFF2-40B4-BE49-F238E27FC236}">
              <a16:creationId xmlns:a16="http://schemas.microsoft.com/office/drawing/2014/main" id="{7A25D95C-2C06-9B70-619A-C86FCAC2C82F}"/>
            </a:ext>
          </a:extLst>
        </xdr:cNvPr>
        <xdr:cNvCxnSpPr/>
      </xdr:nvCxnSpPr>
      <xdr:spPr>
        <a:xfrm>
          <a:off x="19539856" y="5301342"/>
          <a:ext cx="0" cy="33745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25</xdr:col>
      <xdr:colOff>337457</xdr:colOff>
      <xdr:row>26</xdr:row>
      <xdr:rowOff>119743</xdr:rowOff>
    </xdr:from>
    <xdr:ext cx="1507529" cy="374141"/>
    <xdr:sp macro="" textlink="">
      <xdr:nvSpPr>
        <xdr:cNvPr id="15" name="Metin kutusu 14">
          <a:extLst>
            <a:ext uri="{FF2B5EF4-FFF2-40B4-BE49-F238E27FC236}">
              <a16:creationId xmlns:a16="http://schemas.microsoft.com/office/drawing/2014/main" id="{ACE0D63A-9B72-0D9F-CB29-8FA7D21E495E}"/>
            </a:ext>
          </a:extLst>
        </xdr:cNvPr>
        <xdr:cNvSpPr txBox="1"/>
      </xdr:nvSpPr>
      <xdr:spPr>
        <a:xfrm>
          <a:off x="18766971" y="4985657"/>
          <a:ext cx="150752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r-TR" sz="1800" b="1" kern="1200" baseline="0">
              <a:solidFill>
                <a:schemeClr val="tx1"/>
              </a:solidFill>
              <a:latin typeface="+mn-lt"/>
              <a:ea typeface="+mn-ea"/>
              <a:cs typeface="+mn-cs"/>
            </a:rPr>
            <a:t>MAX</a:t>
          </a:r>
          <a:r>
            <a:rPr lang="tr-TR" sz="1400" b="1" kern="1200" baseline="0"/>
            <a:t> </a:t>
          </a:r>
          <a:r>
            <a:rPr lang="tr-TR" sz="1800" b="1" kern="1200" baseline="0"/>
            <a:t>TORQUE</a:t>
          </a:r>
          <a:endParaRPr lang="tr-TR" sz="1400" b="1" kern="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2C45-8D9F-484E-AD8C-8733D7AE7273}">
  <dimension ref="B2:S41"/>
  <sheetViews>
    <sheetView zoomScale="85" zoomScaleNormal="85" workbookViewId="0">
      <selection activeCell="Q36" sqref="Q36"/>
    </sheetView>
  </sheetViews>
  <sheetFormatPr defaultRowHeight="14.4" x14ac:dyDescent="0.3"/>
  <cols>
    <col min="1" max="1" width="6.33203125" bestFit="1" customWidth="1"/>
    <col min="2" max="2" width="10.6640625" bestFit="1" customWidth="1"/>
    <col min="3" max="3" width="29.5546875" bestFit="1" customWidth="1"/>
    <col min="4" max="4" width="9.5546875" customWidth="1"/>
    <col min="6" max="6" width="30.44140625" bestFit="1" customWidth="1"/>
    <col min="7" max="7" width="10.33203125" customWidth="1"/>
    <col min="9" max="9" width="16.33203125" bestFit="1" customWidth="1"/>
  </cols>
  <sheetData>
    <row r="2" spans="2:19" ht="28.8" x14ac:dyDescent="0.55000000000000004">
      <c r="C2" s="59" t="s">
        <v>102</v>
      </c>
      <c r="D2" s="69">
        <v>2443984</v>
      </c>
      <c r="E2" s="69"/>
    </row>
    <row r="3" spans="2:19" s="60" customFormat="1" ht="13.8" x14ac:dyDescent="0.3">
      <c r="C3" s="61"/>
      <c r="D3" s="62"/>
      <c r="E3" s="62"/>
    </row>
    <row r="4" spans="2:19" x14ac:dyDescent="0.3">
      <c r="S4" s="25"/>
    </row>
    <row r="5" spans="2:19" ht="23.4" x14ac:dyDescent="0.45">
      <c r="B5" s="2"/>
      <c r="C5" s="10" t="s">
        <v>1</v>
      </c>
      <c r="D5" s="2"/>
      <c r="E5" s="2"/>
      <c r="F5" s="10" t="s">
        <v>90</v>
      </c>
      <c r="G5" s="2"/>
      <c r="H5" s="2"/>
      <c r="I5" s="2"/>
    </row>
    <row r="6" spans="2:19" ht="18.600000000000001" thickBot="1" x14ac:dyDescent="0.4">
      <c r="B6" s="2"/>
      <c r="C6" s="2"/>
      <c r="D6" s="2"/>
      <c r="E6" s="2"/>
      <c r="F6" s="2"/>
      <c r="G6" s="2"/>
      <c r="H6" s="2"/>
      <c r="I6" s="2"/>
    </row>
    <row r="7" spans="2:19" ht="18" x14ac:dyDescent="0.35">
      <c r="B7" s="2"/>
      <c r="C7" s="3" t="s">
        <v>18</v>
      </c>
      <c r="D7" s="4">
        <v>3</v>
      </c>
      <c r="E7" s="2"/>
      <c r="H7" s="2"/>
      <c r="I7" s="2"/>
    </row>
    <row r="8" spans="2:19" ht="18" x14ac:dyDescent="0.35">
      <c r="B8" s="2"/>
      <c r="C8" s="5" t="s">
        <v>17</v>
      </c>
      <c r="D8" s="6">
        <v>50</v>
      </c>
      <c r="E8" s="2"/>
      <c r="H8" s="2"/>
      <c r="I8" s="2"/>
    </row>
    <row r="9" spans="2:19" ht="18.600000000000001" thickBot="1" x14ac:dyDescent="0.4">
      <c r="B9" s="2"/>
      <c r="C9" s="7" t="s">
        <v>28</v>
      </c>
      <c r="D9" s="8">
        <v>2</v>
      </c>
      <c r="E9" s="2"/>
      <c r="H9" s="2"/>
      <c r="I9" s="2"/>
    </row>
    <row r="10" spans="2:19" ht="18.600000000000001" thickBot="1" x14ac:dyDescent="0.4">
      <c r="B10" s="2"/>
      <c r="C10" s="2"/>
      <c r="D10" s="11"/>
      <c r="E10" s="2"/>
      <c r="H10" s="2"/>
      <c r="I10" s="2"/>
    </row>
    <row r="11" spans="2:19" ht="18" x14ac:dyDescent="0.35">
      <c r="B11" s="2"/>
      <c r="C11" s="3" t="s">
        <v>62</v>
      </c>
      <c r="D11" s="4" t="s">
        <v>0</v>
      </c>
      <c r="E11" s="2"/>
      <c r="H11" s="2"/>
      <c r="I11" s="2"/>
    </row>
    <row r="12" spans="2:19" ht="18" x14ac:dyDescent="0.35">
      <c r="B12" s="2"/>
      <c r="C12" s="5" t="s">
        <v>29</v>
      </c>
      <c r="D12" s="6">
        <v>380</v>
      </c>
      <c r="E12" s="2"/>
      <c r="H12" s="2"/>
      <c r="I12" s="2"/>
    </row>
    <row r="13" spans="2:19" ht="18" x14ac:dyDescent="0.35">
      <c r="B13" s="2"/>
      <c r="C13" s="5" t="s">
        <v>3</v>
      </c>
      <c r="D13" s="6">
        <v>37</v>
      </c>
      <c r="E13" s="2"/>
      <c r="H13" s="2"/>
      <c r="I13" s="2"/>
    </row>
    <row r="14" spans="2:19" ht="18.600000000000001" thickBot="1" x14ac:dyDescent="0.4">
      <c r="B14" s="2"/>
      <c r="C14" s="7" t="s">
        <v>88</v>
      </c>
      <c r="D14" s="8">
        <f>120*D8/D9</f>
        <v>3000</v>
      </c>
      <c r="E14" s="2"/>
      <c r="H14" s="2"/>
      <c r="I14" s="2"/>
    </row>
    <row r="15" spans="2:19" ht="18.600000000000001" thickBot="1" x14ac:dyDescent="0.4">
      <c r="B15" s="2"/>
      <c r="C15" s="2"/>
      <c r="D15" s="11"/>
      <c r="E15" s="2"/>
      <c r="H15" s="2"/>
      <c r="I15" s="2"/>
    </row>
    <row r="16" spans="2:19" ht="18" x14ac:dyDescent="0.35">
      <c r="B16" s="2"/>
      <c r="C16" s="3" t="s">
        <v>64</v>
      </c>
      <c r="D16" s="4">
        <v>40</v>
      </c>
      <c r="E16" s="2"/>
      <c r="H16" s="2"/>
      <c r="I16" s="2"/>
    </row>
    <row r="17" spans="2:9" ht="18" x14ac:dyDescent="0.35">
      <c r="B17" s="2"/>
      <c r="C17" s="5" t="s">
        <v>63</v>
      </c>
      <c r="D17" s="6">
        <v>36</v>
      </c>
      <c r="E17" s="2"/>
      <c r="H17" s="2"/>
      <c r="I17" s="2"/>
    </row>
    <row r="18" spans="2:9" ht="18" x14ac:dyDescent="0.35">
      <c r="B18" s="2"/>
      <c r="C18" s="5" t="s">
        <v>4</v>
      </c>
      <c r="D18" s="6">
        <f>11+11</f>
        <v>22</v>
      </c>
      <c r="E18" s="2"/>
      <c r="H18" s="2"/>
      <c r="I18" s="2"/>
    </row>
    <row r="19" spans="2:9" ht="18" x14ac:dyDescent="0.35">
      <c r="B19" s="2"/>
      <c r="C19" s="5" t="s">
        <v>5</v>
      </c>
      <c r="D19" s="6">
        <v>2</v>
      </c>
      <c r="E19" s="2"/>
      <c r="H19" s="2"/>
      <c r="I19" s="2"/>
    </row>
    <row r="20" spans="2:9" ht="18" x14ac:dyDescent="0.35">
      <c r="B20" s="2"/>
      <c r="C20" s="5" t="s">
        <v>44</v>
      </c>
      <c r="D20" s="6">
        <v>15</v>
      </c>
      <c r="E20" s="2"/>
      <c r="H20" s="2"/>
      <c r="I20" s="2"/>
    </row>
    <row r="21" spans="2:9" ht="18.600000000000001" thickBot="1" x14ac:dyDescent="0.4">
      <c r="B21" s="2"/>
      <c r="C21" s="7" t="s">
        <v>46</v>
      </c>
      <c r="D21" s="8">
        <f>5*1.1</f>
        <v>5.5</v>
      </c>
      <c r="E21" s="2"/>
      <c r="H21" s="2"/>
      <c r="I21" s="2"/>
    </row>
    <row r="22" spans="2:9" ht="18.600000000000001" thickBot="1" x14ac:dyDescent="0.4">
      <c r="B22" s="2"/>
      <c r="C22" s="2"/>
      <c r="D22" s="2"/>
      <c r="E22" s="2"/>
      <c r="H22" s="2"/>
      <c r="I22" s="2"/>
    </row>
    <row r="23" spans="2:9" ht="18" x14ac:dyDescent="0.35">
      <c r="B23" s="2"/>
      <c r="C23" s="3" t="s">
        <v>68</v>
      </c>
      <c r="D23" s="4" t="s">
        <v>2</v>
      </c>
      <c r="E23" s="2"/>
      <c r="H23" s="2"/>
      <c r="I23" s="2"/>
    </row>
    <row r="24" spans="2:9" ht="18" x14ac:dyDescent="0.35">
      <c r="B24" s="2"/>
      <c r="C24" s="5" t="s">
        <v>16</v>
      </c>
      <c r="D24" s="6">
        <v>250</v>
      </c>
      <c r="E24" s="2"/>
      <c r="H24" s="2"/>
      <c r="I24" s="2"/>
    </row>
    <row r="25" spans="2:9" ht="18.600000000000001" thickBot="1" x14ac:dyDescent="0.4">
      <c r="B25" s="2"/>
      <c r="C25" s="5" t="s">
        <v>6</v>
      </c>
      <c r="D25" s="6">
        <v>0.75</v>
      </c>
      <c r="E25" s="2"/>
      <c r="H25" s="2"/>
      <c r="I25" s="2"/>
    </row>
    <row r="26" spans="2:9" ht="23.4" x14ac:dyDescent="0.45">
      <c r="B26" s="63" t="s">
        <v>11</v>
      </c>
      <c r="C26" s="39" t="s">
        <v>13</v>
      </c>
      <c r="D26" s="6">
        <v>24.2</v>
      </c>
      <c r="E26" s="2"/>
      <c r="F26" s="10" t="s">
        <v>89</v>
      </c>
      <c r="H26" s="2"/>
      <c r="I26" s="2"/>
    </row>
    <row r="27" spans="2:9" ht="18" x14ac:dyDescent="0.35">
      <c r="B27" s="64"/>
      <c r="C27" s="40" t="s">
        <v>14</v>
      </c>
      <c r="D27" s="6">
        <v>167</v>
      </c>
      <c r="E27" s="2"/>
      <c r="H27" s="2"/>
      <c r="I27" s="2"/>
    </row>
    <row r="28" spans="2:9" ht="18.600000000000001" thickBot="1" x14ac:dyDescent="0.4">
      <c r="B28" s="65"/>
      <c r="C28" s="41" t="s">
        <v>15</v>
      </c>
      <c r="D28" s="6">
        <v>103</v>
      </c>
      <c r="E28" s="2"/>
      <c r="H28" s="2"/>
      <c r="I28" s="2"/>
    </row>
    <row r="29" spans="2:9" ht="18.600000000000001" thickBot="1" x14ac:dyDescent="0.4">
      <c r="B29" s="2"/>
      <c r="C29" s="7" t="s">
        <v>12</v>
      </c>
      <c r="D29" s="8">
        <v>0.13</v>
      </c>
      <c r="E29" s="2"/>
      <c r="H29" s="2"/>
      <c r="I29" s="2"/>
    </row>
    <row r="30" spans="2:9" ht="18.600000000000001" thickBot="1" x14ac:dyDescent="0.4">
      <c r="B30" s="2"/>
      <c r="C30" s="2"/>
      <c r="D30" s="2"/>
      <c r="E30" s="2"/>
      <c r="H30" s="2"/>
      <c r="I30" s="2"/>
    </row>
    <row r="31" spans="2:9" ht="18" x14ac:dyDescent="0.35">
      <c r="B31" s="63" t="s">
        <v>31</v>
      </c>
      <c r="C31" s="39" t="s">
        <v>14</v>
      </c>
      <c r="D31" s="4">
        <v>300</v>
      </c>
      <c r="E31" s="2"/>
      <c r="F31" s="2"/>
      <c r="G31" s="11"/>
      <c r="H31" s="2"/>
      <c r="I31" s="2"/>
    </row>
    <row r="32" spans="2:9" ht="18" x14ac:dyDescent="0.35">
      <c r="B32" s="64"/>
      <c r="C32" s="40" t="s">
        <v>30</v>
      </c>
      <c r="D32" s="6">
        <v>170</v>
      </c>
      <c r="F32" s="2"/>
      <c r="G32" s="11"/>
    </row>
    <row r="33" spans="2:4" ht="18" x14ac:dyDescent="0.35">
      <c r="B33" s="64"/>
      <c r="C33" s="40" t="s">
        <v>66</v>
      </c>
      <c r="D33" s="6">
        <v>13</v>
      </c>
    </row>
    <row r="34" spans="2:4" ht="18" x14ac:dyDescent="0.35">
      <c r="B34" s="64"/>
      <c r="C34" s="40" t="s">
        <v>65</v>
      </c>
      <c r="D34" s="6">
        <v>24</v>
      </c>
    </row>
    <row r="35" spans="2:4" ht="18" x14ac:dyDescent="0.35">
      <c r="B35" s="64"/>
      <c r="C35" s="40" t="s">
        <v>61</v>
      </c>
      <c r="D35" s="6">
        <v>3.1</v>
      </c>
    </row>
    <row r="36" spans="2:4" ht="18.600000000000001" thickBot="1" x14ac:dyDescent="0.4">
      <c r="B36" s="65"/>
      <c r="C36" s="41" t="s">
        <v>67</v>
      </c>
      <c r="D36" s="8">
        <v>0.87</v>
      </c>
    </row>
    <row r="37" spans="2:4" ht="15" customHeight="1" thickBot="1" x14ac:dyDescent="0.35"/>
    <row r="38" spans="2:4" ht="18" x14ac:dyDescent="0.35">
      <c r="B38" s="66" t="s">
        <v>32</v>
      </c>
      <c r="C38" s="39" t="s">
        <v>52</v>
      </c>
      <c r="D38" s="4">
        <v>300</v>
      </c>
    </row>
    <row r="39" spans="2:4" ht="18" x14ac:dyDescent="0.35">
      <c r="B39" s="67"/>
      <c r="C39" s="40" t="s">
        <v>30</v>
      </c>
      <c r="D39" s="6">
        <v>170</v>
      </c>
    </row>
    <row r="40" spans="2:4" ht="18" x14ac:dyDescent="0.35">
      <c r="B40" s="67"/>
      <c r="C40" s="40" t="s">
        <v>66</v>
      </c>
      <c r="D40" s="6">
        <v>13</v>
      </c>
    </row>
    <row r="41" spans="2:4" ht="18.600000000000001" thickBot="1" x14ac:dyDescent="0.4">
      <c r="B41" s="68"/>
      <c r="C41" s="41" t="s">
        <v>65</v>
      </c>
      <c r="D41" s="8">
        <v>24</v>
      </c>
    </row>
  </sheetData>
  <mergeCells count="4">
    <mergeCell ref="B26:B28"/>
    <mergeCell ref="B31:B36"/>
    <mergeCell ref="B38:B41"/>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05E5-E05C-4416-A759-C6C56C53CC86}">
  <dimension ref="B3:H19"/>
  <sheetViews>
    <sheetView workbookViewId="0">
      <selection activeCell="D19" sqref="D19"/>
    </sheetView>
  </sheetViews>
  <sheetFormatPr defaultRowHeight="14.4" x14ac:dyDescent="0.3"/>
  <cols>
    <col min="2" max="2" width="13.6640625" customWidth="1"/>
    <col min="3" max="3" width="23.5546875" bestFit="1" customWidth="1"/>
    <col min="4" max="4" width="11.33203125" customWidth="1"/>
    <col min="7" max="7" width="20.44140625" bestFit="1" customWidth="1"/>
  </cols>
  <sheetData>
    <row r="3" spans="2:8" ht="23.4" x14ac:dyDescent="0.45">
      <c r="G3" s="10" t="s">
        <v>47</v>
      </c>
    </row>
    <row r="4" spans="2:8" ht="23.4" x14ac:dyDescent="0.45">
      <c r="B4" s="2"/>
      <c r="C4" s="10" t="s">
        <v>33</v>
      </c>
      <c r="D4" s="2"/>
      <c r="E4" s="2"/>
      <c r="F4" s="2"/>
      <c r="H4" s="2"/>
    </row>
    <row r="5" spans="2:8" ht="18.600000000000001" thickBot="1" x14ac:dyDescent="0.4">
      <c r="B5" s="2"/>
      <c r="C5" s="2"/>
      <c r="D5" s="2"/>
      <c r="E5" s="2"/>
      <c r="F5" s="2"/>
      <c r="G5" s="2"/>
      <c r="H5" s="2"/>
    </row>
    <row r="6" spans="2:8" ht="18" x14ac:dyDescent="0.35">
      <c r="B6" s="70" t="s">
        <v>35</v>
      </c>
      <c r="C6" s="12" t="s">
        <v>7</v>
      </c>
      <c r="D6" s="15">
        <v>54</v>
      </c>
      <c r="E6" s="2"/>
    </row>
    <row r="7" spans="2:8" ht="18" x14ac:dyDescent="0.35">
      <c r="B7" s="70"/>
      <c r="C7" s="9" t="s">
        <v>8</v>
      </c>
      <c r="D7" s="16">
        <v>70</v>
      </c>
      <c r="E7" s="2"/>
    </row>
    <row r="8" spans="2:8" ht="18" x14ac:dyDescent="0.35">
      <c r="B8" s="70"/>
      <c r="C8" s="9" t="s">
        <v>9</v>
      </c>
      <c r="D8" s="16">
        <f>954*3</f>
        <v>2862</v>
      </c>
      <c r="E8" s="2"/>
    </row>
    <row r="9" spans="2:8" ht="18.600000000000001" thickBot="1" x14ac:dyDescent="0.4">
      <c r="B9" s="70"/>
      <c r="C9" s="13" t="s">
        <v>19</v>
      </c>
      <c r="D9" s="17">
        <f>1970*3</f>
        <v>5910</v>
      </c>
      <c r="E9" s="2"/>
    </row>
    <row r="10" spans="2:8" ht="18" x14ac:dyDescent="0.35">
      <c r="B10" s="14"/>
      <c r="C10" s="2"/>
      <c r="D10" s="2"/>
      <c r="E10" s="2"/>
    </row>
    <row r="11" spans="2:8" ht="18" x14ac:dyDescent="0.35">
      <c r="B11" s="14"/>
      <c r="C11" s="2"/>
      <c r="D11" s="2"/>
      <c r="E11" s="2"/>
    </row>
    <row r="12" spans="2:8" ht="18" x14ac:dyDescent="0.35">
      <c r="B12" s="14"/>
      <c r="C12" s="2"/>
      <c r="D12" s="2"/>
      <c r="E12" s="2"/>
    </row>
    <row r="13" spans="2:8" ht="18" x14ac:dyDescent="0.35">
      <c r="B13" s="2"/>
      <c r="C13" s="2"/>
      <c r="D13" s="2"/>
      <c r="E13" s="11"/>
      <c r="F13" s="2"/>
    </row>
    <row r="14" spans="2:8" ht="18.600000000000001" thickBot="1" x14ac:dyDescent="0.4">
      <c r="B14" s="2"/>
      <c r="C14" s="2"/>
      <c r="D14" s="2"/>
      <c r="E14" s="2"/>
      <c r="F14" s="2"/>
    </row>
    <row r="15" spans="2:8" ht="18" x14ac:dyDescent="0.35">
      <c r="B15" s="71" t="s">
        <v>10</v>
      </c>
      <c r="C15" s="18" t="s">
        <v>7</v>
      </c>
      <c r="D15" s="15">
        <v>380</v>
      </c>
      <c r="E15" s="11"/>
      <c r="F15" s="2"/>
      <c r="G15" s="2"/>
      <c r="H15" s="11"/>
    </row>
    <row r="16" spans="2:8" ht="18" x14ac:dyDescent="0.35">
      <c r="B16" s="71"/>
      <c r="C16" s="19" t="s">
        <v>8</v>
      </c>
      <c r="D16" s="16">
        <v>17.5</v>
      </c>
      <c r="E16" s="11"/>
      <c r="G16" s="2"/>
      <c r="H16" s="11"/>
    </row>
    <row r="17" spans="2:5" ht="18" x14ac:dyDescent="0.35">
      <c r="B17" s="71"/>
      <c r="C17" s="19" t="s">
        <v>9</v>
      </c>
      <c r="D17" s="16">
        <v>2640</v>
      </c>
      <c r="E17" s="11"/>
    </row>
    <row r="18" spans="2:5" ht="18" x14ac:dyDescent="0.35">
      <c r="B18" s="71"/>
      <c r="C18" s="19" t="s">
        <v>19</v>
      </c>
      <c r="D18" s="16">
        <v>11300</v>
      </c>
      <c r="E18" s="11"/>
    </row>
    <row r="19" spans="2:5" ht="18.600000000000001" thickBot="1" x14ac:dyDescent="0.4">
      <c r="B19" s="71"/>
      <c r="C19" s="20" t="s">
        <v>34</v>
      </c>
      <c r="D19" s="17">
        <v>0.10199999999999999</v>
      </c>
    </row>
  </sheetData>
  <mergeCells count="2">
    <mergeCell ref="B6:B9"/>
    <mergeCell ref="B15:B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7B3F-248B-4332-8FCD-DF6D0384BDD4}">
  <dimension ref="C5:V28"/>
  <sheetViews>
    <sheetView topLeftCell="A4" zoomScale="85" zoomScaleNormal="85" workbookViewId="0">
      <selection activeCell="G42" sqref="G42"/>
    </sheetView>
  </sheetViews>
  <sheetFormatPr defaultRowHeight="14.4" x14ac:dyDescent="0.3"/>
  <cols>
    <col min="3" max="3" width="28.44140625" bestFit="1" customWidth="1"/>
    <col min="4" max="4" width="12.6640625" customWidth="1"/>
  </cols>
  <sheetData>
    <row r="5" spans="3:22" ht="23.4" x14ac:dyDescent="0.45">
      <c r="C5" s="73" t="s">
        <v>38</v>
      </c>
      <c r="D5" s="73"/>
      <c r="E5" s="10"/>
      <c r="F5" s="10"/>
      <c r="G5" s="10"/>
      <c r="H5" s="10" t="s">
        <v>10</v>
      </c>
      <c r="P5" s="10" t="s">
        <v>35</v>
      </c>
    </row>
    <row r="6" spans="3:22" ht="15" thickBot="1" x14ac:dyDescent="0.35">
      <c r="D6" s="1"/>
    </row>
    <row r="7" spans="3:22" ht="18" x14ac:dyDescent="0.35">
      <c r="C7" s="30" t="s">
        <v>37</v>
      </c>
      <c r="D7" s="58">
        <f>'2.TEST DATA'!D19*3/2</f>
        <v>0.153</v>
      </c>
    </row>
    <row r="8" spans="3:22" ht="18" x14ac:dyDescent="0.35">
      <c r="C8" s="5" t="s">
        <v>26</v>
      </c>
      <c r="D8" s="54">
        <f>'2.TEST DATA'!D18/'1.MOTOR DATA'!D7/('2.TEST DATA'!D16/SQRT(3))^2</f>
        <v>36.897959183673471</v>
      </c>
      <c r="H8" s="23"/>
      <c r="I8" s="23"/>
    </row>
    <row r="9" spans="3:22" ht="18" x14ac:dyDescent="0.35">
      <c r="C9" s="5" t="s">
        <v>20</v>
      </c>
      <c r="D9" s="54">
        <f>4*'2.TEST DATA'!D9/'1.MOTOR DATA'!D7/('2.TEST DATA'!D7/SQRT(3))^2</f>
        <v>4.8244897959183675</v>
      </c>
      <c r="H9" s="23"/>
      <c r="I9" s="23"/>
    </row>
    <row r="10" spans="3:22" ht="18" x14ac:dyDescent="0.35">
      <c r="C10" s="5" t="s">
        <v>21</v>
      </c>
      <c r="D10" s="54">
        <f>'2.TEST DATA'!D8/'1.MOTOR DATA'!D7/('2.TEST DATA'!D7/SQRT(3))^2</f>
        <v>0.58408163265306123</v>
      </c>
      <c r="H10" s="23"/>
      <c r="I10" s="23"/>
    </row>
    <row r="11" spans="3:22" ht="18" x14ac:dyDescent="0.35">
      <c r="C11" s="5" t="s">
        <v>97</v>
      </c>
      <c r="D11" s="54">
        <f>'2.TEST DATA'!D17-'2.TEST DATA'!D17*0.01-'1.MOTOR DATA'!D7*('2.TEST DATA'!D16/SQRT(3))^2*'3.PARAMETERS (FROM TEST DATA)'!D7</f>
        <v>2566.7437500000001</v>
      </c>
      <c r="H11" s="23"/>
      <c r="I11" s="23"/>
    </row>
    <row r="12" spans="3:22" ht="18" x14ac:dyDescent="0.35">
      <c r="C12" s="29" t="s">
        <v>27</v>
      </c>
      <c r="D12" s="57">
        <f>'1.MOTOR DATA'!D7*'2.TEST DATA'!D15^2/'3.PARAMETERS (FROM TEST DATA)'!D11</f>
        <v>168.77415207497828</v>
      </c>
      <c r="H12" s="23"/>
      <c r="I12" s="23"/>
      <c r="P12" s="24"/>
      <c r="Q12" s="2"/>
      <c r="R12" s="2"/>
      <c r="S12" s="2"/>
      <c r="T12" s="72"/>
      <c r="U12" s="2"/>
      <c r="V12" s="2"/>
    </row>
    <row r="13" spans="3:22" ht="18" x14ac:dyDescent="0.35">
      <c r="C13" s="26" t="s">
        <v>22</v>
      </c>
      <c r="D13" s="54"/>
      <c r="H13" s="23"/>
      <c r="I13" s="23"/>
      <c r="P13" s="24"/>
      <c r="Q13" s="2"/>
      <c r="R13" s="2"/>
      <c r="S13" s="2"/>
      <c r="T13" s="72"/>
      <c r="U13" s="2"/>
      <c r="V13" s="2"/>
    </row>
    <row r="14" spans="3:22" ht="18" x14ac:dyDescent="0.35">
      <c r="C14" s="29" t="s">
        <v>23</v>
      </c>
      <c r="D14" s="57">
        <f>(2*D8-SQRT(4*D8^2-4*D9*D8))/2</f>
        <v>2.4967155383023254</v>
      </c>
      <c r="H14" s="23"/>
      <c r="I14" s="23"/>
      <c r="P14" s="24"/>
      <c r="Q14" s="2"/>
      <c r="R14" s="2"/>
      <c r="S14" s="2"/>
      <c r="T14" s="72"/>
      <c r="U14" s="2"/>
      <c r="V14" s="2"/>
    </row>
    <row r="15" spans="3:22" ht="18" x14ac:dyDescent="0.35">
      <c r="C15" s="29" t="s">
        <v>25</v>
      </c>
      <c r="D15" s="57">
        <f>D14</f>
        <v>2.4967155383023254</v>
      </c>
      <c r="H15" s="23"/>
      <c r="I15" s="23"/>
      <c r="P15" s="24"/>
      <c r="Q15" s="2"/>
      <c r="R15" s="2"/>
      <c r="S15" s="2"/>
      <c r="T15" s="72"/>
      <c r="U15" s="2"/>
      <c r="V15" s="2"/>
    </row>
    <row r="16" spans="3:22" ht="18" x14ac:dyDescent="0.35">
      <c r="C16" s="29" t="s">
        <v>24</v>
      </c>
      <c r="D16" s="57">
        <f>D8-D14</f>
        <v>34.401243645371146</v>
      </c>
      <c r="P16" s="14"/>
      <c r="Q16" s="2"/>
      <c r="R16" s="2"/>
      <c r="S16" s="2"/>
      <c r="T16" s="72"/>
      <c r="U16" s="2"/>
      <c r="V16" s="2"/>
    </row>
    <row r="17" spans="3:8" ht="18.600000000000001" thickBot="1" x14ac:dyDescent="0.4">
      <c r="C17" s="27" t="s">
        <v>36</v>
      </c>
      <c r="D17" s="55">
        <f>(D10-D7)*((D15+D16)/D16)^2</f>
        <v>0.49592491208751244</v>
      </c>
    </row>
    <row r="28" spans="3:8" x14ac:dyDescent="0.3">
      <c r="H28" s="25" t="s">
        <v>48</v>
      </c>
    </row>
  </sheetData>
  <mergeCells count="2">
    <mergeCell ref="T12:T16"/>
    <mergeCell ref="C5:D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E65C8-62DE-4C8C-ACD7-09FA947C1097}">
  <dimension ref="C5:G36"/>
  <sheetViews>
    <sheetView tabSelected="1" topLeftCell="A6" workbookViewId="0">
      <selection activeCell="F19" sqref="F19"/>
    </sheetView>
  </sheetViews>
  <sheetFormatPr defaultRowHeight="14.4" x14ac:dyDescent="0.3"/>
  <cols>
    <col min="3" max="3" width="34.109375" customWidth="1"/>
    <col min="4" max="4" width="17.109375" bestFit="1" customWidth="1"/>
    <col min="6" max="6" width="40.109375" bestFit="1" customWidth="1"/>
    <col min="7" max="7" width="13.33203125" customWidth="1"/>
  </cols>
  <sheetData>
    <row r="5" spans="3:7" ht="23.4" x14ac:dyDescent="0.45">
      <c r="C5" s="10" t="s">
        <v>39</v>
      </c>
    </row>
    <row r="8" spans="3:7" ht="20.399999999999999" thickBot="1" x14ac:dyDescent="0.45">
      <c r="C8" s="74" t="s">
        <v>40</v>
      </c>
      <c r="D8" s="74"/>
      <c r="F8" s="74" t="s">
        <v>72</v>
      </c>
      <c r="G8" s="74"/>
    </row>
    <row r="9" spans="3:7" ht="18" x14ac:dyDescent="0.35">
      <c r="C9" s="3" t="s">
        <v>41</v>
      </c>
      <c r="D9" s="15">
        <v>1.7199999999999999E-8</v>
      </c>
      <c r="F9" s="3" t="s">
        <v>51</v>
      </c>
      <c r="G9" s="15">
        <v>0.95499999999999996</v>
      </c>
    </row>
    <row r="10" spans="3:7" ht="18" x14ac:dyDescent="0.35">
      <c r="C10" s="28" t="s">
        <v>43</v>
      </c>
      <c r="D10" s="16">
        <f>'1.MOTOR DATA'!D17/'1.MOTOR DATA'!D7/'1.MOTOR DATA'!D9</f>
        <v>6</v>
      </c>
      <c r="F10" s="5" t="s">
        <v>84</v>
      </c>
      <c r="G10" s="54">
        <f>2*G9*D11*'1.MOTOR DATA'!D7/'1.MOTOR DATA'!D16*('1.MOTOR DATA'!D13/3/'1.MOTOR DATA'!D12)</f>
        <v>0.6137131578947369</v>
      </c>
    </row>
    <row r="11" spans="3:7" ht="18" x14ac:dyDescent="0.35">
      <c r="C11" s="5" t="s">
        <v>42</v>
      </c>
      <c r="D11" s="16">
        <f>'1.MOTOR DATA'!D18/2*'1.MOTOR DATA'!D17/'1.MOTOR DATA'!D7</f>
        <v>132</v>
      </c>
      <c r="F11" s="5" t="s">
        <v>81</v>
      </c>
      <c r="G11" s="54">
        <f>2/3*G12</f>
        <v>16.133333333333333</v>
      </c>
    </row>
    <row r="12" spans="3:7" ht="18" x14ac:dyDescent="0.35">
      <c r="C12" s="5" t="s">
        <v>44</v>
      </c>
      <c r="D12" s="16">
        <v>15</v>
      </c>
      <c r="F12" s="5" t="s">
        <v>82</v>
      </c>
      <c r="G12" s="16">
        <f>'1.MOTOR DATA'!D26</f>
        <v>24.2</v>
      </c>
    </row>
    <row r="13" spans="3:7" ht="18" x14ac:dyDescent="0.35">
      <c r="C13" s="5" t="s">
        <v>45</v>
      </c>
      <c r="D13" s="16">
        <f>'1.MOTOR DATA'!D17/'1.MOTOR DATA'!D9</f>
        <v>18</v>
      </c>
      <c r="F13" s="5" t="s">
        <v>83</v>
      </c>
      <c r="G13" s="16">
        <f>('1.MOTOR DATA'!D27-'1.MOTOR DATA'!D28)/2</f>
        <v>32</v>
      </c>
    </row>
    <row r="14" spans="3:7" ht="18" x14ac:dyDescent="0.35">
      <c r="C14" s="5" t="s">
        <v>49</v>
      </c>
      <c r="D14" s="54">
        <f>2*PI()*D12/D13*(('1.MOTOR DATA'!D27-'1.MOTOR DATA'!D28)/2-1)/'1.MOTOR DATA'!D9+2*'1.MOTOR DATA'!D24</f>
        <v>581.15781021773637</v>
      </c>
      <c r="F14" s="5" t="s">
        <v>53</v>
      </c>
      <c r="G14" s="16">
        <f>('1.MOTOR DATA'!D27+'1.MOTOR DATA'!D28)/2</f>
        <v>135</v>
      </c>
    </row>
    <row r="15" spans="3:7" ht="18.600000000000001" thickBot="1" x14ac:dyDescent="0.4">
      <c r="C15" s="27" t="s">
        <v>50</v>
      </c>
      <c r="D15" s="55">
        <f>D9*D14*0.001*D11*4/PI()/'1.MOTOR DATA'!D19/'1.MOTOR DATA'!D21/0.000001</f>
        <v>0.1527263210166688</v>
      </c>
      <c r="F15" s="5" t="s">
        <v>54</v>
      </c>
      <c r="G15" s="54">
        <f>'1.MOTOR DATA'!D24+2*'4.PARAMETERS ( FROM MOTOR DATA)'!G11+'4.PARAMETERS ( FROM MOTOR DATA)'!G12</f>
        <v>306.46666666666664</v>
      </c>
    </row>
    <row r="16" spans="3:7" ht="18" x14ac:dyDescent="0.35">
      <c r="F16" s="5" t="s">
        <v>55</v>
      </c>
      <c r="G16" s="54">
        <f>PI()*G14</f>
        <v>424.11500823462205</v>
      </c>
    </row>
    <row r="17" spans="3:7" ht="20.399999999999999" thickBot="1" x14ac:dyDescent="0.45">
      <c r="C17" s="75" t="s">
        <v>74</v>
      </c>
      <c r="D17" s="75"/>
      <c r="F17" s="5" t="s">
        <v>56</v>
      </c>
      <c r="G17" s="16">
        <f>G12*G13</f>
        <v>774.4</v>
      </c>
    </row>
    <row r="18" spans="3:7" ht="18" x14ac:dyDescent="0.35">
      <c r="C18" s="3" t="s">
        <v>85</v>
      </c>
      <c r="D18" s="56">
        <f>('1.MOTOR DATA'!D12-'1.MOTOR DATA'!D13/3/'1.MOTOR DATA'!D12*SQRT(D15^2+G27^2))/('4.PARAMETERS ( FROM MOTOR DATA)'!D26*0.3)</f>
        <v>7.3405988386985683</v>
      </c>
      <c r="F18" s="5" t="s">
        <v>70</v>
      </c>
      <c r="G18" s="54">
        <f>PI()*(8/2)^2</f>
        <v>50.26548245743669</v>
      </c>
    </row>
    <row r="19" spans="3:7" ht="18.600000000000001" thickBot="1" x14ac:dyDescent="0.4">
      <c r="C19" s="27" t="s">
        <v>24</v>
      </c>
      <c r="D19" s="55">
        <f>'1.MOTOR DATA'!D12/'4.PARAMETERS ( FROM MOTOR DATA)'!D18</f>
        <v>51.766893730344634</v>
      </c>
      <c r="F19" s="5" t="s">
        <v>57</v>
      </c>
      <c r="G19" s="21">
        <f>D9*G15/G18*1000</f>
        <v>1.048677225197268E-4</v>
      </c>
    </row>
    <row r="20" spans="3:7" ht="18" x14ac:dyDescent="0.35">
      <c r="F20" s="5" t="s">
        <v>58</v>
      </c>
      <c r="G20" s="21">
        <f>G19+D9*G14*2*'1.MOTOR DATA'!D16/PI()/'1.MOTOR DATA'!D9^2/'4.PARAMETERS ( FROM MOTOR DATA)'!G17*1000</f>
        <v>1.2395645071494276E-4</v>
      </c>
    </row>
    <row r="21" spans="3:7" ht="20.399999999999999" thickBot="1" x14ac:dyDescent="0.45">
      <c r="C21" s="75" t="s">
        <v>75</v>
      </c>
      <c r="D21" s="75"/>
      <c r="F21" s="27" t="s">
        <v>59</v>
      </c>
      <c r="G21" s="55">
        <f>4*'1.MOTOR DATA'!D7*('4.PARAMETERS ( FROM MOTOR DATA)'!D11*'4.PARAMETERS ( FROM MOTOR DATA)'!G9)^2*'4.PARAMETERS ( FROM MOTOR DATA)'!G20/'1.MOTOR DATA'!D16</f>
        <v>0.59094218379853902</v>
      </c>
    </row>
    <row r="22" spans="3:7" ht="18" x14ac:dyDescent="0.35">
      <c r="C22" s="3" t="s">
        <v>77</v>
      </c>
      <c r="D22" s="31">
        <v>1</v>
      </c>
    </row>
    <row r="23" spans="3:7" ht="20.399999999999999" thickBot="1" x14ac:dyDescent="0.45">
      <c r="C23" s="5" t="s">
        <v>76</v>
      </c>
      <c r="D23" s="16">
        <v>270</v>
      </c>
      <c r="F23" s="74" t="s">
        <v>73</v>
      </c>
      <c r="G23" s="74"/>
    </row>
    <row r="24" spans="3:7" ht="18" x14ac:dyDescent="0.35">
      <c r="C24" s="5" t="s">
        <v>78</v>
      </c>
      <c r="D24" s="16">
        <v>3.1</v>
      </c>
      <c r="F24" s="3" t="s">
        <v>60</v>
      </c>
      <c r="G24" s="15"/>
    </row>
    <row r="25" spans="3:7" ht="18" x14ac:dyDescent="0.35">
      <c r="C25" s="5" t="s">
        <v>79</v>
      </c>
      <c r="D25" s="16">
        <f>D24*D23</f>
        <v>837</v>
      </c>
      <c r="F25" s="5" t="s">
        <v>71</v>
      </c>
      <c r="G25" s="22">
        <f>'1.MOTOR DATA'!D34/3/'1.MOTOR DATA'!D33+'1.MOTOR DATA'!D36/'1.MOTOR DATA'!D35</f>
        <v>0.89602977667493799</v>
      </c>
    </row>
    <row r="26" spans="3:7" ht="18.600000000000001" thickBot="1" x14ac:dyDescent="0.4">
      <c r="C26" s="27" t="s">
        <v>80</v>
      </c>
      <c r="D26" s="55">
        <f>'1.MOTOR DATA'!D12^2/'4.PARAMETERS ( FROM MOTOR DATA)'!D25</f>
        <v>172.52090800477896</v>
      </c>
      <c r="F26" s="5" t="s">
        <v>69</v>
      </c>
      <c r="G26" s="54">
        <f>0.00003156*'1.MOTOR DATA'!D7*'1.MOTOR DATA'!D8*'4.PARAMETERS ( FROM MOTOR DATA)'!D11^2*('4.PARAMETERS ( FROM MOTOR DATA)'!G25/'1.MOTOR DATA'!D17+'4.PARAMETERS ( FROM MOTOR DATA)'!G25*'1.MOTOR DATA'!D7*'4.PARAMETERS ( FROM MOTOR DATA)'!G9^2/'1.MOTOR DATA'!D16/(2*'1.MOTOR DATA'!D16/'1.MOTOR DATA'!D9))*2.2</f>
        <v>4.7947279930385411</v>
      </c>
    </row>
    <row r="27" spans="3:7" ht="18" x14ac:dyDescent="0.35">
      <c r="F27" s="29" t="s">
        <v>23</v>
      </c>
      <c r="G27" s="57">
        <f>G26/2</f>
        <v>2.3973639965192706</v>
      </c>
    </row>
    <row r="28" spans="3:7" ht="18.600000000000001" thickBot="1" x14ac:dyDescent="0.4">
      <c r="F28" s="27" t="s">
        <v>25</v>
      </c>
      <c r="G28" s="55">
        <f>G27</f>
        <v>2.3973639965192706</v>
      </c>
    </row>
    <row r="31" spans="3:7" ht="18" x14ac:dyDescent="0.35">
      <c r="C31" s="2"/>
      <c r="D31" s="2"/>
    </row>
    <row r="32" spans="3:7" ht="18" x14ac:dyDescent="0.35">
      <c r="C32" s="2"/>
      <c r="D32" s="2"/>
    </row>
    <row r="33" spans="3:4" ht="18" x14ac:dyDescent="0.35">
      <c r="C33" s="2"/>
      <c r="D33" s="2"/>
    </row>
    <row r="34" spans="3:4" ht="18" x14ac:dyDescent="0.35">
      <c r="C34" s="2"/>
      <c r="D34" s="2"/>
    </row>
    <row r="35" spans="3:4" ht="18" x14ac:dyDescent="0.35">
      <c r="C35" s="2"/>
      <c r="D35" s="2"/>
    </row>
    <row r="36" spans="3:4" ht="18" x14ac:dyDescent="0.35">
      <c r="C36" s="2"/>
      <c r="D36" s="2"/>
    </row>
  </sheetData>
  <mergeCells count="5">
    <mergeCell ref="F23:G23"/>
    <mergeCell ref="C21:D21"/>
    <mergeCell ref="C8:D8"/>
    <mergeCell ref="F8:G8"/>
    <mergeCell ref="C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44C7-3BF6-498D-905D-A1C1D0C02758}">
  <dimension ref="A4:AF70"/>
  <sheetViews>
    <sheetView zoomScale="70" zoomScaleNormal="70" workbookViewId="0">
      <selection activeCell="W4" sqref="W4:AA7"/>
    </sheetView>
  </sheetViews>
  <sheetFormatPr defaultRowHeight="14.4" x14ac:dyDescent="0.3"/>
  <cols>
    <col min="1" max="1" width="12.5546875" bestFit="1" customWidth="1"/>
    <col min="2" max="2" width="12.88671875" style="32" customWidth="1"/>
    <col min="3" max="3" width="12.6640625" style="32" bestFit="1" customWidth="1"/>
    <col min="4" max="4" width="14.44140625" style="32" bestFit="1" customWidth="1"/>
    <col min="5" max="5" width="15" style="32" bestFit="1" customWidth="1"/>
    <col min="6" max="6" width="13.77734375" style="32" bestFit="1" customWidth="1"/>
    <col min="15" max="16" width="12.5546875" bestFit="1" customWidth="1"/>
    <col min="17" max="17" width="12.6640625" bestFit="1" customWidth="1"/>
    <col min="18" max="18" width="14.44140625" bestFit="1" customWidth="1"/>
    <col min="19" max="19" width="15" bestFit="1" customWidth="1"/>
    <col min="20" max="20" width="13.77734375" bestFit="1" customWidth="1"/>
    <col min="31" max="31" width="18.21875" bestFit="1" customWidth="1"/>
    <col min="32" max="32" width="12.5546875" customWidth="1"/>
  </cols>
  <sheetData>
    <row r="4" spans="2:32" ht="23.4" x14ac:dyDescent="0.3">
      <c r="B4" s="33" t="s">
        <v>94</v>
      </c>
      <c r="C4" s="33"/>
      <c r="D4" s="33"/>
      <c r="E4" s="33"/>
      <c r="F4" s="33"/>
      <c r="W4" s="77" t="s">
        <v>98</v>
      </c>
      <c r="X4" s="77"/>
      <c r="Y4" s="77"/>
      <c r="Z4" s="77"/>
      <c r="AA4" s="77"/>
    </row>
    <row r="5" spans="2:32" x14ac:dyDescent="0.3">
      <c r="W5" s="77"/>
      <c r="X5" s="77"/>
      <c r="Y5" s="77"/>
      <c r="Z5" s="77"/>
      <c r="AA5" s="77"/>
    </row>
    <row r="6" spans="2:32" ht="23.4" x14ac:dyDescent="0.3">
      <c r="B6" s="76" t="s">
        <v>95</v>
      </c>
      <c r="C6" s="76"/>
      <c r="D6" s="76"/>
      <c r="E6" s="76"/>
      <c r="F6" s="76"/>
      <c r="P6" s="76" t="s">
        <v>96</v>
      </c>
      <c r="Q6" s="76"/>
      <c r="R6" s="76"/>
      <c r="S6" s="76"/>
      <c r="T6" s="76"/>
      <c r="W6" s="77"/>
      <c r="X6" s="77"/>
      <c r="Y6" s="77"/>
      <c r="Z6" s="77"/>
      <c r="AA6" s="77"/>
    </row>
    <row r="7" spans="2:32" x14ac:dyDescent="0.3">
      <c r="W7" s="77"/>
      <c r="X7" s="77"/>
      <c r="Y7" s="77"/>
      <c r="Z7" s="77"/>
      <c r="AA7" s="77"/>
    </row>
    <row r="9" spans="2:32" ht="16.2" thickBot="1" x14ac:dyDescent="0.35">
      <c r="B9" s="37" t="s">
        <v>93</v>
      </c>
      <c r="C9" s="37" t="s">
        <v>87</v>
      </c>
      <c r="D9" s="37" t="s">
        <v>92</v>
      </c>
      <c r="E9" s="37" t="s">
        <v>91</v>
      </c>
      <c r="F9" s="37" t="s">
        <v>3</v>
      </c>
      <c r="P9" s="37" t="s">
        <v>93</v>
      </c>
      <c r="Q9" s="37" t="s">
        <v>87</v>
      </c>
      <c r="R9" s="37" t="s">
        <v>92</v>
      </c>
      <c r="S9" s="37" t="s">
        <v>91</v>
      </c>
      <c r="T9" s="37" t="s">
        <v>3</v>
      </c>
    </row>
    <row r="10" spans="2:32" x14ac:dyDescent="0.3">
      <c r="B10" s="34">
        <v>0</v>
      </c>
      <c r="C10" s="45">
        <f>('1.MOTOR DATA'!$D$14-B10)/'1.MOTOR DATA'!$D$14</f>
        <v>1</v>
      </c>
      <c r="D10" s="45">
        <f>'1.MOTOR DATA'!$D$12/SQRT(('3.PARAMETERS (FROM TEST DATA)'!$D$7+'3.PARAMETERS (FROM TEST DATA)'!$D$17/C10)^2+('3.PARAMETERS (FROM TEST DATA)'!$D$14+'3.PARAMETERS (FROM TEST DATA)'!$D$15)^2)</f>
        <v>75.465398795809051</v>
      </c>
      <c r="E10" s="45">
        <f>3*D10^2*'3.PARAMETERS (FROM TEST DATA)'!$D$17/'5.PERFORMANCE'!C10/'1.MOTOR DATA'!$D$14*30/PI()</f>
        <v>26.97013062312142</v>
      </c>
      <c r="F10" s="46">
        <f>0.00001*B10*PI()/30/1000</f>
        <v>0</v>
      </c>
      <c r="P10" s="34">
        <v>0</v>
      </c>
      <c r="Q10" s="45">
        <f>('1.MOTOR DATA'!$D$14-P10)/'1.MOTOR DATA'!$D$14</f>
        <v>1</v>
      </c>
      <c r="R10" s="45">
        <f>'1.MOTOR DATA'!$D$12/SQRT(('4.PARAMETERS ( FROM MOTOR DATA)'!$D$15+'4.PARAMETERS ( FROM MOTOR DATA)'!$G$21/Q10)^2+('4.PARAMETERS ( FROM MOTOR DATA)'!$G$27+'4.PARAMETERS ( FROM MOTOR DATA)'!$G$28)^2)</f>
        <v>78.317295512746767</v>
      </c>
      <c r="S10" s="45">
        <f>3*R10^2*'4.PARAMETERS ( FROM MOTOR DATA)'!$G$21/'5.PERFORMANCE'!Q10/'1.MOTOR DATA'!$D$14*30/PI()</f>
        <v>34.612401942178089</v>
      </c>
      <c r="T10" s="46">
        <f>0.00001*P10*PI()/30/1000</f>
        <v>0</v>
      </c>
    </row>
    <row r="11" spans="2:32" x14ac:dyDescent="0.3">
      <c r="B11" s="35">
        <v>50</v>
      </c>
      <c r="C11" s="47">
        <f>('1.MOTOR DATA'!$D$14-B11)/'1.MOTOR DATA'!$D$14</f>
        <v>0.98333333333333328</v>
      </c>
      <c r="D11" s="47">
        <f>'1.MOTOR DATA'!$D$12/SQRT(('3.PARAMETERS (FROM TEST DATA)'!$D$7+'3.PARAMETERS (FROM TEST DATA)'!$D$17/C11)^2+('3.PARAMETERS (FROM TEST DATA)'!$D$14+'3.PARAMETERS (FROM TEST DATA)'!$D$15)^2)</f>
        <v>75.449064613637233</v>
      </c>
      <c r="E11" s="47">
        <f>3*D11^2*'3.PARAMETERS (FROM TEST DATA)'!$D$17/'5.PERFORMANCE'!C11/'1.MOTOR DATA'!$D$14*30/PI()</f>
        <v>27.415379729444226</v>
      </c>
      <c r="F11" s="48">
        <f>E11*B11*PI()/30/1000</f>
        <v>0.14354659258899422</v>
      </c>
      <c r="P11" s="35">
        <v>50</v>
      </c>
      <c r="Q11" s="47">
        <f>('1.MOTOR DATA'!$D$14-P11)/'1.MOTOR DATA'!$D$14</f>
        <v>0.98333333333333328</v>
      </c>
      <c r="R11" s="47">
        <f>'1.MOTOR DATA'!$D$12/SQRT(('4.PARAMETERS ( FROM MOTOR DATA)'!$D$15+'4.PARAMETERS ( FROM MOTOR DATA)'!$G$21/Q11)^2+('4.PARAMETERS ( FROM MOTOR DATA)'!$G$27+'4.PARAMETERS ( FROM MOTOR DATA)'!$G$28)^2)</f>
        <v>78.292361878037838</v>
      </c>
      <c r="S11" s="47">
        <f>3*R11^2*'4.PARAMETERS ( FROM MOTOR DATA)'!$G$21/'5.PERFORMANCE'!Q11/'1.MOTOR DATA'!$D$14*30/PI()</f>
        <v>35.17664396347331</v>
      </c>
      <c r="T11" s="48">
        <f>S11*P11*PI()/30/1000</f>
        <v>0.18418447708931915</v>
      </c>
    </row>
    <row r="12" spans="2:32" ht="15" thickBot="1" x14ac:dyDescent="0.35">
      <c r="B12" s="35">
        <v>100</v>
      </c>
      <c r="C12" s="47">
        <f>('1.MOTOR DATA'!$D$14-B12)/'1.MOTOR DATA'!$D$14</f>
        <v>0.96666666666666667</v>
      </c>
      <c r="D12" s="47">
        <f>'1.MOTOR DATA'!$D$12/SQRT(('3.PARAMETERS (FROM TEST DATA)'!$D$7+'3.PARAMETERS (FROM TEST DATA)'!$D$17/C12)^2+('3.PARAMETERS (FROM TEST DATA)'!$D$14+'3.PARAMETERS (FROM TEST DATA)'!$D$15)^2)</f>
        <v>75.431957348460571</v>
      </c>
      <c r="E12" s="47">
        <f>3*D12^2*'3.PARAMETERS (FROM TEST DATA)'!$D$17/'5.PERFORMANCE'!C12/'1.MOTOR DATA'!$D$14*30/PI()</f>
        <v>27.875413488387778</v>
      </c>
      <c r="F12" s="48">
        <f t="shared" ref="F12:F70" si="0">E12*B12*PI()/30/1000</f>
        <v>0.29191064743632283</v>
      </c>
      <c r="P12" s="35">
        <v>100</v>
      </c>
      <c r="Q12" s="47">
        <f>('1.MOTOR DATA'!$D$14-P12)/'1.MOTOR DATA'!$D$14</f>
        <v>0.96666666666666667</v>
      </c>
      <c r="R12" s="47">
        <f>'1.MOTOR DATA'!$D$12/SQRT(('4.PARAMETERS ( FROM MOTOR DATA)'!$D$15+'4.PARAMETERS ( FROM MOTOR DATA)'!$G$21/Q12)^2+('4.PARAMETERS ( FROM MOTOR DATA)'!$G$27+'4.PARAMETERS ( FROM MOTOR DATA)'!$G$28)^2)</f>
        <v>78.266243002922593</v>
      </c>
      <c r="S12" s="47">
        <f>3*R12^2*'4.PARAMETERS ( FROM MOTOR DATA)'!$G$21/'5.PERFORMANCE'!Q12/'1.MOTOR DATA'!$D$14*30/PI()</f>
        <v>35.759266801262449</v>
      </c>
      <c r="T12" s="48">
        <f t="shared" ref="T12:T70" si="1">S12*P12*PI()/30/1000</f>
        <v>0.3744701662686783</v>
      </c>
    </row>
    <row r="13" spans="2:32" ht="21" x14ac:dyDescent="0.4">
      <c r="B13" s="35">
        <v>150</v>
      </c>
      <c r="C13" s="47">
        <f>('1.MOTOR DATA'!$D$14-B13)/'1.MOTOR DATA'!$D$14</f>
        <v>0.95</v>
      </c>
      <c r="D13" s="47">
        <f>'1.MOTOR DATA'!$D$12/SQRT(('3.PARAMETERS (FROM TEST DATA)'!$D$7+'3.PARAMETERS (FROM TEST DATA)'!$D$17/C13)^2+('3.PARAMETERS (FROM TEST DATA)'!$D$14+'3.PARAMETERS (FROM TEST DATA)'!$D$15)^2)</f>
        <v>75.414025543691722</v>
      </c>
      <c r="E13" s="47">
        <f>3*D13^2*'3.PARAMETERS (FROM TEST DATA)'!$D$17/'5.PERFORMANCE'!C13/'1.MOTOR DATA'!$D$14*30/PI()</f>
        <v>28.350971746181642</v>
      </c>
      <c r="F13" s="48">
        <f t="shared" si="0"/>
        <v>0.4453360227996801</v>
      </c>
      <c r="P13" s="35">
        <v>150</v>
      </c>
      <c r="Q13" s="47">
        <f>('1.MOTOR DATA'!$D$14-P13)/'1.MOTOR DATA'!$D$14</f>
        <v>0.95</v>
      </c>
      <c r="R13" s="47">
        <f>'1.MOTOR DATA'!$D$12/SQRT(('4.PARAMETERS ( FROM MOTOR DATA)'!$D$15+'4.PARAMETERS ( FROM MOTOR DATA)'!$G$21/Q13)^2+('4.PARAMETERS ( FROM MOTOR DATA)'!$G$27+'4.PARAMETERS ( FROM MOTOR DATA)'!$G$28)^2)</f>
        <v>78.238860159165085</v>
      </c>
      <c r="S13" s="47">
        <f>3*R13^2*'4.PARAMETERS ( FROM MOTOR DATA)'!$G$21/'5.PERFORMANCE'!Q13/'1.MOTOR DATA'!$D$14*30/PI()</f>
        <v>36.361165793029777</v>
      </c>
      <c r="T13" s="48">
        <f t="shared" si="1"/>
        <v>0.5711598566567142</v>
      </c>
      <c r="AE13" s="42" t="s">
        <v>99</v>
      </c>
      <c r="AF13" s="51">
        <f>(R10-D10)/D10*100</f>
        <v>3.779078574346705</v>
      </c>
    </row>
    <row r="14" spans="2:32" ht="21" x14ac:dyDescent="0.4">
      <c r="B14" s="35">
        <v>200</v>
      </c>
      <c r="C14" s="47">
        <f>('1.MOTOR DATA'!$D$14-B14)/'1.MOTOR DATA'!$D$14</f>
        <v>0.93333333333333335</v>
      </c>
      <c r="D14" s="47">
        <f>'1.MOTOR DATA'!$D$12/SQRT(('3.PARAMETERS (FROM TEST DATA)'!$D$7+'3.PARAMETERS (FROM TEST DATA)'!$D$17/C14)^2+('3.PARAMETERS (FROM TEST DATA)'!$D$14+'3.PARAMETERS (FROM TEST DATA)'!$D$15)^2)</f>
        <v>75.395213325103171</v>
      </c>
      <c r="E14" s="47">
        <f>3*D14^2*'3.PARAMETERS (FROM TEST DATA)'!$D$17/'5.PERFORMANCE'!C14/'1.MOTOR DATA'!$D$14*30/PI()</f>
        <v>28.84284387254878</v>
      </c>
      <c r="F14" s="48">
        <f t="shared" si="0"/>
        <v>0.60408310945757737</v>
      </c>
      <c r="P14" s="35">
        <v>200</v>
      </c>
      <c r="Q14" s="47">
        <f>('1.MOTOR DATA'!$D$14-P14)/'1.MOTOR DATA'!$D$14</f>
        <v>0.93333333333333335</v>
      </c>
      <c r="R14" s="47">
        <f>'1.MOTOR DATA'!$D$12/SQRT(('4.PARAMETERS ( FROM MOTOR DATA)'!$D$15+'4.PARAMETERS ( FROM MOTOR DATA)'!$G$21/Q14)^2+('4.PARAMETERS ( FROM MOTOR DATA)'!$G$27+'4.PARAMETERS ( FROM MOTOR DATA)'!$G$28)^2)</f>
        <v>78.210127899925766</v>
      </c>
      <c r="S14" s="47">
        <f>3*R14^2*'4.PARAMETERS ( FROM MOTOR DATA)'!$G$21/'5.PERFORMANCE'!Q14/'1.MOTOR DATA'!$D$14*30/PI()</f>
        <v>36.983294034772044</v>
      </c>
      <c r="T14" s="48">
        <f t="shared" si="1"/>
        <v>0.77457629896794045</v>
      </c>
      <c r="AE14" s="43" t="s">
        <v>100</v>
      </c>
      <c r="AF14" s="52">
        <f>(S63-E64)/E64*100</f>
        <v>3.8719122436880693</v>
      </c>
    </row>
    <row r="15" spans="2:32" ht="21.6" thickBot="1" x14ac:dyDescent="0.45">
      <c r="B15" s="35">
        <v>250</v>
      </c>
      <c r="C15" s="47">
        <f>('1.MOTOR DATA'!$D$14-B15)/'1.MOTOR DATA'!$D$14</f>
        <v>0.91666666666666663</v>
      </c>
      <c r="D15" s="47">
        <f>'1.MOTOR DATA'!$D$12/SQRT(('3.PARAMETERS (FROM TEST DATA)'!$D$7+'3.PARAMETERS (FROM TEST DATA)'!$D$17/C15)^2+('3.PARAMETERS (FROM TEST DATA)'!$D$14+'3.PARAMETERS (FROM TEST DATA)'!$D$15)^2)</f>
        <v>75.37545993488915</v>
      </c>
      <c r="E15" s="47">
        <f>3*D15^2*'3.PARAMETERS (FROM TEST DATA)'!$D$17/'5.PERFORMANCE'!C15/'1.MOTOR DATA'!$D$14*30/PI()</f>
        <v>29.351872908987286</v>
      </c>
      <c r="F15" s="48">
        <f t="shared" si="0"/>
        <v>0.76843023583313108</v>
      </c>
      <c r="P15" s="35">
        <v>250</v>
      </c>
      <c r="Q15" s="47">
        <f>('1.MOTOR DATA'!$D$14-P15)/'1.MOTOR DATA'!$D$14</f>
        <v>0.91666666666666663</v>
      </c>
      <c r="R15" s="47">
        <f>'1.MOTOR DATA'!$D$12/SQRT(('4.PARAMETERS ( FROM MOTOR DATA)'!$D$15+'4.PARAMETERS ( FROM MOTOR DATA)'!$G$21/Q15)^2+('4.PARAMETERS ( FROM MOTOR DATA)'!$G$27+'4.PARAMETERS ( FROM MOTOR DATA)'!$G$28)^2)</f>
        <v>78.179953357519366</v>
      </c>
      <c r="S15" s="47">
        <f>3*R15^2*'4.PARAMETERS ( FROM MOTOR DATA)'!$G$21/'5.PERFORMANCE'!Q15/'1.MOTOR DATA'!$D$14*30/PI()</f>
        <v>37.626666980926096</v>
      </c>
      <c r="T15" s="48">
        <f t="shared" si="1"/>
        <v>0.9850638380528921</v>
      </c>
      <c r="AE15" s="44" t="s">
        <v>101</v>
      </c>
      <c r="AF15" s="53">
        <f>(T63-F64)/F64*100</f>
        <v>1.9483583132493869</v>
      </c>
    </row>
    <row r="16" spans="2:32" x14ac:dyDescent="0.3">
      <c r="B16" s="35">
        <v>300</v>
      </c>
      <c r="C16" s="47">
        <f>('1.MOTOR DATA'!$D$14-B16)/'1.MOTOR DATA'!$D$14</f>
        <v>0.9</v>
      </c>
      <c r="D16" s="47">
        <f>'1.MOTOR DATA'!$D$12/SQRT(('3.PARAMETERS (FROM TEST DATA)'!$D$7+'3.PARAMETERS (FROM TEST DATA)'!$D$17/C16)^2+('3.PARAMETERS (FROM TEST DATA)'!$D$14+'3.PARAMETERS (FROM TEST DATA)'!$D$15)^2)</f>
        <v>75.354699207234475</v>
      </c>
      <c r="E16" s="47">
        <f>3*D16^2*'3.PARAMETERS (FROM TEST DATA)'!$D$17/'5.PERFORMANCE'!C16/'1.MOTOR DATA'!$D$14*30/PI()</f>
        <v>29.878960133167269</v>
      </c>
      <c r="F16" s="48">
        <f t="shared" si="0"/>
        <v>0.93867521651260599</v>
      </c>
      <c r="P16" s="35">
        <v>300</v>
      </c>
      <c r="Q16" s="47">
        <f>('1.MOTOR DATA'!$D$14-P16)/'1.MOTOR DATA'!$D$14</f>
        <v>0.9</v>
      </c>
      <c r="R16" s="47">
        <f>'1.MOTOR DATA'!$D$12/SQRT(('4.PARAMETERS ( FROM MOTOR DATA)'!$D$15+'4.PARAMETERS ( FROM MOTOR DATA)'!$G$21/Q16)^2+('4.PARAMETERS ( FROM MOTOR DATA)'!$G$27+'4.PARAMETERS ( FROM MOTOR DATA)'!$G$28)^2)</f>
        <v>78.148235454048518</v>
      </c>
      <c r="S16" s="47">
        <f>3*R16^2*'4.PARAMETERS ( FROM MOTOR DATA)'!$G$21/'5.PERFORMANCE'!Q16/'1.MOTOR DATA'!$D$14*30/PI()</f>
        <v>38.292367474392719</v>
      </c>
      <c r="T16" s="48">
        <f t="shared" si="1"/>
        <v>1.2029902034611291</v>
      </c>
    </row>
    <row r="17" spans="2:20" x14ac:dyDescent="0.3">
      <c r="B17" s="35">
        <v>350</v>
      </c>
      <c r="C17" s="47">
        <f>('1.MOTOR DATA'!$D$14-B17)/'1.MOTOR DATA'!$D$14</f>
        <v>0.8833333333333333</v>
      </c>
      <c r="D17" s="47">
        <f>'1.MOTOR DATA'!$D$12/SQRT(('3.PARAMETERS (FROM TEST DATA)'!$D$7+'3.PARAMETERS (FROM TEST DATA)'!$D$17/C17)^2+('3.PARAMETERS (FROM TEST DATA)'!$D$14+'3.PARAMETERS (FROM TEST DATA)'!$D$15)^2)</f>
        <v>75.33285897684388</v>
      </c>
      <c r="E17" s="47">
        <f>3*D17^2*'3.PARAMETERS (FROM TEST DATA)'!$D$17/'5.PERFORMANCE'!C17/'1.MOTOR DATA'!$D$14*30/PI()</f>
        <v>30.425070087807068</v>
      </c>
      <c r="F17" s="48">
        <f t="shared" si="0"/>
        <v>1.1151370611827744</v>
      </c>
      <c r="P17" s="35">
        <v>350</v>
      </c>
      <c r="Q17" s="47">
        <f>('1.MOTOR DATA'!$D$14-P17)/'1.MOTOR DATA'!$D$14</f>
        <v>0.8833333333333333</v>
      </c>
      <c r="R17" s="47">
        <f>'1.MOTOR DATA'!$D$12/SQRT(('4.PARAMETERS ( FROM MOTOR DATA)'!$D$15+'4.PARAMETERS ( FROM MOTOR DATA)'!$G$21/Q17)^2+('4.PARAMETERS ( FROM MOTOR DATA)'!$G$27+'4.PARAMETERS ( FROM MOTOR DATA)'!$G$28)^2)</f>
        <v>78.114864012365814</v>
      </c>
      <c r="S17" s="47">
        <f>3*R17^2*'4.PARAMETERS ( FROM MOTOR DATA)'!$G$21/'5.PERFORMANCE'!Q17/'1.MOTOR DATA'!$D$14*30/PI()</f>
        <v>38.981551251786897</v>
      </c>
      <c r="T17" s="48">
        <f t="shared" si="1"/>
        <v>1.4287484754450568</v>
      </c>
    </row>
    <row r="18" spans="2:20" x14ac:dyDescent="0.3">
      <c r="B18" s="35">
        <v>400</v>
      </c>
      <c r="C18" s="47">
        <f>('1.MOTOR DATA'!$D$14-B18)/'1.MOTOR DATA'!$D$14</f>
        <v>0.8666666666666667</v>
      </c>
      <c r="D18" s="47">
        <f>'1.MOTOR DATA'!$D$12/SQRT(('3.PARAMETERS (FROM TEST DATA)'!$D$7+'3.PARAMETERS (FROM TEST DATA)'!$D$17/C18)^2+('3.PARAMETERS (FROM TEST DATA)'!$D$14+'3.PARAMETERS (FROM TEST DATA)'!$D$15)^2)</f>
        <v>75.309860410455912</v>
      </c>
      <c r="E18" s="47">
        <f>3*D18^2*'3.PARAMETERS (FROM TEST DATA)'!$D$17/'5.PERFORMANCE'!C18/'1.MOTOR DATA'!$D$14*30/PI()</f>
        <v>30.991236128723791</v>
      </c>
      <c r="F18" s="48">
        <f t="shared" si="0"/>
        <v>1.2981578633022031</v>
      </c>
      <c r="P18" s="35">
        <v>400</v>
      </c>
      <c r="Q18" s="47">
        <f>('1.MOTOR DATA'!$D$14-P18)/'1.MOTOR DATA'!$D$14</f>
        <v>0.8666666666666667</v>
      </c>
      <c r="R18" s="47">
        <f>'1.MOTOR DATA'!$D$12/SQRT(('4.PARAMETERS ( FROM MOTOR DATA)'!$D$15+'4.PARAMETERS ( FROM MOTOR DATA)'!$G$21/Q18)^2+('4.PARAMETERS ( FROM MOTOR DATA)'!$G$27+'4.PARAMETERS ( FROM MOTOR DATA)'!$G$28)^2)</f>
        <v>78.079718752754772</v>
      </c>
      <c r="S18" s="47">
        <f>3*R18^2*'4.PARAMETERS ( FROM MOTOR DATA)'!$G$21/'5.PERFORMANCE'!Q18/'1.MOTOR DATA'!$D$14*30/PI()</f>
        <v>39.695452974072595</v>
      </c>
      <c r="T18" s="48">
        <f t="shared" si="1"/>
        <v>1.662759245923541</v>
      </c>
    </row>
    <row r="19" spans="2:20" x14ac:dyDescent="0.3">
      <c r="B19" s="35">
        <v>450</v>
      </c>
      <c r="C19" s="47">
        <f>('1.MOTOR DATA'!$D$14-B19)/'1.MOTOR DATA'!$D$14</f>
        <v>0.85</v>
      </c>
      <c r="D19" s="47">
        <f>'1.MOTOR DATA'!$D$12/SQRT(('3.PARAMETERS (FROM TEST DATA)'!$D$7+'3.PARAMETERS (FROM TEST DATA)'!$D$17/C19)^2+('3.PARAMETERS (FROM TEST DATA)'!$D$14+'3.PARAMETERS (FROM TEST DATA)'!$D$15)^2)</f>
        <v>75.285617249666075</v>
      </c>
      <c r="E19" s="47">
        <f>3*D19^2*'3.PARAMETERS (FROM TEST DATA)'!$D$17/'5.PERFORMANCE'!C19/'1.MOTOR DATA'!$D$14*30/PI()</f>
        <v>31.578566553991568</v>
      </c>
      <c r="F19" s="48">
        <f t="shared" si="0"/>
        <v>1.4881048904537439</v>
      </c>
      <c r="P19" s="35">
        <v>450</v>
      </c>
      <c r="Q19" s="47">
        <f>('1.MOTOR DATA'!$D$14-P19)/'1.MOTOR DATA'!$D$14</f>
        <v>0.85</v>
      </c>
      <c r="R19" s="47">
        <f>'1.MOTOR DATA'!$D$12/SQRT(('4.PARAMETERS ( FROM MOTOR DATA)'!$D$15+'4.PARAMETERS ( FROM MOTOR DATA)'!$G$21/Q19)^2+('4.PARAMETERS ( FROM MOTOR DATA)'!$G$27+'4.PARAMETERS ( FROM MOTOR DATA)'!$G$28)^2)</f>
        <v>78.042668158276001</v>
      </c>
      <c r="S19" s="47">
        <f>3*R19^2*'4.PARAMETERS ( FROM MOTOR DATA)'!$G$21/'5.PERFORMANCE'!Q19/'1.MOTOR DATA'!$D$14*30/PI()</f>
        <v>40.435392838303954</v>
      </c>
      <c r="T19" s="48">
        <f t="shared" si="1"/>
        <v>1.9054729962874952</v>
      </c>
    </row>
    <row r="20" spans="2:20" x14ac:dyDescent="0.3">
      <c r="B20" s="35">
        <v>500</v>
      </c>
      <c r="C20" s="47">
        <f>('1.MOTOR DATA'!$D$14-B20)/'1.MOTOR DATA'!$D$14</f>
        <v>0.83333333333333337</v>
      </c>
      <c r="D20" s="47">
        <f>'1.MOTOR DATA'!$D$12/SQRT(('3.PARAMETERS (FROM TEST DATA)'!$D$7+'3.PARAMETERS (FROM TEST DATA)'!$D$17/C20)^2+('3.PARAMETERS (FROM TEST DATA)'!$D$14+'3.PARAMETERS (FROM TEST DATA)'!$D$15)^2)</f>
        <v>75.260034951357653</v>
      </c>
      <c r="E20" s="47">
        <f>3*D20^2*'3.PARAMETERS (FROM TEST DATA)'!$D$17/'5.PERFORMANCE'!C20/'1.MOTOR DATA'!$D$14*30/PI()</f>
        <v>32.188251384422387</v>
      </c>
      <c r="F20" s="48">
        <f t="shared" si="0"/>
        <v>1.6853729013533809</v>
      </c>
      <c r="P20" s="35">
        <v>500</v>
      </c>
      <c r="Q20" s="47">
        <f>('1.MOTOR DATA'!$D$14-P20)/'1.MOTOR DATA'!$D$14</f>
        <v>0.83333333333333337</v>
      </c>
      <c r="R20" s="47">
        <f>'1.MOTOR DATA'!$D$12/SQRT(('4.PARAMETERS ( FROM MOTOR DATA)'!$D$15+'4.PARAMETERS ( FROM MOTOR DATA)'!$G$21/Q20)^2+('4.PARAMETERS ( FROM MOTOR DATA)'!$G$27+'4.PARAMETERS ( FROM MOTOR DATA)'!$G$28)^2)</f>
        <v>78.003568188819514</v>
      </c>
      <c r="S20" s="47">
        <f>3*R20^2*'4.PARAMETERS ( FROM MOTOR DATA)'!$G$21/'5.PERFORMANCE'!Q20/'1.MOTOR DATA'!$D$14*30/PI()</f>
        <v>41.202783832326354</v>
      </c>
      <c r="T20" s="48">
        <f t="shared" si="1"/>
        <v>2.1573727165847463</v>
      </c>
    </row>
    <row r="21" spans="2:20" x14ac:dyDescent="0.3">
      <c r="B21" s="35">
        <v>550</v>
      </c>
      <c r="C21" s="47">
        <f>('1.MOTOR DATA'!$D$14-B21)/'1.MOTOR DATA'!$D$14</f>
        <v>0.81666666666666665</v>
      </c>
      <c r="D21" s="47">
        <f>'1.MOTOR DATA'!$D$12/SQRT(('3.PARAMETERS (FROM TEST DATA)'!$D$7+'3.PARAMETERS (FROM TEST DATA)'!$D$17/C21)^2+('3.PARAMETERS (FROM TEST DATA)'!$D$14+'3.PARAMETERS (FROM TEST DATA)'!$D$15)^2)</f>
        <v>75.233009709614223</v>
      </c>
      <c r="E21" s="47">
        <f>3*D21^2*'3.PARAMETERS (FROM TEST DATA)'!$D$17/'5.PERFORMANCE'!C21/'1.MOTOR DATA'!$D$14*30/PI()</f>
        <v>32.821569875066636</v>
      </c>
      <c r="F21" s="48">
        <f t="shared" si="0"/>
        <v>1.890386717977879</v>
      </c>
      <c r="P21" s="35">
        <v>550</v>
      </c>
      <c r="Q21" s="47">
        <f>('1.MOTOR DATA'!$D$14-P21)/'1.MOTOR DATA'!$D$14</f>
        <v>0.81666666666666665</v>
      </c>
      <c r="R21" s="47">
        <f>'1.MOTOR DATA'!$D$12/SQRT(('4.PARAMETERS ( FROM MOTOR DATA)'!$D$15+'4.PARAMETERS ( FROM MOTOR DATA)'!$G$21/Q21)^2+('4.PARAMETERS ( FROM MOTOR DATA)'!$G$27+'4.PARAMETERS ( FROM MOTOR DATA)'!$G$28)^2)</f>
        <v>77.962260820441898</v>
      </c>
      <c r="S21" s="47">
        <f>3*R21^2*'4.PARAMETERS ( FROM MOTOR DATA)'!$G$21/'5.PERFORMANCE'!Q21/'1.MOTOR DATA'!$D$14*30/PI()</f>
        <v>41.999139701021129</v>
      </c>
      <c r="T21" s="48">
        <f t="shared" si="1"/>
        <v>2.4189767936000219</v>
      </c>
    </row>
    <row r="22" spans="2:20" x14ac:dyDescent="0.3">
      <c r="B22" s="35">
        <v>600</v>
      </c>
      <c r="C22" s="47">
        <f>('1.MOTOR DATA'!$D$14-B22)/'1.MOTOR DATA'!$D$14</f>
        <v>0.8</v>
      </c>
      <c r="D22" s="47">
        <f>'1.MOTOR DATA'!$D$12/SQRT(('3.PARAMETERS (FROM TEST DATA)'!$D$7+'3.PARAMETERS (FROM TEST DATA)'!$D$17/C22)^2+('3.PARAMETERS (FROM TEST DATA)'!$D$14+'3.PARAMETERS (FROM TEST DATA)'!$D$15)^2)</f>
        <v>75.204427340079974</v>
      </c>
      <c r="E22" s="47">
        <f>3*D22^2*'3.PARAMETERS (FROM TEST DATA)'!$D$17/'5.PERFORMANCE'!C22/'1.MOTOR DATA'!$D$14*30/PI()</f>
        <v>33.479898848293814</v>
      </c>
      <c r="F22" s="48">
        <f t="shared" si="0"/>
        <v>2.1036040852945845</v>
      </c>
      <c r="P22" s="35">
        <v>600</v>
      </c>
      <c r="Q22" s="47">
        <f>('1.MOTOR DATA'!$D$14-P22)/'1.MOTOR DATA'!$D$14</f>
        <v>0.8</v>
      </c>
      <c r="R22" s="47">
        <f>'1.MOTOR DATA'!$D$12/SQRT(('4.PARAMETERS ( FROM MOTOR DATA)'!$D$15+'4.PARAMETERS ( FROM MOTOR DATA)'!$G$21/Q22)^2+('4.PARAMETERS ( FROM MOTOR DATA)'!$G$27+'4.PARAMETERS ( FROM MOTOR DATA)'!$G$28)^2)</f>
        <v>77.918572382427797</v>
      </c>
      <c r="S22" s="47">
        <f>3*R22^2*'4.PARAMETERS ( FROM MOTOR DATA)'!$G$21/'5.PERFORMANCE'!Q22/'1.MOTOR DATA'!$D$14*30/PI()</f>
        <v>42.826083700014429</v>
      </c>
      <c r="T22" s="48">
        <f t="shared" si="1"/>
        <v>2.6908421986797384</v>
      </c>
    </row>
    <row r="23" spans="2:20" x14ac:dyDescent="0.3">
      <c r="B23" s="35">
        <v>650</v>
      </c>
      <c r="C23" s="47">
        <f>('1.MOTOR DATA'!$D$14-B23)/'1.MOTOR DATA'!$D$14</f>
        <v>0.78333333333333333</v>
      </c>
      <c r="D23" s="47">
        <f>'1.MOTOR DATA'!$D$12/SQRT(('3.PARAMETERS (FROM TEST DATA)'!$D$7+'3.PARAMETERS (FROM TEST DATA)'!$D$17/C23)^2+('3.PARAMETERS (FROM TEST DATA)'!$D$14+'3.PARAMETERS (FROM TEST DATA)'!$D$15)^2)</f>
        <v>75.174162004231334</v>
      </c>
      <c r="E23" s="47">
        <f>3*D23^2*'3.PARAMETERS (FROM TEST DATA)'!$D$17/'5.PERFORMANCE'!C23/'1.MOTOR DATA'!$D$14*30/PI()</f>
        <v>34.164721951461544</v>
      </c>
      <c r="F23" s="48">
        <f t="shared" si="0"/>
        <v>2.325518855717406</v>
      </c>
      <c r="P23" s="35">
        <v>650</v>
      </c>
      <c r="Q23" s="47">
        <f>('1.MOTOR DATA'!$D$14-P23)/'1.MOTOR DATA'!$D$14</f>
        <v>0.78333333333333333</v>
      </c>
      <c r="R23" s="47">
        <f>'1.MOTOR DATA'!$D$12/SQRT(('4.PARAMETERS ( FROM MOTOR DATA)'!$D$15+'4.PARAMETERS ( FROM MOTOR DATA)'!$G$21/Q23)^2+('4.PARAMETERS ( FROM MOTOR DATA)'!$G$27+'4.PARAMETERS ( FROM MOTOR DATA)'!$G$28)^2)</f>
        <v>77.872311659552153</v>
      </c>
      <c r="S23" s="47">
        <f>3*R23^2*'4.PARAMETERS ( FROM MOTOR DATA)'!$G$21/'5.PERFORMANCE'!Q23/'1.MOTOR DATA'!$D$14*30/PI()</f>
        <v>43.685358220707613</v>
      </c>
      <c r="T23" s="48">
        <f t="shared" si="1"/>
        <v>2.973568009871626</v>
      </c>
    </row>
    <row r="24" spans="2:20" x14ac:dyDescent="0.3">
      <c r="B24" s="35">
        <v>700</v>
      </c>
      <c r="C24" s="47">
        <f>('1.MOTOR DATA'!$D$14-B24)/'1.MOTOR DATA'!$D$14</f>
        <v>0.76666666666666672</v>
      </c>
      <c r="D24" s="47">
        <f>'1.MOTOR DATA'!$D$12/SQRT(('3.PARAMETERS (FROM TEST DATA)'!$D$7+'3.PARAMETERS (FROM TEST DATA)'!$D$17/C24)^2+('3.PARAMETERS (FROM TEST DATA)'!$D$14+'3.PARAMETERS (FROM TEST DATA)'!$D$15)^2)</f>
        <v>75.142074746793881</v>
      </c>
      <c r="E24" s="47">
        <f>3*D24^2*'3.PARAMETERS (FROM TEST DATA)'!$D$17/'5.PERFORMANCE'!C24/'1.MOTOR DATA'!$D$14*30/PI()</f>
        <v>34.877639956446117</v>
      </c>
      <c r="F24" s="48">
        <f t="shared" si="0"/>
        <v>2.5566645407734891</v>
      </c>
      <c r="P24" s="35">
        <v>700</v>
      </c>
      <c r="Q24" s="47">
        <f>('1.MOTOR DATA'!$D$14-P24)/'1.MOTOR DATA'!$D$14</f>
        <v>0.76666666666666672</v>
      </c>
      <c r="R24" s="47">
        <f>'1.MOTOR DATA'!$D$12/SQRT(('4.PARAMETERS ( FROM MOTOR DATA)'!$D$15+'4.PARAMETERS ( FROM MOTOR DATA)'!$G$21/Q24)^2+('4.PARAMETERS ( FROM MOTOR DATA)'!$G$27+'4.PARAMETERS ( FROM MOTOR DATA)'!$G$28)^2)</f>
        <v>77.823267721049845</v>
      </c>
      <c r="S24" s="47">
        <f>3*R24^2*'4.PARAMETERS ( FROM MOTOR DATA)'!$G$21/'5.PERFORMANCE'!Q24/'1.MOTOR DATA'!$D$14*30/PI()</f>
        <v>44.578835378973167</v>
      </c>
      <c r="T24" s="48">
        <f t="shared" si="1"/>
        <v>3.2677993070839872</v>
      </c>
    </row>
    <row r="25" spans="2:20" x14ac:dyDescent="0.3">
      <c r="B25" s="35">
        <v>750</v>
      </c>
      <c r="C25" s="47">
        <f>('1.MOTOR DATA'!$D$14-B25)/'1.MOTOR DATA'!$D$14</f>
        <v>0.75</v>
      </c>
      <c r="D25" s="47">
        <f>'1.MOTOR DATA'!$D$12/SQRT(('3.PARAMETERS (FROM TEST DATA)'!$D$7+'3.PARAMETERS (FROM TEST DATA)'!$D$17/C25)^2+('3.PARAMETERS (FROM TEST DATA)'!$D$14+'3.PARAMETERS (FROM TEST DATA)'!$D$15)^2)</f>
        <v>75.108011814410077</v>
      </c>
      <c r="E25" s="47">
        <f>3*D25^2*'3.PARAMETERS (FROM TEST DATA)'!$D$17/'5.PERFORMANCE'!C25/'1.MOTOR DATA'!$D$14*30/PI()</f>
        <v>35.620382234649973</v>
      </c>
      <c r="F25" s="48">
        <f t="shared" si="0"/>
        <v>2.7976182786609187</v>
      </c>
      <c r="P25" s="35">
        <v>750</v>
      </c>
      <c r="Q25" s="47">
        <f>('1.MOTOR DATA'!$D$14-P25)/'1.MOTOR DATA'!$D$14</f>
        <v>0.75</v>
      </c>
      <c r="R25" s="47">
        <f>'1.MOTOR DATA'!$D$12/SQRT(('4.PARAMETERS ( FROM MOTOR DATA)'!$D$15+'4.PARAMETERS ( FROM MOTOR DATA)'!$G$21/Q25)^2+('4.PARAMETERS ( FROM MOTOR DATA)'!$G$27+'4.PARAMETERS ( FROM MOTOR DATA)'!$G$28)^2)</f>
        <v>77.771207430595041</v>
      </c>
      <c r="S25" s="47">
        <f>3*R25^2*'4.PARAMETERS ( FROM MOTOR DATA)'!$G$21/'5.PERFORMANCE'!Q25/'1.MOTOR DATA'!$D$14*30/PI()</f>
        <v>45.508528668800835</v>
      </c>
      <c r="T25" s="48">
        <f t="shared" si="1"/>
        <v>3.5742314835396303</v>
      </c>
    </row>
    <row r="26" spans="2:20" x14ac:dyDescent="0.3">
      <c r="B26" s="35">
        <v>800</v>
      </c>
      <c r="C26" s="47">
        <f>('1.MOTOR DATA'!$D$14-B26)/'1.MOTOR DATA'!$D$14</f>
        <v>0.73333333333333328</v>
      </c>
      <c r="D26" s="47">
        <f>'1.MOTOR DATA'!$D$12/SQRT(('3.PARAMETERS (FROM TEST DATA)'!$D$7+'3.PARAMETERS (FROM TEST DATA)'!$D$17/C26)^2+('3.PARAMETERS (FROM TEST DATA)'!$D$14+'3.PARAMETERS (FROM TEST DATA)'!$D$15)^2)</f>
        <v>75.07180271742422</v>
      </c>
      <c r="E26" s="47">
        <f>3*D26^2*'3.PARAMETERS (FROM TEST DATA)'!$D$17/'5.PERFORMANCE'!C26/'1.MOTOR DATA'!$D$14*30/PI()</f>
        <v>36.394819559807715</v>
      </c>
      <c r="F26" s="48">
        <f t="shared" si="0"/>
        <v>3.0490052735418138</v>
      </c>
      <c r="P26" s="35">
        <v>800</v>
      </c>
      <c r="Q26" s="47">
        <f>('1.MOTOR DATA'!$D$14-P26)/'1.MOTOR DATA'!$D$14</f>
        <v>0.73333333333333328</v>
      </c>
      <c r="R26" s="47">
        <f>'1.MOTOR DATA'!$D$12/SQRT(('4.PARAMETERS ( FROM MOTOR DATA)'!$D$15+'4.PARAMETERS ( FROM MOTOR DATA)'!$G$21/Q26)^2+('4.PARAMETERS ( FROM MOTOR DATA)'!$G$27+'4.PARAMETERS ( FROM MOTOR DATA)'!$G$28)^2)</f>
        <v>77.71587258287029</v>
      </c>
      <c r="S26" s="47">
        <f>3*R26^2*'4.PARAMETERS ( FROM MOTOR DATA)'!$G$21/'5.PERFORMANCE'!Q26/'1.MOTOR DATA'!$D$14*30/PI()</f>
        <v>46.476605791390575</v>
      </c>
      <c r="T26" s="48">
        <f t="shared" si="1"/>
        <v>3.8936150218139058</v>
      </c>
    </row>
    <row r="27" spans="2:20" x14ac:dyDescent="0.3">
      <c r="B27" s="35">
        <v>850</v>
      </c>
      <c r="C27" s="47">
        <f>('1.MOTOR DATA'!$D$14-B27)/'1.MOTOR DATA'!$D$14</f>
        <v>0.71666666666666667</v>
      </c>
      <c r="D27" s="47">
        <f>'1.MOTOR DATA'!$D$12/SQRT(('3.PARAMETERS (FROM TEST DATA)'!$D$7+'3.PARAMETERS (FROM TEST DATA)'!$D$17/C27)^2+('3.PARAMETERS (FROM TEST DATA)'!$D$14+'3.PARAMETERS (FROM TEST DATA)'!$D$15)^2)</f>
        <v>75.033257989030986</v>
      </c>
      <c r="E27" s="47">
        <f>3*D27^2*'3.PARAMETERS (FROM TEST DATA)'!$D$17/'5.PERFORMANCE'!C27/'1.MOTOR DATA'!$D$14*30/PI()</f>
        <v>37.202978412296972</v>
      </c>
      <c r="F27" s="48">
        <f t="shared" si="0"/>
        <v>3.3115037706990686</v>
      </c>
      <c r="P27" s="35">
        <v>850</v>
      </c>
      <c r="Q27" s="47">
        <f>('1.MOTOR DATA'!$D$14-P27)/'1.MOTOR DATA'!$D$14</f>
        <v>0.71666666666666667</v>
      </c>
      <c r="R27" s="47">
        <f>'1.MOTOR DATA'!$D$12/SQRT(('4.PARAMETERS ( FROM MOTOR DATA)'!$D$15+'4.PARAMETERS ( FROM MOTOR DATA)'!$G$21/Q27)^2+('4.PARAMETERS ( FROM MOTOR DATA)'!$G$27+'4.PARAMETERS ( FROM MOTOR DATA)'!$G$28)^2)</f>
        <v>77.656976601707342</v>
      </c>
      <c r="S27" s="47">
        <f>3*R27^2*'4.PARAMETERS ( FROM MOTOR DATA)'!$G$21/'5.PERFORMANCE'!Q27/'1.MOTOR DATA'!$D$14*30/PI()</f>
        <v>47.485402779382333</v>
      </c>
      <c r="T27" s="48">
        <f t="shared" si="1"/>
        <v>4.2267607881930296</v>
      </c>
    </row>
    <row r="28" spans="2:20" x14ac:dyDescent="0.3">
      <c r="B28" s="35">
        <v>900</v>
      </c>
      <c r="C28" s="47">
        <f>('1.MOTOR DATA'!$D$14-B28)/'1.MOTOR DATA'!$D$14</f>
        <v>0.7</v>
      </c>
      <c r="D28" s="47">
        <f>'1.MOTOR DATA'!$D$12/SQRT(('3.PARAMETERS (FROM TEST DATA)'!$D$7+'3.PARAMETERS (FROM TEST DATA)'!$D$17/C28)^2+('3.PARAMETERS (FROM TEST DATA)'!$D$14+'3.PARAMETERS (FROM TEST DATA)'!$D$15)^2)</f>
        <v>74.992166586691141</v>
      </c>
      <c r="E28" s="47">
        <f>3*D28^2*'3.PARAMETERS (FROM TEST DATA)'!$D$17/'5.PERFORMANCE'!C28/'1.MOTOR DATA'!$D$14*30/PI()</f>
        <v>38.047056983053899</v>
      </c>
      <c r="F28" s="48">
        <f t="shared" si="0"/>
        <v>3.5858506412602309</v>
      </c>
      <c r="P28" s="35">
        <v>900</v>
      </c>
      <c r="Q28" s="47">
        <f>('1.MOTOR DATA'!$D$14-P28)/'1.MOTOR DATA'!$D$14</f>
        <v>0.7</v>
      </c>
      <c r="R28" s="47">
        <f>'1.MOTOR DATA'!$D$12/SQRT(('4.PARAMETERS ( FROM MOTOR DATA)'!$D$15+'4.PARAMETERS ( FROM MOTOR DATA)'!$G$21/Q28)^2+('4.PARAMETERS ( FROM MOTOR DATA)'!$G$27+'4.PARAMETERS ( FROM MOTOR DATA)'!$G$28)^2)</f>
        <v>77.594200721860204</v>
      </c>
      <c r="S28" s="47">
        <f>3*R28^2*'4.PARAMETERS ( FROM MOTOR DATA)'!$G$21/'5.PERFORMANCE'!Q28/'1.MOTOR DATA'!$D$14*30/PI()</f>
        <v>48.537439544622622</v>
      </c>
      <c r="T28" s="48">
        <f t="shared" si="1"/>
        <v>4.5745459049233528</v>
      </c>
    </row>
    <row r="29" spans="2:20" x14ac:dyDescent="0.3">
      <c r="B29" s="35">
        <v>950</v>
      </c>
      <c r="C29" s="47">
        <f>('1.MOTOR DATA'!$D$14-B29)/'1.MOTOR DATA'!$D$14</f>
        <v>0.68333333333333335</v>
      </c>
      <c r="D29" s="47">
        <f>'1.MOTOR DATA'!$D$12/SQRT(('3.PARAMETERS (FROM TEST DATA)'!$D$7+'3.PARAMETERS (FROM TEST DATA)'!$D$17/C29)^2+('3.PARAMETERS (FROM TEST DATA)'!$D$14+'3.PARAMETERS (FROM TEST DATA)'!$D$15)^2)</f>
        <v>74.948292869216985</v>
      </c>
      <c r="E29" s="47">
        <f>3*D29^2*'3.PARAMETERS (FROM TEST DATA)'!$D$17/'5.PERFORMANCE'!C29/'1.MOTOR DATA'!$D$14*30/PI()</f>
        <v>38.929443102935601</v>
      </c>
      <c r="F29" s="48">
        <f t="shared" si="0"/>
        <v>3.8728476612499367</v>
      </c>
      <c r="P29" s="35">
        <v>950</v>
      </c>
      <c r="Q29" s="47">
        <f>('1.MOTOR DATA'!$D$14-P29)/'1.MOTOR DATA'!$D$14</f>
        <v>0.68333333333333335</v>
      </c>
      <c r="R29" s="47">
        <f>'1.MOTOR DATA'!$D$12/SQRT(('4.PARAMETERS ( FROM MOTOR DATA)'!$D$15+'4.PARAMETERS ( FROM MOTOR DATA)'!$G$21/Q29)^2+('4.PARAMETERS ( FROM MOTOR DATA)'!$G$27+'4.PARAMETERS ( FROM MOTOR DATA)'!$G$28)^2)</f>
        <v>77.527189560657987</v>
      </c>
      <c r="S29" s="47">
        <f>3*R29^2*'4.PARAMETERS ( FROM MOTOR DATA)'!$G$21/'5.PERFORMANCE'!Q29/'1.MOTOR DATA'!$D$14*30/PI()</f>
        <v>49.635436985398549</v>
      </c>
      <c r="T29" s="48">
        <f t="shared" si="1"/>
        <v>4.9379202660498276</v>
      </c>
    </row>
    <row r="30" spans="2:20" x14ac:dyDescent="0.3">
      <c r="B30" s="35">
        <v>1000</v>
      </c>
      <c r="C30" s="47">
        <f>('1.MOTOR DATA'!$D$14-B30)/'1.MOTOR DATA'!$D$14</f>
        <v>0.66666666666666663</v>
      </c>
      <c r="D30" s="47">
        <f>'1.MOTOR DATA'!$D$12/SQRT(('3.PARAMETERS (FROM TEST DATA)'!$D$7+'3.PARAMETERS (FROM TEST DATA)'!$D$17/C30)^2+('3.PARAMETERS (FROM TEST DATA)'!$D$14+'3.PARAMETERS (FROM TEST DATA)'!$D$15)^2)</f>
        <v>74.901373068711365</v>
      </c>
      <c r="E30" s="47">
        <f>3*D30^2*'3.PARAMETERS (FROM TEST DATA)'!$D$17/'5.PERFORMANCE'!C30/'1.MOTOR DATA'!$D$14*30/PI()</f>
        <v>39.852734354779507</v>
      </c>
      <c r="F30" s="48">
        <f t="shared" si="0"/>
        <v>4.1733685824813618</v>
      </c>
      <c r="P30" s="35">
        <v>1000</v>
      </c>
      <c r="Q30" s="47">
        <f>('1.MOTOR DATA'!$D$14-P30)/'1.MOTOR DATA'!$D$14</f>
        <v>0.66666666666666663</v>
      </c>
      <c r="R30" s="47">
        <f>'1.MOTOR DATA'!$D$12/SQRT(('4.PARAMETERS ( FROM MOTOR DATA)'!$D$15+'4.PARAMETERS ( FROM MOTOR DATA)'!$G$21/Q30)^2+('4.PARAMETERS ( FROM MOTOR DATA)'!$G$27+'4.PARAMETERS ( FROM MOTOR DATA)'!$G$28)^2)</f>
        <v>77.455545966360773</v>
      </c>
      <c r="S30" s="47">
        <f>3*R30^2*'4.PARAMETERS ( FROM MOTOR DATA)'!$G$21/'5.PERFORMANCE'!Q30/'1.MOTOR DATA'!$D$14*30/PI()</f>
        <v>50.782335794373282</v>
      </c>
      <c r="T30" s="48">
        <f t="shared" si="1"/>
        <v>5.3179137687911036</v>
      </c>
    </row>
    <row r="31" spans="2:20" x14ac:dyDescent="0.3">
      <c r="B31" s="35">
        <v>1050</v>
      </c>
      <c r="C31" s="47">
        <f>('1.MOTOR DATA'!$D$14-B31)/'1.MOTOR DATA'!$D$14</f>
        <v>0.65</v>
      </c>
      <c r="D31" s="47">
        <f>'1.MOTOR DATA'!$D$12/SQRT(('3.PARAMETERS (FROM TEST DATA)'!$D$7+'3.PARAMETERS (FROM TEST DATA)'!$D$17/C31)^2+('3.PARAMETERS (FROM TEST DATA)'!$D$14+'3.PARAMETERS (FROM TEST DATA)'!$D$15)^2)</f>
        <v>74.851111158890433</v>
      </c>
      <c r="E31" s="47">
        <f>3*D31^2*'3.PARAMETERS (FROM TEST DATA)'!$D$17/'5.PERFORMANCE'!C31/'1.MOTOR DATA'!$D$14*30/PI()</f>
        <v>40.819760660750035</v>
      </c>
      <c r="F31" s="48">
        <f t="shared" si="0"/>
        <v>4.4883671074587079</v>
      </c>
      <c r="P31" s="35">
        <v>1050</v>
      </c>
      <c r="Q31" s="47">
        <f>('1.MOTOR DATA'!$D$14-P31)/'1.MOTOR DATA'!$D$14</f>
        <v>0.65</v>
      </c>
      <c r="R31" s="47">
        <f>'1.MOTOR DATA'!$D$12/SQRT(('4.PARAMETERS ( FROM MOTOR DATA)'!$D$15+'4.PARAMETERS ( FROM MOTOR DATA)'!$G$21/Q31)^2+('4.PARAMETERS ( FROM MOTOR DATA)'!$G$27+'4.PARAMETERS ( FROM MOTOR DATA)'!$G$28)^2)</f>
        <v>77.37882500608805</v>
      </c>
      <c r="S31" s="47">
        <f>3*R31^2*'4.PARAMETERS ( FROM MOTOR DATA)'!$G$21/'5.PERFORMANCE'!Q31/'1.MOTOR DATA'!$D$14*30/PI()</f>
        <v>51.981317110001498</v>
      </c>
      <c r="T31" s="48">
        <f t="shared" si="1"/>
        <v>5.7156443384845739</v>
      </c>
    </row>
    <row r="32" spans="2:20" x14ac:dyDescent="0.3">
      <c r="B32" s="35">
        <v>1100</v>
      </c>
      <c r="C32" s="47">
        <f>('1.MOTOR DATA'!$D$14-B32)/'1.MOTOR DATA'!$D$14</f>
        <v>0.6333333333333333</v>
      </c>
      <c r="D32" s="47">
        <f>'1.MOTOR DATA'!$D$12/SQRT(('3.PARAMETERS (FROM TEST DATA)'!$D$7+'3.PARAMETERS (FROM TEST DATA)'!$D$17/C32)^2+('3.PARAMETERS (FROM TEST DATA)'!$D$14+'3.PARAMETERS (FROM TEST DATA)'!$D$15)^2)</f>
        <v>74.797173999300753</v>
      </c>
      <c r="E32" s="47">
        <f>3*D32^2*'3.PARAMETERS (FROM TEST DATA)'!$D$17/'5.PERFORMANCE'!C32/'1.MOTOR DATA'!$D$14*30/PI()</f>
        <v>41.833609676976423</v>
      </c>
      <c r="F32" s="48">
        <f t="shared" si="0"/>
        <v>4.8188858972588404</v>
      </c>
      <c r="P32" s="35">
        <v>1100</v>
      </c>
      <c r="Q32" s="47">
        <f>('1.MOTOR DATA'!$D$14-P32)/'1.MOTOR DATA'!$D$14</f>
        <v>0.6333333333333333</v>
      </c>
      <c r="R32" s="47">
        <f>'1.MOTOR DATA'!$D$12/SQRT(('4.PARAMETERS ( FROM MOTOR DATA)'!$D$15+'4.PARAMETERS ( FROM MOTOR DATA)'!$G$21/Q32)^2+('4.PARAMETERS ( FROM MOTOR DATA)'!$G$27+'4.PARAMETERS ( FROM MOTOR DATA)'!$G$28)^2)</f>
        <v>77.296526926532806</v>
      </c>
      <c r="S32" s="47">
        <f>3*R32^2*'4.PARAMETERS ( FROM MOTOR DATA)'!$G$21/'5.PERFORMANCE'!Q32/'1.MOTOR DATA'!$D$14*30/PI()</f>
        <v>53.235825149752948</v>
      </c>
      <c r="T32" s="48">
        <f t="shared" si="1"/>
        <v>6.1323268306026693</v>
      </c>
    </row>
    <row r="33" spans="2:20" x14ac:dyDescent="0.3">
      <c r="B33" s="35">
        <v>1150</v>
      </c>
      <c r="C33" s="47">
        <f>('1.MOTOR DATA'!$D$14-B33)/'1.MOTOR DATA'!$D$14</f>
        <v>0.6166666666666667</v>
      </c>
      <c r="D33" s="47">
        <f>'1.MOTOR DATA'!$D$12/SQRT(('3.PARAMETERS (FROM TEST DATA)'!$D$7+'3.PARAMETERS (FROM TEST DATA)'!$D$17/C33)^2+('3.PARAMETERS (FROM TEST DATA)'!$D$14+'3.PARAMETERS (FROM TEST DATA)'!$D$15)^2)</f>
        <v>74.739185607348318</v>
      </c>
      <c r="E33" s="47">
        <f>3*D33^2*'3.PARAMETERS (FROM TEST DATA)'!$D$17/'5.PERFORMANCE'!C33/'1.MOTOR DATA'!$D$14*30/PI()</f>
        <v>42.897655370897148</v>
      </c>
      <c r="F33" s="48">
        <f t="shared" si="0"/>
        <v>5.1660667604950934</v>
      </c>
      <c r="P33" s="35">
        <v>1150</v>
      </c>
      <c r="Q33" s="47">
        <f>('1.MOTOR DATA'!$D$14-P33)/'1.MOTOR DATA'!$D$14</f>
        <v>0.6166666666666667</v>
      </c>
      <c r="R33" s="47">
        <f>'1.MOTOR DATA'!$D$12/SQRT(('4.PARAMETERS ( FROM MOTOR DATA)'!$D$15+'4.PARAMETERS ( FROM MOTOR DATA)'!$G$21/Q33)^2+('4.PARAMETERS ( FROM MOTOR DATA)'!$G$27+'4.PARAMETERS ( FROM MOTOR DATA)'!$G$28)^2)</f>
        <v>77.208088883803242</v>
      </c>
      <c r="S33" s="47">
        <f>3*R33^2*'4.PARAMETERS ( FROM MOTOR DATA)'!$G$21/'5.PERFORMANCE'!Q33/'1.MOTOR DATA'!$D$14*30/PI()</f>
        <v>54.549591949788258</v>
      </c>
      <c r="T33" s="48">
        <f t="shared" si="1"/>
        <v>6.5692828974880682</v>
      </c>
    </row>
    <row r="34" spans="2:20" x14ac:dyDescent="0.3">
      <c r="B34" s="35">
        <v>1200</v>
      </c>
      <c r="C34" s="47">
        <f>('1.MOTOR DATA'!$D$14-B34)/'1.MOTOR DATA'!$D$14</f>
        <v>0.6</v>
      </c>
      <c r="D34" s="47">
        <f>'1.MOTOR DATA'!$D$12/SQRT(('3.PARAMETERS (FROM TEST DATA)'!$D$7+'3.PARAMETERS (FROM TEST DATA)'!$D$17/C34)^2+('3.PARAMETERS (FROM TEST DATA)'!$D$14+'3.PARAMETERS (FROM TEST DATA)'!$D$15)^2)</f>
        <v>74.676720375309628</v>
      </c>
      <c r="E34" s="47">
        <f>3*D34^2*'3.PARAMETERS (FROM TEST DATA)'!$D$17/'5.PERFORMANCE'!C34/'1.MOTOR DATA'!$D$14*30/PI()</f>
        <v>44.015590203675401</v>
      </c>
      <c r="F34" s="48">
        <f t="shared" si="0"/>
        <v>5.5311621930914203</v>
      </c>
      <c r="P34" s="35">
        <v>1200</v>
      </c>
      <c r="Q34" s="47">
        <f>('1.MOTOR DATA'!$D$14-P34)/'1.MOTOR DATA'!$D$14</f>
        <v>0.6</v>
      </c>
      <c r="R34" s="47">
        <f>'1.MOTOR DATA'!$D$12/SQRT(('4.PARAMETERS ( FROM MOTOR DATA)'!$D$15+'4.PARAMETERS ( FROM MOTOR DATA)'!$G$21/Q34)^2+('4.PARAMETERS ( FROM MOTOR DATA)'!$G$27+'4.PARAMETERS ( FROM MOTOR DATA)'!$G$28)^2)</f>
        <v>77.112875192702049</v>
      </c>
      <c r="S34" s="47">
        <f>3*R34^2*'4.PARAMETERS ( FROM MOTOR DATA)'!$G$21/'5.PERFORMANCE'!Q34/'1.MOTOR DATA'!$D$14*30/PI()</f>
        <v>55.926664308151096</v>
      </c>
      <c r="T34" s="48">
        <f t="shared" si="1"/>
        <v>7.027951909210798</v>
      </c>
    </row>
    <row r="35" spans="2:20" x14ac:dyDescent="0.3">
      <c r="B35" s="35">
        <v>1250</v>
      </c>
      <c r="C35" s="47">
        <f>('1.MOTOR DATA'!$D$14-B35)/'1.MOTOR DATA'!$D$14</f>
        <v>0.58333333333333337</v>
      </c>
      <c r="D35" s="47">
        <f>'1.MOTOR DATA'!$D$12/SQRT(('3.PARAMETERS (FROM TEST DATA)'!$D$7+'3.PARAMETERS (FROM TEST DATA)'!$D$17/C35)^2+('3.PARAMETERS (FROM TEST DATA)'!$D$14+'3.PARAMETERS (FROM TEST DATA)'!$D$15)^2)</f>
        <v>74.609295005516586</v>
      </c>
      <c r="E35" s="47">
        <f>3*D35^2*'3.PARAMETERS (FROM TEST DATA)'!$D$17/'5.PERFORMANCE'!C35/'1.MOTOR DATA'!$D$14*30/PI()</f>
        <v>45.191461389455966</v>
      </c>
      <c r="F35" s="48">
        <f t="shared" si="0"/>
        <v>5.9155484627542352</v>
      </c>
      <c r="P35" s="35">
        <v>1250</v>
      </c>
      <c r="Q35" s="47">
        <f>('1.MOTOR DATA'!$D$14-P35)/'1.MOTOR DATA'!$D$14</f>
        <v>0.58333333333333337</v>
      </c>
      <c r="R35" s="47">
        <f>'1.MOTOR DATA'!$D$12/SQRT(('4.PARAMETERS ( FROM MOTOR DATA)'!$D$15+'4.PARAMETERS ( FROM MOTOR DATA)'!$G$21/Q35)^2+('4.PARAMETERS ( FROM MOTOR DATA)'!$G$27+'4.PARAMETERS ( FROM MOTOR DATA)'!$G$28)^2)</f>
        <v>77.010165788029482</v>
      </c>
      <c r="S35" s="47">
        <f>3*R35^2*'4.PARAMETERS ( FROM MOTOR DATA)'!$G$21/'5.PERFORMANCE'!Q35/'1.MOTOR DATA'!$D$14*30/PI()</f>
        <v>57.371432980346128</v>
      </c>
      <c r="T35" s="48">
        <f t="shared" si="1"/>
        <v>7.5099030157072741</v>
      </c>
    </row>
    <row r="36" spans="2:20" x14ac:dyDescent="0.3">
      <c r="B36" s="35">
        <v>1300</v>
      </c>
      <c r="C36" s="47">
        <f>('1.MOTOR DATA'!$D$14-B36)/'1.MOTOR DATA'!$D$14</f>
        <v>0.56666666666666665</v>
      </c>
      <c r="D36" s="47">
        <f>'1.MOTOR DATA'!$D$12/SQRT(('3.PARAMETERS (FROM TEST DATA)'!$D$7+'3.PARAMETERS (FROM TEST DATA)'!$D$17/C36)^2+('3.PARAMETERS (FROM TEST DATA)'!$D$14+'3.PARAMETERS (FROM TEST DATA)'!$D$15)^2)</f>
        <v>74.53635888095242</v>
      </c>
      <c r="E36" s="47">
        <f>3*D36^2*'3.PARAMETERS (FROM TEST DATA)'!$D$17/'5.PERFORMANCE'!C36/'1.MOTOR DATA'!$D$14*30/PI()</f>
        <v>46.429711752997676</v>
      </c>
      <c r="F36" s="48">
        <f t="shared" si="0"/>
        <v>6.3207404585653979</v>
      </c>
      <c r="P36" s="35">
        <v>1300</v>
      </c>
      <c r="Q36" s="47">
        <f>('1.MOTOR DATA'!$D$14-P36)/'1.MOTOR DATA'!$D$14</f>
        <v>0.56666666666666665</v>
      </c>
      <c r="R36" s="47">
        <f>'1.MOTOR DATA'!$D$12/SQRT(('4.PARAMETERS ( FROM MOTOR DATA)'!$D$15+'4.PARAMETERS ( FROM MOTOR DATA)'!$G$21/Q36)^2+('4.PARAMETERS ( FROM MOTOR DATA)'!$G$27+'4.PARAMETERS ( FROM MOTOR DATA)'!$G$28)^2)</f>
        <v>76.89914251779085</v>
      </c>
      <c r="S36" s="47">
        <f>3*R36^2*'4.PARAMETERS ( FROM MOTOR DATA)'!$G$21/'5.PERFORMANCE'!Q36/'1.MOTOR DATA'!$D$14*30/PI()</f>
        <v>58.888664097716578</v>
      </c>
      <c r="T36" s="48">
        <f t="shared" si="1"/>
        <v>8.0168484287278137</v>
      </c>
    </row>
    <row r="37" spans="2:20" x14ac:dyDescent="0.3">
      <c r="B37" s="35">
        <v>1350</v>
      </c>
      <c r="C37" s="47">
        <f>('1.MOTOR DATA'!$D$14-B37)/'1.MOTOR DATA'!$D$14</f>
        <v>0.55000000000000004</v>
      </c>
      <c r="D37" s="47">
        <f>'1.MOTOR DATA'!$D$12/SQRT(('3.PARAMETERS (FROM TEST DATA)'!$D$7+'3.PARAMETERS (FROM TEST DATA)'!$D$17/C37)^2+('3.PARAMETERS (FROM TEST DATA)'!$D$14+'3.PARAMETERS (FROM TEST DATA)'!$D$15)^2)</f>
        <v>74.457282516911803</v>
      </c>
      <c r="E37" s="47">
        <f>3*D37^2*'3.PARAMETERS (FROM TEST DATA)'!$D$17/'5.PERFORMANCE'!C37/'1.MOTOR DATA'!$D$14*30/PI()</f>
        <v>47.735225753639142</v>
      </c>
      <c r="F37" s="48">
        <f t="shared" si="0"/>
        <v>6.7484085545287362</v>
      </c>
      <c r="P37" s="35">
        <v>1350</v>
      </c>
      <c r="Q37" s="47">
        <f>('1.MOTOR DATA'!$D$14-P37)/'1.MOTOR DATA'!$D$14</f>
        <v>0.55000000000000004</v>
      </c>
      <c r="R37" s="47">
        <f>'1.MOTOR DATA'!$D$12/SQRT(('4.PARAMETERS ( FROM MOTOR DATA)'!$D$15+'4.PARAMETERS ( FROM MOTOR DATA)'!$G$21/Q37)^2+('4.PARAMETERS ( FROM MOTOR DATA)'!$G$27+'4.PARAMETERS ( FROM MOTOR DATA)'!$G$28)^2)</f>
        <v>76.77887279618983</v>
      </c>
      <c r="S37" s="47">
        <f>3*R37^2*'4.PARAMETERS ( FROM MOTOR DATA)'!$G$21/'5.PERFORMANCE'!Q37/'1.MOTOR DATA'!$D$14*30/PI()</f>
        <v>60.483532656443451</v>
      </c>
      <c r="T37" s="48">
        <f t="shared" si="1"/>
        <v>8.5506579835488488</v>
      </c>
    </row>
    <row r="38" spans="2:20" x14ac:dyDescent="0.3">
      <c r="B38" s="35">
        <v>1400</v>
      </c>
      <c r="C38" s="47">
        <f>('1.MOTOR DATA'!$D$14-B38)/'1.MOTOR DATA'!$D$14</f>
        <v>0.53333333333333333</v>
      </c>
      <c r="D38" s="47">
        <f>'1.MOTOR DATA'!$D$12/SQRT(('3.PARAMETERS (FROM TEST DATA)'!$D$7+'3.PARAMETERS (FROM TEST DATA)'!$D$17/C38)^2+('3.PARAMETERS (FROM TEST DATA)'!$D$14+'3.PARAMETERS (FROM TEST DATA)'!$D$15)^2)</f>
        <v>74.371343647280014</v>
      </c>
      <c r="E38" s="47">
        <f>3*D38^2*'3.PARAMETERS (FROM TEST DATA)'!$D$17/'5.PERFORMANCE'!C38/'1.MOTOR DATA'!$D$14*30/PI()</f>
        <v>49.113381280419397</v>
      </c>
      <c r="F38" s="48">
        <f t="shared" si="0"/>
        <v>7.2003977650976019</v>
      </c>
      <c r="P38" s="35">
        <v>1400</v>
      </c>
      <c r="Q38" s="47">
        <f>('1.MOTOR DATA'!$D$14-P38)/'1.MOTOR DATA'!$D$14</f>
        <v>0.53333333333333333</v>
      </c>
      <c r="R38" s="47">
        <f>'1.MOTOR DATA'!$D$12/SQRT(('4.PARAMETERS ( FROM MOTOR DATA)'!$D$15+'4.PARAMETERS ( FROM MOTOR DATA)'!$G$21/Q38)^2+('4.PARAMETERS ( FROM MOTOR DATA)'!$G$27+'4.PARAMETERS ( FROM MOTOR DATA)'!$G$28)^2)</f>
        <v>76.648290027333218</v>
      </c>
      <c r="S38" s="47">
        <f>3*R38^2*'4.PARAMETERS ( FROM MOTOR DATA)'!$G$21/'5.PERFORMANCE'!Q38/'1.MOTOR DATA'!$D$14*30/PI()</f>
        <v>62.161657738296945</v>
      </c>
      <c r="T38" s="48">
        <f t="shared" si="1"/>
        <v>9.1133750066611849</v>
      </c>
    </row>
    <row r="39" spans="2:20" x14ac:dyDescent="0.3">
      <c r="B39" s="35">
        <v>1450</v>
      </c>
      <c r="C39" s="47">
        <f>('1.MOTOR DATA'!$D$14-B39)/'1.MOTOR DATA'!$D$14</f>
        <v>0.51666666666666672</v>
      </c>
      <c r="D39" s="47">
        <f>'1.MOTOR DATA'!$D$12/SQRT(('3.PARAMETERS (FROM TEST DATA)'!$D$7+'3.PARAMETERS (FROM TEST DATA)'!$D$17/C39)^2+('3.PARAMETERS (FROM TEST DATA)'!$D$14+'3.PARAMETERS (FROM TEST DATA)'!$D$15)^2)</f>
        <v>74.277710379794087</v>
      </c>
      <c r="E39" s="47">
        <f>3*D39^2*'3.PARAMETERS (FROM TEST DATA)'!$D$17/'5.PERFORMANCE'!C39/'1.MOTOR DATA'!$D$14*30/PI()</f>
        <v>50.570107840322777</v>
      </c>
      <c r="F39" s="48">
        <f t="shared" si="0"/>
        <v>7.6787494986494131</v>
      </c>
      <c r="P39" s="35">
        <v>1450</v>
      </c>
      <c r="Q39" s="47">
        <f>('1.MOTOR DATA'!$D$14-P39)/'1.MOTOR DATA'!$D$14</f>
        <v>0.51666666666666672</v>
      </c>
      <c r="R39" s="47">
        <f>'1.MOTOR DATA'!$D$12/SQRT(('4.PARAMETERS ( FROM MOTOR DATA)'!$D$15+'4.PARAMETERS ( FROM MOTOR DATA)'!$G$21/Q39)^2+('4.PARAMETERS ( FROM MOTOR DATA)'!$G$27+'4.PARAMETERS ( FROM MOTOR DATA)'!$G$28)^2)</f>
        <v>76.506170061177713</v>
      </c>
      <c r="S39" s="47">
        <f>3*R39^2*'4.PARAMETERS ( FROM MOTOR DATA)'!$G$21/'5.PERFORMANCE'!Q39/'1.MOTOR DATA'!$D$14*30/PI()</f>
        <v>63.929138844698244</v>
      </c>
      <c r="T39" s="48">
        <f t="shared" si="1"/>
        <v>9.7072334589999194</v>
      </c>
    </row>
    <row r="40" spans="2:20" x14ac:dyDescent="0.3">
      <c r="B40" s="35">
        <v>1500</v>
      </c>
      <c r="C40" s="47">
        <f>('1.MOTOR DATA'!$D$14-B40)/'1.MOTOR DATA'!$D$14</f>
        <v>0.5</v>
      </c>
      <c r="D40" s="47">
        <f>'1.MOTOR DATA'!$D$12/SQRT(('3.PARAMETERS (FROM TEST DATA)'!$D$7+'3.PARAMETERS (FROM TEST DATA)'!$D$17/C40)^2+('3.PARAMETERS (FROM TEST DATA)'!$D$14+'3.PARAMETERS (FROM TEST DATA)'!$D$15)^2)</f>
        <v>74.175420699445951</v>
      </c>
      <c r="E40" s="47">
        <f>3*D40^2*'3.PARAMETERS (FROM TEST DATA)'!$D$17/'5.PERFORMANCE'!C40/'1.MOTOR DATA'!$D$14*30/PI()</f>
        <v>52.11195174275754</v>
      </c>
      <c r="F40" s="48">
        <f t="shared" si="0"/>
        <v>8.185726237963646</v>
      </c>
      <c r="P40" s="35">
        <v>1500</v>
      </c>
      <c r="Q40" s="47">
        <f>('1.MOTOR DATA'!$D$14-P40)/'1.MOTOR DATA'!$D$14</f>
        <v>0.5</v>
      </c>
      <c r="R40" s="47">
        <f>'1.MOTOR DATA'!$D$12/SQRT(('4.PARAMETERS ( FROM MOTOR DATA)'!$D$15+'4.PARAMETERS ( FROM MOTOR DATA)'!$G$21/Q40)^2+('4.PARAMETERS ( FROM MOTOR DATA)'!$G$27+'4.PARAMETERS ( FROM MOTOR DATA)'!$G$28)^2)</f>
        <v>76.351102751493627</v>
      </c>
      <c r="S40" s="47">
        <f>3*R40^2*'4.PARAMETERS ( FROM MOTOR DATA)'!$G$21/'5.PERFORMANCE'!Q40/'1.MOTOR DATA'!$D$14*30/PI()</f>
        <v>65.792592311603599</v>
      </c>
      <c r="T40" s="48">
        <f t="shared" si="1"/>
        <v>10.334676233338108</v>
      </c>
    </row>
    <row r="41" spans="2:20" x14ac:dyDescent="0.3">
      <c r="B41" s="35">
        <v>1550</v>
      </c>
      <c r="C41" s="47">
        <f>('1.MOTOR DATA'!$D$14-B41)/'1.MOTOR DATA'!$D$14</f>
        <v>0.48333333333333334</v>
      </c>
      <c r="D41" s="47">
        <f>'1.MOTOR DATA'!$D$12/SQRT(('3.PARAMETERS (FROM TEST DATA)'!$D$7+'3.PARAMETERS (FROM TEST DATA)'!$D$17/C41)^2+('3.PARAMETERS (FROM TEST DATA)'!$D$14+'3.PARAMETERS (FROM TEST DATA)'!$D$15)^2)</f>
        <v>74.063357395810669</v>
      </c>
      <c r="E41" s="47">
        <f>3*D41^2*'3.PARAMETERS (FROM TEST DATA)'!$D$17/'5.PERFORMANCE'!C41/'1.MOTOR DATA'!$D$14*30/PI()</f>
        <v>53.746148802676672</v>
      </c>
      <c r="F41" s="48">
        <f t="shared" si="0"/>
        <v>8.7238394889236996</v>
      </c>
      <c r="P41" s="35">
        <v>1550</v>
      </c>
      <c r="Q41" s="47">
        <f>('1.MOTOR DATA'!$D$14-P41)/'1.MOTOR DATA'!$D$14</f>
        <v>0.48333333333333334</v>
      </c>
      <c r="R41" s="47">
        <f>'1.MOTOR DATA'!$D$12/SQRT(('4.PARAMETERS ( FROM MOTOR DATA)'!$D$15+'4.PARAMETERS ( FROM MOTOR DATA)'!$G$21/Q41)^2+('4.PARAMETERS ( FROM MOTOR DATA)'!$G$27+'4.PARAMETERS ( FROM MOTOR DATA)'!$G$28)^2)</f>
        <v>76.181457438288049</v>
      </c>
      <c r="S41" s="47">
        <f>3*R41^2*'4.PARAMETERS ( FROM MOTOR DATA)'!$G$21/'5.PERFORMANCE'!Q41/'1.MOTOR DATA'!$D$14*30/PI()</f>
        <v>67.7591861639239</v>
      </c>
      <c r="T41" s="48">
        <f t="shared" si="1"/>
        <v>10.9983743424</v>
      </c>
    </row>
    <row r="42" spans="2:20" x14ac:dyDescent="0.3">
      <c r="B42" s="35">
        <v>1600</v>
      </c>
      <c r="C42" s="47">
        <f>('1.MOTOR DATA'!$D$14-B42)/'1.MOTOR DATA'!$D$14</f>
        <v>0.46666666666666667</v>
      </c>
      <c r="D42" s="47">
        <f>'1.MOTOR DATA'!$D$12/SQRT(('3.PARAMETERS (FROM TEST DATA)'!$D$7+'3.PARAMETERS (FROM TEST DATA)'!$D$17/C42)^2+('3.PARAMETERS (FROM TEST DATA)'!$D$14+'3.PARAMETERS (FROM TEST DATA)'!$D$15)^2)</f>
        <v>73.940217221823701</v>
      </c>
      <c r="E42" s="47">
        <f>3*D42^2*'3.PARAMETERS (FROM TEST DATA)'!$D$17/'5.PERFORMANCE'!C42/'1.MOTOR DATA'!$D$14*30/PI()</f>
        <v>55.480704901492579</v>
      </c>
      <c r="F42" s="48">
        <f t="shared" si="0"/>
        <v>9.2958813298406575</v>
      </c>
      <c r="P42" s="35">
        <v>1600</v>
      </c>
      <c r="Q42" s="47">
        <f>('1.MOTOR DATA'!$D$14-P42)/'1.MOTOR DATA'!$D$14</f>
        <v>0.46666666666666667</v>
      </c>
      <c r="R42" s="47">
        <f>'1.MOTOR DATA'!$D$12/SQRT(('4.PARAMETERS ( FROM MOTOR DATA)'!$D$15+'4.PARAMETERS ( FROM MOTOR DATA)'!$G$21/Q42)^2+('4.PARAMETERS ( FROM MOTOR DATA)'!$G$27+'4.PARAMETERS ( FROM MOTOR DATA)'!$G$28)^2)</f>
        <v>75.995340856545027</v>
      </c>
      <c r="S42" s="47">
        <f>3*R42^2*'4.PARAMETERS ( FROM MOTOR DATA)'!$G$21/'5.PERFORMANCE'!Q42/'1.MOTOR DATA'!$D$14*30/PI()</f>
        <v>69.836670876989871</v>
      </c>
      <c r="T42" s="48">
        <f t="shared" si="1"/>
        <v>11.701246516177049</v>
      </c>
    </row>
    <row r="43" spans="2:20" x14ac:dyDescent="0.3">
      <c r="B43" s="35">
        <v>1650</v>
      </c>
      <c r="C43" s="47">
        <f>('1.MOTOR DATA'!$D$14-B43)/'1.MOTOR DATA'!$D$14</f>
        <v>0.45</v>
      </c>
      <c r="D43" s="47">
        <f>'1.MOTOR DATA'!$D$12/SQRT(('3.PARAMETERS (FROM TEST DATA)'!$D$7+'3.PARAMETERS (FROM TEST DATA)'!$D$17/C43)^2+('3.PARAMETERS (FROM TEST DATA)'!$D$14+'3.PARAMETERS (FROM TEST DATA)'!$D$15)^2)</f>
        <v>73.804472735281578</v>
      </c>
      <c r="E43" s="47">
        <f>3*D43^2*'3.PARAMETERS (FROM TEST DATA)'!$D$17/'5.PERFORMANCE'!C43/'1.MOTOR DATA'!$D$14*30/PI()</f>
        <v>57.32448439517826</v>
      </c>
      <c r="F43" s="48">
        <f t="shared" si="0"/>
        <v>9.9049598475693106</v>
      </c>
      <c r="P43" s="35">
        <v>1650</v>
      </c>
      <c r="Q43" s="47">
        <f>('1.MOTOR DATA'!$D$14-P43)/'1.MOTOR DATA'!$D$14</f>
        <v>0.45</v>
      </c>
      <c r="R43" s="47">
        <f>'1.MOTOR DATA'!$D$12/SQRT(('4.PARAMETERS ( FROM MOTOR DATA)'!$D$15+'4.PARAMETERS ( FROM MOTOR DATA)'!$G$21/Q43)^2+('4.PARAMETERS ( FROM MOTOR DATA)'!$G$27+'4.PARAMETERS ( FROM MOTOR DATA)'!$G$28)^2)</f>
        <v>75.790545555584387</v>
      </c>
      <c r="S43" s="47">
        <f>3*R43^2*'4.PARAMETERS ( FROM MOTOR DATA)'!$G$21/'5.PERFORMANCE'!Q43/'1.MOTOR DATA'!$D$14*30/PI()</f>
        <v>72.033402211056782</v>
      </c>
      <c r="T43" s="48">
        <f t="shared" si="1"/>
        <v>12.44647839596341</v>
      </c>
    </row>
    <row r="44" spans="2:20" x14ac:dyDescent="0.3">
      <c r="B44" s="35">
        <v>1700</v>
      </c>
      <c r="C44" s="47">
        <f>('1.MOTOR DATA'!$D$14-B44)/'1.MOTOR DATA'!$D$14</f>
        <v>0.43333333333333335</v>
      </c>
      <c r="D44" s="47">
        <f>'1.MOTOR DATA'!$D$12/SQRT(('3.PARAMETERS (FROM TEST DATA)'!$D$7+'3.PARAMETERS (FROM TEST DATA)'!$D$17/C44)^2+('3.PARAMETERS (FROM TEST DATA)'!$D$14+'3.PARAMETERS (FROM TEST DATA)'!$D$15)^2)</f>
        <v>73.654324797917923</v>
      </c>
      <c r="E44" s="47">
        <f>3*D44^2*'3.PARAMETERS (FROM TEST DATA)'!$D$17/'5.PERFORMANCE'!C44/'1.MOTOR DATA'!$D$14*30/PI()</f>
        <v>59.287305742319624</v>
      </c>
      <c r="F44" s="48">
        <f t="shared" si="0"/>
        <v>10.554538636368184</v>
      </c>
      <c r="P44" s="35">
        <v>1700</v>
      </c>
      <c r="Q44" s="47">
        <f>('1.MOTOR DATA'!$D$14-P44)/'1.MOTOR DATA'!$D$14</f>
        <v>0.43333333333333335</v>
      </c>
      <c r="R44" s="47">
        <f>'1.MOTOR DATA'!$D$12/SQRT(('4.PARAMETERS ( FROM MOTOR DATA)'!$D$15+'4.PARAMETERS ( FROM MOTOR DATA)'!$G$21/Q44)^2+('4.PARAMETERS ( FROM MOTOR DATA)'!$G$27+'4.PARAMETERS ( FROM MOTOR DATA)'!$G$28)^2)</f>
        <v>75.564486366883557</v>
      </c>
      <c r="S44" s="47">
        <f>3*R44^2*'4.PARAMETERS ( FROM MOTOR DATA)'!$G$21/'5.PERFORMANCE'!Q44/'1.MOTOR DATA'!$D$14*30/PI()</f>
        <v>74.358350385644968</v>
      </c>
      <c r="T44" s="48">
        <f t="shared" si="1"/>
        <v>13.237540013927219</v>
      </c>
    </row>
    <row r="45" spans="2:20" x14ac:dyDescent="0.3">
      <c r="B45" s="35">
        <v>1750</v>
      </c>
      <c r="C45" s="47">
        <f>('1.MOTOR DATA'!$D$14-B45)/'1.MOTOR DATA'!$D$14</f>
        <v>0.41666666666666669</v>
      </c>
      <c r="D45" s="47">
        <f>'1.MOTOR DATA'!$D$12/SQRT(('3.PARAMETERS (FROM TEST DATA)'!$D$7+'3.PARAMETERS (FROM TEST DATA)'!$D$17/C45)^2+('3.PARAMETERS (FROM TEST DATA)'!$D$14+'3.PARAMETERS (FROM TEST DATA)'!$D$15)^2)</f>
        <v>73.487643065172605</v>
      </c>
      <c r="E45" s="47">
        <f>3*D45^2*'3.PARAMETERS (FROM TEST DATA)'!$D$17/'5.PERFORMANCE'!C45/'1.MOTOR DATA'!$D$14*30/PI()</f>
        <v>61.380042683680529</v>
      </c>
      <c r="F45" s="48">
        <f t="shared" si="0"/>
        <v>11.248480318371255</v>
      </c>
      <c r="P45" s="35">
        <v>1750</v>
      </c>
      <c r="Q45" s="47">
        <f>('1.MOTOR DATA'!$D$14-P45)/'1.MOTOR DATA'!$D$14</f>
        <v>0.41666666666666669</v>
      </c>
      <c r="R45" s="47">
        <f>'1.MOTOR DATA'!$D$12/SQRT(('4.PARAMETERS ( FROM MOTOR DATA)'!$D$15+'4.PARAMETERS ( FROM MOTOR DATA)'!$G$21/Q45)^2+('4.PARAMETERS ( FROM MOTOR DATA)'!$G$27+'4.PARAMETERS ( FROM MOTOR DATA)'!$G$28)^2)</f>
        <v>75.314121739772816</v>
      </c>
      <c r="S45" s="47">
        <f>3*R45^2*'4.PARAMETERS ( FROM MOTOR DATA)'!$G$21/'5.PERFORMANCE'!Q45/'1.MOTOR DATA'!$D$14*30/PI()</f>
        <v>76.821087088111895</v>
      </c>
      <c r="T45" s="48">
        <f t="shared" si="1"/>
        <v>14.078199498812985</v>
      </c>
    </row>
    <row r="46" spans="2:20" x14ac:dyDescent="0.3">
      <c r="B46" s="35">
        <v>1800</v>
      </c>
      <c r="C46" s="47">
        <f>('1.MOTOR DATA'!$D$14-B46)/'1.MOTOR DATA'!$D$14</f>
        <v>0.4</v>
      </c>
      <c r="D46" s="47">
        <f>'1.MOTOR DATA'!$D$12/SQRT(('3.PARAMETERS (FROM TEST DATA)'!$D$7+'3.PARAMETERS (FROM TEST DATA)'!$D$17/C46)^2+('3.PARAMETERS (FROM TEST DATA)'!$D$14+'3.PARAMETERS (FROM TEST DATA)'!$D$15)^2)</f>
        <v>73.301890928979873</v>
      </c>
      <c r="E46" s="47">
        <f>3*D46^2*'3.PARAMETERS (FROM TEST DATA)'!$D$17/'5.PERFORMANCE'!C46/'1.MOTOR DATA'!$D$14*30/PI()</f>
        <v>63.614727590620248</v>
      </c>
      <c r="F46" s="48">
        <f t="shared" si="0"/>
        <v>11.991093651528509</v>
      </c>
      <c r="P46" s="35">
        <v>1800</v>
      </c>
      <c r="Q46" s="47">
        <f>('1.MOTOR DATA'!$D$14-P46)/'1.MOTOR DATA'!$D$14</f>
        <v>0.4</v>
      </c>
      <c r="R46" s="47">
        <f>'1.MOTOR DATA'!$D$12/SQRT(('4.PARAMETERS ( FROM MOTOR DATA)'!$D$15+'4.PARAMETERS ( FROM MOTOR DATA)'!$G$21/Q46)^2+('4.PARAMETERS ( FROM MOTOR DATA)'!$G$27+'4.PARAMETERS ( FROM MOTOR DATA)'!$G$28)^2)</f>
        <v>75.035855815844371</v>
      </c>
      <c r="S46" s="47">
        <f>3*R46^2*'4.PARAMETERS ( FROM MOTOR DATA)'!$G$21/'5.PERFORMANCE'!Q46/'1.MOTOR DATA'!$D$14*30/PI()</f>
        <v>79.431737758578649</v>
      </c>
      <c r="T46" s="48">
        <f t="shared" si="1"/>
        <v>14.972529828253299</v>
      </c>
    </row>
    <row r="47" spans="2:20" x14ac:dyDescent="0.3">
      <c r="B47" s="35">
        <v>1850</v>
      </c>
      <c r="C47" s="47">
        <f>('1.MOTOR DATA'!$D$14-B47)/'1.MOTOR DATA'!$D$14</f>
        <v>0.38333333333333336</v>
      </c>
      <c r="D47" s="47">
        <f>'1.MOTOR DATA'!$D$12/SQRT(('3.PARAMETERS (FROM TEST DATA)'!$D$7+'3.PARAMETERS (FROM TEST DATA)'!$D$17/C47)^2+('3.PARAMETERS (FROM TEST DATA)'!$D$14+'3.PARAMETERS (FROM TEST DATA)'!$D$15)^2)</f>
        <v>73.094030185411967</v>
      </c>
      <c r="E47" s="47">
        <f>3*D47^2*'3.PARAMETERS (FROM TEST DATA)'!$D$17/'5.PERFORMANCE'!C47/'1.MOTOR DATA'!$D$14*30/PI()</f>
        <v>66.004650819581329</v>
      </c>
      <c r="F47" s="48">
        <f t="shared" si="0"/>
        <v>12.787183110582635</v>
      </c>
      <c r="P47" s="35">
        <v>1850</v>
      </c>
      <c r="Q47" s="47">
        <f>('1.MOTOR DATA'!$D$14-P47)/'1.MOTOR DATA'!$D$14</f>
        <v>0.38333333333333336</v>
      </c>
      <c r="R47" s="47">
        <f>'1.MOTOR DATA'!$D$12/SQRT(('4.PARAMETERS ( FROM MOTOR DATA)'!$D$15+'4.PARAMETERS ( FROM MOTOR DATA)'!$G$21/Q47)^2+('4.PARAMETERS ( FROM MOTOR DATA)'!$G$27+'4.PARAMETERS ( FROM MOTOR DATA)'!$G$28)^2)</f>
        <v>74.725415855733814</v>
      </c>
      <c r="S47" s="47">
        <f>3*R47^2*'4.PARAMETERS ( FROM MOTOR DATA)'!$G$21/'5.PERFORMANCE'!Q47/'1.MOTOR DATA'!$D$14*30/PI()</f>
        <v>82.200880658877466</v>
      </c>
      <c r="T47" s="48">
        <f t="shared" si="1"/>
        <v>15.924903772453346</v>
      </c>
    </row>
    <row r="48" spans="2:20" x14ac:dyDescent="0.3">
      <c r="B48" s="35">
        <v>1900</v>
      </c>
      <c r="C48" s="47">
        <f>('1.MOTOR DATA'!$D$14-B48)/'1.MOTOR DATA'!$D$14</f>
        <v>0.36666666666666664</v>
      </c>
      <c r="D48" s="47">
        <f>'1.MOTOR DATA'!$D$12/SQRT(('3.PARAMETERS (FROM TEST DATA)'!$D$7+'3.PARAMETERS (FROM TEST DATA)'!$D$17/C48)^2+('3.PARAMETERS (FROM TEST DATA)'!$D$14+'3.PARAMETERS (FROM TEST DATA)'!$D$15)^2)</f>
        <v>72.860399059137151</v>
      </c>
      <c r="E48" s="47">
        <f>3*D48^2*'3.PARAMETERS (FROM TEST DATA)'!$D$17/'5.PERFORMANCE'!C48/'1.MOTOR DATA'!$D$14*30/PI()</f>
        <v>68.564445439656836</v>
      </c>
      <c r="F48" s="48">
        <f t="shared" si="0"/>
        <v>13.642098679076661</v>
      </c>
      <c r="P48" s="35">
        <v>1900</v>
      </c>
      <c r="Q48" s="47">
        <f>('1.MOTOR DATA'!$D$14-P48)/'1.MOTOR DATA'!$D$14</f>
        <v>0.36666666666666664</v>
      </c>
      <c r="R48" s="47">
        <f>'1.MOTOR DATA'!$D$12/SQRT(('4.PARAMETERS ( FROM MOTOR DATA)'!$D$15+'4.PARAMETERS ( FROM MOTOR DATA)'!$G$21/Q48)^2+('4.PARAMETERS ( FROM MOTOR DATA)'!$G$27+'4.PARAMETERS ( FROM MOTOR DATA)'!$G$28)^2)</f>
        <v>74.377697960625667</v>
      </c>
      <c r="S48" s="47">
        <f>3*R48^2*'4.PARAMETERS ( FROM MOTOR DATA)'!$G$21/'5.PERFORMANCE'!Q48/'1.MOTOR DATA'!$D$14*30/PI()</f>
        <v>85.139365521911159</v>
      </c>
      <c r="T48" s="48">
        <f t="shared" si="1"/>
        <v>16.939969666145711</v>
      </c>
    </row>
    <row r="49" spans="2:20" x14ac:dyDescent="0.3">
      <c r="B49" s="35">
        <v>1950</v>
      </c>
      <c r="C49" s="47">
        <f>('1.MOTOR DATA'!$D$14-B49)/'1.MOTOR DATA'!$D$14</f>
        <v>0.35</v>
      </c>
      <c r="D49" s="47">
        <f>'1.MOTOR DATA'!$D$12/SQRT(('3.PARAMETERS (FROM TEST DATA)'!$D$7+'3.PARAMETERS (FROM TEST DATA)'!$D$17/C49)^2+('3.PARAMETERS (FROM TEST DATA)'!$D$14+'3.PARAMETERS (FROM TEST DATA)'!$D$15)^2)</f>
        <v>72.596554940743061</v>
      </c>
      <c r="E49" s="47">
        <f>3*D49^2*'3.PARAMETERS (FROM TEST DATA)'!$D$17/'5.PERFORMANCE'!C49/'1.MOTOR DATA'!$D$14*30/PI()</f>
        <v>71.310139542922471</v>
      </c>
      <c r="F49" s="48">
        <f t="shared" si="0"/>
        <v>14.561781683443034</v>
      </c>
      <c r="P49" s="35">
        <v>1950</v>
      </c>
      <c r="Q49" s="47">
        <f>('1.MOTOR DATA'!$D$14-P49)/'1.MOTOR DATA'!$D$14</f>
        <v>0.35</v>
      </c>
      <c r="R49" s="47">
        <f>'1.MOTOR DATA'!$D$12/SQRT(('4.PARAMETERS ( FROM MOTOR DATA)'!$D$15+'4.PARAMETERS ( FROM MOTOR DATA)'!$G$21/Q49)^2+('4.PARAMETERS ( FROM MOTOR DATA)'!$G$27+'4.PARAMETERS ( FROM MOTOR DATA)'!$G$28)^2)</f>
        <v>73.986571804559432</v>
      </c>
      <c r="S49" s="47">
        <f>3*R49^2*'4.PARAMETERS ( FROM MOTOR DATA)'!$G$21/'5.PERFORMANCE'!Q49/'1.MOTOR DATA'!$D$14*30/PI()</f>
        <v>88.258011758406795</v>
      </c>
      <c r="T49" s="48">
        <f t="shared" si="1"/>
        <v>18.022596888442404</v>
      </c>
    </row>
    <row r="50" spans="2:20" x14ac:dyDescent="0.3">
      <c r="B50" s="35">
        <v>2000</v>
      </c>
      <c r="C50" s="47">
        <f>('1.MOTOR DATA'!$D$14-B50)/'1.MOTOR DATA'!$D$14</f>
        <v>0.33333333333333331</v>
      </c>
      <c r="D50" s="47">
        <f>'1.MOTOR DATA'!$D$12/SQRT(('3.PARAMETERS (FROM TEST DATA)'!$D$7+'3.PARAMETERS (FROM TEST DATA)'!$D$17/C50)^2+('3.PARAMETERS (FROM TEST DATA)'!$D$14+'3.PARAMETERS (FROM TEST DATA)'!$D$15)^2)</f>
        <v>72.29707001119705</v>
      </c>
      <c r="E50" s="47">
        <f>3*D50^2*'3.PARAMETERS (FROM TEST DATA)'!$D$17/'5.PERFORMANCE'!C50/'1.MOTOR DATA'!$D$14*30/PI()</f>
        <v>74.259146901063716</v>
      </c>
      <c r="F50" s="48">
        <f t="shared" si="0"/>
        <v>15.552799357748468</v>
      </c>
      <c r="P50" s="35">
        <v>2000</v>
      </c>
      <c r="Q50" s="47">
        <f>('1.MOTOR DATA'!$D$14-P50)/'1.MOTOR DATA'!$D$14</f>
        <v>0.33333333333333331</v>
      </c>
      <c r="R50" s="47">
        <f>'1.MOTOR DATA'!$D$12/SQRT(('4.PARAMETERS ( FROM MOTOR DATA)'!$D$15+'4.PARAMETERS ( FROM MOTOR DATA)'!$G$21/Q50)^2+('4.PARAMETERS ( FROM MOTOR DATA)'!$G$27+'4.PARAMETERS ( FROM MOTOR DATA)'!$G$28)^2)</f>
        <v>73.544632126906762</v>
      </c>
      <c r="S50" s="47">
        <f>3*R50^2*'4.PARAMETERS ( FROM MOTOR DATA)'!$G$21/'5.PERFORMANCE'!Q50/'1.MOTOR DATA'!$D$14*30/PI()</f>
        <v>91.567127288666285</v>
      </c>
      <c r="T50" s="48">
        <f t="shared" si="1"/>
        <v>19.1777742933597</v>
      </c>
    </row>
    <row r="51" spans="2:20" x14ac:dyDescent="0.3">
      <c r="B51" s="35">
        <v>2050</v>
      </c>
      <c r="C51" s="47">
        <f>('1.MOTOR DATA'!$D$14-B51)/'1.MOTOR DATA'!$D$14</f>
        <v>0.31666666666666665</v>
      </c>
      <c r="D51" s="47">
        <f>'1.MOTOR DATA'!$D$12/SQRT(('3.PARAMETERS (FROM TEST DATA)'!$D$7+'3.PARAMETERS (FROM TEST DATA)'!$D$17/C51)^2+('3.PARAMETERS (FROM TEST DATA)'!$D$14+'3.PARAMETERS (FROM TEST DATA)'!$D$15)^2)</f>
        <v>71.955263448752618</v>
      </c>
      <c r="E51" s="47">
        <f>3*D51^2*'3.PARAMETERS (FROM TEST DATA)'!$D$17/'5.PERFORMANCE'!C51/'1.MOTOR DATA'!$D$14*30/PI()</f>
        <v>77.430148408546145</v>
      </c>
      <c r="F51" s="48">
        <f t="shared" si="0"/>
        <v>16.622355669454823</v>
      </c>
      <c r="P51" s="35">
        <v>2050</v>
      </c>
      <c r="Q51" s="47">
        <f>('1.MOTOR DATA'!$D$14-P51)/'1.MOTOR DATA'!$D$14</f>
        <v>0.31666666666666665</v>
      </c>
      <c r="R51" s="47">
        <f>'1.MOTOR DATA'!$D$12/SQRT(('4.PARAMETERS ( FROM MOTOR DATA)'!$D$15+'4.PARAMETERS ( FROM MOTOR DATA)'!$G$21/Q51)^2+('4.PARAMETERS ( FROM MOTOR DATA)'!$G$27+'4.PARAMETERS ( FROM MOTOR DATA)'!$G$28)^2)</f>
        <v>73.042880788785197</v>
      </c>
      <c r="S51" s="47">
        <f>3*R51^2*'4.PARAMETERS ( FROM MOTOR DATA)'!$G$21/'5.PERFORMANCE'!Q51/'1.MOTOR DATA'!$D$14*30/PI()</f>
        <v>95.07576112340459</v>
      </c>
      <c r="T51" s="48">
        <f t="shared" si="1"/>
        <v>20.410436366449304</v>
      </c>
    </row>
    <row r="52" spans="2:20" x14ac:dyDescent="0.3">
      <c r="B52" s="35">
        <v>2100</v>
      </c>
      <c r="C52" s="47">
        <f>('1.MOTOR DATA'!$D$14-B52)/'1.MOTOR DATA'!$D$14</f>
        <v>0.3</v>
      </c>
      <c r="D52" s="47">
        <f>'1.MOTOR DATA'!$D$12/SQRT(('3.PARAMETERS (FROM TEST DATA)'!$D$7+'3.PARAMETERS (FROM TEST DATA)'!$D$17/C52)^2+('3.PARAMETERS (FROM TEST DATA)'!$D$14+'3.PARAMETERS (FROM TEST DATA)'!$D$15)^2)</f>
        <v>71.562847569811595</v>
      </c>
      <c r="E52" s="47">
        <f>3*D52^2*'3.PARAMETERS (FROM TEST DATA)'!$D$17/'5.PERFORMANCE'!C52/'1.MOTOR DATA'!$D$14*30/PI()</f>
        <v>80.842787346452567</v>
      </c>
      <c r="F52" s="48">
        <f t="shared" si="0"/>
        <v>17.778257477633613</v>
      </c>
      <c r="P52" s="35">
        <v>2100</v>
      </c>
      <c r="Q52" s="47">
        <f>('1.MOTOR DATA'!$D$14-P52)/'1.MOTOR DATA'!$D$14</f>
        <v>0.3</v>
      </c>
      <c r="R52" s="47">
        <f>'1.MOTOR DATA'!$D$12/SQRT(('4.PARAMETERS ( FROM MOTOR DATA)'!$D$15+'4.PARAMETERS ( FROM MOTOR DATA)'!$G$21/Q52)^2+('4.PARAMETERS ( FROM MOTOR DATA)'!$G$27+'4.PARAMETERS ( FROM MOTOR DATA)'!$G$28)^2)</f>
        <v>72.470317978909023</v>
      </c>
      <c r="S52" s="47">
        <f>3*R52^2*'4.PARAMETERS ( FROM MOTOR DATA)'!$G$21/'5.PERFORMANCE'!Q52/'1.MOTOR DATA'!$D$14*30/PI()</f>
        <v>98.790561491647821</v>
      </c>
      <c r="T52" s="48">
        <f t="shared" si="1"/>
        <v>21.725179155832002</v>
      </c>
    </row>
    <row r="53" spans="2:20" x14ac:dyDescent="0.3">
      <c r="B53" s="35">
        <v>2150</v>
      </c>
      <c r="C53" s="47">
        <f>('1.MOTOR DATA'!$D$14-B53)/'1.MOTOR DATA'!$D$14</f>
        <v>0.28333333333333333</v>
      </c>
      <c r="D53" s="47">
        <f>'1.MOTOR DATA'!$D$12/SQRT(('3.PARAMETERS (FROM TEST DATA)'!$D$7+'3.PARAMETERS (FROM TEST DATA)'!$D$17/C53)^2+('3.PARAMETERS (FROM TEST DATA)'!$D$14+'3.PARAMETERS (FROM TEST DATA)'!$D$15)^2)</f>
        <v>71.109456226326628</v>
      </c>
      <c r="E53" s="47">
        <f>3*D53^2*'3.PARAMETERS (FROM TEST DATA)'!$D$17/'5.PERFORMANCE'!C53/'1.MOTOR DATA'!$D$14*30/PI()</f>
        <v>84.517054146445105</v>
      </c>
      <c r="F53" s="48">
        <f t="shared" si="0"/>
        <v>19.028801209349126</v>
      </c>
      <c r="P53" s="35">
        <v>2150</v>
      </c>
      <c r="Q53" s="47">
        <f>('1.MOTOR DATA'!$D$14-P53)/'1.MOTOR DATA'!$D$14</f>
        <v>0.28333333333333333</v>
      </c>
      <c r="R53" s="47">
        <f>'1.MOTOR DATA'!$D$12/SQRT(('4.PARAMETERS ( FROM MOTOR DATA)'!$D$15+'4.PARAMETERS ( FROM MOTOR DATA)'!$G$21/Q53)^2+('4.PARAMETERS ( FROM MOTOR DATA)'!$G$27+'4.PARAMETERS ( FROM MOTOR DATA)'!$G$28)^2)</f>
        <v>71.813414330261125</v>
      </c>
      <c r="S53" s="47">
        <f>3*R53^2*'4.PARAMETERS ( FROM MOTOR DATA)'!$G$21/'5.PERFORMANCE'!Q53/'1.MOTOR DATA'!$D$14*30/PI()</f>
        <v>102.71405025739759</v>
      </c>
      <c r="T53" s="48">
        <f t="shared" si="1"/>
        <v>23.125808909151665</v>
      </c>
    </row>
    <row r="54" spans="2:20" x14ac:dyDescent="0.3">
      <c r="B54" s="35">
        <v>2200</v>
      </c>
      <c r="C54" s="47">
        <f>('1.MOTOR DATA'!$D$14-B54)/'1.MOTOR DATA'!$D$14</f>
        <v>0.26666666666666666</v>
      </c>
      <c r="D54" s="47">
        <f>'1.MOTOR DATA'!$D$12/SQRT(('3.PARAMETERS (FROM TEST DATA)'!$D$7+'3.PARAMETERS (FROM TEST DATA)'!$D$17/C54)^2+('3.PARAMETERS (FROM TEST DATA)'!$D$14+'3.PARAMETERS (FROM TEST DATA)'!$D$15)^2)</f>
        <v>70.582010895782972</v>
      </c>
      <c r="E54" s="47">
        <f>3*D54^2*'3.PARAMETERS (FROM TEST DATA)'!$D$17/'5.PERFORMANCE'!C54/'1.MOTOR DATA'!$D$14*30/PI()</f>
        <v>88.472159790584357</v>
      </c>
      <c r="F54" s="48">
        <f t="shared" si="0"/>
        <v>20.382522397990286</v>
      </c>
      <c r="P54" s="35">
        <v>2200</v>
      </c>
      <c r="Q54" s="47">
        <f>('1.MOTOR DATA'!$D$14-P54)/'1.MOTOR DATA'!$D$14</f>
        <v>0.26666666666666666</v>
      </c>
      <c r="R54" s="47">
        <f>'1.MOTOR DATA'!$D$12/SQRT(('4.PARAMETERS ( FROM MOTOR DATA)'!$D$15+'4.PARAMETERS ( FROM MOTOR DATA)'!$G$21/Q54)^2+('4.PARAMETERS ( FROM MOTOR DATA)'!$G$27+'4.PARAMETERS ( FROM MOTOR DATA)'!$G$28)^2)</f>
        <v>71.055426967249517</v>
      </c>
      <c r="S54" s="47">
        <f>3*R54^2*'4.PARAMETERS ( FROM MOTOR DATA)'!$G$21/'5.PERFORMANCE'!Q54/'1.MOTOR DATA'!$D$14*30/PI()</f>
        <v>106.84203451429961</v>
      </c>
      <c r="T54" s="48">
        <f t="shared" si="1"/>
        <v>24.614637719812123</v>
      </c>
    </row>
    <row r="55" spans="2:20" x14ac:dyDescent="0.3">
      <c r="B55" s="35">
        <v>2250</v>
      </c>
      <c r="C55" s="47">
        <f>('1.MOTOR DATA'!$D$14-B55)/'1.MOTOR DATA'!$D$14</f>
        <v>0.25</v>
      </c>
      <c r="D55" s="47">
        <f>'1.MOTOR DATA'!$D$12/SQRT(('3.PARAMETERS (FROM TEST DATA)'!$D$7+'3.PARAMETERS (FROM TEST DATA)'!$D$17/C55)^2+('3.PARAMETERS (FROM TEST DATA)'!$D$14+'3.PARAMETERS (FROM TEST DATA)'!$D$15)^2)</f>
        <v>69.963861518302778</v>
      </c>
      <c r="E55" s="47">
        <f>3*D55^2*'3.PARAMETERS (FROM TEST DATA)'!$D$17/'5.PERFORMANCE'!C55/'1.MOTOR DATA'!$D$14*30/PI()</f>
        <v>92.724572850944995</v>
      </c>
      <c r="F55" s="48">
        <f t="shared" si="0"/>
        <v>21.847712765683529</v>
      </c>
      <c r="P55" s="35">
        <v>2250</v>
      </c>
      <c r="Q55" s="47">
        <f>('1.MOTOR DATA'!$D$14-P55)/'1.MOTOR DATA'!$D$14</f>
        <v>0.25</v>
      </c>
      <c r="R55" s="47">
        <f>'1.MOTOR DATA'!$D$12/SQRT(('4.PARAMETERS ( FROM MOTOR DATA)'!$D$15+'4.PARAMETERS ( FROM MOTOR DATA)'!$G$21/Q55)^2+('4.PARAMETERS ( FROM MOTOR DATA)'!$G$27+'4.PARAMETERS ( FROM MOTOR DATA)'!$G$28)^2)</f>
        <v>70.175511716208192</v>
      </c>
      <c r="S55" s="47">
        <f>3*R55^2*'4.PARAMETERS ( FROM MOTOR DATA)'!$G$21/'5.PERFORMANCE'!Q55/'1.MOTOR DATA'!$D$14*30/PI()</f>
        <v>111.15974515581811</v>
      </c>
      <c r="T55" s="48">
        <f t="shared" si="1"/>
        <v>26.191397906732384</v>
      </c>
    </row>
    <row r="56" spans="2:20" x14ac:dyDescent="0.3">
      <c r="B56" s="35">
        <v>2300</v>
      </c>
      <c r="C56" s="47">
        <f>('1.MOTOR DATA'!$D$14-B56)/'1.MOTOR DATA'!$D$14</f>
        <v>0.23333333333333334</v>
      </c>
      <c r="D56" s="47">
        <f>'1.MOTOR DATA'!$D$12/SQRT(('3.PARAMETERS (FROM TEST DATA)'!$D$7+'3.PARAMETERS (FROM TEST DATA)'!$D$17/C56)^2+('3.PARAMETERS (FROM TEST DATA)'!$D$14+'3.PARAMETERS (FROM TEST DATA)'!$D$15)^2)</f>
        <v>69.233613078275823</v>
      </c>
      <c r="E56" s="47">
        <f>3*D56^2*'3.PARAMETERS (FROM TEST DATA)'!$D$17/'5.PERFORMANCE'!C56/'1.MOTOR DATA'!$D$14*30/PI()</f>
        <v>97.284693504991225</v>
      </c>
      <c r="F56" s="48">
        <f t="shared" si="0"/>
        <v>23.431547345687825</v>
      </c>
      <c r="P56" s="35">
        <v>2300</v>
      </c>
      <c r="Q56" s="47">
        <f>('1.MOTOR DATA'!$D$14-P56)/'1.MOTOR DATA'!$D$14</f>
        <v>0.23333333333333334</v>
      </c>
      <c r="R56" s="47">
        <f>'1.MOTOR DATA'!$D$12/SQRT(('4.PARAMETERS ( FROM MOTOR DATA)'!$D$15+'4.PARAMETERS ( FROM MOTOR DATA)'!$G$21/Q56)^2+('4.PARAMETERS ( FROM MOTOR DATA)'!$G$27+'4.PARAMETERS ( FROM MOTOR DATA)'!$G$28)^2)</f>
        <v>69.147571319553336</v>
      </c>
      <c r="S56" s="47">
        <f>3*R56^2*'4.PARAMETERS ( FROM MOTOR DATA)'!$G$21/'5.PERFORMANCE'!Q56/'1.MOTOR DATA'!$D$14*30/PI()</f>
        <v>115.6361040769002</v>
      </c>
      <c r="T56" s="48">
        <f t="shared" si="1"/>
        <v>27.851584354426301</v>
      </c>
    </row>
    <row r="57" spans="2:20" x14ac:dyDescent="0.3">
      <c r="B57" s="35">
        <v>2350</v>
      </c>
      <c r="C57" s="47">
        <f>('1.MOTOR DATA'!$D$14-B57)/'1.MOTOR DATA'!$D$14</f>
        <v>0.21666666666666667</v>
      </c>
      <c r="D57" s="47">
        <f>'1.MOTOR DATA'!$D$12/SQRT(('3.PARAMETERS (FROM TEST DATA)'!$D$7+'3.PARAMETERS (FROM TEST DATA)'!$D$17/C57)^2+('3.PARAMETERS (FROM TEST DATA)'!$D$14+'3.PARAMETERS (FROM TEST DATA)'!$D$15)^2)</f>
        <v>68.363512574118232</v>
      </c>
      <c r="E57" s="47">
        <f>3*D57^2*'3.PARAMETERS (FROM TEST DATA)'!$D$17/'5.PERFORMANCE'!C57/'1.MOTOR DATA'!$D$14*30/PI()</f>
        <v>102.15131064272119</v>
      </c>
      <c r="F57" s="48">
        <f t="shared" si="0"/>
        <v>25.138561553796436</v>
      </c>
      <c r="P57" s="35">
        <v>2350</v>
      </c>
      <c r="Q57" s="47">
        <f>('1.MOTOR DATA'!$D$14-P57)/'1.MOTOR DATA'!$D$14</f>
        <v>0.21666666666666667</v>
      </c>
      <c r="R57" s="47">
        <f>'1.MOTOR DATA'!$D$12/SQRT(('4.PARAMETERS ( FROM MOTOR DATA)'!$D$15+'4.PARAMETERS ( FROM MOTOR DATA)'!$G$21/Q57)^2+('4.PARAMETERS ( FROM MOTOR DATA)'!$G$27+'4.PARAMETERS ( FROM MOTOR DATA)'!$G$28)^2)</f>
        <v>67.938767339802226</v>
      </c>
      <c r="S57" s="47">
        <f>3*R57^2*'4.PARAMETERS ( FROM MOTOR DATA)'!$G$21/'5.PERFORMANCE'!Q57/'1.MOTOR DATA'!$D$14*30/PI()</f>
        <v>120.21525961123191</v>
      </c>
      <c r="T57" s="48">
        <f t="shared" si="1"/>
        <v>29.583944488116146</v>
      </c>
    </row>
    <row r="58" spans="2:20" x14ac:dyDescent="0.3">
      <c r="B58" s="35">
        <v>2400</v>
      </c>
      <c r="C58" s="47">
        <f>('1.MOTOR DATA'!$D$14-B58)/'1.MOTOR DATA'!$D$14</f>
        <v>0.2</v>
      </c>
      <c r="D58" s="47">
        <f>'1.MOTOR DATA'!$D$12/SQRT(('3.PARAMETERS (FROM TEST DATA)'!$D$7+'3.PARAMETERS (FROM TEST DATA)'!$D$17/C58)^2+('3.PARAMETERS (FROM TEST DATA)'!$D$14+'3.PARAMETERS (FROM TEST DATA)'!$D$15)^2)</f>
        <v>67.31722199696199</v>
      </c>
      <c r="E58" s="47">
        <f>3*D58^2*'3.PARAMETERS (FROM TEST DATA)'!$D$17/'5.PERFORMANCE'!C58/'1.MOTOR DATA'!$D$14*30/PI()</f>
        <v>107.30246091596335</v>
      </c>
      <c r="F58" s="48">
        <f t="shared" si="0"/>
        <v>26.968049834055709</v>
      </c>
      <c r="P58" s="35">
        <v>2400</v>
      </c>
      <c r="Q58" s="47">
        <f>('1.MOTOR DATA'!$D$14-P58)/'1.MOTOR DATA'!$D$14</f>
        <v>0.2</v>
      </c>
      <c r="R58" s="47">
        <f>'1.MOTOR DATA'!$D$12/SQRT(('4.PARAMETERS ( FROM MOTOR DATA)'!$D$15+'4.PARAMETERS ( FROM MOTOR DATA)'!$G$21/Q58)^2+('4.PARAMETERS ( FROM MOTOR DATA)'!$G$27+'4.PARAMETERS ( FROM MOTOR DATA)'!$G$28)^2)</f>
        <v>66.507616521260488</v>
      </c>
      <c r="S58" s="47">
        <f>3*R58^2*'4.PARAMETERS ( FROM MOTOR DATA)'!$G$21/'5.PERFORMANCE'!Q58/'1.MOTOR DATA'!$D$14*30/PI()</f>
        <v>124.80418458058094</v>
      </c>
      <c r="T58" s="48">
        <f t="shared" si="1"/>
        <v>31.366712753249409</v>
      </c>
    </row>
    <row r="59" spans="2:20" x14ac:dyDescent="0.3">
      <c r="B59" s="35">
        <v>2450</v>
      </c>
      <c r="C59" s="47">
        <f>('1.MOTOR DATA'!$D$14-B59)/'1.MOTOR DATA'!$D$14</f>
        <v>0.18333333333333332</v>
      </c>
      <c r="D59" s="47">
        <f>'1.MOTOR DATA'!$D$12/SQRT(('3.PARAMETERS (FROM TEST DATA)'!$D$7+'3.PARAMETERS (FROM TEST DATA)'!$D$17/C59)^2+('3.PARAMETERS (FROM TEST DATA)'!$D$14+'3.PARAMETERS (FROM TEST DATA)'!$D$15)^2)</f>
        <v>66.046741434164446</v>
      </c>
      <c r="E59" s="47">
        <f>3*D59^2*'3.PARAMETERS (FROM TEST DATA)'!$D$17/'5.PERFORMANCE'!C59/'1.MOTOR DATA'!$D$14*30/PI()</f>
        <v>112.6804735321174</v>
      </c>
      <c r="F59" s="48">
        <f t="shared" si="0"/>
        <v>28.909685407874065</v>
      </c>
      <c r="P59" s="35">
        <v>2450</v>
      </c>
      <c r="Q59" s="47">
        <f>('1.MOTOR DATA'!$D$14-P59)/'1.MOTOR DATA'!$D$14</f>
        <v>0.18333333333333332</v>
      </c>
      <c r="R59" s="47">
        <f>'1.MOTOR DATA'!$D$12/SQRT(('4.PARAMETERS ( FROM MOTOR DATA)'!$D$15+'4.PARAMETERS ( FROM MOTOR DATA)'!$G$21/Q59)^2+('4.PARAMETERS ( FROM MOTOR DATA)'!$G$27+'4.PARAMETERS ( FROM MOTOR DATA)'!$G$28)^2)</f>
        <v>64.801602329974244</v>
      </c>
      <c r="S59" s="47">
        <f>3*R59^2*'4.PARAMETERS ( FROM MOTOR DATA)'!$G$21/'5.PERFORMANCE'!Q59/'1.MOTOR DATA'!$D$14*30/PI()</f>
        <v>129.25472539996193</v>
      </c>
      <c r="T59" s="48">
        <f t="shared" si="1"/>
        <v>33.162031820260061</v>
      </c>
    </row>
    <row r="60" spans="2:20" x14ac:dyDescent="0.3">
      <c r="B60" s="35">
        <v>2500</v>
      </c>
      <c r="C60" s="47">
        <f>('1.MOTOR DATA'!$D$14-B60)/'1.MOTOR DATA'!$D$14</f>
        <v>0.16666666666666666</v>
      </c>
      <c r="D60" s="47">
        <f>'1.MOTOR DATA'!$D$12/SQRT(('3.PARAMETERS (FROM TEST DATA)'!$D$7+'3.PARAMETERS (FROM TEST DATA)'!$D$17/C60)^2+('3.PARAMETERS (FROM TEST DATA)'!$D$14+'3.PARAMETERS (FROM TEST DATA)'!$D$15)^2)</f>
        <v>64.48818162865669</v>
      </c>
      <c r="E60" s="47">
        <f>3*D60^2*'3.PARAMETERS (FROM TEST DATA)'!$D$17/'5.PERFORMANCE'!C60/'1.MOTOR DATA'!$D$14*30/PI()</f>
        <v>118.16771020298484</v>
      </c>
      <c r="F60" s="48">
        <f t="shared" si="0"/>
        <v>30.936234188768733</v>
      </c>
      <c r="P60" s="35">
        <v>2500</v>
      </c>
      <c r="Q60" s="47">
        <f>('1.MOTOR DATA'!$D$14-P60)/'1.MOTOR DATA'!$D$14</f>
        <v>0.16666666666666666</v>
      </c>
      <c r="R60" s="47">
        <f>'1.MOTOR DATA'!$D$12/SQRT(('4.PARAMETERS ( FROM MOTOR DATA)'!$D$15+'4.PARAMETERS ( FROM MOTOR DATA)'!$G$21/Q60)^2+('4.PARAMETERS ( FROM MOTOR DATA)'!$G$27+'4.PARAMETERS ( FROM MOTOR DATA)'!$G$28)^2)</f>
        <v>62.754284062158717</v>
      </c>
      <c r="S60" s="47">
        <f>3*R60^2*'4.PARAMETERS ( FROM MOTOR DATA)'!$G$21/'5.PERFORMANCE'!Q60/'1.MOTOR DATA'!$D$14*30/PI()</f>
        <v>133.3381372441435</v>
      </c>
      <c r="T60" s="48">
        <f t="shared" si="1"/>
        <v>34.907842700795726</v>
      </c>
    </row>
    <row r="61" spans="2:20" x14ac:dyDescent="0.3">
      <c r="B61" s="35">
        <v>2550</v>
      </c>
      <c r="C61" s="47">
        <f>('1.MOTOR DATA'!$D$14-B61)/'1.MOTOR DATA'!$D$14</f>
        <v>0.15</v>
      </c>
      <c r="D61" s="47">
        <f>'1.MOTOR DATA'!$D$12/SQRT(('3.PARAMETERS (FROM TEST DATA)'!$D$7+'3.PARAMETERS (FROM TEST DATA)'!$D$17/C61)^2+('3.PARAMETERS (FROM TEST DATA)'!$D$14+'3.PARAMETERS (FROM TEST DATA)'!$D$15)^2)</f>
        <v>62.556051915052713</v>
      </c>
      <c r="E61" s="47">
        <f>3*D61^2*'3.PARAMETERS (FROM TEST DATA)'!$D$17/'5.PERFORMANCE'!C61/'1.MOTOR DATA'!$D$14*30/PI()</f>
        <v>123.54771305950871</v>
      </c>
      <c r="F61" s="48">
        <f t="shared" si="0"/>
        <v>32.991609955823648</v>
      </c>
      <c r="P61" s="35">
        <v>2550</v>
      </c>
      <c r="Q61" s="47">
        <f>('1.MOTOR DATA'!$D$14-P61)/'1.MOTOR DATA'!$D$14</f>
        <v>0.15</v>
      </c>
      <c r="R61" s="47">
        <f>'1.MOTOR DATA'!$D$12/SQRT(('4.PARAMETERS ( FROM MOTOR DATA)'!$D$15+'4.PARAMETERS ( FROM MOTOR DATA)'!$G$21/Q61)^2+('4.PARAMETERS ( FROM MOTOR DATA)'!$G$27+'4.PARAMETERS ( FROM MOTOR DATA)'!$G$28)^2)</f>
        <v>60.282028722674859</v>
      </c>
      <c r="S61" s="47">
        <f>3*R61^2*'4.PARAMETERS ( FROM MOTOR DATA)'!$G$21/'5.PERFORMANCE'!Q61/'1.MOTOR DATA'!$D$14*30/PI()</f>
        <v>136.71017362440253</v>
      </c>
      <c r="T61" s="48">
        <f t="shared" si="1"/>
        <v>36.506452555999694</v>
      </c>
    </row>
    <row r="62" spans="2:20" x14ac:dyDescent="0.3">
      <c r="B62" s="35">
        <v>2600</v>
      </c>
      <c r="C62" s="47">
        <f>('1.MOTOR DATA'!$D$14-B62)/'1.MOTOR DATA'!$D$14</f>
        <v>0.13333333333333333</v>
      </c>
      <c r="D62" s="47">
        <f>'1.MOTOR DATA'!$D$12/SQRT(('3.PARAMETERS (FROM TEST DATA)'!$D$7+'3.PARAMETERS (FROM TEST DATA)'!$D$17/C62)^2+('3.PARAMETERS (FROM TEST DATA)'!$D$14+'3.PARAMETERS (FROM TEST DATA)'!$D$15)^2)</f>
        <v>60.135826395888671</v>
      </c>
      <c r="E62" s="47">
        <f>3*D62^2*'3.PARAMETERS (FROM TEST DATA)'!$D$17/'5.PERFORMANCE'!C62/'1.MOTOR DATA'!$D$14*30/PI()</f>
        <v>128.44438906749113</v>
      </c>
      <c r="F62" s="48">
        <f t="shared" si="0"/>
        <v>34.971728921069136</v>
      </c>
      <c r="P62" s="35">
        <v>2600</v>
      </c>
      <c r="Q62" s="47">
        <f>('1.MOTOR DATA'!$D$14-P62)/'1.MOTOR DATA'!$D$14</f>
        <v>0.13333333333333333</v>
      </c>
      <c r="R62" s="47">
        <f>'1.MOTOR DATA'!$D$12/SQRT(('4.PARAMETERS ( FROM MOTOR DATA)'!$D$15+'4.PARAMETERS ( FROM MOTOR DATA)'!$G$21/Q62)^2+('4.PARAMETERS ( FROM MOTOR DATA)'!$G$27+'4.PARAMETERS ( FROM MOTOR DATA)'!$G$28)^2)</f>
        <v>57.28081546922845</v>
      </c>
      <c r="S62" s="47">
        <f>3*R62^2*'4.PARAMETERS ( FROM MOTOR DATA)'!$G$21/'5.PERFORMANCE'!Q62/'1.MOTOR DATA'!$D$14*30/PI()</f>
        <v>138.86603083796516</v>
      </c>
      <c r="T62" s="48">
        <f t="shared" si="1"/>
        <v>37.809243533856161</v>
      </c>
    </row>
    <row r="63" spans="2:20" x14ac:dyDescent="0.3">
      <c r="B63" s="35">
        <v>2650</v>
      </c>
      <c r="C63" s="47">
        <f>('1.MOTOR DATA'!$D$14-B63)/'1.MOTOR DATA'!$D$14</f>
        <v>0.11666666666666667</v>
      </c>
      <c r="D63" s="47">
        <f>'1.MOTOR DATA'!$D$12/SQRT(('3.PARAMETERS (FROM TEST DATA)'!$D$7+'3.PARAMETERS (FROM TEST DATA)'!$D$17/C63)^2+('3.PARAMETERS (FROM TEST DATA)'!$D$14+'3.PARAMETERS (FROM TEST DATA)'!$D$15)^2)</f>
        <v>57.075025699078807</v>
      </c>
      <c r="E63" s="47">
        <f>3*D63^2*'3.PARAMETERS (FROM TEST DATA)'!$D$17/'5.PERFORMANCE'!C63/'1.MOTOR DATA'!$D$14*30/PI()</f>
        <v>132.2308375685808</v>
      </c>
      <c r="F63" s="48">
        <f t="shared" si="0"/>
        <v>36.695029463040612</v>
      </c>
      <c r="P63" s="35">
        <v>2650</v>
      </c>
      <c r="Q63" s="47">
        <f>('1.MOTOR DATA'!$D$14-P63)/'1.MOTOR DATA'!$D$14</f>
        <v>0.11666666666666667</v>
      </c>
      <c r="R63" s="47">
        <f>'1.MOTOR DATA'!$D$12/SQRT(('4.PARAMETERS ( FROM MOTOR DATA)'!$D$15+'4.PARAMETERS ( FROM MOTOR DATA)'!$G$21/Q63)^2+('4.PARAMETERS ( FROM MOTOR DATA)'!$G$27+'4.PARAMETERS ( FROM MOTOR DATA)'!$G$28)^2)</f>
        <v>53.62421553417736</v>
      </c>
      <c r="S63" s="47">
        <f>3*R63^2*'4.PARAMETERS ( FROM MOTOR DATA)'!$G$21/'5.PERFORMANCE'!Q63/'1.MOTOR DATA'!$D$14*30/PI()</f>
        <v>139.08858505583962</v>
      </c>
      <c r="T63" s="48">
        <f t="shared" si="1"/>
        <v>38.598104802516858</v>
      </c>
    </row>
    <row r="64" spans="2:20" x14ac:dyDescent="0.3">
      <c r="B64" s="35">
        <v>2700</v>
      </c>
      <c r="C64" s="47">
        <f>('1.MOTOR DATA'!$D$14-B64)/'1.MOTOR DATA'!$D$14</f>
        <v>0.1</v>
      </c>
      <c r="D64" s="47">
        <f>'1.MOTOR DATA'!$D$12/SQRT(('3.PARAMETERS (FROM TEST DATA)'!$D$7+'3.PARAMETERS (FROM TEST DATA)'!$D$17/C64)^2+('3.PARAMETERS (FROM TEST DATA)'!$D$14+'3.PARAMETERS (FROM TEST DATA)'!$D$15)^2)</f>
        <v>53.174452573821341</v>
      </c>
      <c r="E64" s="47">
        <f>3*D64^2*'3.PARAMETERS (FROM TEST DATA)'!$D$17/'5.PERFORMANCE'!C64/'1.MOTOR DATA'!$D$14*30/PI()</f>
        <v>133.9039419333416</v>
      </c>
      <c r="F64" s="48">
        <f t="shared" si="0"/>
        <v>37.860447623805022</v>
      </c>
      <c r="P64" s="35">
        <v>2700</v>
      </c>
      <c r="Q64" s="47">
        <f>('1.MOTOR DATA'!$D$14-P64)/'1.MOTOR DATA'!$D$14</f>
        <v>0.1</v>
      </c>
      <c r="R64" s="47">
        <f>'1.MOTOR DATA'!$D$12/SQRT(('4.PARAMETERS ( FROM MOTOR DATA)'!$D$15+'4.PARAMETERS ( FROM MOTOR DATA)'!$G$21/Q64)^2+('4.PARAMETERS ( FROM MOTOR DATA)'!$G$27+'4.PARAMETERS ( FROM MOTOR DATA)'!$G$28)^2)</f>
        <v>49.164815735964574</v>
      </c>
      <c r="S64" s="47">
        <f>3*R64^2*'4.PARAMETERS ( FROM MOTOR DATA)'!$G$21/'5.PERFORMANCE'!Q64/'1.MOTOR DATA'!$D$14*30/PI()</f>
        <v>136.40340336045165</v>
      </c>
      <c r="T64" s="48">
        <f t="shared" si="1"/>
        <v>38.567153692965611</v>
      </c>
    </row>
    <row r="65" spans="1:20" x14ac:dyDescent="0.3">
      <c r="B65" s="35">
        <v>2750</v>
      </c>
      <c r="C65" s="47">
        <f>('1.MOTOR DATA'!$D$14-B65)/'1.MOTOR DATA'!$D$14</f>
        <v>8.3333333333333329E-2</v>
      </c>
      <c r="D65" s="47">
        <f>'1.MOTOR DATA'!$D$12/SQRT(('3.PARAMETERS (FROM TEST DATA)'!$D$7+'3.PARAMETERS (FROM TEST DATA)'!$D$17/C65)^2+('3.PARAMETERS (FROM TEST DATA)'!$D$14+'3.PARAMETERS (FROM TEST DATA)'!$D$15)^2)</f>
        <v>48.184574997504548</v>
      </c>
      <c r="E65" s="47">
        <f>3*D65^2*'3.PARAMETERS (FROM TEST DATA)'!$D$17/'5.PERFORMANCE'!C65/'1.MOTOR DATA'!$D$14*30/PI()</f>
        <v>131.94247261397172</v>
      </c>
      <c r="F65" s="48">
        <f t="shared" si="0"/>
        <v>37.996704410548219</v>
      </c>
      <c r="P65" s="35">
        <v>2750</v>
      </c>
      <c r="Q65" s="47">
        <f>('1.MOTOR DATA'!$D$14-P65)/'1.MOTOR DATA'!$D$14</f>
        <v>8.3333333333333329E-2</v>
      </c>
      <c r="R65" s="47">
        <f>'1.MOTOR DATA'!$D$12/SQRT(('4.PARAMETERS ( FROM MOTOR DATA)'!$D$15+'4.PARAMETERS ( FROM MOTOR DATA)'!$G$21/Q65)^2+('4.PARAMETERS ( FROM MOTOR DATA)'!$G$27+'4.PARAMETERS ( FROM MOTOR DATA)'!$G$28)^2)</f>
        <v>43.743103175454884</v>
      </c>
      <c r="S65" s="47">
        <f>3*R65^2*'4.PARAMETERS ( FROM MOTOR DATA)'!$G$21/'5.PERFORMANCE'!Q65/'1.MOTOR DATA'!$D$14*30/PI()</f>
        <v>129.57368168153641</v>
      </c>
      <c r="T65" s="48">
        <f t="shared" si="1"/>
        <v>37.314541593018902</v>
      </c>
    </row>
    <row r="66" spans="1:20" x14ac:dyDescent="0.3">
      <c r="B66" s="35">
        <v>2800</v>
      </c>
      <c r="C66" s="47">
        <f>('1.MOTOR DATA'!$D$14-B66)/'1.MOTOR DATA'!$D$14</f>
        <v>6.6666666666666666E-2</v>
      </c>
      <c r="D66" s="47">
        <f>'1.MOTOR DATA'!$D$12/SQRT(('3.PARAMETERS (FROM TEST DATA)'!$D$7+'3.PARAMETERS (FROM TEST DATA)'!$D$17/C66)^2+('3.PARAMETERS (FROM TEST DATA)'!$D$14+'3.PARAMETERS (FROM TEST DATA)'!$D$15)^2)</f>
        <v>41.818657606229884</v>
      </c>
      <c r="E66" s="47">
        <f>3*D66^2*'3.PARAMETERS (FROM TEST DATA)'!$D$17/'5.PERFORMANCE'!C66/'1.MOTOR DATA'!$D$14*30/PI()</f>
        <v>124.22778492309162</v>
      </c>
      <c r="F66" s="48">
        <f t="shared" si="0"/>
        <v>36.42548900537097</v>
      </c>
      <c r="P66" s="35">
        <v>2800</v>
      </c>
      <c r="Q66" s="47">
        <f>('1.MOTOR DATA'!$D$14-P66)/'1.MOTOR DATA'!$D$14</f>
        <v>6.6666666666666666E-2</v>
      </c>
      <c r="R66" s="47">
        <f>'1.MOTOR DATA'!$D$12/SQRT(('4.PARAMETERS ( FROM MOTOR DATA)'!$D$15+'4.PARAMETERS ( FROM MOTOR DATA)'!$G$21/Q66)^2+('4.PARAMETERS ( FROM MOTOR DATA)'!$G$27+'4.PARAMETERS ( FROM MOTOR DATA)'!$G$28)^2)</f>
        <v>37.209657688940851</v>
      </c>
      <c r="S66" s="47">
        <f>3*R66^2*'4.PARAMETERS ( FROM MOTOR DATA)'!$G$21/'5.PERFORMANCE'!Q66/'1.MOTOR DATA'!$D$14*30/PI()</f>
        <v>117.19767154443782</v>
      </c>
      <c r="T66" s="48">
        <f t="shared" si="1"/>
        <v>34.364152101237977</v>
      </c>
    </row>
    <row r="67" spans="1:20" x14ac:dyDescent="0.3">
      <c r="B67" s="35">
        <v>2850</v>
      </c>
      <c r="C67" s="47">
        <f>('1.MOTOR DATA'!$D$14-B67)/'1.MOTOR DATA'!$D$14</f>
        <v>0.05</v>
      </c>
      <c r="D67" s="47">
        <f>'1.MOTOR DATA'!$D$12/SQRT(('3.PARAMETERS (FROM TEST DATA)'!$D$7+'3.PARAMETERS (FROM TEST DATA)'!$D$17/C67)^2+('3.PARAMETERS (FROM TEST DATA)'!$D$14+'3.PARAMETERS (FROM TEST DATA)'!$D$15)^2)</f>
        <v>33.803571045886827</v>
      </c>
      <c r="E67" s="47">
        <f>3*D67^2*'3.PARAMETERS (FROM TEST DATA)'!$D$17/'5.PERFORMANCE'!C67/'1.MOTOR DATA'!$D$14*30/PI()</f>
        <v>108.22870619888023</v>
      </c>
      <c r="F67" s="48">
        <f t="shared" si="0"/>
        <v>32.300998288683374</v>
      </c>
      <c r="P67" s="35">
        <v>2850</v>
      </c>
      <c r="Q67" s="47">
        <f>('1.MOTOR DATA'!$D$14-P67)/'1.MOTOR DATA'!$D$14</f>
        <v>0.05</v>
      </c>
      <c r="R67" s="47">
        <f>'1.MOTOR DATA'!$D$12/SQRT(('4.PARAMETERS ( FROM MOTOR DATA)'!$D$15+'4.PARAMETERS ( FROM MOTOR DATA)'!$G$21/Q67)^2+('4.PARAMETERS ( FROM MOTOR DATA)'!$G$27+'4.PARAMETERS ( FROM MOTOR DATA)'!$G$28)^2)</f>
        <v>29.466404790614099</v>
      </c>
      <c r="S67" s="47">
        <f>3*R67^2*'4.PARAMETERS ( FROM MOTOR DATA)'!$G$21/'5.PERFORMANCE'!Q67/'1.MOTOR DATA'!$D$14*30/PI()</f>
        <v>97.994267665477068</v>
      </c>
      <c r="T67" s="48">
        <f t="shared" si="1"/>
        <v>29.246516782218588</v>
      </c>
    </row>
    <row r="68" spans="1:20" x14ac:dyDescent="0.3">
      <c r="B68" s="35">
        <v>2900</v>
      </c>
      <c r="C68" s="47">
        <f>('1.MOTOR DATA'!$D$14-B68)/'1.MOTOR DATA'!$D$14</f>
        <v>3.3333333333333333E-2</v>
      </c>
      <c r="D68" s="47">
        <f>'1.MOTOR DATA'!$D$12/SQRT(('3.PARAMETERS (FROM TEST DATA)'!$D$7+'3.PARAMETERS (FROM TEST DATA)'!$D$17/C68)^2+('3.PARAMETERS (FROM TEST DATA)'!$D$14+'3.PARAMETERS (FROM TEST DATA)'!$D$15)^2)</f>
        <v>23.992188289309095</v>
      </c>
      <c r="E68" s="47">
        <f>3*D68^2*'3.PARAMETERS (FROM TEST DATA)'!$D$17/'5.PERFORMANCE'!C68/'1.MOTOR DATA'!$D$14*30/PI()</f>
        <v>81.780221767882949</v>
      </c>
      <c r="F68" s="48">
        <f t="shared" si="0"/>
        <v>24.835613911776097</v>
      </c>
      <c r="P68" s="35">
        <v>2900</v>
      </c>
      <c r="Q68" s="47">
        <f>('1.MOTOR DATA'!$D$14-P68)/'1.MOTOR DATA'!$D$14</f>
        <v>3.3333333333333333E-2</v>
      </c>
      <c r="R68" s="47">
        <f>'1.MOTOR DATA'!$D$12/SQRT(('4.PARAMETERS ( FROM MOTOR DATA)'!$D$15+'4.PARAMETERS ( FROM MOTOR DATA)'!$G$21/Q68)^2+('4.PARAMETERS ( FROM MOTOR DATA)'!$G$27+'4.PARAMETERS ( FROM MOTOR DATA)'!$G$28)^2)</f>
        <v>20.526472641659041</v>
      </c>
      <c r="S68" s="47">
        <f>3*R68^2*'4.PARAMETERS ( FROM MOTOR DATA)'!$G$21/'5.PERFORMANCE'!Q68/'1.MOTOR DATA'!$D$14*30/PI()</f>
        <v>71.329023568804445</v>
      </c>
      <c r="T68" s="48">
        <f t="shared" si="1"/>
        <v>21.661717855043957</v>
      </c>
    </row>
    <row r="69" spans="1:20" x14ac:dyDescent="0.3">
      <c r="B69" s="35">
        <v>2950</v>
      </c>
      <c r="C69" s="47">
        <f>('1.MOTOR DATA'!$D$14-B69)/'1.MOTOR DATA'!$D$14</f>
        <v>1.6666666666666666E-2</v>
      </c>
      <c r="D69" s="47">
        <f>'1.MOTOR DATA'!$D$12/SQRT(('3.PARAMETERS (FROM TEST DATA)'!$D$7+'3.PARAMETERS (FROM TEST DATA)'!$D$17/C69)^2+('3.PARAMETERS (FROM TEST DATA)'!$D$14+'3.PARAMETERS (FROM TEST DATA)'!$D$15)^2)</f>
        <v>12.531959097131995</v>
      </c>
      <c r="E69" s="47">
        <f>3*D69^2*'3.PARAMETERS (FROM TEST DATA)'!$D$17/'5.PERFORMANCE'!C69/'1.MOTOR DATA'!$D$14*30/PI()</f>
        <v>44.624821800976719</v>
      </c>
      <c r="F69" s="48">
        <f t="shared" si="0"/>
        <v>13.785646213207373</v>
      </c>
      <c r="P69" s="35">
        <v>2950</v>
      </c>
      <c r="Q69" s="47">
        <f>('1.MOTOR DATA'!$D$14-P69)/'1.MOTOR DATA'!$D$14</f>
        <v>1.6666666666666666E-2</v>
      </c>
      <c r="R69" s="47">
        <f>'1.MOTOR DATA'!$D$12/SQRT(('4.PARAMETERS ( FROM MOTOR DATA)'!$D$15+'4.PARAMETERS ( FROM MOTOR DATA)'!$G$21/Q69)^2+('4.PARAMETERS ( FROM MOTOR DATA)'!$G$27+'4.PARAMETERS ( FROM MOTOR DATA)'!$G$28)^2)</f>
        <v>10.575941129741235</v>
      </c>
      <c r="S69" s="47">
        <f>3*R69^2*'4.PARAMETERS ( FROM MOTOR DATA)'!$G$21/'5.PERFORMANCE'!Q69/'1.MOTOR DATA'!$D$14*30/PI()</f>
        <v>37.870904210472304</v>
      </c>
      <c r="T69" s="48">
        <f t="shared" si="1"/>
        <v>11.699203854488218</v>
      </c>
    </row>
    <row r="70" spans="1:20" ht="29.4" thickBot="1" x14ac:dyDescent="0.35">
      <c r="A70" s="38" t="s">
        <v>86</v>
      </c>
      <c r="B70" s="36">
        <v>3000</v>
      </c>
      <c r="C70" s="49">
        <f>('1.MOTOR DATA'!$D$14-B70)/'1.MOTOR DATA'!$D$14</f>
        <v>0</v>
      </c>
      <c r="D70" s="49">
        <f>'1.MOTOR DATA'!$D$12/SQRT(('3.PARAMETERS (FROM TEST DATA)'!$D$7+'3.PARAMETERS (FROM TEST DATA)'!$D$17/0.000000000000001)^2+('3.PARAMETERS (FROM TEST DATA)'!$D$14+'3.PARAMETERS (FROM TEST DATA)'!$D$15)^2)</f>
        <v>7.6624503173364272E-13</v>
      </c>
      <c r="E70" s="49">
        <f>3*D70^2*'3.PARAMETERS (FROM TEST DATA)'!$D$17/0.000001/'1.MOTOR DATA'!$D$14*30/PI()</f>
        <v>2.7804984047763515E-21</v>
      </c>
      <c r="F70" s="50">
        <f t="shared" si="0"/>
        <v>8.7351933617635254E-22</v>
      </c>
      <c r="O70" s="38" t="s">
        <v>86</v>
      </c>
      <c r="P70" s="36">
        <v>3000</v>
      </c>
      <c r="Q70" s="49">
        <f>('1.MOTOR DATA'!$D$14-P70)/'1.MOTOR DATA'!$D$14</f>
        <v>0</v>
      </c>
      <c r="R70" s="49">
        <f>'1.MOTOR DATA'!$D$12/SQRT(('4.PARAMETERS ( FROM MOTOR DATA)'!$D$15+'4.PARAMETERS ( FROM MOTOR DATA)'!$G$21/0.0000001)^2+('4.PARAMETERS ( FROM MOTOR DATA)'!$G$27+'4.PARAMETERS ( FROM MOTOR DATA)'!$G$28)^2)</f>
        <v>6.4304089401154597E-5</v>
      </c>
      <c r="S70" s="49">
        <f>3*R70^2*'4.PARAMETERS ( FROM MOTOR DATA)'!$G$21/0.0000001/'1.MOTOR DATA'!$D$14*30/PI()</f>
        <v>2.3334234608344184E-4</v>
      </c>
      <c r="T70" s="50">
        <f t="shared" si="1"/>
        <v>7.3306660022714792E-5</v>
      </c>
    </row>
  </sheetData>
  <mergeCells count="3">
    <mergeCell ref="B6:F6"/>
    <mergeCell ref="P6:T6"/>
    <mergeCell ref="W4:AA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1.MOTOR DATA</vt:lpstr>
      <vt:lpstr>2.TEST DATA</vt:lpstr>
      <vt:lpstr>3.PARAMETERS (FROM TEST DATA)</vt:lpstr>
      <vt:lpstr>4.PARAMETERS ( FROM MOTOR DATA)</vt:lpstr>
      <vt:lpstr>5.PERFORMANCE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elif</dc:creator>
  <cp:lastModifiedBy>elif topaloğlu</cp:lastModifiedBy>
  <dcterms:created xsi:type="dcterms:W3CDTF">2015-06-05T18:17:20Z</dcterms:created>
  <dcterms:modified xsi:type="dcterms:W3CDTF">2025-01-24T09:01:13Z</dcterms:modified>
</cp:coreProperties>
</file>