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lif\Downloads\"/>
    </mc:Choice>
  </mc:AlternateContent>
  <xr:revisionPtr revIDLastSave="0" documentId="13_ncr:1_{BCD1D7A3-26E6-4B86-B6F1-B0DD937FBB71}" xr6:coauthVersionLast="47" xr6:coauthVersionMax="47" xr10:uidLastSave="{00000000-0000-0000-0000-000000000000}"/>
  <bookViews>
    <workbookView xWindow="0" yWindow="0" windowWidth="15360" windowHeight="16680" tabRatio="776" firstSheet="2" activeTab="3" xr2:uid="{00000000-000D-0000-FFFF-FFFF00000000}"/>
  </bookViews>
  <sheets>
    <sheet name="1.MOTOR DATA" sheetId="3" r:id="rId1"/>
    <sheet name="2.TEST DATA" sheetId="4" r:id="rId2"/>
    <sheet name="3.PARAMETERS (FROM TEST DATA)" sheetId="5" r:id="rId3"/>
    <sheet name="4.PARAMETERS ( FROM MOTOR DATA)" sheetId="6" r:id="rId4"/>
    <sheet name="5.TORQUE &amp; SPEED CHARACTERISTIC" sheetId="8" r:id="rId5"/>
    <sheet name="6.PERFORMANC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G27" i="6"/>
  <c r="G26" i="6"/>
  <c r="G18" i="6"/>
  <c r="G13" i="6"/>
  <c r="G14" i="6"/>
  <c r="G16" i="6" s="1"/>
  <c r="G12" i="6"/>
  <c r="D10" i="6"/>
  <c r="G18" i="3"/>
  <c r="G15" i="3"/>
  <c r="D11" i="6" s="1"/>
  <c r="G10" i="6" s="1"/>
  <c r="D13" i="6"/>
  <c r="D14" i="6" s="1"/>
  <c r="D15" i="6" s="1"/>
  <c r="D9" i="4"/>
  <c r="D8" i="4"/>
  <c r="D10" i="5" s="1"/>
  <c r="D9" i="5"/>
  <c r="D8" i="5"/>
  <c r="G28" i="6" l="1"/>
  <c r="G29" i="6" s="1"/>
  <c r="G17" i="6"/>
  <c r="G11" i="6"/>
  <c r="G15" i="6" s="1"/>
  <c r="G19" i="6" s="1"/>
  <c r="D7" i="5"/>
  <c r="D11" i="5" s="1"/>
  <c r="D12" i="5" s="1"/>
  <c r="D14" i="5"/>
  <c r="D15" i="5" s="1"/>
  <c r="G20" i="6" l="1"/>
  <c r="G21" i="6" s="1"/>
  <c r="D16" i="5"/>
  <c r="D17" i="5" s="1"/>
</calcChain>
</file>

<file path=xl/sharedStrings.xml><?xml version="1.0" encoding="utf-8"?>
<sst xmlns="http://schemas.openxmlformats.org/spreadsheetml/2006/main" count="98" uniqueCount="85">
  <si>
    <t>Delta</t>
  </si>
  <si>
    <t>MOTOR DATA</t>
  </si>
  <si>
    <t>200/2</t>
  </si>
  <si>
    <t>Power (kW)</t>
  </si>
  <si>
    <t>Conductor per slot</t>
  </si>
  <si>
    <t>Parallel path</t>
  </si>
  <si>
    <t>Air gap (cm)</t>
  </si>
  <si>
    <t>Voltage (V)</t>
  </si>
  <si>
    <t>Current (A)</t>
  </si>
  <si>
    <t>Real Power (P)</t>
  </si>
  <si>
    <t>Open Circuit Test</t>
  </si>
  <si>
    <t>End Ring</t>
  </si>
  <si>
    <t>Inertia (Kgm^2)</t>
  </si>
  <si>
    <t>h (mm)</t>
  </si>
  <si>
    <t>Do (mm)</t>
  </si>
  <si>
    <t>di (mm)</t>
  </si>
  <si>
    <t>Lc (mm)</t>
  </si>
  <si>
    <t>Frequency (Hz)</t>
  </si>
  <si>
    <t>Number of phases (q)</t>
  </si>
  <si>
    <t>Reactive Power (Q)</t>
  </si>
  <si>
    <t>Xbl</t>
  </si>
  <si>
    <t>Rbl</t>
  </si>
  <si>
    <t>Assume X1 = X2</t>
  </si>
  <si>
    <t>X1</t>
  </si>
  <si>
    <t>Xm</t>
  </si>
  <si>
    <t>X2</t>
  </si>
  <si>
    <t>Xnl</t>
  </si>
  <si>
    <t>Rc</t>
  </si>
  <si>
    <t>Pcore</t>
  </si>
  <si>
    <t>Performance</t>
  </si>
  <si>
    <t>Number of poles</t>
  </si>
  <si>
    <t>Line voltage (V)</t>
  </si>
  <si>
    <t>Di (mm)</t>
  </si>
  <si>
    <t>Stator</t>
  </si>
  <si>
    <t>Rotor</t>
  </si>
  <si>
    <t>TEST DATA</t>
  </si>
  <si>
    <t>Resistane (Ω)</t>
  </si>
  <si>
    <t>Short Circuit Test</t>
  </si>
  <si>
    <t>R2 (Ω)</t>
  </si>
  <si>
    <t>Phase resistance - R1 (Ω)</t>
  </si>
  <si>
    <t>Parameters From Test Data</t>
  </si>
  <si>
    <t>Parameters From Motor Data</t>
  </si>
  <si>
    <t>BH CURVE DATA PLOT EKLE</t>
  </si>
  <si>
    <t>Torque &amp; Speed Characteristic</t>
  </si>
  <si>
    <t>Stator Resistance Calculation</t>
  </si>
  <si>
    <t>Resistivity (ρ, Ω.mm )</t>
  </si>
  <si>
    <t xml:space="preserve">Turns per phase </t>
  </si>
  <si>
    <t>Slot per pole per phase (q)</t>
  </si>
  <si>
    <t>Coil pitch</t>
  </si>
  <si>
    <t>Pole pitch</t>
  </si>
  <si>
    <t>Wire size (mm^2)</t>
  </si>
  <si>
    <t>SCHEMATICS</t>
  </si>
  <si>
    <t>SOURCE: Electric Machinery by A.E. Fitzgerald</t>
  </si>
  <si>
    <t>MLT (mm)</t>
  </si>
  <si>
    <t>R1 (Ω)</t>
  </si>
  <si>
    <t>kws</t>
  </si>
  <si>
    <t>Bar current (Ib)</t>
  </si>
  <si>
    <t>x</t>
  </si>
  <si>
    <t>c</t>
  </si>
  <si>
    <t>e</t>
  </si>
  <si>
    <t>Do_r (mm)</t>
  </si>
  <si>
    <t>End ring mean diameter (Dm, mm)</t>
  </si>
  <si>
    <t>Bar length (lbar, mm)</t>
  </si>
  <si>
    <t>End ring length (lend,mm)</t>
  </si>
  <si>
    <t>End ring area (Ae, mm^2)</t>
  </si>
  <si>
    <t>Rb (Ω)</t>
  </si>
  <si>
    <t>Rber (Ω)</t>
  </si>
  <si>
    <t>R2' (Ω)</t>
  </si>
  <si>
    <t>Assume X1=X2</t>
  </si>
  <si>
    <t>Tip width (mm)</t>
  </si>
  <si>
    <t>Connection type</t>
  </si>
  <si>
    <t>Stator slot</t>
  </si>
  <si>
    <t>Rotor slot</t>
  </si>
  <si>
    <t>Slot height (mm)</t>
  </si>
  <si>
    <t>Slot width (mm)</t>
  </si>
  <si>
    <t>Tip height (mm)</t>
  </si>
  <si>
    <t>Frame type</t>
  </si>
  <si>
    <t>Slot leakage reactance</t>
  </si>
  <si>
    <t>Bar area (mm^2)</t>
  </si>
  <si>
    <t>λs</t>
  </si>
  <si>
    <t>Rotor Resistance Calculation</t>
  </si>
  <si>
    <t>Leakage Reactances Calculation</t>
  </si>
  <si>
    <t>Magetizing Reactance Calculation</t>
  </si>
  <si>
    <t>Resultant MMF (FR)</t>
  </si>
  <si>
    <t>Core Resistance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</si>
</sst>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00"/>
    <numFmt numFmtId="172" formatCode="0.0000"/>
    <numFmt numFmtId="173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3" borderId="3" xfId="0" applyFont="1" applyFill="1" applyBorder="1"/>
    <xf numFmtId="0" fontId="4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5" xfId="0" applyFont="1" applyFill="1" applyBorder="1"/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4" xfId="0" applyFont="1" applyFill="1" applyBorder="1" applyAlignment="1">
      <alignment horizontal="center" vertical="center"/>
    </xf>
    <xf numFmtId="0" fontId="0" fillId="0" borderId="0" xfId="0" applyBorder="1"/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170" fontId="2" fillId="0" borderId="4" xfId="0" applyNumberFormat="1" applyFont="1" applyBorder="1"/>
    <xf numFmtId="172" fontId="2" fillId="0" borderId="4" xfId="0" applyNumberFormat="1" applyFont="1" applyBorder="1"/>
    <xf numFmtId="173" fontId="2" fillId="0" borderId="4" xfId="0" applyNumberFormat="1" applyFont="1" applyBorder="1"/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/>
    <xf numFmtId="0" fontId="2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0" xfId="0" applyFont="1"/>
    <xf numFmtId="0" fontId="5" fillId="0" borderId="3" xfId="0" applyFont="1" applyBorder="1"/>
    <xf numFmtId="0" fontId="2" fillId="3" borderId="0" xfId="0" applyFont="1" applyFill="1" applyBorder="1" applyAlignment="1">
      <alignment horizontal="center" vertical="center"/>
    </xf>
    <xf numFmtId="0" fontId="2" fillId="0" borderId="2" xfId="0" applyNumberFormat="1" applyFont="1" applyBorder="1"/>
    <xf numFmtId="0" fontId="2" fillId="0" borderId="4" xfId="0" applyNumberFormat="1" applyFont="1" applyBorder="1"/>
    <xf numFmtId="0" fontId="2" fillId="5" borderId="5" xfId="0" applyFont="1" applyFill="1" applyBorder="1"/>
    <xf numFmtId="173" fontId="2" fillId="5" borderId="6" xfId="0" applyNumberFormat="1" applyFont="1" applyFill="1" applyBorder="1"/>
    <xf numFmtId="0" fontId="7" fillId="0" borderId="3" xfId="0" applyFont="1" applyBorder="1"/>
    <xf numFmtId="172" fontId="2" fillId="5" borderId="6" xfId="0" applyNumberFormat="1" applyFont="1" applyFill="1" applyBorder="1"/>
    <xf numFmtId="0" fontId="2" fillId="5" borderId="3" xfId="0" applyFont="1" applyFill="1" applyBorder="1"/>
    <xf numFmtId="172" fontId="2" fillId="5" borderId="4" xfId="0" applyNumberFormat="1" applyFont="1" applyFill="1" applyBorder="1"/>
    <xf numFmtId="173" fontId="2" fillId="5" borderId="4" xfId="0" applyNumberFormat="1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6" fillId="4" borderId="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5</xdr:row>
      <xdr:rowOff>175261</xdr:rowOff>
    </xdr:from>
    <xdr:to>
      <xdr:col>15</xdr:col>
      <xdr:colOff>212767</xdr:colOff>
      <xdr:row>21</xdr:row>
      <xdr:rowOff>91441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CDC401B-0215-132E-6C43-B5F08F463F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35"/>
        <a:stretch/>
      </xdr:blipFill>
      <xdr:spPr>
        <a:xfrm>
          <a:off x="6728460" y="1089661"/>
          <a:ext cx="4967647" cy="3642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182881</xdr:colOff>
      <xdr:row>12</xdr:row>
      <xdr:rowOff>152400</xdr:rowOff>
    </xdr:from>
    <xdr:to>
      <xdr:col>10</xdr:col>
      <xdr:colOff>167640</xdr:colOff>
      <xdr:row>20</xdr:row>
      <xdr:rowOff>37185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AF5F0F4-8C2E-11B5-0115-4C7B5E86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9641" y="2956560"/>
          <a:ext cx="3825239" cy="1683105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6</xdr:row>
      <xdr:rowOff>114300</xdr:rowOff>
    </xdr:from>
    <xdr:to>
      <xdr:col>5</xdr:col>
      <xdr:colOff>160020</xdr:colOff>
      <xdr:row>8</xdr:row>
      <xdr:rowOff>129540</xdr:rowOff>
    </xdr:to>
    <xdr:sp macro="" textlink="">
      <xdr:nvSpPr>
        <xdr:cNvPr id="5" name="Ok: Sağ 4">
          <a:extLst>
            <a:ext uri="{FF2B5EF4-FFF2-40B4-BE49-F238E27FC236}">
              <a16:creationId xmlns:a16="http://schemas.microsoft.com/office/drawing/2014/main" id="{7EB6652B-98A1-93E4-355A-D15FF5DF8C23}"/>
            </a:ext>
          </a:extLst>
        </xdr:cNvPr>
        <xdr:cNvSpPr/>
      </xdr:nvSpPr>
      <xdr:spPr>
        <a:xfrm>
          <a:off x="4213860" y="1424940"/>
          <a:ext cx="502920" cy="472440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>
    <xdr:from>
      <xdr:col>4</xdr:col>
      <xdr:colOff>251460</xdr:colOff>
      <xdr:row>15</xdr:row>
      <xdr:rowOff>160020</xdr:rowOff>
    </xdr:from>
    <xdr:to>
      <xdr:col>5</xdr:col>
      <xdr:colOff>144780</xdr:colOff>
      <xdr:row>17</xdr:row>
      <xdr:rowOff>175260</xdr:rowOff>
    </xdr:to>
    <xdr:sp macro="" textlink="">
      <xdr:nvSpPr>
        <xdr:cNvPr id="6" name="Ok: Sağ 5">
          <a:extLst>
            <a:ext uri="{FF2B5EF4-FFF2-40B4-BE49-F238E27FC236}">
              <a16:creationId xmlns:a16="http://schemas.microsoft.com/office/drawing/2014/main" id="{830FF2DB-F1A4-29BB-8227-6B5FA72633E9}"/>
            </a:ext>
          </a:extLst>
        </xdr:cNvPr>
        <xdr:cNvSpPr/>
      </xdr:nvSpPr>
      <xdr:spPr>
        <a:xfrm>
          <a:off x="4198620" y="3543300"/>
          <a:ext cx="502920" cy="472440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 editAs="oneCell">
    <xdr:from>
      <xdr:col>5</xdr:col>
      <xdr:colOff>281940</xdr:colOff>
      <xdr:row>3</xdr:row>
      <xdr:rowOff>243840</xdr:rowOff>
    </xdr:from>
    <xdr:to>
      <xdr:col>10</xdr:col>
      <xdr:colOff>563936</xdr:colOff>
      <xdr:row>11</xdr:row>
      <xdr:rowOff>220980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987C51D6-0323-8BBA-5FE0-6521E85F5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906780"/>
          <a:ext cx="4122476" cy="1889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83820</xdr:rowOff>
    </xdr:from>
    <xdr:to>
      <xdr:col>14</xdr:col>
      <xdr:colOff>5608</xdr:colOff>
      <xdr:row>9</xdr:row>
      <xdr:rowOff>68580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CABBE41D-A3B7-4078-A6F9-A8254018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0240" y="1226820"/>
          <a:ext cx="4272808" cy="86106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9</xdr:row>
      <xdr:rowOff>190500</xdr:rowOff>
    </xdr:from>
    <xdr:to>
      <xdr:col>11</xdr:col>
      <xdr:colOff>560487</xdr:colOff>
      <xdr:row>12</xdr:row>
      <xdr:rowOff>38174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E8624D0D-149D-7558-31EF-5ED4275C0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7860" y="2095500"/>
          <a:ext cx="2991267" cy="533474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11</xdr:row>
      <xdr:rowOff>114300</xdr:rowOff>
    </xdr:from>
    <xdr:to>
      <xdr:col>9</xdr:col>
      <xdr:colOff>377389</xdr:colOff>
      <xdr:row>15</xdr:row>
      <xdr:rowOff>28691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824DF3E-18E5-ADED-8277-91E68385F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7880" y="2476500"/>
          <a:ext cx="1428949" cy="828791"/>
        </a:xfrm>
        <a:prstGeom prst="rect">
          <a:avLst/>
        </a:prstGeom>
      </xdr:spPr>
    </xdr:pic>
    <xdr:clientData/>
  </xdr:twoCellAnchor>
  <xdr:twoCellAnchor editAs="oneCell">
    <xdr:from>
      <xdr:col>6</xdr:col>
      <xdr:colOff>586740</xdr:colOff>
      <xdr:row>15</xdr:row>
      <xdr:rowOff>7620</xdr:rowOff>
    </xdr:from>
    <xdr:to>
      <xdr:col>9</xdr:col>
      <xdr:colOff>358363</xdr:colOff>
      <xdr:row>18</xdr:row>
      <xdr:rowOff>102974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46F4BD18-C0DE-A1C9-63FF-FFCB5FD24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07380" y="3284220"/>
          <a:ext cx="1600423" cy="743054"/>
        </a:xfrm>
        <a:prstGeom prst="rect">
          <a:avLst/>
        </a:prstGeom>
      </xdr:spPr>
    </xdr:pic>
    <xdr:clientData/>
  </xdr:twoCellAnchor>
  <xdr:twoCellAnchor editAs="oneCell">
    <xdr:from>
      <xdr:col>14</xdr:col>
      <xdr:colOff>563881</xdr:colOff>
      <xdr:row>5</xdr:row>
      <xdr:rowOff>144780</xdr:rowOff>
    </xdr:from>
    <xdr:to>
      <xdr:col>21</xdr:col>
      <xdr:colOff>594361</xdr:colOff>
      <xdr:row>10</xdr:row>
      <xdr:rowOff>136812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D5FA200E-2FEF-7F0E-0019-E2486127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61321" y="1287780"/>
          <a:ext cx="4297680" cy="109693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</xdr:row>
      <xdr:rowOff>1</xdr:rowOff>
    </xdr:from>
    <xdr:to>
      <xdr:col>19</xdr:col>
      <xdr:colOff>257551</xdr:colOff>
      <xdr:row>14</xdr:row>
      <xdr:rowOff>38101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DF7986E2-1969-B159-3241-6CB5C352C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63815"/>
        <a:stretch/>
      </xdr:blipFill>
      <xdr:spPr>
        <a:xfrm>
          <a:off x="10607040" y="2362201"/>
          <a:ext cx="2695951" cy="723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76201</xdr:colOff>
      <xdr:row>17</xdr:row>
      <xdr:rowOff>129540</xdr:rowOff>
    </xdr:from>
    <xdr:to>
      <xdr:col>17</xdr:col>
      <xdr:colOff>487681</xdr:colOff>
      <xdr:row>21</xdr:row>
      <xdr:rowOff>95529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1965BCE8-E31C-DCC3-BAFC-EB1871CEA9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4308" t="65134" r="15206"/>
        <a:stretch/>
      </xdr:blipFill>
      <xdr:spPr>
        <a:xfrm>
          <a:off x="10683241" y="3870960"/>
          <a:ext cx="1630680" cy="697509"/>
        </a:xfrm>
        <a:prstGeom prst="rect">
          <a:avLst/>
        </a:prstGeom>
      </xdr:spPr>
    </xdr:pic>
    <xdr:clientData/>
  </xdr:twoCellAnchor>
  <xdr:twoCellAnchor editAs="oneCell">
    <xdr:from>
      <xdr:col>15</xdr:col>
      <xdr:colOff>106680</xdr:colOff>
      <xdr:row>14</xdr:row>
      <xdr:rowOff>30480</xdr:rowOff>
    </xdr:from>
    <xdr:to>
      <xdr:col>19</xdr:col>
      <xdr:colOff>292259</xdr:colOff>
      <xdr:row>17</xdr:row>
      <xdr:rowOff>109766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C5109FA5-E86B-5DAF-4568-531041EA7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13720" y="3078480"/>
          <a:ext cx="2623979" cy="772706"/>
        </a:xfrm>
        <a:prstGeom prst="rect">
          <a:avLst/>
        </a:prstGeom>
      </xdr:spPr>
    </xdr:pic>
    <xdr:clientData/>
  </xdr:twoCellAnchor>
  <xdr:twoCellAnchor editAs="oneCell">
    <xdr:from>
      <xdr:col>6</xdr:col>
      <xdr:colOff>556260</xdr:colOff>
      <xdr:row>20</xdr:row>
      <xdr:rowOff>38100</xdr:rowOff>
    </xdr:from>
    <xdr:to>
      <xdr:col>12</xdr:col>
      <xdr:colOff>99507</xdr:colOff>
      <xdr:row>24</xdr:row>
      <xdr:rowOff>11528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5A16E428-E704-3CCA-50E0-EE78BFC84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76900" y="4328160"/>
          <a:ext cx="3200847" cy="704948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18</xdr:row>
      <xdr:rowOff>38100</xdr:rowOff>
    </xdr:from>
    <xdr:to>
      <xdr:col>9</xdr:col>
      <xdr:colOff>466950</xdr:colOff>
      <xdr:row>20</xdr:row>
      <xdr:rowOff>139130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5F858224-8FB7-F78C-FD68-EAA60F9E0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06440" y="3962400"/>
          <a:ext cx="1609950" cy="466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2C45-8D9F-484E-AD8C-8733D7AE7273}">
  <dimension ref="B6:S31"/>
  <sheetViews>
    <sheetView topLeftCell="A4" workbookViewId="0">
      <selection activeCell="F31" sqref="F31"/>
    </sheetView>
  </sheetViews>
  <sheetFormatPr defaultRowHeight="14.4" x14ac:dyDescent="0.3"/>
  <cols>
    <col min="1" max="1" width="6.33203125" bestFit="1" customWidth="1"/>
    <col min="2" max="2" width="9.88671875" bestFit="1" customWidth="1"/>
    <col min="3" max="3" width="23.5546875" bestFit="1" customWidth="1"/>
    <col min="4" max="4" width="9.5546875" customWidth="1"/>
    <col min="6" max="6" width="20.44140625" bestFit="1" customWidth="1"/>
    <col min="7" max="7" width="10.33203125" customWidth="1"/>
    <col min="9" max="9" width="16.21875" bestFit="1" customWidth="1"/>
  </cols>
  <sheetData>
    <row r="6" spans="2:19" x14ac:dyDescent="0.3">
      <c r="S6" s="44" t="s">
        <v>42</v>
      </c>
    </row>
    <row r="7" spans="2:19" ht="23.4" x14ac:dyDescent="0.45">
      <c r="B7" s="2"/>
      <c r="C7" s="10" t="s">
        <v>1</v>
      </c>
      <c r="D7" s="2"/>
      <c r="E7" s="2"/>
      <c r="F7" s="2"/>
      <c r="G7" s="2"/>
      <c r="H7" s="2"/>
      <c r="I7" s="2"/>
    </row>
    <row r="8" spans="2:19" ht="18.600000000000001" thickBot="1" x14ac:dyDescent="0.4">
      <c r="B8" s="2"/>
      <c r="C8" s="2"/>
      <c r="D8" s="2"/>
      <c r="E8" s="2"/>
      <c r="F8" s="2"/>
      <c r="G8" s="2"/>
      <c r="H8" s="2"/>
      <c r="I8" s="2"/>
    </row>
    <row r="9" spans="2:19" ht="18" x14ac:dyDescent="0.35">
      <c r="B9" s="2"/>
      <c r="C9" s="3" t="s">
        <v>18</v>
      </c>
      <c r="D9" s="4">
        <v>3</v>
      </c>
      <c r="E9" s="2"/>
      <c r="F9" s="3" t="s">
        <v>70</v>
      </c>
      <c r="G9" s="4" t="s">
        <v>0</v>
      </c>
      <c r="H9" s="2"/>
      <c r="I9" s="2"/>
    </row>
    <row r="10" spans="2:19" ht="18" x14ac:dyDescent="0.35">
      <c r="B10" s="2"/>
      <c r="C10" s="5" t="s">
        <v>17</v>
      </c>
      <c r="D10" s="6">
        <v>50</v>
      </c>
      <c r="E10" s="2"/>
      <c r="F10" s="5" t="s">
        <v>31</v>
      </c>
      <c r="G10" s="6">
        <v>380</v>
      </c>
      <c r="H10" s="2"/>
      <c r="I10" s="2"/>
    </row>
    <row r="11" spans="2:19" ht="18.600000000000001" thickBot="1" x14ac:dyDescent="0.4">
      <c r="B11" s="2"/>
      <c r="C11" s="7" t="s">
        <v>30</v>
      </c>
      <c r="D11" s="8">
        <v>2</v>
      </c>
      <c r="E11" s="2"/>
      <c r="F11" s="7" t="s">
        <v>3</v>
      </c>
      <c r="G11" s="8">
        <v>37</v>
      </c>
      <c r="H11" s="2"/>
      <c r="I11" s="2"/>
    </row>
    <row r="12" spans="2:19" ht="18.600000000000001" thickBot="1" x14ac:dyDescent="0.4">
      <c r="B12" s="2"/>
      <c r="C12" s="2"/>
      <c r="D12" s="2"/>
      <c r="E12" s="2"/>
      <c r="F12" s="2"/>
      <c r="G12" s="2"/>
      <c r="H12" s="2"/>
      <c r="I12" s="2"/>
    </row>
    <row r="13" spans="2:19" ht="18" x14ac:dyDescent="0.35">
      <c r="B13" s="2"/>
      <c r="C13" s="3" t="s">
        <v>76</v>
      </c>
      <c r="D13" s="4" t="s">
        <v>2</v>
      </c>
      <c r="E13" s="2"/>
      <c r="F13" s="3" t="s">
        <v>72</v>
      </c>
      <c r="G13" s="4">
        <v>40</v>
      </c>
      <c r="H13" s="2"/>
      <c r="I13" s="2"/>
    </row>
    <row r="14" spans="2:19" ht="18" x14ac:dyDescent="0.35">
      <c r="B14" s="2"/>
      <c r="C14" s="5" t="s">
        <v>16</v>
      </c>
      <c r="D14" s="6">
        <v>250</v>
      </c>
      <c r="E14" s="2"/>
      <c r="F14" s="5" t="s">
        <v>71</v>
      </c>
      <c r="G14" s="6">
        <v>36</v>
      </c>
      <c r="H14" s="2"/>
      <c r="I14" s="2"/>
    </row>
    <row r="15" spans="2:19" ht="18" x14ac:dyDescent="0.35">
      <c r="B15" s="2"/>
      <c r="C15" s="5" t="s">
        <v>6</v>
      </c>
      <c r="D15" s="6">
        <v>0.75</v>
      </c>
      <c r="E15" s="2"/>
      <c r="F15" s="5" t="s">
        <v>4</v>
      </c>
      <c r="G15" s="6">
        <f>11+11</f>
        <v>22</v>
      </c>
      <c r="H15" s="2"/>
      <c r="I15" s="2"/>
    </row>
    <row r="16" spans="2:19" ht="18" x14ac:dyDescent="0.35">
      <c r="B16" s="36" t="s">
        <v>11</v>
      </c>
      <c r="C16" s="37" t="s">
        <v>13</v>
      </c>
      <c r="D16" s="6">
        <v>24.2</v>
      </c>
      <c r="E16" s="2"/>
      <c r="F16" s="5" t="s">
        <v>5</v>
      </c>
      <c r="G16" s="6">
        <v>2</v>
      </c>
      <c r="H16" s="2"/>
      <c r="I16" s="2"/>
    </row>
    <row r="17" spans="2:9" ht="18" x14ac:dyDescent="0.35">
      <c r="B17" s="38"/>
      <c r="C17" s="39" t="s">
        <v>14</v>
      </c>
      <c r="D17" s="6">
        <v>167</v>
      </c>
      <c r="E17" s="2"/>
      <c r="F17" s="5" t="s">
        <v>48</v>
      </c>
      <c r="G17" s="42">
        <v>15</v>
      </c>
      <c r="H17" s="2"/>
      <c r="I17" s="2"/>
    </row>
    <row r="18" spans="2:9" ht="18.600000000000001" thickBot="1" x14ac:dyDescent="0.4">
      <c r="B18" s="40"/>
      <c r="C18" s="41" t="s">
        <v>15</v>
      </c>
      <c r="D18" s="6">
        <v>103</v>
      </c>
      <c r="E18" s="2"/>
      <c r="F18" s="7" t="s">
        <v>50</v>
      </c>
      <c r="G18" s="8">
        <f>5*1.1</f>
        <v>5.5</v>
      </c>
      <c r="H18" s="2"/>
      <c r="I18" s="2"/>
    </row>
    <row r="19" spans="2:9" ht="18.600000000000001" thickBot="1" x14ac:dyDescent="0.4">
      <c r="B19" s="2"/>
      <c r="C19" s="7" t="s">
        <v>12</v>
      </c>
      <c r="D19" s="8">
        <v>0.13</v>
      </c>
      <c r="E19" s="2"/>
      <c r="H19" s="2"/>
      <c r="I19" s="2"/>
    </row>
    <row r="20" spans="2:9" ht="18.600000000000001" thickBot="1" x14ac:dyDescent="0.4">
      <c r="B20" s="2"/>
      <c r="C20" s="2"/>
      <c r="D20" s="2"/>
      <c r="E20" s="17"/>
      <c r="F20" s="19"/>
      <c r="G20" s="19"/>
      <c r="H20" s="17"/>
      <c r="I20" s="17"/>
    </row>
    <row r="21" spans="2:9" ht="18" x14ac:dyDescent="0.35">
      <c r="B21" s="46" t="s">
        <v>33</v>
      </c>
      <c r="C21" s="13" t="s">
        <v>14</v>
      </c>
      <c r="D21" s="4">
        <v>300</v>
      </c>
      <c r="E21" s="17"/>
      <c r="F21" s="17"/>
      <c r="G21" s="16"/>
      <c r="H21" s="17"/>
      <c r="I21" s="17"/>
    </row>
    <row r="22" spans="2:9" ht="18" x14ac:dyDescent="0.35">
      <c r="B22" s="46"/>
      <c r="C22" s="9" t="s">
        <v>32</v>
      </c>
      <c r="D22" s="18">
        <v>170</v>
      </c>
      <c r="E22" s="19"/>
      <c r="F22" s="17"/>
      <c r="G22" s="16"/>
      <c r="H22" s="19"/>
      <c r="I22" s="19"/>
    </row>
    <row r="23" spans="2:9" ht="18" x14ac:dyDescent="0.35">
      <c r="B23" s="46"/>
      <c r="C23" s="9" t="s">
        <v>74</v>
      </c>
      <c r="D23" s="6">
        <v>13</v>
      </c>
      <c r="E23" s="19"/>
      <c r="F23" s="19"/>
      <c r="G23" s="19"/>
      <c r="H23" s="19"/>
      <c r="I23" s="19"/>
    </row>
    <row r="24" spans="2:9" ht="18" x14ac:dyDescent="0.35">
      <c r="B24" s="46"/>
      <c r="C24" s="9" t="s">
        <v>73</v>
      </c>
      <c r="D24" s="6">
        <v>24</v>
      </c>
      <c r="E24" s="19"/>
      <c r="F24" s="19"/>
      <c r="G24" s="19"/>
      <c r="H24" s="19"/>
      <c r="I24" s="19"/>
    </row>
    <row r="25" spans="2:9" ht="18" x14ac:dyDescent="0.35">
      <c r="B25" s="46"/>
      <c r="C25" s="9" t="s">
        <v>69</v>
      </c>
      <c r="D25" s="18">
        <v>3.1</v>
      </c>
      <c r="E25" s="19"/>
      <c r="F25" s="19"/>
      <c r="G25" s="19"/>
      <c r="H25" s="19"/>
      <c r="I25" s="19"/>
    </row>
    <row r="26" spans="2:9" ht="18.600000000000001" thickBot="1" x14ac:dyDescent="0.4">
      <c r="B26" s="46"/>
      <c r="C26" s="14" t="s">
        <v>75</v>
      </c>
      <c r="D26" s="15">
        <v>0.87</v>
      </c>
    </row>
    <row r="27" spans="2:9" ht="15" customHeight="1" thickBot="1" x14ac:dyDescent="0.35"/>
    <row r="28" spans="2:9" ht="18" x14ac:dyDescent="0.35">
      <c r="B28" s="20" t="s">
        <v>34</v>
      </c>
      <c r="C28" s="13" t="s">
        <v>60</v>
      </c>
      <c r="D28" s="4">
        <v>300</v>
      </c>
    </row>
    <row r="29" spans="2:9" ht="18" x14ac:dyDescent="0.35">
      <c r="B29" s="20"/>
      <c r="C29" s="9" t="s">
        <v>32</v>
      </c>
      <c r="D29" s="18">
        <v>170</v>
      </c>
    </row>
    <row r="30" spans="2:9" ht="18" x14ac:dyDescent="0.35">
      <c r="B30" s="20"/>
      <c r="C30" s="9" t="s">
        <v>74</v>
      </c>
      <c r="D30" s="6">
        <v>13</v>
      </c>
    </row>
    <row r="31" spans="2:9" ht="18.600000000000001" thickBot="1" x14ac:dyDescent="0.4">
      <c r="B31" s="20"/>
      <c r="C31" s="14" t="s">
        <v>73</v>
      </c>
      <c r="D31" s="8">
        <v>24</v>
      </c>
    </row>
  </sheetData>
  <mergeCells count="3">
    <mergeCell ref="B16:B18"/>
    <mergeCell ref="B21:B26"/>
    <mergeCell ref="B28:B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05E5-E05C-4416-A759-C6C56C53CC86}">
  <dimension ref="B3:J20"/>
  <sheetViews>
    <sheetView workbookViewId="0">
      <selection activeCell="D8" sqref="D8"/>
    </sheetView>
  </sheetViews>
  <sheetFormatPr defaultRowHeight="14.4" x14ac:dyDescent="0.3"/>
  <cols>
    <col min="2" max="2" width="13.77734375" customWidth="1"/>
    <col min="3" max="3" width="23.5546875" bestFit="1" customWidth="1"/>
    <col min="4" max="4" width="11.33203125" customWidth="1"/>
    <col min="7" max="7" width="20.44140625" bestFit="1" customWidth="1"/>
  </cols>
  <sheetData>
    <row r="3" spans="2:10" ht="23.4" x14ac:dyDescent="0.45">
      <c r="G3" s="10" t="s">
        <v>51</v>
      </c>
    </row>
    <row r="4" spans="2:10" ht="23.4" x14ac:dyDescent="0.45">
      <c r="B4" s="2"/>
      <c r="C4" s="10" t="s">
        <v>35</v>
      </c>
      <c r="D4" s="2"/>
      <c r="E4" s="2"/>
      <c r="F4" s="2"/>
      <c r="H4" s="2"/>
    </row>
    <row r="5" spans="2:10" ht="18.600000000000001" thickBot="1" x14ac:dyDescent="0.4">
      <c r="B5" s="17"/>
      <c r="C5" s="17"/>
      <c r="D5" s="17"/>
      <c r="E5" s="17"/>
      <c r="F5" s="17"/>
      <c r="G5" s="17"/>
      <c r="H5" s="17"/>
      <c r="I5" s="19"/>
      <c r="J5" s="19"/>
    </row>
    <row r="6" spans="2:10" ht="18" x14ac:dyDescent="0.35">
      <c r="B6" s="33" t="s">
        <v>37</v>
      </c>
      <c r="C6" s="13" t="s">
        <v>7</v>
      </c>
      <c r="D6" s="23">
        <v>54</v>
      </c>
      <c r="E6" s="17"/>
      <c r="I6" s="19"/>
      <c r="J6" s="19"/>
    </row>
    <row r="7" spans="2:10" ht="18" x14ac:dyDescent="0.35">
      <c r="B7" s="33"/>
      <c r="C7" s="9" t="s">
        <v>8</v>
      </c>
      <c r="D7" s="24">
        <v>70</v>
      </c>
      <c r="E7" s="17"/>
      <c r="I7" s="19"/>
      <c r="J7" s="19"/>
    </row>
    <row r="8" spans="2:10" ht="18" x14ac:dyDescent="0.35">
      <c r="B8" s="33"/>
      <c r="C8" s="9" t="s">
        <v>9</v>
      </c>
      <c r="D8" s="24">
        <f>954*3</f>
        <v>2862</v>
      </c>
      <c r="E8" s="17"/>
      <c r="I8" s="19"/>
      <c r="J8" s="19"/>
    </row>
    <row r="9" spans="2:10" ht="18.600000000000001" thickBot="1" x14ac:dyDescent="0.4">
      <c r="B9" s="33"/>
      <c r="C9" s="14" t="s">
        <v>19</v>
      </c>
      <c r="D9" s="25">
        <f>1970*3</f>
        <v>5910</v>
      </c>
      <c r="E9" s="17"/>
      <c r="I9" s="19"/>
      <c r="J9" s="19"/>
    </row>
    <row r="10" spans="2:10" ht="18" x14ac:dyDescent="0.35">
      <c r="B10" s="21"/>
      <c r="C10" s="17"/>
      <c r="D10" s="17"/>
      <c r="E10" s="17"/>
      <c r="I10" s="19"/>
      <c r="J10" s="19"/>
    </row>
    <row r="11" spans="2:10" ht="18" x14ac:dyDescent="0.35">
      <c r="B11" s="21"/>
      <c r="C11" s="17"/>
      <c r="D11" s="17"/>
      <c r="E11" s="17"/>
      <c r="I11" s="19"/>
      <c r="J11" s="19"/>
    </row>
    <row r="12" spans="2:10" ht="18" x14ac:dyDescent="0.35">
      <c r="B12" s="21"/>
      <c r="C12" s="17"/>
      <c r="D12" s="17"/>
      <c r="E12" s="17"/>
      <c r="I12" s="19"/>
      <c r="J12" s="19"/>
    </row>
    <row r="13" spans="2:10" ht="18" x14ac:dyDescent="0.35">
      <c r="B13" s="17"/>
      <c r="C13" s="17"/>
      <c r="D13" s="17"/>
      <c r="E13" s="16"/>
      <c r="F13" s="17"/>
      <c r="G13" s="19"/>
      <c r="H13" s="19"/>
      <c r="I13" s="19"/>
      <c r="J13" s="19"/>
    </row>
    <row r="14" spans="2:10" ht="18.600000000000001" thickBot="1" x14ac:dyDescent="0.4">
      <c r="B14" s="17"/>
      <c r="C14" s="17"/>
      <c r="D14" s="17"/>
      <c r="E14" s="17"/>
      <c r="F14" s="17"/>
      <c r="G14" s="19"/>
      <c r="H14" s="19"/>
      <c r="I14" s="19"/>
      <c r="J14" s="19"/>
    </row>
    <row r="15" spans="2:10" ht="18" x14ac:dyDescent="0.35">
      <c r="B15" s="32" t="s">
        <v>10</v>
      </c>
      <c r="C15" s="26" t="s">
        <v>7</v>
      </c>
      <c r="D15" s="23">
        <v>380</v>
      </c>
      <c r="E15" s="16"/>
      <c r="F15" s="17"/>
      <c r="G15" s="17"/>
      <c r="H15" s="16"/>
      <c r="I15" s="19"/>
      <c r="J15" s="19"/>
    </row>
    <row r="16" spans="2:10" ht="18" x14ac:dyDescent="0.35">
      <c r="B16" s="32"/>
      <c r="C16" s="27" t="s">
        <v>8</v>
      </c>
      <c r="D16" s="24">
        <v>17.5</v>
      </c>
      <c r="E16" s="12"/>
      <c r="F16" s="19"/>
      <c r="G16" s="17"/>
      <c r="H16" s="16"/>
    </row>
    <row r="17" spans="2:8" ht="18" x14ac:dyDescent="0.35">
      <c r="B17" s="32"/>
      <c r="C17" s="27" t="s">
        <v>9</v>
      </c>
      <c r="D17" s="24">
        <v>2640</v>
      </c>
      <c r="E17" s="16"/>
      <c r="F17" s="19"/>
      <c r="G17" s="19"/>
      <c r="H17" s="19"/>
    </row>
    <row r="18" spans="2:8" ht="18" x14ac:dyDescent="0.35">
      <c r="B18" s="32"/>
      <c r="C18" s="27" t="s">
        <v>19</v>
      </c>
      <c r="D18" s="24">
        <v>11300</v>
      </c>
      <c r="E18" s="16"/>
      <c r="F18" s="19"/>
      <c r="G18" s="19"/>
      <c r="H18" s="19"/>
    </row>
    <row r="19" spans="2:8" ht="18.600000000000001" thickBot="1" x14ac:dyDescent="0.4">
      <c r="B19" s="32"/>
      <c r="C19" s="28" t="s">
        <v>36</v>
      </c>
      <c r="D19" s="25">
        <v>0.10199999999999999</v>
      </c>
      <c r="E19" s="19"/>
      <c r="F19" s="19"/>
      <c r="G19" s="19"/>
      <c r="H19" s="19"/>
    </row>
    <row r="20" spans="2:8" x14ac:dyDescent="0.3">
      <c r="C20" s="19"/>
      <c r="D20" s="19"/>
      <c r="E20" s="19"/>
      <c r="F20" s="19"/>
      <c r="G20" s="19"/>
      <c r="H20" s="19"/>
    </row>
  </sheetData>
  <mergeCells count="2">
    <mergeCell ref="B6:B9"/>
    <mergeCell ref="B15:B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7B3F-248B-4332-8FCD-DF6D0384BDD4}">
  <dimension ref="C5:Y28"/>
  <sheetViews>
    <sheetView workbookViewId="0">
      <selection activeCell="C23" sqref="C23"/>
    </sheetView>
  </sheetViews>
  <sheetFormatPr defaultRowHeight="14.4" x14ac:dyDescent="0.3"/>
  <cols>
    <col min="3" max="3" width="26.33203125" bestFit="1" customWidth="1"/>
    <col min="4" max="4" width="12.77734375" customWidth="1"/>
  </cols>
  <sheetData>
    <row r="5" spans="3:25" ht="23.4" x14ac:dyDescent="0.45">
      <c r="C5" s="10" t="s">
        <v>40</v>
      </c>
      <c r="D5" s="10"/>
      <c r="E5" s="10"/>
      <c r="F5" s="10"/>
      <c r="G5" s="10"/>
      <c r="H5" s="10" t="s">
        <v>10</v>
      </c>
      <c r="P5" s="10" t="s">
        <v>37</v>
      </c>
    </row>
    <row r="6" spans="3:25" ht="15" thickBot="1" x14ac:dyDescent="0.35">
      <c r="D6" s="1"/>
    </row>
    <row r="7" spans="3:25" ht="18" x14ac:dyDescent="0.35">
      <c r="C7" s="56" t="s">
        <v>39</v>
      </c>
      <c r="D7" s="57">
        <f>'2.TEST DATA'!D19*3/2</f>
        <v>0.153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3:25" ht="18" x14ac:dyDescent="0.35">
      <c r="C8" s="5" t="s">
        <v>26</v>
      </c>
      <c r="D8" s="31">
        <f>'2.TEST DATA'!D18/'1.MOTOR DATA'!D9/('2.TEST DATA'!D16/SQRT(3))^2</f>
        <v>36.897959183673471</v>
      </c>
      <c r="G8" s="22"/>
      <c r="H8" s="34"/>
      <c r="I8" s="34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3:25" ht="18" x14ac:dyDescent="0.35">
      <c r="C9" s="5" t="s">
        <v>20</v>
      </c>
      <c r="D9" s="31">
        <f>4*'2.TEST DATA'!D9/'1.MOTOR DATA'!D9/('2.TEST DATA'!D7/SQRT(3))^2</f>
        <v>4.8244897959183675</v>
      </c>
      <c r="G9" s="22"/>
      <c r="H9" s="34"/>
      <c r="I9" s="34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3:25" ht="18" x14ac:dyDescent="0.35">
      <c r="C10" s="5" t="s">
        <v>21</v>
      </c>
      <c r="D10" s="31">
        <f>'2.TEST DATA'!D8/'1.MOTOR DATA'!D9/('2.TEST DATA'!D7/SQRT(3))^2</f>
        <v>0.58408163265306123</v>
      </c>
      <c r="G10" s="22"/>
      <c r="H10" s="34"/>
      <c r="I10" s="34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3:25" ht="18" x14ac:dyDescent="0.35">
      <c r="C11" s="5" t="s">
        <v>28</v>
      </c>
      <c r="D11" s="31">
        <f>'2.TEST DATA'!D17-'2.TEST DATA'!D17*0.01-'1.MOTOR DATA'!D9*('2.TEST DATA'!D16/SQRT(3))^2*'3.PARAMETERS (FROM TEST DATA)'!D7</f>
        <v>2566.7437500000001</v>
      </c>
      <c r="G11" s="22"/>
      <c r="H11" s="34"/>
      <c r="I11" s="34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3:25" ht="18" x14ac:dyDescent="0.35">
      <c r="C12" s="53" t="s">
        <v>27</v>
      </c>
      <c r="D12" s="55">
        <f>'1.MOTOR DATA'!D9*'2.TEST DATA'!D15^2/'3.PARAMETERS (FROM TEST DATA)'!D11</f>
        <v>168.77415207497828</v>
      </c>
      <c r="G12" s="22"/>
      <c r="H12" s="34"/>
      <c r="I12" s="34"/>
      <c r="J12" s="22"/>
      <c r="K12" s="22"/>
      <c r="L12" s="22"/>
      <c r="M12" s="22"/>
      <c r="N12" s="22"/>
      <c r="O12" s="22"/>
      <c r="P12" s="43"/>
      <c r="Q12" s="11"/>
      <c r="R12" s="11"/>
      <c r="S12" s="11"/>
      <c r="T12" s="35"/>
      <c r="U12" s="11"/>
      <c r="V12" s="11"/>
      <c r="W12" s="22"/>
      <c r="X12" s="22"/>
      <c r="Y12" s="22"/>
    </row>
    <row r="13" spans="3:25" ht="18" x14ac:dyDescent="0.35">
      <c r="C13" s="45" t="s">
        <v>22</v>
      </c>
      <c r="D13" s="31"/>
      <c r="G13" s="22"/>
      <c r="H13" s="34"/>
      <c r="I13" s="34"/>
      <c r="J13" s="22"/>
      <c r="K13" s="22"/>
      <c r="L13" s="22"/>
      <c r="M13" s="22"/>
      <c r="N13" s="22"/>
      <c r="O13" s="22"/>
      <c r="P13" s="43"/>
      <c r="Q13" s="11"/>
      <c r="R13" s="11"/>
      <c r="S13" s="11"/>
      <c r="T13" s="35"/>
      <c r="U13" s="11"/>
      <c r="V13" s="11"/>
      <c r="W13" s="22"/>
      <c r="X13" s="22"/>
      <c r="Y13" s="22"/>
    </row>
    <row r="14" spans="3:25" ht="18" x14ac:dyDescent="0.35">
      <c r="C14" s="53" t="s">
        <v>23</v>
      </c>
      <c r="D14" s="55">
        <f>(2*D8-SQRT(4*D8^2-4*D9*D8))/2</f>
        <v>2.4967155383023254</v>
      </c>
      <c r="G14" s="22"/>
      <c r="H14" s="34"/>
      <c r="I14" s="34"/>
      <c r="J14" s="22"/>
      <c r="K14" s="22"/>
      <c r="L14" s="22"/>
      <c r="M14" s="22"/>
      <c r="N14" s="22"/>
      <c r="O14" s="22"/>
      <c r="P14" s="43"/>
      <c r="Q14" s="11"/>
      <c r="R14" s="11"/>
      <c r="S14" s="11"/>
      <c r="T14" s="35"/>
      <c r="U14" s="11"/>
      <c r="V14" s="11"/>
      <c r="W14" s="22"/>
      <c r="X14" s="22"/>
      <c r="Y14" s="22"/>
    </row>
    <row r="15" spans="3:25" ht="18" x14ac:dyDescent="0.35">
      <c r="C15" s="53" t="s">
        <v>25</v>
      </c>
      <c r="D15" s="55">
        <f>D14</f>
        <v>2.4967155383023254</v>
      </c>
      <c r="G15" s="22"/>
      <c r="H15" s="34"/>
      <c r="I15" s="34"/>
      <c r="J15" s="22"/>
      <c r="K15" s="22"/>
      <c r="L15" s="22"/>
      <c r="M15" s="22"/>
      <c r="N15" s="22"/>
      <c r="O15" s="22"/>
      <c r="P15" s="43"/>
      <c r="Q15" s="11"/>
      <c r="R15" s="11"/>
      <c r="S15" s="11"/>
      <c r="T15" s="35"/>
      <c r="U15" s="11"/>
      <c r="V15" s="11"/>
      <c r="W15" s="22"/>
      <c r="X15" s="22"/>
      <c r="Y15" s="22"/>
    </row>
    <row r="16" spans="3:25" ht="18" x14ac:dyDescent="0.35">
      <c r="C16" s="53" t="s">
        <v>24</v>
      </c>
      <c r="D16" s="55">
        <f>D8-D14</f>
        <v>34.401243645371146</v>
      </c>
      <c r="G16" s="22"/>
      <c r="H16" s="22"/>
      <c r="I16" s="22"/>
      <c r="J16" s="22"/>
      <c r="K16" s="22"/>
      <c r="L16" s="22"/>
      <c r="M16" s="22"/>
      <c r="N16" s="22"/>
      <c r="O16" s="22"/>
      <c r="P16" s="21"/>
      <c r="Q16" s="11"/>
      <c r="R16" s="11"/>
      <c r="S16" s="11"/>
      <c r="T16" s="35"/>
      <c r="U16" s="11"/>
      <c r="V16" s="11"/>
      <c r="W16" s="22"/>
      <c r="X16" s="22"/>
      <c r="Y16" s="22"/>
    </row>
    <row r="17" spans="3:25" ht="18.600000000000001" thickBot="1" x14ac:dyDescent="0.4">
      <c r="C17" s="49" t="s">
        <v>38</v>
      </c>
      <c r="D17" s="50">
        <f>(D10-D7)*((D15+D16)/D16)^2</f>
        <v>0.49592491208751244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3:25" x14ac:dyDescent="0.3"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3:25" x14ac:dyDescent="0.3"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3:25" x14ac:dyDescent="0.3"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8" spans="3:25" x14ac:dyDescent="0.3">
      <c r="H28" s="44" t="s">
        <v>52</v>
      </c>
    </row>
  </sheetData>
  <mergeCells count="1">
    <mergeCell ref="T12:T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65C8-62DE-4C8C-ACD7-09FA947C1097}">
  <dimension ref="B5:G36"/>
  <sheetViews>
    <sheetView tabSelected="1" topLeftCell="A4" workbookViewId="0">
      <selection activeCell="C27" sqref="C27"/>
    </sheetView>
  </sheetViews>
  <sheetFormatPr defaultRowHeight="14.4" x14ac:dyDescent="0.3"/>
  <cols>
    <col min="3" max="3" width="34.109375" customWidth="1"/>
    <col min="4" max="4" width="11.44140625" bestFit="1" customWidth="1"/>
    <col min="6" max="6" width="37.21875" bestFit="1" customWidth="1"/>
    <col min="7" max="7" width="13.21875" customWidth="1"/>
  </cols>
  <sheetData>
    <row r="5" spans="2:7" ht="23.4" x14ac:dyDescent="0.45">
      <c r="C5" s="10" t="s">
        <v>41</v>
      </c>
    </row>
    <row r="6" spans="2:7" x14ac:dyDescent="0.3">
      <c r="B6" s="19"/>
      <c r="C6" s="19"/>
      <c r="D6" s="19"/>
      <c r="E6" s="19"/>
    </row>
    <row r="7" spans="2:7" x14ac:dyDescent="0.3">
      <c r="B7" s="19"/>
      <c r="C7" s="19"/>
      <c r="D7" s="19"/>
      <c r="E7" s="19"/>
    </row>
    <row r="8" spans="2:7" ht="20.399999999999999" thickBot="1" x14ac:dyDescent="0.45">
      <c r="B8" s="19"/>
      <c r="C8" s="59" t="s">
        <v>44</v>
      </c>
      <c r="D8" s="59"/>
      <c r="E8" s="19"/>
      <c r="F8" s="59" t="s">
        <v>80</v>
      </c>
      <c r="G8" s="59"/>
    </row>
    <row r="9" spans="2:7" ht="18" x14ac:dyDescent="0.35">
      <c r="B9" s="19"/>
      <c r="C9" s="3" t="s">
        <v>45</v>
      </c>
      <c r="D9" s="47">
        <v>1.7199999999999999E-8</v>
      </c>
      <c r="E9" s="19"/>
      <c r="F9" s="3" t="s">
        <v>55</v>
      </c>
      <c r="G9" s="47">
        <v>0.95499999999999996</v>
      </c>
    </row>
    <row r="10" spans="2:7" ht="18" x14ac:dyDescent="0.35">
      <c r="B10" s="19"/>
      <c r="C10" s="51" t="s">
        <v>47</v>
      </c>
      <c r="D10" s="48">
        <f>'1.MOTOR DATA'!G14/'1.MOTOR DATA'!D9/'1.MOTOR DATA'!D11</f>
        <v>6</v>
      </c>
      <c r="E10" s="19"/>
      <c r="F10" s="5" t="s">
        <v>56</v>
      </c>
      <c r="G10" s="31">
        <f>2*G9*D11*'1.MOTOR DATA'!D9/'1.MOTOR DATA'!G13*('1.MOTOR DATA'!G11/3/'1.MOTOR DATA'!G10)</f>
        <v>0.6137131578947369</v>
      </c>
    </row>
    <row r="11" spans="2:7" ht="18" x14ac:dyDescent="0.35">
      <c r="B11" s="19"/>
      <c r="C11" s="5" t="s">
        <v>46</v>
      </c>
      <c r="D11" s="48">
        <f>'1.MOTOR DATA'!G15/2*'1.MOTOR DATA'!G14/'1.MOTOR DATA'!D9</f>
        <v>132</v>
      </c>
      <c r="E11" s="19"/>
      <c r="F11" s="5" t="s">
        <v>57</v>
      </c>
      <c r="G11" s="30">
        <f>2/3*G12</f>
        <v>16.133333333333333</v>
      </c>
    </row>
    <row r="12" spans="2:7" ht="18" x14ac:dyDescent="0.35">
      <c r="B12" s="19"/>
      <c r="C12" s="5" t="s">
        <v>48</v>
      </c>
      <c r="D12" s="48">
        <v>15</v>
      </c>
      <c r="E12" s="19"/>
      <c r="F12" s="5" t="s">
        <v>58</v>
      </c>
      <c r="G12" s="24">
        <f>'1.MOTOR DATA'!D16</f>
        <v>24.2</v>
      </c>
    </row>
    <row r="13" spans="2:7" ht="18" x14ac:dyDescent="0.35">
      <c r="B13" s="19"/>
      <c r="C13" s="5" t="s">
        <v>49</v>
      </c>
      <c r="D13" s="48">
        <f>'1.MOTOR DATA'!G14/'1.MOTOR DATA'!D11</f>
        <v>18</v>
      </c>
      <c r="E13" s="19"/>
      <c r="F13" s="5" t="s">
        <v>59</v>
      </c>
      <c r="G13" s="24">
        <f>('1.MOTOR DATA'!D17-'1.MOTOR DATA'!D18)/2</f>
        <v>32</v>
      </c>
    </row>
    <row r="14" spans="2:7" ht="18" x14ac:dyDescent="0.35">
      <c r="B14" s="19"/>
      <c r="C14" s="5" t="s">
        <v>53</v>
      </c>
      <c r="D14" s="31">
        <f>2*PI()*D12/D13*(('1.MOTOR DATA'!D17-'1.MOTOR DATA'!D18)/2-1)/'1.MOTOR DATA'!D11+2*'1.MOTOR DATA'!D14</f>
        <v>581.15781021773637</v>
      </c>
      <c r="E14" s="19"/>
      <c r="F14" s="5" t="s">
        <v>61</v>
      </c>
      <c r="G14" s="24">
        <f>('1.MOTOR DATA'!D17+'1.MOTOR DATA'!D18)/2</f>
        <v>135</v>
      </c>
    </row>
    <row r="15" spans="2:7" ht="18.600000000000001" thickBot="1" x14ac:dyDescent="0.4">
      <c r="B15" s="19"/>
      <c r="C15" s="49" t="s">
        <v>54</v>
      </c>
      <c r="D15" s="50">
        <f>D9*D14*0.001*D11*4/PI()/'1.MOTOR DATA'!G16/'1.MOTOR DATA'!G18/0.000001</f>
        <v>0.1527263210166688</v>
      </c>
      <c r="E15" s="19"/>
      <c r="F15" s="5" t="s">
        <v>62</v>
      </c>
      <c r="G15" s="30">
        <f>'1.MOTOR DATA'!D14+2*'4.PARAMETERS ( FROM MOTOR DATA)'!G11+'4.PARAMETERS ( FROM MOTOR DATA)'!G12</f>
        <v>306.46666666666664</v>
      </c>
    </row>
    <row r="16" spans="2:7" ht="18" x14ac:dyDescent="0.35">
      <c r="B16" s="19"/>
      <c r="E16" s="19"/>
      <c r="F16" s="5" t="s">
        <v>63</v>
      </c>
      <c r="G16" s="30">
        <f>PI()*G14</f>
        <v>424.11500823462205</v>
      </c>
    </row>
    <row r="17" spans="3:7" ht="19.8" x14ac:dyDescent="0.4">
      <c r="C17" s="58" t="s">
        <v>82</v>
      </c>
      <c r="D17" s="58"/>
      <c r="F17" s="5" t="s">
        <v>64</v>
      </c>
      <c r="G17" s="24">
        <f>G12*G13</f>
        <v>774.4</v>
      </c>
    </row>
    <row r="18" spans="3:7" ht="18" x14ac:dyDescent="0.35">
      <c r="C18" s="17" t="s">
        <v>83</v>
      </c>
      <c r="D18" s="17">
        <f>3/2*4/PI()*SQRT(2)</f>
        <v>2.7009489484713183</v>
      </c>
      <c r="F18" s="5" t="s">
        <v>78</v>
      </c>
      <c r="G18" s="30">
        <f>PI()*(8/2)^2</f>
        <v>50.26548245743669</v>
      </c>
    </row>
    <row r="19" spans="3:7" ht="18" x14ac:dyDescent="0.35">
      <c r="C19" s="17"/>
      <c r="D19" s="17"/>
      <c r="F19" s="5" t="s">
        <v>65</v>
      </c>
      <c r="G19" s="29">
        <f>D9*G15/G18*1000</f>
        <v>1.048677225197268E-4</v>
      </c>
    </row>
    <row r="20" spans="3:7" ht="18" x14ac:dyDescent="0.35">
      <c r="C20" s="17"/>
      <c r="D20" s="17"/>
      <c r="F20" s="5" t="s">
        <v>66</v>
      </c>
      <c r="G20" s="29">
        <f>G19+D9*G14*2*'1.MOTOR DATA'!G13/PI()/'1.MOTOR DATA'!D11^2/'4.PARAMETERS ( FROM MOTOR DATA)'!G17*1000</f>
        <v>1.2395645071494276E-4</v>
      </c>
    </row>
    <row r="21" spans="3:7" ht="18.600000000000001" thickBot="1" x14ac:dyDescent="0.4">
      <c r="C21" s="17"/>
      <c r="D21" s="17"/>
      <c r="F21" s="49" t="s">
        <v>67</v>
      </c>
      <c r="G21" s="52">
        <f>4*'1.MOTOR DATA'!D9*('4.PARAMETERS ( FROM MOTOR DATA)'!D11*'4.PARAMETERS ( FROM MOTOR DATA)'!G9)^2*'4.PARAMETERS ( FROM MOTOR DATA)'!G20/'1.MOTOR DATA'!G13</f>
        <v>0.59094218379853902</v>
      </c>
    </row>
    <row r="22" spans="3:7" ht="18" x14ac:dyDescent="0.35">
      <c r="C22" s="17"/>
      <c r="D22" s="17"/>
    </row>
    <row r="23" spans="3:7" ht="18" x14ac:dyDescent="0.35">
      <c r="C23" s="17"/>
      <c r="D23" s="17"/>
    </row>
    <row r="24" spans="3:7" ht="20.399999999999999" thickBot="1" x14ac:dyDescent="0.45">
      <c r="C24" s="58" t="s">
        <v>84</v>
      </c>
      <c r="D24" s="58"/>
      <c r="F24" s="59" t="s">
        <v>81</v>
      </c>
      <c r="G24" s="59"/>
    </row>
    <row r="25" spans="3:7" ht="18" x14ac:dyDescent="0.35">
      <c r="C25" s="17"/>
      <c r="D25" s="17"/>
      <c r="F25" s="3" t="s">
        <v>68</v>
      </c>
      <c r="G25" s="23"/>
    </row>
    <row r="26" spans="3:7" ht="18" x14ac:dyDescent="0.35">
      <c r="C26" s="17"/>
      <c r="D26" s="17"/>
      <c r="F26" s="5" t="s">
        <v>79</v>
      </c>
      <c r="G26" s="30">
        <f>'1.MOTOR DATA'!D24/3/'1.MOTOR DATA'!D23+'1.MOTOR DATA'!D26/'1.MOTOR DATA'!D25</f>
        <v>0.89602977667493799</v>
      </c>
    </row>
    <row r="27" spans="3:7" ht="18" x14ac:dyDescent="0.35">
      <c r="C27" s="17"/>
      <c r="D27" s="17"/>
      <c r="F27" s="5" t="s">
        <v>77</v>
      </c>
      <c r="G27" s="30">
        <f>0.00003156*'1.MOTOR DATA'!D9*'1.MOTOR DATA'!D10*'4.PARAMETERS ( FROM MOTOR DATA)'!D11^2*('4.PARAMETERS ( FROM MOTOR DATA)'!G26/'1.MOTOR DATA'!G14+'4.PARAMETERS ( FROM MOTOR DATA)'!G26*'1.MOTOR DATA'!D9*'4.PARAMETERS ( FROM MOTOR DATA)'!G9^2/'1.MOTOR DATA'!G13/(2*'1.MOTOR DATA'!G13/'1.MOTOR DATA'!D11))</f>
        <v>2.1794218150175184</v>
      </c>
    </row>
    <row r="28" spans="3:7" ht="18" x14ac:dyDescent="0.35">
      <c r="C28" s="17"/>
      <c r="D28" s="17"/>
      <c r="F28" s="53" t="s">
        <v>23</v>
      </c>
      <c r="G28" s="54">
        <f>G27/2</f>
        <v>1.0897109075087592</v>
      </c>
    </row>
    <row r="29" spans="3:7" ht="18.600000000000001" thickBot="1" x14ac:dyDescent="0.4">
      <c r="C29" s="17"/>
      <c r="D29" s="17"/>
      <c r="F29" s="49" t="s">
        <v>25</v>
      </c>
      <c r="G29" s="52">
        <f>G28</f>
        <v>1.0897109075087592</v>
      </c>
    </row>
    <row r="30" spans="3:7" ht="18" x14ac:dyDescent="0.35">
      <c r="C30" s="17"/>
      <c r="D30" s="17"/>
    </row>
    <row r="31" spans="3:7" ht="18" x14ac:dyDescent="0.35">
      <c r="C31" s="17"/>
      <c r="D31" s="17"/>
    </row>
    <row r="32" spans="3:7" ht="18" x14ac:dyDescent="0.35">
      <c r="C32" s="17"/>
      <c r="D32" s="17"/>
    </row>
    <row r="33" spans="3:4" ht="18" x14ac:dyDescent="0.35">
      <c r="C33" s="17"/>
      <c r="D33" s="17"/>
    </row>
    <row r="34" spans="3:4" ht="18" x14ac:dyDescent="0.35">
      <c r="C34" s="17"/>
      <c r="D34" s="17"/>
    </row>
    <row r="35" spans="3:4" ht="18" x14ac:dyDescent="0.35">
      <c r="C35" s="17"/>
      <c r="D35" s="17"/>
    </row>
    <row r="36" spans="3:4" ht="18" x14ac:dyDescent="0.35">
      <c r="C36" s="17"/>
      <c r="D36" s="17"/>
    </row>
  </sheetData>
  <mergeCells count="5">
    <mergeCell ref="C8:D8"/>
    <mergeCell ref="F8:G8"/>
    <mergeCell ref="C17:D17"/>
    <mergeCell ref="F24:G24"/>
    <mergeCell ref="C24:D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44C7-3BF6-498D-905D-A1C1D0C02758}">
  <dimension ref="C5"/>
  <sheetViews>
    <sheetView workbookViewId="0">
      <selection activeCell="D17" sqref="D17"/>
    </sheetView>
  </sheetViews>
  <sheetFormatPr defaultRowHeight="14.4" x14ac:dyDescent="0.3"/>
  <sheetData>
    <row r="5" spans="3:3" ht="23.4" x14ac:dyDescent="0.45">
      <c r="C5" s="10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AA64-064B-4A52-BEDE-17CFAACCF486}">
  <dimension ref="C5"/>
  <sheetViews>
    <sheetView workbookViewId="0">
      <selection activeCell="C5" sqref="C5"/>
    </sheetView>
  </sheetViews>
  <sheetFormatPr defaultRowHeight="14.4" x14ac:dyDescent="0.3"/>
  <sheetData>
    <row r="5" spans="3:3" ht="23.4" x14ac:dyDescent="0.45">
      <c r="C5" s="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1.MOTOR DATA</vt:lpstr>
      <vt:lpstr>2.TEST DATA</vt:lpstr>
      <vt:lpstr>3.PARAMETERS (FROM TEST DATA)</vt:lpstr>
      <vt:lpstr>4.PARAMETERS ( FROM MOTOR DATA)</vt:lpstr>
      <vt:lpstr>5.TORQUE &amp; SPEED CHARACTERISTIC</vt:lpstr>
      <vt:lpstr>6.PERFORMANCE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elif topaloğlu</cp:lastModifiedBy>
  <dcterms:created xsi:type="dcterms:W3CDTF">2015-06-05T18:17:20Z</dcterms:created>
  <dcterms:modified xsi:type="dcterms:W3CDTF">2025-01-21T18:49:32Z</dcterms:modified>
</cp:coreProperties>
</file>