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rda\Documents\ELE713-Two-Switch-Flyback\"/>
    </mc:Choice>
  </mc:AlternateContent>
  <xr:revisionPtr revIDLastSave="0" documentId="13_ncr:1_{706D7A3B-7657-43B7-B3B8-B4E4F862D28D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8" i="1" l="1"/>
  <c r="Q47" i="1"/>
  <c r="Q42" i="1"/>
  <c r="Q43" i="1" s="1"/>
  <c r="Q41" i="1"/>
  <c r="Q20" i="1"/>
  <c r="Q35" i="1"/>
  <c r="Q36" i="1" s="1"/>
  <c r="Q37" i="1" s="1"/>
  <c r="Q39" i="1" s="1"/>
  <c r="Q34" i="1"/>
  <c r="Q32" i="1"/>
  <c r="Q31" i="1"/>
  <c r="Q28" i="1"/>
  <c r="Q29" i="1"/>
  <c r="Q30" i="1"/>
  <c r="Q23" i="1"/>
  <c r="Q24" i="1" s="1"/>
  <c r="Q27" i="1"/>
  <c r="Q26" i="1"/>
  <c r="Q25" i="1"/>
  <c r="Q22" i="1"/>
  <c r="Q21" i="1"/>
  <c r="Q19" i="1"/>
  <c r="Q16" i="1"/>
  <c r="Q15" i="1"/>
  <c r="Q14" i="1"/>
  <c r="Q13" i="1"/>
  <c r="Q12" i="1"/>
  <c r="Q10" i="1"/>
  <c r="Q11" i="1"/>
  <c r="Q7" i="1"/>
  <c r="M26" i="1"/>
  <c r="L26" i="1"/>
  <c r="M17" i="1"/>
  <c r="H17" i="1"/>
  <c r="H22" i="1" s="1"/>
  <c r="H30" i="1" s="1"/>
  <c r="M12" i="1" s="1"/>
  <c r="M13" i="1" s="1"/>
  <c r="H18" i="1"/>
  <c r="H24" i="1" s="1"/>
  <c r="H25" i="1" s="1"/>
  <c r="H29" i="1" s="1"/>
  <c r="L17" i="1" s="1"/>
  <c r="Q44" i="1" l="1"/>
  <c r="Q45" i="1"/>
  <c r="H20" i="1"/>
  <c r="M19" i="1"/>
  <c r="L19" i="1"/>
  <c r="H26" i="1"/>
  <c r="H23" i="1"/>
  <c r="H28" i="1"/>
  <c r="L12" i="1"/>
  <c r="Q46" i="1" l="1"/>
  <c r="M22" i="1"/>
  <c r="L22" i="1"/>
  <c r="L21" i="1"/>
  <c r="L30" i="1"/>
  <c r="L29" i="1"/>
  <c r="M21" i="1"/>
  <c r="M29" i="1"/>
  <c r="M30" i="1"/>
  <c r="M16" i="1"/>
  <c r="M18" i="1" s="1"/>
  <c r="H31" i="1"/>
  <c r="L23" i="1"/>
  <c r="M23" i="1"/>
  <c r="L16" i="1"/>
  <c r="L18" i="1" s="1"/>
  <c r="L13" i="1"/>
  <c r="M31" i="1" l="1"/>
  <c r="M32" i="1" s="1"/>
  <c r="M33" i="1" s="1"/>
  <c r="L31" i="1"/>
  <c r="L32" i="1" s="1"/>
  <c r="L33" i="1" s="1"/>
</calcChain>
</file>

<file path=xl/sharedStrings.xml><?xml version="1.0" encoding="utf-8"?>
<sst xmlns="http://schemas.openxmlformats.org/spreadsheetml/2006/main" count="101" uniqueCount="101">
  <si>
    <t>N1/N2 (max)</t>
  </si>
  <si>
    <t>D_max</t>
  </si>
  <si>
    <t>N1/N2 (selected)</t>
  </si>
  <si>
    <t>D_max_calculated</t>
  </si>
  <si>
    <t>D_min_calculated</t>
  </si>
  <si>
    <t>n (efficiency)</t>
  </si>
  <si>
    <t>J_rms (A/m^2)</t>
  </si>
  <si>
    <t>fs (Hz)</t>
  </si>
  <si>
    <t>V_in_max (V)</t>
  </si>
  <si>
    <t>V_in_min (V)</t>
  </si>
  <si>
    <t>V_out (V)</t>
  </si>
  <si>
    <t>V_diode (V)</t>
  </si>
  <si>
    <t>I_out (A)</t>
  </si>
  <si>
    <t>V_out + V_diode (V)</t>
  </si>
  <si>
    <t>P_out (W)</t>
  </si>
  <si>
    <t>P_in (W)</t>
  </si>
  <si>
    <t>Delta_I_lm (A)</t>
  </si>
  <si>
    <t>I_lm_max (A)</t>
  </si>
  <si>
    <t>I_lm_min (A)</t>
  </si>
  <si>
    <t>Lm (calculated) (H)</t>
  </si>
  <si>
    <t>Ap (mm^4)</t>
  </si>
  <si>
    <t>Al  (H/turns^2)</t>
  </si>
  <si>
    <t>Ae (m^2)</t>
  </si>
  <si>
    <t>ETD44</t>
  </si>
  <si>
    <t>ETD39</t>
  </si>
  <si>
    <t>g (mm)</t>
  </si>
  <si>
    <t>N1 (calculated)</t>
  </si>
  <si>
    <t>N2 (calculated)</t>
  </si>
  <si>
    <t>N1 (selected)</t>
  </si>
  <si>
    <t>N2 (selected)</t>
  </si>
  <si>
    <t>A_cu (m^2)</t>
  </si>
  <si>
    <t>Aw (m^2)</t>
  </si>
  <si>
    <t>A_cu_pri + isolation (m^2)</t>
  </si>
  <si>
    <t>A_cu_sec + isolation (m^2)</t>
  </si>
  <si>
    <t>I_lm_average_pri (A)</t>
  </si>
  <si>
    <t>I_lm_average_sec (A)</t>
  </si>
  <si>
    <t>fill factor (calculated)</t>
  </si>
  <si>
    <t>fill factor (selected)</t>
  </si>
  <si>
    <t>isolation safety factor</t>
  </si>
  <si>
    <t>CORE</t>
  </si>
  <si>
    <t>LOSS</t>
  </si>
  <si>
    <t>B_peak (calculated) (T)</t>
  </si>
  <si>
    <t>B_peak (selected) (T)</t>
  </si>
  <si>
    <t>B_min (calculated) (T)</t>
  </si>
  <si>
    <t>B_swing</t>
  </si>
  <si>
    <t>Pv  (100 kHz &amp; average of 25°C and 100°C) (kW/m^3)</t>
  </si>
  <si>
    <t>Ve (m^3)</t>
  </si>
  <si>
    <t>P_core (W)</t>
  </si>
  <si>
    <t>R_dc_sec (Ohm)</t>
  </si>
  <si>
    <t>R_dc_pri (Ohm)</t>
  </si>
  <si>
    <t>MLT (m)</t>
  </si>
  <si>
    <t>Rho (ohm*m)</t>
  </si>
  <si>
    <t>P_dc (W)</t>
  </si>
  <si>
    <t>P_total (W)</t>
  </si>
  <si>
    <t>Efficiency</t>
  </si>
  <si>
    <t>Given</t>
  </si>
  <si>
    <t>Calculated</t>
  </si>
  <si>
    <t>Flyback Design Tool</t>
  </si>
  <si>
    <t>COMPANSATOR DESIGN</t>
  </si>
  <si>
    <t>Rout</t>
  </si>
  <si>
    <t>Rcs</t>
  </si>
  <si>
    <t>Acs</t>
  </si>
  <si>
    <t>tau_L</t>
  </si>
  <si>
    <t>M</t>
  </si>
  <si>
    <t>(1-Dmax)^2/tau_L</t>
  </si>
  <si>
    <t>Go</t>
  </si>
  <si>
    <t>Go_1</t>
  </si>
  <si>
    <t>Go_2</t>
  </si>
  <si>
    <t>Go(dB)</t>
  </si>
  <si>
    <t>w_ESRz</t>
  </si>
  <si>
    <t>Cout(approx)</t>
  </si>
  <si>
    <t>Resr(approx)</t>
  </si>
  <si>
    <t>f_ESRz</t>
  </si>
  <si>
    <t>w_RHPz</t>
  </si>
  <si>
    <t>f_RHPz</t>
  </si>
  <si>
    <t>w_p1</t>
  </si>
  <si>
    <t>f_p1</t>
  </si>
  <si>
    <t>w_p2</t>
  </si>
  <si>
    <t>f_p2</t>
  </si>
  <si>
    <t>Mc(ideal)</t>
  </si>
  <si>
    <t>Sn</t>
  </si>
  <si>
    <t>Se</t>
  </si>
  <si>
    <t>t_Onmin</t>
  </si>
  <si>
    <t>Rcsf</t>
  </si>
  <si>
    <t>Sosc</t>
  </si>
  <si>
    <t>Rcsf_factor</t>
  </si>
  <si>
    <t>Rramp(random)</t>
  </si>
  <si>
    <t>f_BW</t>
  </si>
  <si>
    <t>f_compZ</t>
  </si>
  <si>
    <t>w_compZ</t>
  </si>
  <si>
    <t>CcompZ</t>
  </si>
  <si>
    <t>RcompZ</t>
  </si>
  <si>
    <t>RcompP</t>
  </si>
  <si>
    <t>CcompP</t>
  </si>
  <si>
    <t>w_sw</t>
  </si>
  <si>
    <t>H_mag</t>
  </si>
  <si>
    <t>G_EA</t>
  </si>
  <si>
    <t>G_TL431</t>
  </si>
  <si>
    <t>R_LED</t>
  </si>
  <si>
    <t>G_OPTO</t>
  </si>
  <si>
    <t>G_TOTAL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</si>
</sst>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1" fillId="2" borderId="1" xfId="0" applyFont="1" applyFill="1" applyBorder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/>
    <xf numFmtId="0" fontId="0" fillId="3" borderId="0" xfId="0" applyFill="1"/>
    <xf numFmtId="0" fontId="3" fillId="2" borderId="1" xfId="0" applyFont="1" applyFill="1" applyBorder="1"/>
    <xf numFmtId="0" fontId="3" fillId="3" borderId="1" xfId="0" applyFont="1" applyFill="1" applyBorder="1"/>
    <xf numFmtId="11" fontId="3" fillId="2" borderId="1" xfId="0" applyNumberFormat="1" applyFont="1" applyFill="1" applyBorder="1"/>
    <xf numFmtId="0" fontId="3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48"/>
  <sheetViews>
    <sheetView tabSelected="1" topLeftCell="L25" workbookViewId="0">
      <selection activeCell="S31" sqref="S31"/>
    </sheetView>
  </sheetViews>
  <sheetFormatPr defaultRowHeight="14.4" x14ac:dyDescent="0.3"/>
  <cols>
    <col min="3" max="3" width="9.77734375" bestFit="1" customWidth="1"/>
    <col min="7" max="7" width="19.21875" bestFit="1" customWidth="1"/>
    <col min="8" max="8" width="13.33203125" bestFit="1" customWidth="1"/>
    <col min="9" max="9" width="12" customWidth="1"/>
    <col min="11" max="11" width="23.77734375" bestFit="1" customWidth="1"/>
    <col min="12" max="13" width="13.33203125" bestFit="1" customWidth="1"/>
    <col min="16" max="16" width="15.88671875" bestFit="1" customWidth="1"/>
    <col min="17" max="17" width="12" bestFit="1" customWidth="1"/>
  </cols>
  <sheetData>
    <row r="2" spans="1:2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4" spans="1:24" ht="18" x14ac:dyDescent="0.35">
      <c r="D4" s="14" t="s">
        <v>57</v>
      </c>
      <c r="P4" s="16" t="s">
        <v>58</v>
      </c>
      <c r="Q4" s="16"/>
      <c r="R4" s="16"/>
    </row>
    <row r="6" spans="1:24" ht="15.6" x14ac:dyDescent="0.3">
      <c r="L6" s="5" t="s">
        <v>23</v>
      </c>
      <c r="M6" s="5" t="s">
        <v>24</v>
      </c>
    </row>
    <row r="7" spans="1:24" ht="15.6" x14ac:dyDescent="0.3">
      <c r="G7" s="4" t="s">
        <v>42</v>
      </c>
      <c r="H7" s="10">
        <v>0.3</v>
      </c>
      <c r="J7" s="15" t="s">
        <v>39</v>
      </c>
      <c r="K7" s="4" t="s">
        <v>22</v>
      </c>
      <c r="L7" s="12">
        <v>1.73E-4</v>
      </c>
      <c r="M7" s="12">
        <v>1.25E-4</v>
      </c>
      <c r="P7" t="s">
        <v>59</v>
      </c>
      <c r="Q7">
        <f>H14/H16</f>
        <v>1.2</v>
      </c>
    </row>
    <row r="8" spans="1:24" ht="15.6" x14ac:dyDescent="0.3">
      <c r="C8" s="2" t="s">
        <v>55</v>
      </c>
      <c r="D8" s="3"/>
      <c r="G8" s="4" t="s">
        <v>6</v>
      </c>
      <c r="H8" s="10">
        <v>4000000</v>
      </c>
      <c r="J8" s="15"/>
      <c r="K8" s="4" t="s">
        <v>25</v>
      </c>
      <c r="L8" s="10">
        <v>0.5</v>
      </c>
      <c r="M8" s="10">
        <v>1</v>
      </c>
      <c r="P8" t="s">
        <v>60</v>
      </c>
      <c r="Q8" s="17">
        <v>4.0000000000000001E-3</v>
      </c>
    </row>
    <row r="9" spans="1:24" ht="15.6" x14ac:dyDescent="0.3">
      <c r="C9" s="2" t="s">
        <v>56</v>
      </c>
      <c r="D9" s="9"/>
      <c r="G9" s="4" t="s">
        <v>37</v>
      </c>
      <c r="H9" s="10">
        <v>0.3</v>
      </c>
      <c r="J9" s="15"/>
      <c r="K9" s="4" t="s">
        <v>21</v>
      </c>
      <c r="L9" s="12">
        <v>4.3799999999999998E-7</v>
      </c>
      <c r="M9" s="12">
        <v>1.9600000000000001E-7</v>
      </c>
      <c r="P9" t="s">
        <v>61</v>
      </c>
      <c r="Q9">
        <v>3</v>
      </c>
    </row>
    <row r="10" spans="1:24" ht="15.6" x14ac:dyDescent="0.3">
      <c r="G10" s="4" t="s">
        <v>7</v>
      </c>
      <c r="H10" s="10">
        <v>100000</v>
      </c>
      <c r="J10" s="15"/>
      <c r="K10" s="4" t="s">
        <v>31</v>
      </c>
      <c r="L10" s="12">
        <v>2.7852999999999998E-4</v>
      </c>
      <c r="M10" s="12">
        <v>2.343E-4</v>
      </c>
      <c r="P10" t="s">
        <v>62</v>
      </c>
      <c r="Q10">
        <f>2*H30*H10/Q7/H21/H21</f>
        <v>1.5725806451612903</v>
      </c>
    </row>
    <row r="11" spans="1:24" ht="15.6" x14ac:dyDescent="0.3">
      <c r="G11" s="4" t="s">
        <v>5</v>
      </c>
      <c r="H11" s="10">
        <v>0.85</v>
      </c>
      <c r="K11" s="4" t="s">
        <v>46</v>
      </c>
      <c r="L11" s="12">
        <v>1.7799999999999999E-5</v>
      </c>
      <c r="M11" s="12">
        <v>1.15E-5</v>
      </c>
      <c r="P11" t="s">
        <v>63</v>
      </c>
      <c r="Q11">
        <f>H14*H21/H13</f>
        <v>0.66666666666666663</v>
      </c>
    </row>
    <row r="12" spans="1:24" ht="15.6" x14ac:dyDescent="0.3">
      <c r="G12" s="4" t="s">
        <v>8</v>
      </c>
      <c r="H12" s="10">
        <v>72</v>
      </c>
      <c r="K12" s="8" t="s">
        <v>26</v>
      </c>
      <c r="L12" s="11">
        <f>SQRT(H30/L9)</f>
        <v>9.2827152533400081</v>
      </c>
      <c r="M12" s="11">
        <f>SQRT(H30/M9)</f>
        <v>13.876631267201427</v>
      </c>
      <c r="P12" t="s">
        <v>64</v>
      </c>
      <c r="Q12">
        <f>(1-H22)^2/Q10</f>
        <v>0.21439205955334983</v>
      </c>
    </row>
    <row r="13" spans="1:24" ht="15.6" x14ac:dyDescent="0.3">
      <c r="G13" s="4" t="s">
        <v>9</v>
      </c>
      <c r="H13" s="10">
        <v>36</v>
      </c>
      <c r="K13" s="8" t="s">
        <v>27</v>
      </c>
      <c r="L13" s="11">
        <f>L12/H21</f>
        <v>4.6413576266700041</v>
      </c>
      <c r="M13" s="11">
        <f>M12/H21</f>
        <v>6.9383156336007135</v>
      </c>
      <c r="P13" t="s">
        <v>66</v>
      </c>
      <c r="Q13" s="17">
        <f>Q7*H21/Q8/Q9</f>
        <v>200</v>
      </c>
    </row>
    <row r="14" spans="1:24" ht="15.6" x14ac:dyDescent="0.3">
      <c r="G14" s="4" t="s">
        <v>10</v>
      </c>
      <c r="H14" s="10">
        <v>12</v>
      </c>
      <c r="K14" s="4" t="s">
        <v>28</v>
      </c>
      <c r="L14" s="10">
        <v>10</v>
      </c>
      <c r="M14" s="10">
        <v>14</v>
      </c>
      <c r="P14" t="s">
        <v>67</v>
      </c>
      <c r="Q14">
        <f>1/(Q12+2*Q11+1)</f>
        <v>0.39250698006622953</v>
      </c>
    </row>
    <row r="15" spans="1:24" ht="15.6" x14ac:dyDescent="0.3">
      <c r="G15" s="4" t="s">
        <v>11</v>
      </c>
      <c r="H15" s="10">
        <v>1</v>
      </c>
      <c r="K15" s="4" t="s">
        <v>29</v>
      </c>
      <c r="L15" s="10">
        <v>5</v>
      </c>
      <c r="M15" s="10">
        <v>7</v>
      </c>
      <c r="P15" t="s">
        <v>65</v>
      </c>
      <c r="Q15" s="17">
        <f>Q13*Q14</f>
        <v>78.501396013245909</v>
      </c>
    </row>
    <row r="16" spans="1:24" ht="15.6" x14ac:dyDescent="0.3">
      <c r="G16" s="4" t="s">
        <v>12</v>
      </c>
      <c r="H16" s="10">
        <v>10</v>
      </c>
      <c r="K16" s="8" t="s">
        <v>41</v>
      </c>
      <c r="L16" s="11">
        <f>H28*H30/L12/L7</f>
        <v>0.26678027854233222</v>
      </c>
      <c r="M16" s="11">
        <f>H28*H30/M12/M7</f>
        <v>0.24699080875684779</v>
      </c>
      <c r="P16" t="s">
        <v>68</v>
      </c>
      <c r="Q16" s="17">
        <f>20*LOG10(Q15)</f>
        <v>37.89754759999002</v>
      </c>
    </row>
    <row r="17" spans="7:17" ht="15.6" x14ac:dyDescent="0.3">
      <c r="G17" s="8" t="s">
        <v>13</v>
      </c>
      <c r="H17" s="11">
        <f>H14+H15</f>
        <v>13</v>
      </c>
      <c r="K17" s="8" t="s">
        <v>43</v>
      </c>
      <c r="L17" s="11">
        <f>H29*H30/L14/L7</f>
        <v>0.16037994537736783</v>
      </c>
      <c r="M17" s="11">
        <f>H29*H30/M14/M7</f>
        <v>0.1585470317159122</v>
      </c>
      <c r="P17" t="s">
        <v>70</v>
      </c>
      <c r="Q17">
        <v>1E-3</v>
      </c>
    </row>
    <row r="18" spans="7:17" ht="15.6" x14ac:dyDescent="0.3">
      <c r="G18" s="8" t="s">
        <v>14</v>
      </c>
      <c r="H18" s="11">
        <f>H14*H16</f>
        <v>120</v>
      </c>
      <c r="K18" s="8" t="s">
        <v>44</v>
      </c>
      <c r="L18" s="11">
        <f>L16-L17</f>
        <v>0.10640033316496439</v>
      </c>
      <c r="M18" s="11">
        <f>M16-M17</f>
        <v>8.8443777040935589E-2</v>
      </c>
      <c r="P18" t="s">
        <v>71</v>
      </c>
      <c r="Q18">
        <v>0.06</v>
      </c>
    </row>
    <row r="19" spans="7:17" ht="15.6" x14ac:dyDescent="0.3">
      <c r="G19" s="4" t="s">
        <v>1</v>
      </c>
      <c r="H19" s="10">
        <v>0.5</v>
      </c>
      <c r="K19" s="8" t="s">
        <v>30</v>
      </c>
      <c r="L19" s="11">
        <f>H25/H8</f>
        <v>2.3378582202111617E-6</v>
      </c>
      <c r="M19" s="11">
        <f>H25/H8</f>
        <v>2.3378582202111617E-6</v>
      </c>
      <c r="P19" t="s">
        <v>69</v>
      </c>
      <c r="Q19">
        <f>1/Q17/Q18</f>
        <v>16666.666666666668</v>
      </c>
    </row>
    <row r="20" spans="7:17" ht="15.6" x14ac:dyDescent="0.3">
      <c r="G20" s="8" t="s">
        <v>0</v>
      </c>
      <c r="H20" s="11">
        <f>H13/H17*H19/(1-H19)</f>
        <v>2.7692307692307692</v>
      </c>
      <c r="K20" s="4" t="s">
        <v>38</v>
      </c>
      <c r="L20" s="10">
        <v>1.1000000000000001</v>
      </c>
      <c r="M20" s="10">
        <v>1.1000000000000001</v>
      </c>
      <c r="P20" t="s">
        <v>72</v>
      </c>
      <c r="Q20">
        <f>Q19/2/PI()</f>
        <v>2652.5823848649225</v>
      </c>
    </row>
    <row r="21" spans="7:17" ht="15.6" x14ac:dyDescent="0.3">
      <c r="G21" s="8" t="s">
        <v>2</v>
      </c>
      <c r="H21" s="11">
        <v>2</v>
      </c>
      <c r="K21" s="8" t="s">
        <v>32</v>
      </c>
      <c r="L21" s="11">
        <f>L19*L20</f>
        <v>2.571644042232278E-6</v>
      </c>
      <c r="M21" s="11">
        <f>M19*M20</f>
        <v>2.571644042232278E-6</v>
      </c>
      <c r="P21" t="s">
        <v>73</v>
      </c>
      <c r="Q21">
        <f>Q7*(1-H22)^2*H21^2/H30/H22</f>
        <v>102248.52071005912</v>
      </c>
    </row>
    <row r="22" spans="7:17" ht="15.6" x14ac:dyDescent="0.3">
      <c r="G22" s="8" t="s">
        <v>3</v>
      </c>
      <c r="H22" s="11">
        <f>1/(1+H13/H17/H21)</f>
        <v>0.41935483870967744</v>
      </c>
      <c r="K22" s="8" t="s">
        <v>33</v>
      </c>
      <c r="L22" s="11">
        <f>H26/H8*L20</f>
        <v>5.143288084464556E-6</v>
      </c>
      <c r="M22" s="11">
        <f>H26/H8*M20</f>
        <v>5.143288084464556E-6</v>
      </c>
      <c r="P22" t="s">
        <v>74</v>
      </c>
      <c r="Q22">
        <f>Q21/2/PI()</f>
        <v>16273.357494839942</v>
      </c>
    </row>
    <row r="23" spans="7:17" ht="15.6" x14ac:dyDescent="0.3">
      <c r="G23" s="8" t="s">
        <v>4</v>
      </c>
      <c r="H23" s="11">
        <f>1/(1+H12/H17/H21)</f>
        <v>0.26530612244897961</v>
      </c>
      <c r="K23" s="8" t="s">
        <v>36</v>
      </c>
      <c r="L23" s="11">
        <f>(L21*L14+L15*L22)/L10</f>
        <v>0.18465831632012913</v>
      </c>
      <c r="M23" s="11">
        <f>(M14*M21+M15*M22)/M10</f>
        <v>0.30732408528597432</v>
      </c>
      <c r="P23" t="s">
        <v>75</v>
      </c>
      <c r="Q23">
        <f>((1-H22)*Q12+1+H22)/Q7/Q17</f>
        <v>1286.5337922569972</v>
      </c>
    </row>
    <row r="24" spans="7:17" ht="15.6" x14ac:dyDescent="0.3">
      <c r="G24" s="8" t="s">
        <v>15</v>
      </c>
      <c r="H24" s="11">
        <f>H18/H11</f>
        <v>141.1764705882353</v>
      </c>
      <c r="L24" s="13"/>
      <c r="M24" s="13"/>
      <c r="P24" t="s">
        <v>76</v>
      </c>
      <c r="Q24">
        <f>Q23/2/PI()</f>
        <v>204.75821249246269</v>
      </c>
    </row>
    <row r="25" spans="7:17" ht="28.8" x14ac:dyDescent="0.3">
      <c r="G25" s="8" t="s">
        <v>34</v>
      </c>
      <c r="H25" s="11">
        <f>H24/H13/H22</f>
        <v>9.3514328808446461</v>
      </c>
      <c r="J25" s="7" t="s">
        <v>40</v>
      </c>
      <c r="K25" s="6" t="s">
        <v>45</v>
      </c>
      <c r="L25" s="10">
        <v>70</v>
      </c>
      <c r="M25" s="10">
        <v>70</v>
      </c>
      <c r="P25" t="s">
        <v>77</v>
      </c>
      <c r="Q25">
        <f>PI()*H10</f>
        <v>314159.26535897929</v>
      </c>
    </row>
    <row r="26" spans="7:17" ht="15.6" x14ac:dyDescent="0.3">
      <c r="G26" s="8" t="s">
        <v>35</v>
      </c>
      <c r="H26" s="11">
        <f>H25*H21</f>
        <v>18.702865761689292</v>
      </c>
      <c r="K26" s="8" t="s">
        <v>47</v>
      </c>
      <c r="L26" s="11">
        <f>L25*1000*L11</f>
        <v>1.246</v>
      </c>
      <c r="M26" s="11">
        <f>M25*1000*M11</f>
        <v>0.80500000000000005</v>
      </c>
      <c r="P26" t="s">
        <v>78</v>
      </c>
      <c r="Q26">
        <f>Q25/2/PI()</f>
        <v>50000</v>
      </c>
    </row>
    <row r="27" spans="7:17" ht="15.6" x14ac:dyDescent="0.3">
      <c r="G27" s="4" t="s">
        <v>16</v>
      </c>
      <c r="H27" s="10">
        <v>4</v>
      </c>
      <c r="K27" s="4" t="s">
        <v>50</v>
      </c>
      <c r="L27" s="10">
        <v>7.4899999999999994E-2</v>
      </c>
      <c r="M27" s="10">
        <v>6.6129999999999994E-2</v>
      </c>
      <c r="P27" t="s">
        <v>79</v>
      </c>
      <c r="Q27">
        <f>(0.5+1/PI())/(1-H22)</f>
        <v>1.409311470649862</v>
      </c>
    </row>
    <row r="28" spans="7:17" ht="15.6" x14ac:dyDescent="0.3">
      <c r="G28" s="8" t="s">
        <v>17</v>
      </c>
      <c r="H28" s="11">
        <f>H25+H27/2</f>
        <v>11.351432880844646</v>
      </c>
      <c r="K28" s="4" t="s">
        <v>51</v>
      </c>
      <c r="L28" s="12">
        <v>1.77E-8</v>
      </c>
      <c r="M28" s="12">
        <v>1.77E-8</v>
      </c>
      <c r="P28" t="s">
        <v>80</v>
      </c>
      <c r="Q28" s="17">
        <f>H13*Q8/H30*0.000001</f>
        <v>3.8153846153846155E-3</v>
      </c>
    </row>
    <row r="29" spans="7:17" ht="15.6" x14ac:dyDescent="0.3">
      <c r="G29" s="8" t="s">
        <v>18</v>
      </c>
      <c r="H29" s="11">
        <f>H25-H27/2</f>
        <v>7.3514328808446461</v>
      </c>
      <c r="K29" s="8" t="s">
        <v>49</v>
      </c>
      <c r="L29" s="11">
        <f>L28*L27*L14/L19</f>
        <v>5.6707031612903214E-3</v>
      </c>
      <c r="M29" s="11">
        <f>M28*M27*M14/M19</f>
        <v>7.0094130851612885E-3</v>
      </c>
      <c r="P29" t="s">
        <v>81</v>
      </c>
      <c r="Q29" s="17">
        <f>(Q27-1)*Q28*1000</f>
        <v>1.5616806880179348</v>
      </c>
    </row>
    <row r="30" spans="7:17" ht="15.6" x14ac:dyDescent="0.3">
      <c r="G30" s="8" t="s">
        <v>19</v>
      </c>
      <c r="H30" s="11">
        <f>H13/H27*H22/H10</f>
        <v>3.7741935483870967E-5</v>
      </c>
      <c r="K30" s="8" t="s">
        <v>48</v>
      </c>
      <c r="L30" s="11">
        <f>L28*L27*L15/L19</f>
        <v>2.8353515806451607E-3</v>
      </c>
      <c r="M30" s="11">
        <f>M28*M27*M15/M19</f>
        <v>3.5047065425806443E-3</v>
      </c>
      <c r="P30" t="s">
        <v>82</v>
      </c>
      <c r="Q30">
        <f>H22/H10</f>
        <v>4.1935483870967744E-6</v>
      </c>
    </row>
    <row r="31" spans="7:17" ht="15.6" x14ac:dyDescent="0.3">
      <c r="G31" s="8" t="s">
        <v>20</v>
      </c>
      <c r="H31" s="11">
        <f>H30*H25*H28/H9/H8/H7*1000000000000</f>
        <v>11128.855765533968</v>
      </c>
      <c r="K31" s="8" t="s">
        <v>52</v>
      </c>
      <c r="L31" s="11">
        <f>H25^2*L29+H26^2*L30</f>
        <v>1.4876970135746608</v>
      </c>
      <c r="M31" s="11">
        <f>H25^2*M29+H26^2*M30</f>
        <v>1.8389047384615385</v>
      </c>
      <c r="P31" t="s">
        <v>84</v>
      </c>
      <c r="Q31">
        <f>1.9/Q30/1000000*1000</f>
        <v>453.07692307692298</v>
      </c>
    </row>
    <row r="32" spans="7:17" ht="15.6" x14ac:dyDescent="0.3">
      <c r="K32" s="8" t="s">
        <v>53</v>
      </c>
      <c r="L32" s="11">
        <f>L31+L26</f>
        <v>2.7336970135746608</v>
      </c>
      <c r="M32" s="11">
        <f>M31+M26</f>
        <v>2.6439047384615386</v>
      </c>
      <c r="P32" t="s">
        <v>85</v>
      </c>
      <c r="Q32" s="17">
        <f>1/(Q31/Q29-1)</f>
        <v>3.4587551900912513E-3</v>
      </c>
    </row>
    <row r="33" spans="11:17" ht="15.6" x14ac:dyDescent="0.3">
      <c r="K33" s="8" t="s">
        <v>54</v>
      </c>
      <c r="L33" s="11">
        <f>H18/(H18+L32)*100</f>
        <v>97.772659766557595</v>
      </c>
      <c r="M33" s="11">
        <f>H18/(H18+M32)*100</f>
        <v>97.844242855688861</v>
      </c>
      <c r="P33" t="s">
        <v>86</v>
      </c>
      <c r="Q33" s="17">
        <v>1100000</v>
      </c>
    </row>
    <row r="34" spans="11:17" x14ac:dyDescent="0.3">
      <c r="P34" t="s">
        <v>83</v>
      </c>
      <c r="Q34" s="17">
        <f>Q33*Q32</f>
        <v>3804.6307091003764</v>
      </c>
    </row>
    <row r="35" spans="11:17" x14ac:dyDescent="0.3">
      <c r="P35" t="s">
        <v>87</v>
      </c>
      <c r="Q35">
        <f>Q22/4</f>
        <v>4068.3393737099855</v>
      </c>
    </row>
    <row r="36" spans="11:17" x14ac:dyDescent="0.3">
      <c r="P36" t="s">
        <v>88</v>
      </c>
      <c r="Q36">
        <f>0.1*Q35</f>
        <v>406.83393737099857</v>
      </c>
    </row>
    <row r="37" spans="11:17" x14ac:dyDescent="0.3">
      <c r="P37" t="s">
        <v>89</v>
      </c>
      <c r="Q37">
        <f>2*PI()*Q36</f>
        <v>2556.2130177514782</v>
      </c>
    </row>
    <row r="38" spans="11:17" x14ac:dyDescent="0.3">
      <c r="P38" t="s">
        <v>90</v>
      </c>
      <c r="Q38" s="17">
        <v>1E-8</v>
      </c>
    </row>
    <row r="39" spans="11:17" x14ac:dyDescent="0.3">
      <c r="P39" t="s">
        <v>91</v>
      </c>
      <c r="Q39" s="18">
        <f>1/(Q37*Q38)</f>
        <v>39120.370370370387</v>
      </c>
    </row>
    <row r="40" spans="11:17" x14ac:dyDescent="0.3">
      <c r="P40" t="s">
        <v>92</v>
      </c>
      <c r="Q40" s="17">
        <v>10000</v>
      </c>
    </row>
    <row r="41" spans="11:17" x14ac:dyDescent="0.3">
      <c r="P41" t="s">
        <v>93</v>
      </c>
      <c r="Q41" s="17">
        <f>1/(2*PI()*Q20*Q40)</f>
        <v>5.9999999999999991E-9</v>
      </c>
    </row>
    <row r="42" spans="11:17" x14ac:dyDescent="0.3">
      <c r="P42" t="s">
        <v>94</v>
      </c>
      <c r="Q42">
        <f>2*PI()*Q35</f>
        <v>25562.13017751478</v>
      </c>
    </row>
    <row r="43" spans="11:17" x14ac:dyDescent="0.3">
      <c r="P43" t="s">
        <v>95</v>
      </c>
      <c r="Q43" s="17">
        <f>Q15*(1+Q42/Q19)*(1-Q42/Q21)/(1+Q42/Q23)/(1+Q42/Q25+Q42^2/Q25^2)</f>
        <v>6.5701196359812783</v>
      </c>
    </row>
    <row r="44" spans="11:17" x14ac:dyDescent="0.3">
      <c r="P44" t="s">
        <v>96</v>
      </c>
      <c r="Q44" s="17">
        <f>Q40/4990/(1+Q42*Q41*Q40)</f>
        <v>0.79093263593979191</v>
      </c>
    </row>
    <row r="45" spans="11:17" x14ac:dyDescent="0.3">
      <c r="P45" t="s">
        <v>97</v>
      </c>
      <c r="Q45" s="17">
        <f>(Q39+1/Q42/Q38)/9530</f>
        <v>4.5154677237573368</v>
      </c>
    </row>
    <row r="46" spans="11:17" x14ac:dyDescent="0.3">
      <c r="P46" t="s">
        <v>98</v>
      </c>
      <c r="Q46" s="17">
        <f>Q43*Q44*Q45*30</f>
        <v>703.94182671046769</v>
      </c>
    </row>
    <row r="47" spans="11:17" x14ac:dyDescent="0.3">
      <c r="P47" t="s">
        <v>99</v>
      </c>
      <c r="Q47" s="17">
        <f>1*1000/Q46</f>
        <v>1.4205719308838591</v>
      </c>
    </row>
    <row r="48" spans="11:17" x14ac:dyDescent="0.3">
      <c r="P48" t="s">
        <v>100</v>
      </c>
      <c r="Q48" s="17">
        <f>Q43*Q47*Q44*Q45</f>
        <v>33.333333333333336</v>
      </c>
    </row>
  </sheetData>
  <mergeCells count="2">
    <mergeCell ref="J7:J10"/>
    <mergeCell ref="P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Arda KASIM</cp:lastModifiedBy>
  <cp:lastPrinted>2024-11-25T10:55:59Z</cp:lastPrinted>
  <dcterms:created xsi:type="dcterms:W3CDTF">2015-06-05T18:17:20Z</dcterms:created>
  <dcterms:modified xsi:type="dcterms:W3CDTF">2024-11-30T14:21:16Z</dcterms:modified>
</cp:coreProperties>
</file>