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if\Desktop\"/>
    </mc:Choice>
  </mc:AlternateContent>
  <xr:revisionPtr revIDLastSave="0" documentId="13_ncr:1_{AC8F089D-BF81-4B7D-A457-531956DCFAA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" l="1"/>
  <c r="L26" i="1"/>
  <c r="M17" i="1"/>
  <c r="H17" i="1"/>
  <c r="H22" i="1" s="1"/>
  <c r="H30" i="1" s="1"/>
  <c r="M12" i="1" s="1"/>
  <c r="M13" i="1" s="1"/>
  <c r="H18" i="1"/>
  <c r="H24" i="1" s="1"/>
  <c r="H25" i="1" s="1"/>
  <c r="H29" i="1" s="1"/>
  <c r="L17" i="1" s="1"/>
  <c r="H20" i="1" l="1"/>
  <c r="M19" i="1"/>
  <c r="L19" i="1"/>
  <c r="H26" i="1"/>
  <c r="H23" i="1"/>
  <c r="H28" i="1"/>
  <c r="L12" i="1"/>
  <c r="M22" i="1" l="1"/>
  <c r="L22" i="1"/>
  <c r="L21" i="1"/>
  <c r="L30" i="1"/>
  <c r="L29" i="1"/>
  <c r="M21" i="1"/>
  <c r="M29" i="1"/>
  <c r="M30" i="1"/>
  <c r="M16" i="1"/>
  <c r="M18" i="1" s="1"/>
  <c r="H31" i="1"/>
  <c r="L23" i="1"/>
  <c r="M23" i="1"/>
  <c r="L16" i="1"/>
  <c r="L18" i="1" s="1"/>
  <c r="L13" i="1"/>
  <c r="M31" i="1" l="1"/>
  <c r="M32" i="1" s="1"/>
  <c r="M33" i="1" s="1"/>
  <c r="L31" i="1"/>
  <c r="L32" i="1" s="1"/>
  <c r="L33" i="1" s="1"/>
</calcChain>
</file>

<file path=xl/sharedStrings.xml><?xml version="1.0" encoding="utf-8"?>
<sst xmlns="http://schemas.openxmlformats.org/spreadsheetml/2006/main" count="58" uniqueCount="58">
  <si>
    <t>N1/N2 (max)</t>
  </si>
  <si>
    <t>D_max</t>
  </si>
  <si>
    <t>N1/N2 (selected)</t>
  </si>
  <si>
    <t>D_max_calculated</t>
  </si>
  <si>
    <t>D_min_calculated</t>
  </si>
  <si>
    <t>n (efficiency)</t>
  </si>
  <si>
    <t>J_rms (A/m^2)</t>
  </si>
  <si>
    <t>fs (Hz)</t>
  </si>
  <si>
    <t>V_in_max (V)</t>
  </si>
  <si>
    <t>V_in_min (V)</t>
  </si>
  <si>
    <t>V_out (V)</t>
  </si>
  <si>
    <t>V_diode (V)</t>
  </si>
  <si>
    <t>I_out (A)</t>
  </si>
  <si>
    <t>V_out + V_diode (V)</t>
  </si>
  <si>
    <t>P_out (W)</t>
  </si>
  <si>
    <t>P_in (W)</t>
  </si>
  <si>
    <t>Delta_I_lm (A)</t>
  </si>
  <si>
    <t>I_lm_max (A)</t>
  </si>
  <si>
    <t>I_lm_min (A)</t>
  </si>
  <si>
    <t>Lm (calculated) (H)</t>
  </si>
  <si>
    <t>Ap (mm^4)</t>
  </si>
  <si>
    <t>Al  (H/turns^2)</t>
  </si>
  <si>
    <t>Ae (m^2)</t>
  </si>
  <si>
    <t>ETD44</t>
  </si>
  <si>
    <t>ETD39</t>
  </si>
  <si>
    <t>g (mm)</t>
  </si>
  <si>
    <t>N1 (calculated)</t>
  </si>
  <si>
    <t>N2 (calculated)</t>
  </si>
  <si>
    <t>N1 (selected)</t>
  </si>
  <si>
    <t>N2 (selected)</t>
  </si>
  <si>
    <t>A_cu (m^2)</t>
  </si>
  <si>
    <t>Aw (m^2)</t>
  </si>
  <si>
    <t>A_cu_pri + isolation (m^2)</t>
  </si>
  <si>
    <t>A_cu_sec + isolation (m^2)</t>
  </si>
  <si>
    <t>I_lm_average_pri (A)</t>
  </si>
  <si>
    <t>I_lm_average_sec (A)</t>
  </si>
  <si>
    <t>fill factor (calculated)</t>
  </si>
  <si>
    <t>fill factor (selected)</t>
  </si>
  <si>
    <t>isolation safety factor</t>
  </si>
  <si>
    <t>CORE</t>
  </si>
  <si>
    <t>LOSS</t>
  </si>
  <si>
    <t>B_peak (calculated) (T)</t>
  </si>
  <si>
    <t>B_peak (selected) (T)</t>
  </si>
  <si>
    <t>B_min (calculated) (T)</t>
  </si>
  <si>
    <t>B_swing</t>
  </si>
  <si>
    <t>Pv  (100 kHz &amp; average of 25°C and 100°C) (kW/m^3)</t>
  </si>
  <si>
    <t>Ve (m^3)</t>
  </si>
  <si>
    <t>P_core (W)</t>
  </si>
  <si>
    <t>R_dc_sec (Ohm)</t>
  </si>
  <si>
    <t>R_dc_pri (Ohm)</t>
  </si>
  <si>
    <t>MLT (m)</t>
  </si>
  <si>
    <t>Rho (ohm*m)</t>
  </si>
  <si>
    <t>P_dc (W)</t>
  </si>
  <si>
    <t>P_total (W)</t>
  </si>
  <si>
    <t>Efficiency</t>
  </si>
  <si>
    <t>Given</t>
  </si>
  <si>
    <t>Calculated</t>
  </si>
  <si>
    <t>Flyback Design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</si>
</sst>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3" borderId="0" xfId="0" applyFill="1"/>
    <xf numFmtId="0" fontId="3" fillId="2" borderId="1" xfId="0" applyFont="1" applyFill="1" applyBorder="1"/>
    <xf numFmtId="0" fontId="3" fillId="3" borderId="1" xfId="0" applyFont="1" applyFill="1" applyBorder="1"/>
    <xf numFmtId="11" fontId="3" fillId="2" borderId="1" xfId="0" applyNumberFormat="1" applyFont="1" applyFill="1" applyBorder="1"/>
    <xf numFmtId="0" fontId="3" fillId="3" borderId="1" xfId="0" applyNumberFormat="1" applyFont="1" applyFill="1" applyBorder="1"/>
    <xf numFmtId="0" fontId="3" fillId="0" borderId="0" xfId="0" applyFont="1"/>
    <xf numFmtId="0" fontId="3" fillId="2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3"/>
  <sheetViews>
    <sheetView tabSelected="1" workbookViewId="0">
      <selection activeCell="D17" sqref="D17"/>
    </sheetView>
  </sheetViews>
  <sheetFormatPr defaultRowHeight="14.4" x14ac:dyDescent="0.3"/>
  <cols>
    <col min="3" max="3" width="9.77734375" bestFit="1" customWidth="1"/>
    <col min="7" max="7" width="19.21875" bestFit="1" customWidth="1"/>
    <col min="8" max="8" width="13.33203125" bestFit="1" customWidth="1"/>
    <col min="9" max="9" width="12" style="4" customWidth="1"/>
    <col min="11" max="11" width="23.77734375" bestFit="1" customWidth="1"/>
    <col min="12" max="13" width="13.33203125" bestFit="1" customWidth="1"/>
  </cols>
  <sheetData>
    <row r="2" spans="1:24" x14ac:dyDescent="0.3">
      <c r="A2" s="1"/>
      <c r="B2" s="1"/>
      <c r="C2" s="1"/>
      <c r="D2" s="1"/>
      <c r="E2" s="1"/>
      <c r="F2" s="1"/>
      <c r="G2" s="1"/>
      <c r="H2" s="1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1:24" ht="18" x14ac:dyDescent="0.35">
      <c r="D4" s="21" t="s">
        <v>57</v>
      </c>
    </row>
    <row r="6" spans="1:24" ht="15.6" x14ac:dyDescent="0.3">
      <c r="L6" s="6" t="s">
        <v>23</v>
      </c>
      <c r="M6" s="6" t="s">
        <v>24</v>
      </c>
    </row>
    <row r="7" spans="1:24" ht="15.6" x14ac:dyDescent="0.3">
      <c r="G7" s="5" t="s">
        <v>42</v>
      </c>
      <c r="H7" s="15">
        <v>0.3</v>
      </c>
      <c r="I7" s="8"/>
      <c r="J7" s="9" t="s">
        <v>39</v>
      </c>
      <c r="K7" s="5" t="s">
        <v>22</v>
      </c>
      <c r="L7" s="17">
        <v>1.73E-4</v>
      </c>
      <c r="M7" s="17">
        <v>1.25E-4</v>
      </c>
    </row>
    <row r="8" spans="1:24" ht="15.6" x14ac:dyDescent="0.3">
      <c r="C8" s="2" t="s">
        <v>55</v>
      </c>
      <c r="D8" s="3"/>
      <c r="G8" s="5" t="s">
        <v>6</v>
      </c>
      <c r="H8" s="15">
        <v>4000000</v>
      </c>
      <c r="I8" s="8"/>
      <c r="J8" s="9"/>
      <c r="K8" s="5" t="s">
        <v>25</v>
      </c>
      <c r="L8" s="15">
        <v>0.5</v>
      </c>
      <c r="M8" s="15">
        <v>1</v>
      </c>
    </row>
    <row r="9" spans="1:24" ht="15.6" x14ac:dyDescent="0.3">
      <c r="C9" s="2" t="s">
        <v>56</v>
      </c>
      <c r="D9" s="14"/>
      <c r="G9" s="5" t="s">
        <v>37</v>
      </c>
      <c r="H9" s="15">
        <v>0.3</v>
      </c>
      <c r="I9" s="8"/>
      <c r="J9" s="9"/>
      <c r="K9" s="5" t="s">
        <v>21</v>
      </c>
      <c r="L9" s="17">
        <v>4.3799999999999998E-7</v>
      </c>
      <c r="M9" s="17">
        <v>1.9600000000000001E-7</v>
      </c>
    </row>
    <row r="10" spans="1:24" ht="15.6" x14ac:dyDescent="0.3">
      <c r="G10" s="5" t="s">
        <v>7</v>
      </c>
      <c r="H10" s="15">
        <v>100000</v>
      </c>
      <c r="I10" s="8"/>
      <c r="J10" s="9"/>
      <c r="K10" s="5" t="s">
        <v>31</v>
      </c>
      <c r="L10" s="17">
        <v>2.7852999999999998E-4</v>
      </c>
      <c r="M10" s="17">
        <v>2.343E-4</v>
      </c>
    </row>
    <row r="11" spans="1:24" ht="15.6" x14ac:dyDescent="0.3">
      <c r="G11" s="5" t="s">
        <v>5</v>
      </c>
      <c r="H11" s="15">
        <v>0.85</v>
      </c>
      <c r="I11" s="8"/>
      <c r="K11" s="5" t="s">
        <v>46</v>
      </c>
      <c r="L11" s="17">
        <v>1.7799999999999999E-5</v>
      </c>
      <c r="M11" s="17">
        <v>1.15E-5</v>
      </c>
    </row>
    <row r="12" spans="1:24" ht="15.6" x14ac:dyDescent="0.3">
      <c r="G12" s="5" t="s">
        <v>8</v>
      </c>
      <c r="H12" s="15">
        <v>72</v>
      </c>
      <c r="I12" s="8"/>
      <c r="K12" s="12" t="s">
        <v>26</v>
      </c>
      <c r="L12" s="16">
        <f>SQRT(H30/L9)</f>
        <v>9.2827152533400081</v>
      </c>
      <c r="M12" s="16">
        <f>SQRT(H30/M9)</f>
        <v>13.876631267201427</v>
      </c>
    </row>
    <row r="13" spans="1:24" ht="15.6" x14ac:dyDescent="0.3">
      <c r="G13" s="5" t="s">
        <v>9</v>
      </c>
      <c r="H13" s="15">
        <v>36</v>
      </c>
      <c r="I13" s="8"/>
      <c r="K13" s="12" t="s">
        <v>27</v>
      </c>
      <c r="L13" s="16">
        <f>L12/H21</f>
        <v>4.6413576266700041</v>
      </c>
      <c r="M13" s="16">
        <f>M12/H21</f>
        <v>6.9383156336007135</v>
      </c>
    </row>
    <row r="14" spans="1:24" ht="15.6" x14ac:dyDescent="0.3">
      <c r="G14" s="5" t="s">
        <v>10</v>
      </c>
      <c r="H14" s="15">
        <v>12</v>
      </c>
      <c r="I14" s="8"/>
      <c r="K14" s="5" t="s">
        <v>28</v>
      </c>
      <c r="L14" s="15">
        <v>10</v>
      </c>
      <c r="M14" s="15">
        <v>14</v>
      </c>
    </row>
    <row r="15" spans="1:24" ht="15.6" x14ac:dyDescent="0.3">
      <c r="G15" s="5" t="s">
        <v>11</v>
      </c>
      <c r="H15" s="15">
        <v>1</v>
      </c>
      <c r="I15" s="8"/>
      <c r="K15" s="5" t="s">
        <v>29</v>
      </c>
      <c r="L15" s="15">
        <v>5</v>
      </c>
      <c r="M15" s="15">
        <v>7</v>
      </c>
    </row>
    <row r="16" spans="1:24" ht="15.6" x14ac:dyDescent="0.3">
      <c r="G16" s="5" t="s">
        <v>12</v>
      </c>
      <c r="H16" s="15">
        <v>10</v>
      </c>
      <c r="I16" s="8"/>
      <c r="K16" s="12" t="s">
        <v>41</v>
      </c>
      <c r="L16" s="16">
        <f>H28*H30/L12/L7</f>
        <v>0.26678027854233222</v>
      </c>
      <c r="M16" s="18">
        <f>H28*H30/M12/M7</f>
        <v>0.24699080875684779</v>
      </c>
    </row>
    <row r="17" spans="7:13" ht="15.6" x14ac:dyDescent="0.3">
      <c r="G17" s="12" t="s">
        <v>13</v>
      </c>
      <c r="H17" s="16">
        <f>H14+H15</f>
        <v>13</v>
      </c>
      <c r="I17" s="8"/>
      <c r="K17" s="13" t="s">
        <v>43</v>
      </c>
      <c r="L17" s="18">
        <f>H29*H30/L14/L7</f>
        <v>0.16037994537736783</v>
      </c>
      <c r="M17" s="18">
        <f>H29*H30/M14/M7</f>
        <v>0.1585470317159122</v>
      </c>
    </row>
    <row r="18" spans="7:13" ht="15.6" x14ac:dyDescent="0.3">
      <c r="G18" s="12" t="s">
        <v>14</v>
      </c>
      <c r="H18" s="16">
        <f>H14*H16</f>
        <v>120</v>
      </c>
      <c r="I18" s="8"/>
      <c r="K18" s="13" t="s">
        <v>44</v>
      </c>
      <c r="L18" s="18">
        <f>L16-L17</f>
        <v>0.10640033316496439</v>
      </c>
      <c r="M18" s="18">
        <f>M16-M17</f>
        <v>8.8443777040935589E-2</v>
      </c>
    </row>
    <row r="19" spans="7:13" ht="15.6" x14ac:dyDescent="0.3">
      <c r="G19" s="5" t="s">
        <v>1</v>
      </c>
      <c r="H19" s="15">
        <v>0.5</v>
      </c>
      <c r="I19" s="8"/>
      <c r="K19" s="12" t="s">
        <v>30</v>
      </c>
      <c r="L19" s="16">
        <f>H25/H8</f>
        <v>2.3378582202111617E-6</v>
      </c>
      <c r="M19" s="16">
        <f>H25/H8</f>
        <v>2.3378582202111617E-6</v>
      </c>
    </row>
    <row r="20" spans="7:13" ht="15.6" x14ac:dyDescent="0.3">
      <c r="G20" s="12" t="s">
        <v>0</v>
      </c>
      <c r="H20" s="16">
        <f>H13/H17*H19/(1-H19)</f>
        <v>2.7692307692307692</v>
      </c>
      <c r="I20" s="8"/>
      <c r="K20" s="5" t="s">
        <v>38</v>
      </c>
      <c r="L20" s="15">
        <v>1.1000000000000001</v>
      </c>
      <c r="M20" s="15">
        <v>1.1000000000000001</v>
      </c>
    </row>
    <row r="21" spans="7:13" ht="15.6" x14ac:dyDescent="0.3">
      <c r="G21" s="12" t="s">
        <v>2</v>
      </c>
      <c r="H21" s="16">
        <v>2</v>
      </c>
      <c r="I21" s="8"/>
      <c r="K21" s="12" t="s">
        <v>32</v>
      </c>
      <c r="L21" s="16">
        <f>L19*L20</f>
        <v>2.571644042232278E-6</v>
      </c>
      <c r="M21" s="16">
        <f>M19*M20</f>
        <v>2.571644042232278E-6</v>
      </c>
    </row>
    <row r="22" spans="7:13" ht="15.6" x14ac:dyDescent="0.3">
      <c r="G22" s="12" t="s">
        <v>3</v>
      </c>
      <c r="H22" s="16">
        <f>1/(1+H13/H17/H21)</f>
        <v>0.41935483870967744</v>
      </c>
      <c r="I22" s="8"/>
      <c r="K22" s="12" t="s">
        <v>33</v>
      </c>
      <c r="L22" s="16">
        <f>H26/H8*L20</f>
        <v>5.143288084464556E-6</v>
      </c>
      <c r="M22" s="16">
        <f>H26/H8*M20</f>
        <v>5.143288084464556E-6</v>
      </c>
    </row>
    <row r="23" spans="7:13" ht="15.6" x14ac:dyDescent="0.3">
      <c r="G23" s="12" t="s">
        <v>4</v>
      </c>
      <c r="H23" s="16">
        <f>1/(1+H12/H17/H21)</f>
        <v>0.26530612244897961</v>
      </c>
      <c r="I23" s="8"/>
      <c r="K23" s="12" t="s">
        <v>36</v>
      </c>
      <c r="L23" s="18">
        <f>(L21*L14+L15*L22)/L10</f>
        <v>0.18465831632012913</v>
      </c>
      <c r="M23" s="18">
        <f>(M14*M21+M15*M22)/M10</f>
        <v>0.30732408528597432</v>
      </c>
    </row>
    <row r="24" spans="7:13" ht="15.6" x14ac:dyDescent="0.3">
      <c r="G24" s="12" t="s">
        <v>15</v>
      </c>
      <c r="H24" s="16">
        <f>H18/H11</f>
        <v>141.1764705882353</v>
      </c>
      <c r="I24" s="8"/>
      <c r="L24" s="19"/>
      <c r="M24" s="19"/>
    </row>
    <row r="25" spans="7:13" ht="28.8" x14ac:dyDescent="0.3">
      <c r="G25" s="12" t="s">
        <v>34</v>
      </c>
      <c r="H25" s="16">
        <f>H24/H13/H22</f>
        <v>9.3514328808446461</v>
      </c>
      <c r="I25" s="8"/>
      <c r="J25" s="11" t="s">
        <v>40</v>
      </c>
      <c r="K25" s="10" t="s">
        <v>45</v>
      </c>
      <c r="L25" s="15">
        <v>70</v>
      </c>
      <c r="M25" s="15">
        <v>70</v>
      </c>
    </row>
    <row r="26" spans="7:13" ht="15.6" x14ac:dyDescent="0.3">
      <c r="G26" s="12" t="s">
        <v>35</v>
      </c>
      <c r="H26" s="16">
        <f>H25*H21</f>
        <v>18.702865761689292</v>
      </c>
      <c r="I26" s="8"/>
      <c r="K26" s="12" t="s">
        <v>47</v>
      </c>
      <c r="L26" s="18">
        <f>L25*1000*L11</f>
        <v>1.246</v>
      </c>
      <c r="M26" s="18">
        <f>M25*1000*M11</f>
        <v>0.80500000000000005</v>
      </c>
    </row>
    <row r="27" spans="7:13" ht="15.6" x14ac:dyDescent="0.3">
      <c r="G27" s="5" t="s">
        <v>16</v>
      </c>
      <c r="H27" s="15">
        <v>4</v>
      </c>
      <c r="I27" s="8"/>
      <c r="K27" s="5" t="s">
        <v>50</v>
      </c>
      <c r="L27" s="20">
        <v>7.4899999999999994E-2</v>
      </c>
      <c r="M27" s="20">
        <v>6.6129999999999994E-2</v>
      </c>
    </row>
    <row r="28" spans="7:13" ht="15.6" x14ac:dyDescent="0.3">
      <c r="G28" s="12" t="s">
        <v>17</v>
      </c>
      <c r="H28" s="16">
        <f>H25+H27/2</f>
        <v>11.351432880844646</v>
      </c>
      <c r="I28" s="8"/>
      <c r="K28" s="5" t="s">
        <v>51</v>
      </c>
      <c r="L28" s="17">
        <v>1.77E-8</v>
      </c>
      <c r="M28" s="17">
        <v>1.77E-8</v>
      </c>
    </row>
    <row r="29" spans="7:13" ht="15.6" x14ac:dyDescent="0.3">
      <c r="G29" s="12" t="s">
        <v>18</v>
      </c>
      <c r="H29" s="16">
        <f>H25-H27/2</f>
        <v>7.3514328808446461</v>
      </c>
      <c r="I29" s="8"/>
      <c r="K29" s="12" t="s">
        <v>49</v>
      </c>
      <c r="L29" s="18">
        <f>L28*L27*L14/L19</f>
        <v>5.6707031612903214E-3</v>
      </c>
      <c r="M29" s="18">
        <f>M28*M27*M14/M19</f>
        <v>7.0094130851612885E-3</v>
      </c>
    </row>
    <row r="30" spans="7:13" ht="15.6" x14ac:dyDescent="0.3">
      <c r="G30" s="12" t="s">
        <v>19</v>
      </c>
      <c r="H30" s="16">
        <f>H13/H27*H22/H10</f>
        <v>3.7741935483870967E-5</v>
      </c>
      <c r="I30" s="8"/>
      <c r="K30" s="12" t="s">
        <v>48</v>
      </c>
      <c r="L30" s="18">
        <f>L28*L27*L15/L19</f>
        <v>2.8353515806451607E-3</v>
      </c>
      <c r="M30" s="18">
        <f>M28*M27*M15/M19</f>
        <v>3.5047065425806443E-3</v>
      </c>
    </row>
    <row r="31" spans="7:13" ht="15.6" x14ac:dyDescent="0.3">
      <c r="G31" s="12" t="s">
        <v>20</v>
      </c>
      <c r="H31" s="16">
        <f>H30*H25*H28/H9/H8/H7*1000000000000</f>
        <v>11128.855765533968</v>
      </c>
      <c r="I31" s="8"/>
      <c r="K31" s="12" t="s">
        <v>52</v>
      </c>
      <c r="L31" s="16">
        <f>H25^2*L29+H26^2*L30</f>
        <v>1.4876970135746608</v>
      </c>
      <c r="M31" s="16">
        <f>H25^2*M29+H26^2*M30</f>
        <v>1.8389047384615385</v>
      </c>
    </row>
    <row r="32" spans="7:13" ht="15.6" x14ac:dyDescent="0.3">
      <c r="K32" s="12" t="s">
        <v>53</v>
      </c>
      <c r="L32" s="16">
        <f>L31+L26</f>
        <v>2.7336970135746608</v>
      </c>
      <c r="M32" s="16">
        <f>M31+M26</f>
        <v>2.6439047384615386</v>
      </c>
    </row>
    <row r="33" spans="11:13" ht="15.6" x14ac:dyDescent="0.3">
      <c r="K33" s="12" t="s">
        <v>54</v>
      </c>
      <c r="L33" s="16">
        <f>H18/(H18+L32)*100</f>
        <v>97.772659766557595</v>
      </c>
      <c r="M33" s="16">
        <f>H18/(H18+M32)*100</f>
        <v>97.844242855688861</v>
      </c>
    </row>
  </sheetData>
  <mergeCells count="1">
    <mergeCell ref="J7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elif topaloğlu</cp:lastModifiedBy>
  <cp:lastPrinted>2024-11-25T10:55:59Z</cp:lastPrinted>
  <dcterms:created xsi:type="dcterms:W3CDTF">2015-06-05T18:17:20Z</dcterms:created>
  <dcterms:modified xsi:type="dcterms:W3CDTF">2024-11-25T15:49:13Z</dcterms:modified>
</cp:coreProperties>
</file>